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omments5.xml" ContentType="application/vnd.openxmlformats-officedocument.spreadsheetml.comments+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8.xml" ContentType="application/vnd.openxmlformats-officedocument.drawing+xml"/>
  <Override PartName="/xl/comments6.xml" ContentType="application/vnd.openxmlformats-officedocument.spreadsheetml.comments+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DieseArbeitsmappe"/>
  <mc:AlternateContent xmlns:mc="http://schemas.openxmlformats.org/markup-compatibility/2006">
    <mc:Choice Requires="x15">
      <x15ac:absPath xmlns:x15ac="http://schemas.microsoft.com/office/spreadsheetml/2010/11/ac" url="https://acatechev.sharepoint.de/sites/ERN/Freigegebene Dokumente/02_Projekte/2_Laufende/ESYS-II/02_AGs/12_AG_Wasserstoff/06_Berechnungen-Diagramme/01_H2-Tool/"/>
    </mc:Choice>
  </mc:AlternateContent>
  <xr:revisionPtr revIDLastSave="13" documentId="8_{4E78003A-DCE3-4DA3-87F7-C942C9EB8FC0}" xr6:coauthVersionLast="47" xr6:coauthVersionMax="47" xr10:uidLastSave="{23E2D744-B4D6-42B2-A6C4-D9E128CF250C}"/>
  <bookViews>
    <workbookView xWindow="-110" yWindow="-110" windowWidth="19420" windowHeight="10560" activeTab="2" xr2:uid="{00000000-000D-0000-FFFF-FFFF00000000}"/>
  </bookViews>
  <sheets>
    <sheet name="Inhalt" sheetId="15" r:id="rId1"/>
    <sheet name="Eingabe Transportmittel" sheetId="9" r:id="rId2"/>
    <sheet name="Eingabe Umwandlung" sheetId="13" r:id="rId3"/>
    <sheet name="Eingabe Stoffparameter" sheetId="14" r:id="rId4"/>
    <sheet name="Transportmittel" sheetId="6" r:id="rId5"/>
    <sheet name="Transportoptionen" sheetId="2" r:id="rId6"/>
    <sheet name="Beispielketten" sheetId="1" r:id="rId7"/>
    <sheet name="Umwandlungskosten" sheetId="20" r:id="rId8"/>
    <sheet name="Umwandlung &amp; Transport Säulen" sheetId="17" r:id="rId9"/>
    <sheet name="Umwandlungs- &amp; Transportkosten" sheetId="18" r:id="rId10"/>
    <sheet name="energetische Effizienz" sheetId="19" r:id="rId11"/>
    <sheet name="Schätzung Schiff" sheetId="7" r:id="rId12"/>
    <sheet name="Schätzung Pipeline" sheetId="8" r:id="rId13"/>
    <sheet name="Schätzung EE-Strom &amp; Hilfsstoff" sheetId="12" r:id="rId14"/>
    <sheet name="Schätzung VLS vs. Stromkosten" sheetId="16" r:id="rId15"/>
  </sheets>
  <definedNames>
    <definedName name="Fuel_Consumption_Ship" localSheetId="11">'Schätzung Schiff'!$A$6:$J$26</definedName>
    <definedName name="hafen_hamburg_Containerschiffe_processed" localSheetId="11">'Schätzung Schiff'!$A$30:$I$1697</definedName>
    <definedName name="hafen_hamburg_schiffe_processed" localSheetId="11">'Schätzung Schiff'!#REF!</definedName>
    <definedName name="hafen_hamburg_schiffe_processed_1" localSheetId="11">'Schätzung Schiff'!#REF!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6" i="2" l="1"/>
  <c r="O25" i="2" l="1"/>
  <c r="N25" i="2"/>
  <c r="M25" i="2"/>
  <c r="L25" i="2"/>
  <c r="K25" i="2"/>
  <c r="J25" i="2"/>
  <c r="I25" i="2"/>
  <c r="H25" i="2"/>
  <c r="G25" i="2"/>
  <c r="F25" i="2"/>
  <c r="E25" i="2"/>
  <c r="D25" i="2"/>
  <c r="C25" i="2"/>
  <c r="G19" i="1" l="1"/>
  <c r="C19" i="1"/>
  <c r="D19" i="1"/>
  <c r="O16" i="2"/>
  <c r="O15" i="2"/>
  <c r="O13" i="2"/>
  <c r="O11" i="2"/>
  <c r="N15" i="2"/>
  <c r="N13" i="2"/>
  <c r="N11" i="2"/>
  <c r="M16" i="2"/>
  <c r="M15" i="2"/>
  <c r="M14" i="2"/>
  <c r="M13" i="2"/>
  <c r="M11" i="2"/>
  <c r="L15" i="2"/>
  <c r="L14" i="2"/>
  <c r="L13" i="2"/>
  <c r="L11" i="2"/>
  <c r="K16" i="2"/>
  <c r="K15" i="2"/>
  <c r="K14" i="2"/>
  <c r="K13" i="2"/>
  <c r="K12" i="2"/>
  <c r="K11" i="2"/>
  <c r="J16" i="2"/>
  <c r="J15" i="2"/>
  <c r="J14" i="2"/>
  <c r="J13" i="2"/>
  <c r="J12" i="2"/>
  <c r="J11" i="2"/>
  <c r="I16" i="2"/>
  <c r="I15" i="2"/>
  <c r="I13" i="2"/>
  <c r="I12" i="2"/>
  <c r="I11" i="2"/>
  <c r="H16" i="2"/>
  <c r="H15" i="2"/>
  <c r="H14" i="2"/>
  <c r="H13" i="2"/>
  <c r="H12" i="2"/>
  <c r="H11" i="2"/>
  <c r="G16" i="2"/>
  <c r="G15" i="2"/>
  <c r="F16" i="2"/>
  <c r="F15" i="2"/>
  <c r="E16" i="2"/>
  <c r="E15" i="2"/>
  <c r="D16" i="2"/>
  <c r="D15" i="2"/>
  <c r="D14" i="2"/>
  <c r="D13" i="2"/>
  <c r="D12" i="2"/>
  <c r="D11" i="2"/>
  <c r="C16" i="2"/>
  <c r="C15" i="2"/>
  <c r="C14" i="2"/>
  <c r="C13" i="2"/>
  <c r="C12" i="2"/>
  <c r="C11" i="2"/>
  <c r="V20" i="6"/>
  <c r="V19" i="6"/>
  <c r="V18" i="6"/>
  <c r="V17" i="6"/>
  <c r="V16" i="6"/>
  <c r="V15" i="6"/>
  <c r="T20" i="6"/>
  <c r="T19" i="6"/>
  <c r="T18" i="6"/>
  <c r="T17" i="6"/>
  <c r="T16" i="6"/>
  <c r="T15" i="6"/>
  <c r="S20" i="6"/>
  <c r="S19" i="6"/>
  <c r="S18" i="6"/>
  <c r="S17" i="6"/>
  <c r="S16" i="6"/>
  <c r="S15" i="6"/>
  <c r="R20" i="6"/>
  <c r="R19" i="6"/>
  <c r="R18" i="6"/>
  <c r="R17" i="6"/>
  <c r="R16" i="6"/>
  <c r="R15" i="6"/>
  <c r="Q20" i="6"/>
  <c r="Q19" i="6"/>
  <c r="Q18" i="6"/>
  <c r="Q17" i="6"/>
  <c r="Q16" i="6"/>
  <c r="Q15" i="6"/>
  <c r="P20" i="6"/>
  <c r="P19" i="6"/>
  <c r="P18" i="6"/>
  <c r="P17" i="6"/>
  <c r="P16" i="6"/>
  <c r="P15" i="6"/>
  <c r="N20" i="6"/>
  <c r="N19" i="6"/>
  <c r="N18" i="6"/>
  <c r="N17" i="6"/>
  <c r="N16" i="6"/>
  <c r="N15" i="6"/>
  <c r="M20" i="6"/>
  <c r="M19" i="6"/>
  <c r="M18" i="6"/>
  <c r="M17" i="6"/>
  <c r="M16" i="6"/>
  <c r="M15" i="6"/>
  <c r="L20" i="6"/>
  <c r="L19" i="6"/>
  <c r="L18" i="6"/>
  <c r="L17" i="6"/>
  <c r="L16" i="6"/>
  <c r="L15" i="6"/>
  <c r="K20" i="6"/>
  <c r="K19" i="6"/>
  <c r="K18" i="6"/>
  <c r="K17" i="6"/>
  <c r="K16" i="6"/>
  <c r="K15" i="6"/>
  <c r="J20" i="6"/>
  <c r="J19" i="6"/>
  <c r="I20" i="6"/>
  <c r="I19" i="6"/>
  <c r="I18" i="6"/>
  <c r="I17" i="6"/>
  <c r="I16" i="6"/>
  <c r="I15" i="6"/>
  <c r="H20" i="6"/>
  <c r="H19" i="6"/>
  <c r="H18" i="6"/>
  <c r="H17" i="6"/>
  <c r="H16" i="6"/>
  <c r="H15" i="6"/>
  <c r="G20" i="6"/>
  <c r="G19" i="6"/>
  <c r="G18" i="6"/>
  <c r="G17" i="6"/>
  <c r="G16" i="6"/>
  <c r="G15" i="6"/>
  <c r="F20" i="6"/>
  <c r="F19" i="6"/>
  <c r="F18" i="6"/>
  <c r="F17" i="6"/>
  <c r="F16" i="6"/>
  <c r="F15" i="6"/>
  <c r="D20" i="6"/>
  <c r="D19" i="6"/>
  <c r="D18" i="6"/>
  <c r="D17" i="6"/>
  <c r="D16" i="6"/>
  <c r="D15" i="6"/>
  <c r="C20" i="6"/>
  <c r="C19" i="6"/>
  <c r="C18" i="6"/>
  <c r="C17" i="6"/>
  <c r="C16" i="6"/>
  <c r="C15" i="6"/>
  <c r="B20" i="6"/>
  <c r="B19" i="6"/>
  <c r="B18" i="6"/>
  <c r="B17" i="6"/>
  <c r="B16" i="6"/>
  <c r="B15" i="6"/>
  <c r="P10" i="6"/>
  <c r="P9" i="6"/>
  <c r="P8" i="6"/>
  <c r="P7" i="6"/>
  <c r="O10" i="6"/>
  <c r="O9" i="6"/>
  <c r="O8" i="6"/>
  <c r="O7" i="6"/>
  <c r="N10" i="6"/>
  <c r="N9" i="6"/>
  <c r="N8" i="6"/>
  <c r="N7" i="6"/>
  <c r="M10" i="6"/>
  <c r="M9" i="6"/>
  <c r="M8" i="6"/>
  <c r="M7" i="6"/>
  <c r="K10" i="6"/>
  <c r="K9" i="6"/>
  <c r="K8" i="6"/>
  <c r="K7" i="6"/>
  <c r="J10" i="6"/>
  <c r="J7" i="6"/>
  <c r="I10" i="6"/>
  <c r="I9" i="6"/>
  <c r="I8" i="6"/>
  <c r="I7" i="6"/>
  <c r="H10" i="6"/>
  <c r="H9" i="6"/>
  <c r="H8" i="6"/>
  <c r="H7" i="6"/>
  <c r="G10" i="6"/>
  <c r="G9" i="6"/>
  <c r="G8" i="6"/>
  <c r="G7" i="6"/>
  <c r="F10" i="6"/>
  <c r="F9" i="6"/>
  <c r="F8" i="6"/>
  <c r="F7" i="6"/>
  <c r="E10" i="6"/>
  <c r="E9" i="6"/>
  <c r="E8" i="6"/>
  <c r="E7" i="6"/>
  <c r="D10" i="6"/>
  <c r="D9" i="6"/>
  <c r="D8" i="6"/>
  <c r="C10" i="6"/>
  <c r="C9" i="6"/>
  <c r="C8" i="6"/>
  <c r="C7" i="6"/>
  <c r="B10" i="6"/>
  <c r="B9" i="6"/>
  <c r="B8" i="6"/>
  <c r="B7" i="6"/>
  <c r="AL20" i="6" l="1"/>
  <c r="AL19" i="6"/>
  <c r="M46" i="9" l="1"/>
  <c r="W20" i="6" s="1"/>
  <c r="M44" i="9"/>
  <c r="U20" i="6" s="1"/>
  <c r="M38" i="9"/>
  <c r="O20" i="6" s="1"/>
  <c r="M29" i="9"/>
  <c r="E20" i="6" s="1"/>
  <c r="K46" i="9"/>
  <c r="W19" i="6" s="1"/>
  <c r="K44" i="9"/>
  <c r="U19" i="6" s="1"/>
  <c r="K38" i="9"/>
  <c r="O19" i="6" s="1"/>
  <c r="K29" i="9"/>
  <c r="E19" i="6" s="1"/>
  <c r="I46" i="9"/>
  <c r="W18" i="6" s="1"/>
  <c r="I44" i="9"/>
  <c r="U18" i="6" s="1"/>
  <c r="I38" i="9"/>
  <c r="O18" i="6" s="1"/>
  <c r="I33" i="9"/>
  <c r="J18" i="6" s="1"/>
  <c r="AL18" i="6" s="1"/>
  <c r="I29" i="9"/>
  <c r="E18" i="6" s="1"/>
  <c r="G46" i="9"/>
  <c r="W17" i="6" s="1"/>
  <c r="G44" i="9"/>
  <c r="U17" i="6" s="1"/>
  <c r="G38" i="9"/>
  <c r="O17" i="6" s="1"/>
  <c r="G33" i="9"/>
  <c r="J17" i="6" s="1"/>
  <c r="AL17" i="6" s="1"/>
  <c r="G29" i="9"/>
  <c r="E17" i="6" s="1"/>
  <c r="E46" i="9"/>
  <c r="W16" i="6" s="1"/>
  <c r="E44" i="9"/>
  <c r="U16" i="6" s="1"/>
  <c r="E38" i="9"/>
  <c r="O16" i="6" s="1"/>
  <c r="E33" i="9"/>
  <c r="J16" i="6" s="1"/>
  <c r="AL16" i="6" s="1"/>
  <c r="E29" i="9"/>
  <c r="E16" i="6" s="1"/>
  <c r="C29" i="9"/>
  <c r="E15" i="6" s="1"/>
  <c r="C33" i="9"/>
  <c r="J15" i="6" s="1"/>
  <c r="AL15" i="6" s="1"/>
  <c r="C38" i="9"/>
  <c r="O15" i="6" s="1"/>
  <c r="C44" i="9"/>
  <c r="U15" i="6" s="1"/>
  <c r="C46" i="9"/>
  <c r="W15" i="6" s="1"/>
  <c r="B36" i="12" l="1"/>
  <c r="N3" i="12" l="1"/>
  <c r="D34" i="14" l="1"/>
  <c r="C35" i="14" l="1"/>
  <c r="C33" i="14" l="1"/>
  <c r="D33" i="14"/>
  <c r="D4" i="2" l="1"/>
  <c r="C71" i="12"/>
  <c r="G56" i="12"/>
  <c r="C55" i="12"/>
  <c r="Q7" i="13" l="1"/>
  <c r="N12" i="2" l="1"/>
  <c r="O12" i="2"/>
  <c r="D4" i="1"/>
  <c r="I9" i="12" l="1"/>
  <c r="F9" i="12"/>
  <c r="I3" i="12" l="1"/>
  <c r="C15" i="16" l="1"/>
  <c r="D15" i="16"/>
  <c r="E15" i="16"/>
  <c r="F15" i="16"/>
  <c r="G15" i="16"/>
  <c r="H15" i="16"/>
  <c r="I15" i="16"/>
  <c r="J15" i="16"/>
  <c r="K15" i="16"/>
  <c r="L15" i="16"/>
  <c r="M15" i="16"/>
  <c r="N15" i="16"/>
  <c r="O15" i="16"/>
  <c r="C16" i="16"/>
  <c r="D16" i="16"/>
  <c r="E16" i="16"/>
  <c r="F16" i="16"/>
  <c r="G16" i="16"/>
  <c r="H16" i="16"/>
  <c r="I16" i="16"/>
  <c r="J16" i="16"/>
  <c r="K16" i="16"/>
  <c r="L16" i="16"/>
  <c r="M16" i="16"/>
  <c r="N16" i="16"/>
  <c r="O16" i="16"/>
  <c r="C17" i="16"/>
  <c r="D17" i="16"/>
  <c r="E17" i="16"/>
  <c r="F17" i="16"/>
  <c r="G17" i="16"/>
  <c r="H17" i="16"/>
  <c r="I17" i="16"/>
  <c r="J17" i="16"/>
  <c r="K17" i="16"/>
  <c r="L17" i="16"/>
  <c r="M17" i="16"/>
  <c r="N17" i="16"/>
  <c r="O17" i="16"/>
  <c r="C18" i="16"/>
  <c r="D18" i="16"/>
  <c r="E18" i="16"/>
  <c r="F18" i="16"/>
  <c r="G18" i="16"/>
  <c r="H18" i="16"/>
  <c r="I18" i="16"/>
  <c r="J18" i="16"/>
  <c r="K18" i="16"/>
  <c r="L18" i="16"/>
  <c r="M18" i="16"/>
  <c r="N18" i="16"/>
  <c r="O18" i="16"/>
  <c r="C19" i="16"/>
  <c r="D19" i="16"/>
  <c r="E19" i="16"/>
  <c r="F19" i="16"/>
  <c r="G19" i="16"/>
  <c r="H19" i="16"/>
  <c r="I19" i="16"/>
  <c r="J19" i="16"/>
  <c r="K19" i="16"/>
  <c r="L19" i="16"/>
  <c r="M19" i="16"/>
  <c r="N19" i="16"/>
  <c r="O19" i="16"/>
  <c r="O14" i="16"/>
  <c r="N14" i="16"/>
  <c r="M14" i="16"/>
  <c r="L14" i="16"/>
  <c r="K14" i="16"/>
  <c r="J14" i="16"/>
  <c r="I14" i="16"/>
  <c r="H14" i="16"/>
  <c r="G14" i="16"/>
  <c r="F14" i="16"/>
  <c r="E14" i="16"/>
  <c r="D14" i="16"/>
  <c r="C14" i="16"/>
  <c r="A19" i="16"/>
  <c r="A18" i="16"/>
  <c r="A17" i="16"/>
  <c r="A16" i="16"/>
  <c r="A15" i="16"/>
  <c r="A14" i="16"/>
  <c r="C7" i="13" l="1"/>
  <c r="C8" i="13"/>
  <c r="C6" i="13"/>
  <c r="E11" i="2" l="1"/>
  <c r="F11" i="2"/>
  <c r="G11" i="2"/>
  <c r="E13" i="2"/>
  <c r="F13" i="2"/>
  <c r="G13" i="2"/>
  <c r="E12" i="2"/>
  <c r="F12" i="2"/>
  <c r="G12" i="2"/>
  <c r="E34" i="12"/>
  <c r="D40" i="12" s="1"/>
  <c r="M4" i="12" l="1"/>
  <c r="N4" i="12" s="1"/>
  <c r="M5" i="12"/>
  <c r="N5" i="12" s="1"/>
  <c r="M6" i="12" l="1"/>
  <c r="N6" i="12" s="1"/>
  <c r="M7" i="12" l="1"/>
  <c r="N7" i="12" s="1"/>
  <c r="O3" i="12"/>
  <c r="J17" i="12"/>
  <c r="I17" i="12"/>
  <c r="H17" i="12"/>
  <c r="K17" i="12" s="1"/>
  <c r="J16" i="12"/>
  <c r="I16" i="12"/>
  <c r="H16" i="12"/>
  <c r="G13" i="12"/>
  <c r="H13" i="12" s="1"/>
  <c r="G12" i="12"/>
  <c r="H12" i="12" s="1"/>
  <c r="G10" i="12"/>
  <c r="H10" i="12" s="1"/>
  <c r="G9" i="12"/>
  <c r="H9" i="12" s="1"/>
  <c r="G7" i="12"/>
  <c r="H7" i="12" s="1"/>
  <c r="G6" i="12"/>
  <c r="H6" i="12" s="1"/>
  <c r="G4" i="12"/>
  <c r="H4" i="12" s="1"/>
  <c r="G3" i="12"/>
  <c r="H3" i="12" s="1"/>
  <c r="C51" i="12"/>
  <c r="M8" i="12" l="1"/>
  <c r="N8" i="12" s="1"/>
  <c r="O5" i="12"/>
  <c r="O4" i="12"/>
  <c r="K16" i="12"/>
  <c r="C17" i="1"/>
  <c r="D17" i="1"/>
  <c r="M9" i="12" l="1"/>
  <c r="N9" i="12" s="1"/>
  <c r="O6" i="12"/>
  <c r="M10" i="12" l="1"/>
  <c r="N10" i="12" s="1"/>
  <c r="O7" i="12"/>
  <c r="M11" i="12" l="1"/>
  <c r="N11" i="12" s="1"/>
  <c r="O8" i="12"/>
  <c r="M12" i="12" l="1"/>
  <c r="N12" i="12" s="1"/>
  <c r="O9" i="12"/>
  <c r="M13" i="12" l="1"/>
  <c r="N13" i="12" s="1"/>
  <c r="O10" i="12"/>
  <c r="M14" i="12" l="1"/>
  <c r="N14" i="12" s="1"/>
  <c r="O11" i="12"/>
  <c r="G14" i="9"/>
  <c r="J8" i="6" s="1"/>
  <c r="M15" i="12" l="1"/>
  <c r="N15" i="12" s="1"/>
  <c r="O12" i="12"/>
  <c r="F18" i="1"/>
  <c r="M16" i="12" l="1"/>
  <c r="N16" i="12" s="1"/>
  <c r="O13" i="12"/>
  <c r="M17" i="12" l="1"/>
  <c r="N17" i="12" s="1"/>
  <c r="O14" i="12"/>
  <c r="O15" i="12"/>
  <c r="Z15" i="6"/>
  <c r="M18" i="12" l="1"/>
  <c r="N18" i="12" s="1"/>
  <c r="O16" i="12"/>
  <c r="Z20" i="6"/>
  <c r="Z18" i="6"/>
  <c r="M19" i="12" l="1"/>
  <c r="N19" i="12" s="1"/>
  <c r="O17" i="12"/>
  <c r="M20" i="12" l="1"/>
  <c r="N20" i="12" s="1"/>
  <c r="O18" i="12"/>
  <c r="C41" i="8"/>
  <c r="B41" i="8"/>
  <c r="C38" i="8"/>
  <c r="B38" i="8"/>
  <c r="B42" i="8" l="1"/>
  <c r="C42" i="8"/>
  <c r="M21" i="12"/>
  <c r="N21" i="12" s="1"/>
  <c r="O19" i="12"/>
  <c r="AF18" i="6"/>
  <c r="F56" i="8"/>
  <c r="G56" i="8"/>
  <c r="H56" i="8"/>
  <c r="H55" i="8"/>
  <c r="G55" i="8"/>
  <c r="F55" i="8"/>
  <c r="F54" i="8"/>
  <c r="G54" i="8"/>
  <c r="H54" i="8"/>
  <c r="H53" i="8"/>
  <c r="G53" i="8"/>
  <c r="F53" i="8"/>
  <c r="F52" i="8"/>
  <c r="G52" i="8"/>
  <c r="H52" i="8"/>
  <c r="H51" i="8"/>
  <c r="G51" i="8"/>
  <c r="F51" i="8"/>
  <c r="F50" i="8"/>
  <c r="G50" i="8"/>
  <c r="H50" i="8"/>
  <c r="H49" i="8"/>
  <c r="G49" i="8"/>
  <c r="F49" i="8"/>
  <c r="F48" i="8"/>
  <c r="G48" i="8"/>
  <c r="H48" i="8"/>
  <c r="H47" i="8"/>
  <c r="G47" i="8"/>
  <c r="F47" i="8"/>
  <c r="M22" i="12" l="1"/>
  <c r="N22" i="12" s="1"/>
  <c r="O20" i="12"/>
  <c r="I9" i="13"/>
  <c r="I14" i="2" s="1"/>
  <c r="Q9" i="13"/>
  <c r="N14" i="2" l="1"/>
  <c r="O14" i="2"/>
  <c r="M23" i="12"/>
  <c r="N23" i="12" s="1"/>
  <c r="O21" i="12"/>
  <c r="L18" i="1"/>
  <c r="H18" i="1"/>
  <c r="O12" i="13"/>
  <c r="M24" i="12" l="1"/>
  <c r="N24" i="12" s="1"/>
  <c r="O22" i="12"/>
  <c r="Q13" i="13"/>
  <c r="M25" i="12" l="1"/>
  <c r="N25" i="12" s="1"/>
  <c r="O23" i="12"/>
  <c r="O24" i="2"/>
  <c r="N24" i="2"/>
  <c r="M24" i="2"/>
  <c r="L24" i="2"/>
  <c r="K24" i="2"/>
  <c r="J24" i="2"/>
  <c r="I24" i="2"/>
  <c r="H24" i="2"/>
  <c r="G24" i="2"/>
  <c r="F24" i="2"/>
  <c r="E24" i="2"/>
  <c r="D24" i="2"/>
  <c r="C24" i="2"/>
  <c r="M26" i="12" l="1"/>
  <c r="N26" i="12" s="1"/>
  <c r="O24" i="12"/>
  <c r="AF5" i="6"/>
  <c r="D30" i="8"/>
  <c r="D28" i="8"/>
  <c r="C26" i="8"/>
  <c r="C24" i="8"/>
  <c r="C22" i="8"/>
  <c r="C20" i="8"/>
  <c r="C18" i="8"/>
  <c r="C19" i="8"/>
  <c r="C16" i="8"/>
  <c r="B30" i="8"/>
  <c r="B28" i="8"/>
  <c r="B26" i="8"/>
  <c r="B24" i="8"/>
  <c r="B22" i="8"/>
  <c r="B20" i="8"/>
  <c r="B18" i="8"/>
  <c r="B16" i="8"/>
  <c r="C15" i="8"/>
  <c r="D29" i="8"/>
  <c r="D31" i="8"/>
  <c r="M27" i="12" l="1"/>
  <c r="N27" i="12" s="1"/>
  <c r="O25" i="12"/>
  <c r="AG5" i="6"/>
  <c r="AH5" i="6" s="1"/>
  <c r="AI5" i="6" s="1"/>
  <c r="D27" i="8"/>
  <c r="C25" i="8"/>
  <c r="C23" i="8"/>
  <c r="C21" i="8"/>
  <c r="C17" i="8"/>
  <c r="B31" i="8"/>
  <c r="B29" i="8"/>
  <c r="B27" i="8"/>
  <c r="B25" i="8"/>
  <c r="B23" i="8"/>
  <c r="B21" i="8"/>
  <c r="B19" i="8"/>
  <c r="B15" i="8"/>
  <c r="B17" i="8"/>
  <c r="M28" i="12" l="1"/>
  <c r="N28" i="12" s="1"/>
  <c r="O26" i="12"/>
  <c r="AJ5" i="6"/>
  <c r="AK5" i="6" s="1"/>
  <c r="AL5" i="6" s="1"/>
  <c r="C9" i="13"/>
  <c r="C7" i="14"/>
  <c r="K15" i="14"/>
  <c r="C30" i="14"/>
  <c r="K14" i="14"/>
  <c r="K12" i="14"/>
  <c r="C29" i="14" s="1"/>
  <c r="K12" i="13" s="1"/>
  <c r="K11" i="14"/>
  <c r="C23" i="14" s="1"/>
  <c r="I12" i="13" s="1"/>
  <c r="K10" i="14"/>
  <c r="C17" i="14" s="1"/>
  <c r="K13" i="14"/>
  <c r="C41" i="14" s="1"/>
  <c r="C27" i="14" l="1"/>
  <c r="F14" i="2"/>
  <c r="G14" i="2"/>
  <c r="E14" i="2"/>
  <c r="C24" i="14"/>
  <c r="C36" i="14"/>
  <c r="C15" i="14"/>
  <c r="G12" i="13" s="1"/>
  <c r="C18" i="14"/>
  <c r="C21" i="14"/>
  <c r="Q12" i="13"/>
  <c r="C49" i="12"/>
  <c r="C56" i="12" s="1"/>
  <c r="C57" i="12" s="1"/>
  <c r="E12" i="13"/>
  <c r="K13" i="13"/>
  <c r="C11" i="14"/>
  <c r="M29" i="12"/>
  <c r="N29" i="12" s="1"/>
  <c r="O27" i="12"/>
  <c r="G13" i="13" l="1"/>
  <c r="D18" i="1"/>
  <c r="C18" i="1"/>
  <c r="M30" i="12"/>
  <c r="N30" i="12" s="1"/>
  <c r="O28" i="12"/>
  <c r="M31" i="12" l="1"/>
  <c r="N31" i="12" s="1"/>
  <c r="O29" i="12"/>
  <c r="AM5" i="6"/>
  <c r="AA18" i="6"/>
  <c r="AG18" i="6" s="1"/>
  <c r="M32" i="12" l="1"/>
  <c r="N32" i="12" s="1"/>
  <c r="O30" i="12"/>
  <c r="I14" i="9"/>
  <c r="J9" i="6" s="1"/>
  <c r="M33" i="12" l="1"/>
  <c r="N33" i="12" s="1"/>
  <c r="O31" i="12"/>
  <c r="M34" i="12" l="1"/>
  <c r="N34" i="12" s="1"/>
  <c r="O32" i="12"/>
  <c r="G16" i="9"/>
  <c r="L8" i="6" s="1"/>
  <c r="I16" i="9"/>
  <c r="L9" i="6" s="1"/>
  <c r="K16" i="9"/>
  <c r="L10" i="6" s="1"/>
  <c r="M35" i="12" l="1"/>
  <c r="N35" i="12" s="1"/>
  <c r="O33" i="12"/>
  <c r="Y18" i="6"/>
  <c r="AH18" i="6"/>
  <c r="AM18" i="6" l="1"/>
  <c r="M36" i="12"/>
  <c r="N36" i="12" s="1"/>
  <c r="O34" i="12"/>
  <c r="AD18" i="6"/>
  <c r="AE18" i="6" s="1"/>
  <c r="AK18" i="6" s="1"/>
  <c r="AB18" i="6"/>
  <c r="AC18" i="6" s="1"/>
  <c r="M37" i="12" l="1"/>
  <c r="N37" i="12" s="1"/>
  <c r="O35" i="12"/>
  <c r="AI18" i="6"/>
  <c r="D20" i="1" s="1"/>
  <c r="G38" i="2" l="1"/>
  <c r="M38" i="12"/>
  <c r="N38" i="12" s="1"/>
  <c r="O36" i="12"/>
  <c r="BN18" i="6"/>
  <c r="M39" i="12" l="1"/>
  <c r="N39" i="12" s="1"/>
  <c r="O37" i="12"/>
  <c r="C16" i="9"/>
  <c r="L7" i="6" s="1"/>
  <c r="M40" i="12" l="1"/>
  <c r="N40" i="12" s="1"/>
  <c r="O38" i="12"/>
  <c r="A52" i="2"/>
  <c r="A53" i="2" s="1"/>
  <c r="A54" i="2" s="1"/>
  <c r="A55" i="2" s="1"/>
  <c r="A56" i="2" s="1"/>
  <c r="A57" i="2" s="1"/>
  <c r="A58" i="2" s="1"/>
  <c r="A59" i="2" s="1"/>
  <c r="M41" i="12" l="1"/>
  <c r="N41" i="12" s="1"/>
  <c r="O39" i="12"/>
  <c r="G52" i="12"/>
  <c r="M42" i="12" l="1"/>
  <c r="N42" i="12" s="1"/>
  <c r="O40" i="12"/>
  <c r="L26" i="1"/>
  <c r="J26" i="1"/>
  <c r="H26" i="1"/>
  <c r="G26" i="1"/>
  <c r="F26" i="1"/>
  <c r="E26" i="1"/>
  <c r="D26" i="1"/>
  <c r="C26" i="1"/>
  <c r="AP13" i="6"/>
  <c r="G57" i="12"/>
  <c r="BK18" i="6" l="1"/>
  <c r="AP18" i="6"/>
  <c r="BA18" i="6" s="1"/>
  <c r="AO18" i="6"/>
  <c r="AZ18" i="6" s="1"/>
  <c r="BM18" i="6"/>
  <c r="M43" i="12"/>
  <c r="N43" i="12" s="1"/>
  <c r="O41" i="12"/>
  <c r="AQ13" i="6"/>
  <c r="AR13" i="6" s="1"/>
  <c r="AR18" i="6" s="1"/>
  <c r="M19" i="2"/>
  <c r="L19" i="2"/>
  <c r="J19" i="2"/>
  <c r="I19" i="2"/>
  <c r="H19" i="2"/>
  <c r="G19" i="2"/>
  <c r="F19" i="2"/>
  <c r="E19" i="2"/>
  <c r="D19" i="2"/>
  <c r="C19" i="2"/>
  <c r="D18" i="2"/>
  <c r="D43" i="2" s="1"/>
  <c r="C18" i="2"/>
  <c r="I26" i="1"/>
  <c r="E18" i="1"/>
  <c r="G18" i="1"/>
  <c r="AQ18" i="6" l="1"/>
  <c r="BB18" i="6" s="1"/>
  <c r="C43" i="2"/>
  <c r="G24" i="1"/>
  <c r="BR18" i="6"/>
  <c r="BS18" i="6"/>
  <c r="BP18" i="6"/>
  <c r="D39" i="2"/>
  <c r="D65" i="2" s="1"/>
  <c r="C39" i="2"/>
  <c r="C65" i="2" s="1"/>
  <c r="E17" i="1"/>
  <c r="K18" i="1"/>
  <c r="M44" i="12"/>
  <c r="N44" i="12" s="1"/>
  <c r="O42" i="12"/>
  <c r="J17" i="1"/>
  <c r="I17" i="1"/>
  <c r="J18" i="1"/>
  <c r="I18" i="1"/>
  <c r="L17" i="1"/>
  <c r="H17" i="1"/>
  <c r="G17" i="1"/>
  <c r="F17" i="1"/>
  <c r="BC18" i="6"/>
  <c r="AS13" i="6"/>
  <c r="AS18" i="6" s="1"/>
  <c r="K26" i="1"/>
  <c r="M45" i="12" l="1"/>
  <c r="N45" i="12" s="1"/>
  <c r="O43" i="12"/>
  <c r="AT13" i="6"/>
  <c r="AT18" i="6" s="1"/>
  <c r="C43" i="14"/>
  <c r="D30" i="2"/>
  <c r="D37" i="2" s="1"/>
  <c r="D63" i="2" s="1"/>
  <c r="F30" i="2"/>
  <c r="F37" i="2" s="1"/>
  <c r="G30" i="2"/>
  <c r="G37" i="2" s="1"/>
  <c r="M46" i="12" l="1"/>
  <c r="N46" i="12" s="1"/>
  <c r="O44" i="12"/>
  <c r="BD18" i="6"/>
  <c r="BE18" i="6"/>
  <c r="AU13" i="6"/>
  <c r="AU18" i="6" s="1"/>
  <c r="E30" i="2"/>
  <c r="E37" i="2" s="1"/>
  <c r="C30" i="2"/>
  <c r="C37" i="2" s="1"/>
  <c r="C63" i="2" s="1"/>
  <c r="M47" i="12" l="1"/>
  <c r="N47" i="12" s="1"/>
  <c r="O45" i="12"/>
  <c r="BF18" i="6"/>
  <c r="AV13" i="6"/>
  <c r="AV18" i="6" s="1"/>
  <c r="K20" i="2"/>
  <c r="M48" i="12" l="1"/>
  <c r="N48" i="12" s="1"/>
  <c r="O46" i="12"/>
  <c r="BG18" i="6"/>
  <c r="AW13" i="6"/>
  <c r="AW18" i="6" s="1"/>
  <c r="E29" i="2"/>
  <c r="E36" i="2" s="1"/>
  <c r="F29" i="2"/>
  <c r="F36" i="2" s="1"/>
  <c r="G29" i="2"/>
  <c r="G36" i="2" s="1"/>
  <c r="G28" i="2"/>
  <c r="F28" i="2"/>
  <c r="E28" i="2"/>
  <c r="C49" i="14"/>
  <c r="K23" i="2"/>
  <c r="J23" i="2"/>
  <c r="F19" i="1" s="1"/>
  <c r="I23" i="2"/>
  <c r="H23" i="2"/>
  <c r="E19" i="1" s="1"/>
  <c r="J19" i="1" l="1"/>
  <c r="I19" i="1"/>
  <c r="L19" i="1"/>
  <c r="H19" i="1"/>
  <c r="M49" i="12"/>
  <c r="N49" i="12" s="1"/>
  <c r="O47" i="12"/>
  <c r="BH18" i="6"/>
  <c r="H30" i="2"/>
  <c r="N23" i="2"/>
  <c r="N30" i="2" s="1"/>
  <c r="O23" i="2"/>
  <c r="O30" i="2" s="1"/>
  <c r="I30" i="2"/>
  <c r="G18" i="2"/>
  <c r="G43" i="2" s="1"/>
  <c r="F18" i="2"/>
  <c r="F43" i="2" s="1"/>
  <c r="E18" i="2"/>
  <c r="J30" i="2"/>
  <c r="K30" i="2"/>
  <c r="K37" i="2" s="1"/>
  <c r="E43" i="2" l="1"/>
  <c r="C24" i="1"/>
  <c r="D24" i="1"/>
  <c r="G39" i="2"/>
  <c r="G65" i="2" s="1"/>
  <c r="E39" i="2"/>
  <c r="E65" i="2" s="1"/>
  <c r="F39" i="2"/>
  <c r="F65" i="2" s="1"/>
  <c r="M50" i="12"/>
  <c r="N50" i="12" s="1"/>
  <c r="O48" i="12"/>
  <c r="F63" i="2"/>
  <c r="G63" i="2"/>
  <c r="E63" i="2"/>
  <c r="K19" i="2"/>
  <c r="H20" i="2"/>
  <c r="I20" i="2"/>
  <c r="M51" i="12" l="1"/>
  <c r="N51" i="12" s="1"/>
  <c r="O49" i="12"/>
  <c r="I37" i="2"/>
  <c r="H37" i="2"/>
  <c r="M52" i="12" l="1"/>
  <c r="N52" i="12" s="1"/>
  <c r="O50" i="12"/>
  <c r="C39" i="14"/>
  <c r="M20" i="2"/>
  <c r="L20" i="2"/>
  <c r="C48" i="14"/>
  <c r="J20" i="2"/>
  <c r="N45" i="2"/>
  <c r="L45" i="2"/>
  <c r="K29" i="2"/>
  <c r="K36" i="2" s="1"/>
  <c r="H29" i="2"/>
  <c r="H36" i="2" s="1"/>
  <c r="D29" i="2"/>
  <c r="D36" i="2" s="1"/>
  <c r="C29" i="2"/>
  <c r="C36" i="2" s="1"/>
  <c r="C47" i="14"/>
  <c r="O7" i="13"/>
  <c r="K18" i="2"/>
  <c r="J18" i="2"/>
  <c r="I18" i="2"/>
  <c r="H18" i="2"/>
  <c r="K43" i="2" l="1"/>
  <c r="I24" i="1"/>
  <c r="J24" i="1"/>
  <c r="H43" i="2"/>
  <c r="E24" i="1"/>
  <c r="I43" i="2"/>
  <c r="H24" i="1"/>
  <c r="L24" i="1"/>
  <c r="M12" i="2"/>
  <c r="M28" i="2" s="1"/>
  <c r="L12" i="2"/>
  <c r="J43" i="2"/>
  <c r="F24" i="1"/>
  <c r="K39" i="2"/>
  <c r="K65" i="2" s="1"/>
  <c r="I39" i="2"/>
  <c r="I65" i="2" s="1"/>
  <c r="H39" i="2"/>
  <c r="H65" i="2" s="1"/>
  <c r="M53" i="12"/>
  <c r="N53" i="12" s="1"/>
  <c r="O51" i="12"/>
  <c r="J39" i="2"/>
  <c r="J65" i="2" s="1"/>
  <c r="O28" i="2"/>
  <c r="N28" i="2"/>
  <c r="H63" i="2"/>
  <c r="I63" i="2"/>
  <c r="N19" i="2"/>
  <c r="O19" i="2"/>
  <c r="K63" i="2"/>
  <c r="J37" i="2"/>
  <c r="J63" i="2" s="1"/>
  <c r="M18" i="2"/>
  <c r="L18" i="2"/>
  <c r="L43" i="2" s="1"/>
  <c r="C46" i="14"/>
  <c r="O20" i="2"/>
  <c r="N20" i="2"/>
  <c r="C28" i="2"/>
  <c r="D28" i="2"/>
  <c r="H28" i="2"/>
  <c r="I28" i="2"/>
  <c r="D62" i="2"/>
  <c r="H62" i="2"/>
  <c r="J28" i="2"/>
  <c r="M45" i="2"/>
  <c r="O45" i="2"/>
  <c r="F62" i="2"/>
  <c r="E62" i="2"/>
  <c r="K62" i="2"/>
  <c r="K28" i="2"/>
  <c r="G62" i="2"/>
  <c r="AF17" i="6"/>
  <c r="Z17" i="6"/>
  <c r="M43" i="2" l="1"/>
  <c r="K24" i="1"/>
  <c r="M39" i="2"/>
  <c r="M65" i="2" s="1"/>
  <c r="L39" i="2"/>
  <c r="L65" i="2" s="1"/>
  <c r="M54" i="12"/>
  <c r="N54" i="12" s="1"/>
  <c r="O52" i="12"/>
  <c r="N37" i="2"/>
  <c r="O37" i="2"/>
  <c r="L28" i="2"/>
  <c r="K17" i="1"/>
  <c r="AA17" i="6"/>
  <c r="AG17" i="6" s="1"/>
  <c r="Y17" i="6"/>
  <c r="AD17" i="6" s="1"/>
  <c r="AE17" i="6" s="1"/>
  <c r="AK17" i="6" s="1"/>
  <c r="AH17" i="6"/>
  <c r="AM17" i="6" s="1"/>
  <c r="O18" i="2"/>
  <c r="O43" i="2" s="1"/>
  <c r="N18" i="2"/>
  <c r="N43" i="2" s="1"/>
  <c r="J29" i="2"/>
  <c r="I29" i="2"/>
  <c r="AF16" i="6"/>
  <c r="N39" i="2" l="1"/>
  <c r="N65" i="2" s="1"/>
  <c r="O39" i="2"/>
  <c r="O65" i="2" s="1"/>
  <c r="M55" i="12"/>
  <c r="N55" i="12" s="1"/>
  <c r="O53" i="12"/>
  <c r="BL17" i="6"/>
  <c r="BK17" i="6"/>
  <c r="AB17" i="6"/>
  <c r="AC17" i="6" s="1"/>
  <c r="AH15" i="6"/>
  <c r="N63" i="2"/>
  <c r="O63" i="2"/>
  <c r="J36" i="2"/>
  <c r="J62" i="2" s="1"/>
  <c r="I36" i="2"/>
  <c r="I62" i="2" s="1"/>
  <c r="G44" i="2"/>
  <c r="Z19" i="6"/>
  <c r="M56" i="12" l="1"/>
  <c r="N56" i="12" s="1"/>
  <c r="O54" i="12"/>
  <c r="AI17" i="6"/>
  <c r="AA15" i="6"/>
  <c r="AG15" i="6" s="1"/>
  <c r="AA19" i="6"/>
  <c r="G46" i="2"/>
  <c r="G47" i="2" s="1"/>
  <c r="AH19" i="6"/>
  <c r="AM19" i="6" s="1"/>
  <c r="C20" i="1" l="1"/>
  <c r="AW17" i="6"/>
  <c r="BH17" i="6" s="1"/>
  <c r="AS17" i="6"/>
  <c r="BD17" i="6" s="1"/>
  <c r="AQ17" i="6"/>
  <c r="BB17" i="6" s="1"/>
  <c r="AT17" i="6"/>
  <c r="BE17" i="6" s="1"/>
  <c r="AP17" i="6"/>
  <c r="BA17" i="6" s="1"/>
  <c r="AU17" i="6"/>
  <c r="BF17" i="6" s="1"/>
  <c r="AR17" i="6"/>
  <c r="BC17" i="6" s="1"/>
  <c r="F38" i="2"/>
  <c r="AO17" i="6"/>
  <c r="AZ17" i="6" s="1"/>
  <c r="AV17" i="6"/>
  <c r="BG17" i="6" s="1"/>
  <c r="BN17" i="6"/>
  <c r="M57" i="12"/>
  <c r="N57" i="12" s="1"/>
  <c r="O55" i="12"/>
  <c r="BM17" i="6"/>
  <c r="G64" i="2"/>
  <c r="Z16" i="6"/>
  <c r="M58" i="12" l="1"/>
  <c r="N58" i="12" s="1"/>
  <c r="O56" i="12"/>
  <c r="BP17" i="6"/>
  <c r="BS17" i="6"/>
  <c r="BR17" i="6"/>
  <c r="BQ17" i="6"/>
  <c r="AA16" i="6"/>
  <c r="AG16" i="6" s="1"/>
  <c r="AH16" i="6"/>
  <c r="I80" i="12"/>
  <c r="H80" i="12"/>
  <c r="G80" i="12"/>
  <c r="F80" i="12"/>
  <c r="I79" i="12"/>
  <c r="H79" i="12"/>
  <c r="G79" i="12"/>
  <c r="F79" i="12"/>
  <c r="E79" i="12"/>
  <c r="D79" i="12"/>
  <c r="C79" i="12"/>
  <c r="B79" i="12"/>
  <c r="I78" i="12"/>
  <c r="H78" i="12"/>
  <c r="G78" i="12"/>
  <c r="F78" i="12"/>
  <c r="E78" i="12"/>
  <c r="E81" i="12" s="1"/>
  <c r="D78" i="12"/>
  <c r="C78" i="12"/>
  <c r="B78" i="12"/>
  <c r="C81" i="12" l="1"/>
  <c r="B81" i="12"/>
  <c r="M59" i="12"/>
  <c r="N59" i="12" s="1"/>
  <c r="F81" i="12"/>
  <c r="I81" i="12"/>
  <c r="O57" i="12"/>
  <c r="D81" i="12"/>
  <c r="G81" i="12"/>
  <c r="H81" i="12"/>
  <c r="M60" i="12" l="1"/>
  <c r="N60" i="12" s="1"/>
  <c r="O58" i="12"/>
  <c r="L29" i="2"/>
  <c r="M61" i="12" l="1"/>
  <c r="N61" i="12" s="1"/>
  <c r="O59" i="12"/>
  <c r="L36" i="2"/>
  <c r="L62" i="2" s="1"/>
  <c r="L35" i="2"/>
  <c r="N35" i="2"/>
  <c r="M62" i="12" l="1"/>
  <c r="N62" i="12" s="1"/>
  <c r="O60" i="12"/>
  <c r="N61" i="2"/>
  <c r="L61" i="2"/>
  <c r="BY6" i="6"/>
  <c r="BX6" i="6"/>
  <c r="C8" i="9"/>
  <c r="D7" i="6" s="1"/>
  <c r="R7" i="6"/>
  <c r="M63" i="12" l="1"/>
  <c r="N63" i="12" s="1"/>
  <c r="O61" i="12"/>
  <c r="M29" i="2"/>
  <c r="M36" i="2" s="1"/>
  <c r="M64" i="12" l="1"/>
  <c r="N64" i="12" s="1"/>
  <c r="O62" i="12"/>
  <c r="M62" i="2"/>
  <c r="M65" i="12" l="1"/>
  <c r="N65" i="12" s="1"/>
  <c r="O63" i="12"/>
  <c r="M66" i="12" l="1"/>
  <c r="N66" i="12" s="1"/>
  <c r="O64" i="12"/>
  <c r="O29" i="2"/>
  <c r="O35" i="2"/>
  <c r="M67" i="12" l="1"/>
  <c r="N67" i="12" s="1"/>
  <c r="O65" i="12"/>
  <c r="O61" i="2"/>
  <c r="O36" i="2"/>
  <c r="O62" i="2" s="1"/>
  <c r="N29" i="2"/>
  <c r="AF20" i="6"/>
  <c r="BH13" i="6"/>
  <c r="BG13" i="6"/>
  <c r="BF13" i="6"/>
  <c r="M68" i="12" l="1"/>
  <c r="N68" i="12" s="1"/>
  <c r="O66" i="12"/>
  <c r="AA20" i="6"/>
  <c r="Y20" i="6"/>
  <c r="AD20" i="6" s="1"/>
  <c r="AE20" i="6" s="1"/>
  <c r="AK20" i="6" s="1"/>
  <c r="N36" i="2"/>
  <c r="M69" i="12" l="1"/>
  <c r="N69" i="12" s="1"/>
  <c r="O67" i="12"/>
  <c r="N62" i="2"/>
  <c r="AH20" i="6"/>
  <c r="AM20" i="6" s="1"/>
  <c r="AG20" i="6"/>
  <c r="BK20" i="6" s="1"/>
  <c r="AB20" i="6"/>
  <c r="AC20" i="6" s="1"/>
  <c r="AI20" i="6" s="1"/>
  <c r="E20" i="1" l="1"/>
  <c r="H38" i="2"/>
  <c r="AT20" i="6"/>
  <c r="AP20" i="6"/>
  <c r="AS20" i="6"/>
  <c r="AV20" i="6"/>
  <c r="AU20" i="6"/>
  <c r="AW20" i="6"/>
  <c r="AO20" i="6"/>
  <c r="AR20" i="6"/>
  <c r="AQ20" i="6"/>
  <c r="M70" i="12"/>
  <c r="N70" i="12" s="1"/>
  <c r="O68" i="12"/>
  <c r="BN20" i="6"/>
  <c r="BM20" i="6"/>
  <c r="H44" i="2"/>
  <c r="E25" i="1"/>
  <c r="E27" i="1" s="1"/>
  <c r="C70" i="12"/>
  <c r="C63" i="12" s="1"/>
  <c r="C72" i="12" s="1"/>
  <c r="M71" i="12" l="1"/>
  <c r="N71" i="12" s="1"/>
  <c r="O69" i="12"/>
  <c r="H46" i="2"/>
  <c r="H47" i="2" s="1"/>
  <c r="BS20" i="6"/>
  <c r="BC20" i="6"/>
  <c r="BG20" i="6"/>
  <c r="BF20" i="6"/>
  <c r="BH20" i="6"/>
  <c r="BB20" i="6"/>
  <c r="BA20" i="6"/>
  <c r="BE20" i="6"/>
  <c r="M72" i="12" l="1"/>
  <c r="N72" i="12" s="1"/>
  <c r="O70" i="12"/>
  <c r="BP20" i="6"/>
  <c r="BR20" i="6"/>
  <c r="H64" i="2"/>
  <c r="E21" i="1"/>
  <c r="AZ20" i="6"/>
  <c r="BD20" i="6"/>
  <c r="K35" i="2"/>
  <c r="M73" i="12" l="1"/>
  <c r="N73" i="12" s="1"/>
  <c r="O71" i="12"/>
  <c r="E29" i="1"/>
  <c r="E30" i="1" s="1"/>
  <c r="E22" i="1"/>
  <c r="K61" i="2"/>
  <c r="J35" i="2"/>
  <c r="M74" i="12" l="1"/>
  <c r="N74" i="12" s="1"/>
  <c r="O72" i="12"/>
  <c r="J61" i="2"/>
  <c r="H35" i="2"/>
  <c r="M75" i="12" l="1"/>
  <c r="N75" i="12" s="1"/>
  <c r="O73" i="12"/>
  <c r="H53" i="2"/>
  <c r="H57" i="2"/>
  <c r="H51" i="2"/>
  <c r="H59" i="2"/>
  <c r="H56" i="2"/>
  <c r="H54" i="2"/>
  <c r="H58" i="2"/>
  <c r="H55" i="2"/>
  <c r="H52" i="2"/>
  <c r="H40" i="2"/>
  <c r="H61" i="2"/>
  <c r="E35" i="2"/>
  <c r="C35" i="2"/>
  <c r="D35" i="2"/>
  <c r="I35" i="2"/>
  <c r="F35" i="2"/>
  <c r="M76" i="12" l="1"/>
  <c r="N76" i="12" s="1"/>
  <c r="O74" i="12"/>
  <c r="F61" i="2"/>
  <c r="F55" i="2"/>
  <c r="F59" i="2"/>
  <c r="F53" i="2"/>
  <c r="F51" i="2"/>
  <c r="F52" i="2"/>
  <c r="F56" i="2"/>
  <c r="F57" i="2"/>
  <c r="F54" i="2"/>
  <c r="F58" i="2"/>
  <c r="F40" i="2"/>
  <c r="E61" i="2"/>
  <c r="I61" i="2"/>
  <c r="D61" i="2"/>
  <c r="C61" i="2"/>
  <c r="M35" i="2"/>
  <c r="G35" i="2"/>
  <c r="BE13" i="6"/>
  <c r="BD13" i="6"/>
  <c r="BC13" i="6"/>
  <c r="BB13" i="6"/>
  <c r="BA13" i="6"/>
  <c r="AZ13" i="6"/>
  <c r="M77" i="12" l="1"/>
  <c r="N77" i="12" s="1"/>
  <c r="O75" i="12"/>
  <c r="G54" i="2"/>
  <c r="G58" i="2"/>
  <c r="G51" i="2"/>
  <c r="G52" i="2"/>
  <c r="G55" i="2"/>
  <c r="G59" i="2"/>
  <c r="G56" i="2"/>
  <c r="G53" i="2"/>
  <c r="G57" i="2"/>
  <c r="G40" i="2"/>
  <c r="M61" i="2"/>
  <c r="G61" i="2"/>
  <c r="AM16" i="6"/>
  <c r="AM15" i="6"/>
  <c r="M78" i="12" l="1"/>
  <c r="N78" i="12" s="1"/>
  <c r="O76" i="12"/>
  <c r="Y19" i="6"/>
  <c r="AG19" i="6"/>
  <c r="BK19" i="6" s="1"/>
  <c r="C62" i="2"/>
  <c r="M79" i="12" l="1"/>
  <c r="N79" i="12" s="1"/>
  <c r="O77" i="12"/>
  <c r="AF19" i="6"/>
  <c r="AB19" i="6"/>
  <c r="AD19" i="6"/>
  <c r="AE19" i="6" s="1"/>
  <c r="AK19" i="6" l="1"/>
  <c r="BL19" i="6"/>
  <c r="M80" i="12"/>
  <c r="N80" i="12" s="1"/>
  <c r="O78" i="12"/>
  <c r="AC19" i="6"/>
  <c r="AI19" i="6" s="1"/>
  <c r="D80" i="8"/>
  <c r="B81" i="8"/>
  <c r="AF15" i="6"/>
  <c r="Y16" i="6"/>
  <c r="V48" i="8"/>
  <c r="W48" i="8"/>
  <c r="X48" i="8"/>
  <c r="V49" i="8"/>
  <c r="W49" i="8"/>
  <c r="X49" i="8"/>
  <c r="V50" i="8"/>
  <c r="W50" i="8"/>
  <c r="X50" i="8"/>
  <c r="V51" i="8"/>
  <c r="W51" i="8"/>
  <c r="X51" i="8"/>
  <c r="V52" i="8"/>
  <c r="W52" i="8"/>
  <c r="X52" i="8"/>
  <c r="V53" i="8"/>
  <c r="W53" i="8"/>
  <c r="X53" i="8"/>
  <c r="V54" i="8"/>
  <c r="W54" i="8"/>
  <c r="X54" i="8"/>
  <c r="V55" i="8"/>
  <c r="W55" i="8"/>
  <c r="X55" i="8"/>
  <c r="V56" i="8"/>
  <c r="W56" i="8"/>
  <c r="X56" i="8"/>
  <c r="X47" i="8"/>
  <c r="W47" i="8"/>
  <c r="V47" i="8"/>
  <c r="Y15" i="6"/>
  <c r="J49" i="8"/>
  <c r="N49" i="8" s="1"/>
  <c r="R49" i="8" s="1"/>
  <c r="Z49" i="8" s="1"/>
  <c r="K49" i="8"/>
  <c r="O49" i="8" s="1"/>
  <c r="S49" i="8" s="1"/>
  <c r="L49" i="8"/>
  <c r="P49" i="8" s="1"/>
  <c r="T49" i="8" s="1"/>
  <c r="J50" i="8"/>
  <c r="N50" i="8" s="1"/>
  <c r="R50" i="8" s="1"/>
  <c r="K50" i="8"/>
  <c r="O50" i="8" s="1"/>
  <c r="S50" i="8" s="1"/>
  <c r="L50" i="8"/>
  <c r="P50" i="8" s="1"/>
  <c r="T50" i="8" s="1"/>
  <c r="J51" i="8"/>
  <c r="N51" i="8" s="1"/>
  <c r="R51" i="8" s="1"/>
  <c r="K51" i="8"/>
  <c r="O51" i="8" s="1"/>
  <c r="S51" i="8" s="1"/>
  <c r="AA51" i="8" s="1"/>
  <c r="L51" i="8"/>
  <c r="P51" i="8" s="1"/>
  <c r="T51" i="8" s="1"/>
  <c r="J52" i="8"/>
  <c r="N52" i="8" s="1"/>
  <c r="R52" i="8" s="1"/>
  <c r="K52" i="8"/>
  <c r="O52" i="8" s="1"/>
  <c r="S52" i="8" s="1"/>
  <c r="L52" i="8"/>
  <c r="P52" i="8" s="1"/>
  <c r="T52" i="8" s="1"/>
  <c r="J53" i="8"/>
  <c r="N53" i="8" s="1"/>
  <c r="R53" i="8" s="1"/>
  <c r="K53" i="8"/>
  <c r="O53" i="8" s="1"/>
  <c r="S53" i="8" s="1"/>
  <c r="AA53" i="8" s="1"/>
  <c r="L53" i="8"/>
  <c r="P53" i="8" s="1"/>
  <c r="T53" i="8" s="1"/>
  <c r="J54" i="8"/>
  <c r="N54" i="8" s="1"/>
  <c r="R54" i="8" s="1"/>
  <c r="Z54" i="8" s="1"/>
  <c r="K54" i="8"/>
  <c r="O54" i="8" s="1"/>
  <c r="S54" i="8" s="1"/>
  <c r="L54" i="8"/>
  <c r="P54" i="8" s="1"/>
  <c r="T54" i="8" s="1"/>
  <c r="AB54" i="8" s="1"/>
  <c r="J55" i="8"/>
  <c r="N55" i="8" s="1"/>
  <c r="R55" i="8" s="1"/>
  <c r="K55" i="8"/>
  <c r="O55" i="8" s="1"/>
  <c r="S55" i="8" s="1"/>
  <c r="L55" i="8"/>
  <c r="P55" i="8" s="1"/>
  <c r="T55" i="8" s="1"/>
  <c r="AB55" i="8" s="1"/>
  <c r="J56" i="8"/>
  <c r="N56" i="8" s="1"/>
  <c r="R56" i="8" s="1"/>
  <c r="K56" i="8"/>
  <c r="O56" i="8" s="1"/>
  <c r="S56" i="8" s="1"/>
  <c r="L56" i="8"/>
  <c r="P56" i="8" s="1"/>
  <c r="T56" i="8" s="1"/>
  <c r="AB56" i="8" s="1"/>
  <c r="L48" i="8"/>
  <c r="P48" i="8" s="1"/>
  <c r="T48" i="8" s="1"/>
  <c r="L47" i="8"/>
  <c r="P47" i="8" s="1"/>
  <c r="T47" i="8" s="1"/>
  <c r="K48" i="8"/>
  <c r="O48" i="8" s="1"/>
  <c r="S48" i="8" s="1"/>
  <c r="AA48" i="8" s="1"/>
  <c r="K47" i="8"/>
  <c r="O47" i="8" s="1"/>
  <c r="S47" i="8" s="1"/>
  <c r="J48" i="8"/>
  <c r="N48" i="8" s="1"/>
  <c r="R48" i="8" s="1"/>
  <c r="Z48" i="8" s="1"/>
  <c r="J47" i="8"/>
  <c r="N47" i="8" s="1"/>
  <c r="R47" i="8" s="1"/>
  <c r="AA56" i="8" l="1"/>
  <c r="AB53" i="8"/>
  <c r="Z51" i="8"/>
  <c r="Z55" i="8"/>
  <c r="AA52" i="8"/>
  <c r="AB49" i="8"/>
  <c r="AA55" i="8"/>
  <c r="AB52" i="8"/>
  <c r="Z50" i="8"/>
  <c r="AQ19" i="6"/>
  <c r="BB19" i="6" s="1"/>
  <c r="AU19" i="6"/>
  <c r="BF19" i="6" s="1"/>
  <c r="AO19" i="6"/>
  <c r="AZ19" i="6" s="1"/>
  <c r="AR19" i="6"/>
  <c r="AV19" i="6"/>
  <c r="BG19" i="6" s="1"/>
  <c r="AS19" i="6"/>
  <c r="AW19" i="6"/>
  <c r="BH19" i="6" s="1"/>
  <c r="AP19" i="6"/>
  <c r="BA19" i="6" s="1"/>
  <c r="AT19" i="6"/>
  <c r="BE19" i="6" s="1"/>
  <c r="M81" i="12"/>
  <c r="N81" i="12" s="1"/>
  <c r="O79" i="12"/>
  <c r="BM19" i="6"/>
  <c r="BN19" i="6"/>
  <c r="Z47" i="8"/>
  <c r="AB48" i="8"/>
  <c r="AA47" i="8"/>
  <c r="Z56" i="8"/>
  <c r="Z52" i="8"/>
  <c r="AB50" i="8"/>
  <c r="AA49" i="8"/>
  <c r="AB47" i="8"/>
  <c r="AA54" i="8"/>
  <c r="Z53" i="8"/>
  <c r="AB51" i="8"/>
  <c r="AA50" i="8"/>
  <c r="AD16" i="6"/>
  <c r="AE16" i="6" s="1"/>
  <c r="AK16" i="6" s="1"/>
  <c r="U2" i="7"/>
  <c r="V6" i="7" s="1"/>
  <c r="AA13" i="7" l="1"/>
  <c r="AA8" i="7"/>
  <c r="Z16" i="7"/>
  <c r="T13" i="7"/>
  <c r="Y10" i="7"/>
  <c r="X8" i="7"/>
  <c r="W17" i="7"/>
  <c r="V11" i="7"/>
  <c r="V5" i="7"/>
  <c r="S15" i="7"/>
  <c r="W5" i="7"/>
  <c r="Y16" i="7"/>
  <c r="AA14" i="7"/>
  <c r="S13" i="7"/>
  <c r="W10" i="7"/>
  <c r="S8" i="7"/>
  <c r="Y15" i="7"/>
  <c r="U5" i="7"/>
  <c r="W12" i="7"/>
  <c r="AA16" i="7"/>
  <c r="U11" i="7"/>
  <c r="Y8" i="7"/>
  <c r="X16" i="7"/>
  <c r="V10" i="7"/>
  <c r="S16" i="7"/>
  <c r="U14" i="7"/>
  <c r="U12" i="7"/>
  <c r="Z9" i="7"/>
  <c r="T7" i="7"/>
  <c r="V13" i="7"/>
  <c r="X5" i="7"/>
  <c r="Z14" i="7"/>
  <c r="Z17" i="7"/>
  <c r="Y17" i="7"/>
  <c r="AA15" i="7"/>
  <c r="T14" i="7"/>
  <c r="T12" i="7"/>
  <c r="X9" i="7"/>
  <c r="Z6" i="7"/>
  <c r="T15" i="7"/>
  <c r="Y7" i="7"/>
  <c r="X17" i="7"/>
  <c r="Z15" i="7"/>
  <c r="S14" i="7"/>
  <c r="X11" i="7"/>
  <c r="W9" i="7"/>
  <c r="U6" i="7"/>
  <c r="U13" i="7"/>
  <c r="V12" i="7"/>
  <c r="W11" i="7"/>
  <c r="X10" i="7"/>
  <c r="Y9" i="7"/>
  <c r="Z8" i="7"/>
  <c r="AA7" i="7"/>
  <c r="S7" i="7"/>
  <c r="T6" i="7"/>
  <c r="Z7" i="7"/>
  <c r="AA6" i="7"/>
  <c r="S6" i="7"/>
  <c r="Y5" i="7"/>
  <c r="V17" i="7"/>
  <c r="W16" i="7"/>
  <c r="X15" i="7"/>
  <c r="Y14" i="7"/>
  <c r="Z13" i="7"/>
  <c r="AA12" i="7"/>
  <c r="S12" i="7"/>
  <c r="T11" i="7"/>
  <c r="U10" i="7"/>
  <c r="V9" i="7"/>
  <c r="W8" i="7"/>
  <c r="X7" i="7"/>
  <c r="Y6" i="7"/>
  <c r="Z5" i="7"/>
  <c r="U17" i="7"/>
  <c r="V16" i="7"/>
  <c r="W15" i="7"/>
  <c r="X14" i="7"/>
  <c r="Y13" i="7"/>
  <c r="Z12" i="7"/>
  <c r="AA11" i="7"/>
  <c r="S11" i="7"/>
  <c r="T10" i="7"/>
  <c r="U9" i="7"/>
  <c r="V8" i="7"/>
  <c r="W7" i="7"/>
  <c r="X6" i="7"/>
  <c r="S5" i="7"/>
  <c r="T17" i="7"/>
  <c r="V15" i="7"/>
  <c r="W14" i="7"/>
  <c r="X13" i="7"/>
  <c r="Y12" i="7"/>
  <c r="Z11" i="7"/>
  <c r="AA10" i="7"/>
  <c r="S10" i="7"/>
  <c r="T9" i="7"/>
  <c r="U8" i="7"/>
  <c r="V7" i="7"/>
  <c r="W6" i="7"/>
  <c r="AA5" i="7"/>
  <c r="U16" i="7"/>
  <c r="T5" i="7"/>
  <c r="AA17" i="7"/>
  <c r="S17" i="7"/>
  <c r="T16" i="7"/>
  <c r="U15" i="7"/>
  <c r="V14" i="7"/>
  <c r="W13" i="7"/>
  <c r="X12" i="7"/>
  <c r="Y11" i="7"/>
  <c r="Z10" i="7"/>
  <c r="AA9" i="7"/>
  <c r="S9" i="7"/>
  <c r="T8" i="7"/>
  <c r="U7" i="7"/>
  <c r="BK16" i="6"/>
  <c r="M82" i="12"/>
  <c r="N82" i="12" s="1"/>
  <c r="O80" i="12"/>
  <c r="AB16" i="6"/>
  <c r="AC16" i="6" s="1"/>
  <c r="BD19" i="6"/>
  <c r="BC19" i="6"/>
  <c r="H31" i="2"/>
  <c r="BP19" i="6"/>
  <c r="BS19" i="6"/>
  <c r="BR19" i="6"/>
  <c r="BQ19" i="6"/>
  <c r="BK15" i="6"/>
  <c r="AO5" i="6"/>
  <c r="AP5" i="6" s="1"/>
  <c r="AQ5" i="6" s="1"/>
  <c r="AR5" i="6" s="1"/>
  <c r="AS5" i="6" s="1"/>
  <c r="AT5" i="6" s="1"/>
  <c r="AU5" i="6" s="1"/>
  <c r="M83" i="12" l="1"/>
  <c r="N83" i="12" s="1"/>
  <c r="O81" i="12"/>
  <c r="AI16" i="6"/>
  <c r="AT16" i="6" s="1"/>
  <c r="AV5" i="6"/>
  <c r="BF5" i="6"/>
  <c r="F44" i="2"/>
  <c r="D25" i="1"/>
  <c r="D27" i="1" s="1"/>
  <c r="BB5" i="6"/>
  <c r="BC5" i="6"/>
  <c r="BD5" i="6"/>
  <c r="BA5" i="6"/>
  <c r="BE5" i="6"/>
  <c r="AZ5" i="6"/>
  <c r="H32" i="2"/>
  <c r="H33" i="2" s="1"/>
  <c r="V10" i="6"/>
  <c r="V9" i="6"/>
  <c r="Z10" i="6"/>
  <c r="Z9" i="6"/>
  <c r="V8" i="6"/>
  <c r="Z8" i="6"/>
  <c r="AR16" i="6" l="1"/>
  <c r="AQ16" i="6"/>
  <c r="AO16" i="6"/>
  <c r="AW16" i="6"/>
  <c r="BH16" i="6" s="1"/>
  <c r="AP16" i="6"/>
  <c r="BA16" i="6" s="1"/>
  <c r="AV16" i="6"/>
  <c r="BG16" i="6" s="1"/>
  <c r="AS16" i="6"/>
  <c r="AU16" i="6"/>
  <c r="BF16" i="6" s="1"/>
  <c r="M84" i="12"/>
  <c r="N84" i="12" s="1"/>
  <c r="O82" i="12"/>
  <c r="BK8" i="6"/>
  <c r="BK10" i="6"/>
  <c r="BN16" i="6"/>
  <c r="BM16" i="6"/>
  <c r="Y8" i="6"/>
  <c r="Y10" i="6"/>
  <c r="BK9" i="6"/>
  <c r="AW5" i="6"/>
  <c r="BH5" i="6" s="1"/>
  <c r="BG5" i="6"/>
  <c r="Y9" i="6"/>
  <c r="F46" i="2"/>
  <c r="F47" i="2" s="1"/>
  <c r="H41" i="2"/>
  <c r="U10" i="6"/>
  <c r="U8" i="6"/>
  <c r="U9" i="6"/>
  <c r="V7" i="6"/>
  <c r="Z7" i="6"/>
  <c r="N102" i="7"/>
  <c r="P100" i="7"/>
  <c r="P99" i="7"/>
  <c r="P98" i="7"/>
  <c r="P97" i="7"/>
  <c r="P96" i="7"/>
  <c r="P95" i="7"/>
  <c r="P94" i="7"/>
  <c r="P92" i="7"/>
  <c r="P91" i="7"/>
  <c r="P90" i="7"/>
  <c r="P89" i="7"/>
  <c r="P88" i="7"/>
  <c r="P87" i="7"/>
  <c r="P86" i="7"/>
  <c r="K11" i="9"/>
  <c r="BM10" i="6" s="1"/>
  <c r="I11" i="9"/>
  <c r="BM9" i="6" s="1"/>
  <c r="G11" i="9"/>
  <c r="X8" i="6" s="1"/>
  <c r="C11" i="9"/>
  <c r="C44" i="2" l="1"/>
  <c r="BL9" i="6"/>
  <c r="M85" i="12"/>
  <c r="N85" i="12" s="1"/>
  <c r="O83" i="12"/>
  <c r="AB9" i="6"/>
  <c r="BR16" i="6"/>
  <c r="BS16" i="6"/>
  <c r="BP16" i="6"/>
  <c r="AF8" i="6"/>
  <c r="AH8" i="6"/>
  <c r="AJ8" i="6"/>
  <c r="AK8" i="6"/>
  <c r="AL8" i="6"/>
  <c r="AM8" i="6"/>
  <c r="AB8" i="6"/>
  <c r="BL8" i="6"/>
  <c r="BM8" i="6"/>
  <c r="AB10" i="6"/>
  <c r="BL10" i="6"/>
  <c r="Y7" i="6"/>
  <c r="BK7" i="6"/>
  <c r="X7" i="6"/>
  <c r="BM7" i="6"/>
  <c r="X10" i="6"/>
  <c r="K19" i="1" s="1"/>
  <c r="D21" i="1"/>
  <c r="BB16" i="6"/>
  <c r="X9" i="6"/>
  <c r="AG8" i="6"/>
  <c r="AE8" i="6"/>
  <c r="AI8" i="6"/>
  <c r="BV7" i="6"/>
  <c r="BY7" i="6" s="1"/>
  <c r="BU7" i="6"/>
  <c r="BX7" i="6" s="1"/>
  <c r="BD16" i="6"/>
  <c r="AZ16" i="6"/>
  <c r="BE16" i="6"/>
  <c r="BC16" i="6"/>
  <c r="U7" i="6"/>
  <c r="P102" i="7"/>
  <c r="W7" i="6"/>
  <c r="BN7" i="6" s="1"/>
  <c r="L30" i="2" l="1"/>
  <c r="L37" i="2" s="1"/>
  <c r="L63" i="2" s="1"/>
  <c r="AI10" i="6"/>
  <c r="AE10" i="6"/>
  <c r="AI7" i="6"/>
  <c r="AB7" i="6"/>
  <c r="AG10" i="6"/>
  <c r="M86" i="12"/>
  <c r="N86" i="12" s="1"/>
  <c r="O84" i="12"/>
  <c r="D29" i="1"/>
  <c r="D30" i="1" s="1"/>
  <c r="D22" i="1"/>
  <c r="AE7" i="6"/>
  <c r="AF9" i="6"/>
  <c r="AH9" i="6"/>
  <c r="AJ9" i="6"/>
  <c r="AK9" i="6"/>
  <c r="AL9" i="6"/>
  <c r="AM9" i="6"/>
  <c r="BL7" i="6"/>
  <c r="BS7" i="6" s="1"/>
  <c r="AG7" i="6"/>
  <c r="AF7" i="6"/>
  <c r="AH7" i="6"/>
  <c r="AJ7" i="6"/>
  <c r="AK7" i="6"/>
  <c r="AL7" i="6"/>
  <c r="AM7" i="6"/>
  <c r="AF10" i="6"/>
  <c r="AH10" i="6"/>
  <c r="AJ10" i="6"/>
  <c r="AK10" i="6"/>
  <c r="AL10" i="6"/>
  <c r="AM10" i="6"/>
  <c r="M30" i="2"/>
  <c r="M37" i="2" s="1"/>
  <c r="AE9" i="6"/>
  <c r="AI9" i="6"/>
  <c r="AG9" i="6"/>
  <c r="C46" i="2"/>
  <c r="C47" i="2" s="1"/>
  <c r="AC7" i="6"/>
  <c r="F64" i="2"/>
  <c r="F31" i="2"/>
  <c r="C10" i="8"/>
  <c r="C9" i="8"/>
  <c r="C8" i="8"/>
  <c r="C7" i="8"/>
  <c r="C6" i="8"/>
  <c r="C5" i="8"/>
  <c r="R10" i="6"/>
  <c r="K25" i="1" s="1"/>
  <c r="R9" i="6"/>
  <c r="R8" i="6"/>
  <c r="AW7" i="6" l="1"/>
  <c r="BH7" i="6" s="1"/>
  <c r="M87" i="12"/>
  <c r="N87" i="12" s="1"/>
  <c r="O85" i="12"/>
  <c r="M63" i="2"/>
  <c r="BR7" i="6"/>
  <c r="BP7" i="6"/>
  <c r="BQ7" i="6"/>
  <c r="G25" i="1"/>
  <c r="G27" i="1" s="1"/>
  <c r="D44" i="2"/>
  <c r="J25" i="1"/>
  <c r="J27" i="1" s="1"/>
  <c r="J44" i="2"/>
  <c r="K44" i="2"/>
  <c r="I44" i="2"/>
  <c r="L25" i="1"/>
  <c r="L27" i="1" s="1"/>
  <c r="I25" i="1"/>
  <c r="I27" i="1" s="1"/>
  <c r="H25" i="1"/>
  <c r="H27" i="1" s="1"/>
  <c r="F25" i="1"/>
  <c r="F27" i="1" s="1"/>
  <c r="K27" i="1"/>
  <c r="M44" i="2"/>
  <c r="L44" i="2"/>
  <c r="O44" i="2"/>
  <c r="N44" i="2"/>
  <c r="AS7" i="6"/>
  <c r="AO7" i="6"/>
  <c r="AV7" i="6"/>
  <c r="AT7" i="6"/>
  <c r="AQ7" i="6"/>
  <c r="AP7" i="6"/>
  <c r="AR7" i="6"/>
  <c r="AU7" i="6"/>
  <c r="F32" i="2"/>
  <c r="F33" i="2" s="1"/>
  <c r="BV8" i="6"/>
  <c r="BY8" i="6" s="1"/>
  <c r="BU8" i="6"/>
  <c r="BX8" i="6" s="1"/>
  <c r="BV10" i="6"/>
  <c r="BY10" i="6" s="1"/>
  <c r="BU10" i="6"/>
  <c r="BX10" i="6" s="1"/>
  <c r="BV9" i="6"/>
  <c r="BY9" i="6" s="1"/>
  <c r="BU9" i="6"/>
  <c r="BX9" i="6" s="1"/>
  <c r="AB15" i="6"/>
  <c r="AC15" i="6" s="1"/>
  <c r="AI15" i="6" s="1"/>
  <c r="AD15" i="6"/>
  <c r="AE15" i="6" s="1"/>
  <c r="BL15" i="6" l="1"/>
  <c r="AK15" i="6"/>
  <c r="C52" i="2"/>
  <c r="C56" i="2"/>
  <c r="C55" i="2"/>
  <c r="C51" i="2"/>
  <c r="C53" i="2"/>
  <c r="C57" i="2"/>
  <c r="C54" i="2"/>
  <c r="C58" i="2"/>
  <c r="C59" i="2"/>
  <c r="M88" i="12"/>
  <c r="N88" i="12" s="1"/>
  <c r="O86" i="12"/>
  <c r="BG7" i="6"/>
  <c r="BC7" i="6"/>
  <c r="BA7" i="6"/>
  <c r="BB7" i="6"/>
  <c r="BD7" i="6"/>
  <c r="BF7" i="6"/>
  <c r="BE7" i="6"/>
  <c r="M46" i="2"/>
  <c r="M47" i="2" s="1"/>
  <c r="I46" i="2"/>
  <c r="I47" i="2" s="1"/>
  <c r="D46" i="2"/>
  <c r="D47" i="2" s="1"/>
  <c r="J46" i="2"/>
  <c r="J47" i="2" s="1"/>
  <c r="N46" i="2"/>
  <c r="N47" i="2" s="1"/>
  <c r="O46" i="2"/>
  <c r="O47" i="2" s="1"/>
  <c r="L46" i="2"/>
  <c r="L47" i="2" s="1"/>
  <c r="K46" i="2"/>
  <c r="K47" i="2" s="1"/>
  <c r="C38" i="2"/>
  <c r="C40" i="2" s="1"/>
  <c r="AZ7" i="6"/>
  <c r="F41" i="2"/>
  <c r="W10" i="6"/>
  <c r="W9" i="6"/>
  <c r="R26" i="7"/>
  <c r="R25" i="7"/>
  <c r="R24" i="7"/>
  <c r="R23" i="7"/>
  <c r="R22" i="7"/>
  <c r="R21" i="7"/>
  <c r="R20" i="7"/>
  <c r="R19" i="7"/>
  <c r="J4" i="7"/>
  <c r="I4" i="7"/>
  <c r="H4" i="7"/>
  <c r="G4" i="7"/>
  <c r="F4" i="7"/>
  <c r="E4" i="7"/>
  <c r="D4" i="7"/>
  <c r="C4" i="7"/>
  <c r="B4" i="7"/>
  <c r="J5" i="7"/>
  <c r="I5" i="7"/>
  <c r="H5" i="7"/>
  <c r="G5" i="7"/>
  <c r="F5" i="7"/>
  <c r="E5" i="7"/>
  <c r="D5" i="7"/>
  <c r="C5" i="7"/>
  <c r="B5" i="7"/>
  <c r="AQ15" i="6" l="1"/>
  <c r="AU15" i="6"/>
  <c r="AO15" i="6"/>
  <c r="AW15" i="6"/>
  <c r="AP15" i="6"/>
  <c r="AR15" i="6"/>
  <c r="AV15" i="6"/>
  <c r="AS15" i="6"/>
  <c r="AT15" i="6"/>
  <c r="E38" i="2"/>
  <c r="E40" i="2" s="1"/>
  <c r="E58" i="2"/>
  <c r="E54" i="2"/>
  <c r="E55" i="2"/>
  <c r="E52" i="2"/>
  <c r="E51" i="2"/>
  <c r="E56" i="2"/>
  <c r="E59" i="2"/>
  <c r="E53" i="2"/>
  <c r="E57" i="2"/>
  <c r="M89" i="12"/>
  <c r="N89" i="12" s="1"/>
  <c r="O87" i="12"/>
  <c r="BN10" i="6"/>
  <c r="AC10" i="6"/>
  <c r="BN9" i="6"/>
  <c r="AC9" i="6"/>
  <c r="C31" i="2"/>
  <c r="C32" i="2" s="1"/>
  <c r="C33" i="2" s="1"/>
  <c r="C64" i="2"/>
  <c r="C41" i="2"/>
  <c r="BM15" i="6"/>
  <c r="X25" i="7"/>
  <c r="Z23" i="7"/>
  <c r="S22" i="7"/>
  <c r="AA26" i="7"/>
  <c r="T25" i="7"/>
  <c r="V23" i="7"/>
  <c r="X21" i="7"/>
  <c r="S26" i="7"/>
  <c r="U24" i="7"/>
  <c r="W22" i="7"/>
  <c r="W26" i="7"/>
  <c r="Y24" i="7"/>
  <c r="AA22" i="7"/>
  <c r="V26" i="7"/>
  <c r="W25" i="7"/>
  <c r="X24" i="7"/>
  <c r="U23" i="7"/>
  <c r="V22" i="7"/>
  <c r="W21" i="7"/>
  <c r="X20" i="7"/>
  <c r="Y19" i="7"/>
  <c r="Y26" i="7"/>
  <c r="U26" i="7"/>
  <c r="Z25" i="7"/>
  <c r="V25" i="7"/>
  <c r="AA24" i="7"/>
  <c r="W24" i="7"/>
  <c r="S24" i="7"/>
  <c r="X23" i="7"/>
  <c r="T23" i="7"/>
  <c r="Y22" i="7"/>
  <c r="U22" i="7"/>
  <c r="Z21" i="7"/>
  <c r="V21" i="7"/>
  <c r="AA20" i="7"/>
  <c r="W20" i="7"/>
  <c r="S20" i="7"/>
  <c r="X19" i="7"/>
  <c r="T19" i="7"/>
  <c r="T21" i="7"/>
  <c r="Y20" i="7"/>
  <c r="U20" i="7"/>
  <c r="Z19" i="7"/>
  <c r="V19" i="7"/>
  <c r="Z26" i="7"/>
  <c r="AA25" i="7"/>
  <c r="S25" i="7"/>
  <c r="T24" i="7"/>
  <c r="Y23" i="7"/>
  <c r="Z22" i="7"/>
  <c r="AA21" i="7"/>
  <c r="S21" i="7"/>
  <c r="T20" i="7"/>
  <c r="U19" i="7"/>
  <c r="X26" i="7"/>
  <c r="T26" i="7"/>
  <c r="Y25" i="7"/>
  <c r="U25" i="7"/>
  <c r="Z24" i="7"/>
  <c r="V24" i="7"/>
  <c r="AA23" i="7"/>
  <c r="W23" i="7"/>
  <c r="S23" i="7"/>
  <c r="X22" i="7"/>
  <c r="T22" i="7"/>
  <c r="Y21" i="7"/>
  <c r="U21" i="7"/>
  <c r="Z20" i="7"/>
  <c r="V20" i="7"/>
  <c r="AA19" i="7"/>
  <c r="W19" i="7"/>
  <c r="S19" i="7"/>
  <c r="W8" i="6"/>
  <c r="M90" i="12" l="1"/>
  <c r="N90" i="12" s="1"/>
  <c r="O88" i="12"/>
  <c r="BN15" i="6"/>
  <c r="BS10" i="6"/>
  <c r="BQ10" i="6"/>
  <c r="BR10" i="6"/>
  <c r="BP10" i="6"/>
  <c r="BS9" i="6"/>
  <c r="BR9" i="6"/>
  <c r="BP9" i="6"/>
  <c r="BQ9" i="6"/>
  <c r="E44" i="2"/>
  <c r="C25" i="1"/>
  <c r="C27" i="1" s="1"/>
  <c r="AS10" i="6"/>
  <c r="AQ10" i="6"/>
  <c r="AW10" i="6"/>
  <c r="AP10" i="6"/>
  <c r="AU10" i="6"/>
  <c r="AT10" i="6"/>
  <c r="AR10" i="6"/>
  <c r="AO10" i="6"/>
  <c r="AV10" i="6"/>
  <c r="AV9" i="6"/>
  <c r="AO9" i="6"/>
  <c r="AS9" i="6"/>
  <c r="AR9" i="6"/>
  <c r="AW9" i="6"/>
  <c r="AT9" i="6"/>
  <c r="AQ9" i="6"/>
  <c r="AU9" i="6"/>
  <c r="AP9" i="6"/>
  <c r="BN8" i="6"/>
  <c r="AC8" i="6"/>
  <c r="G31" i="2"/>
  <c r="Y18" i="7"/>
  <c r="W18" i="7"/>
  <c r="U18" i="7"/>
  <c r="I20" i="1" l="1"/>
  <c r="I21" i="1" s="1"/>
  <c r="J20" i="1"/>
  <c r="J21" i="1" s="1"/>
  <c r="L20" i="1"/>
  <c r="L21" i="1" s="1"/>
  <c r="H20" i="1"/>
  <c r="H21" i="1" s="1"/>
  <c r="K20" i="1"/>
  <c r="K21" i="1" s="1"/>
  <c r="F20" i="1"/>
  <c r="F21" i="1" s="1"/>
  <c r="L53" i="2"/>
  <c r="L59" i="2"/>
  <c r="L51" i="2"/>
  <c r="L52" i="2"/>
  <c r="L56" i="2"/>
  <c r="L57" i="2"/>
  <c r="L54" i="2"/>
  <c r="L58" i="2"/>
  <c r="L55" i="2"/>
  <c r="O56" i="2"/>
  <c r="O58" i="2"/>
  <c r="O57" i="2"/>
  <c r="O55" i="2"/>
  <c r="O59" i="2"/>
  <c r="O53" i="2"/>
  <c r="O51" i="2"/>
  <c r="O52" i="2"/>
  <c r="O54" i="2"/>
  <c r="N57" i="2"/>
  <c r="N56" i="2"/>
  <c r="N55" i="2"/>
  <c r="N59" i="2"/>
  <c r="N52" i="2"/>
  <c r="N51" i="2"/>
  <c r="N54" i="2"/>
  <c r="N53" i="2"/>
  <c r="N58" i="2"/>
  <c r="K56" i="2"/>
  <c r="K52" i="2"/>
  <c r="K53" i="2"/>
  <c r="K51" i="2"/>
  <c r="K55" i="2"/>
  <c r="K54" i="2"/>
  <c r="K58" i="2"/>
  <c r="K57" i="2"/>
  <c r="K59" i="2"/>
  <c r="J59" i="2"/>
  <c r="J51" i="2"/>
  <c r="J57" i="2"/>
  <c r="J52" i="2"/>
  <c r="J56" i="2"/>
  <c r="J53" i="2"/>
  <c r="J54" i="2"/>
  <c r="J55" i="2"/>
  <c r="J58" i="2"/>
  <c r="I57" i="2"/>
  <c r="I59" i="2"/>
  <c r="I54" i="2"/>
  <c r="I52" i="2"/>
  <c r="I53" i="2"/>
  <c r="I56" i="2"/>
  <c r="I58" i="2"/>
  <c r="I51" i="2"/>
  <c r="I55" i="2"/>
  <c r="M51" i="2"/>
  <c r="M58" i="2"/>
  <c r="M52" i="2"/>
  <c r="M55" i="2"/>
  <c r="M59" i="2"/>
  <c r="M56" i="2"/>
  <c r="M53" i="2"/>
  <c r="M54" i="2"/>
  <c r="M57" i="2"/>
  <c r="M91" i="12"/>
  <c r="N91" i="12" s="1"/>
  <c r="O89" i="12"/>
  <c r="BS8" i="6"/>
  <c r="BP8" i="6"/>
  <c r="BR8" i="6"/>
  <c r="BQ8" i="6"/>
  <c r="BA10" i="6"/>
  <c r="BC10" i="6"/>
  <c r="BH10" i="6"/>
  <c r="BE10" i="6"/>
  <c r="BB10" i="6"/>
  <c r="AZ10" i="6"/>
  <c r="BG10" i="6"/>
  <c r="BF10" i="6"/>
  <c r="BD10" i="6"/>
  <c r="BB9" i="6"/>
  <c r="BD9" i="6"/>
  <c r="BE9" i="6"/>
  <c r="AZ9" i="6"/>
  <c r="BA9" i="6"/>
  <c r="BH9" i="6"/>
  <c r="BG9" i="6"/>
  <c r="BF9" i="6"/>
  <c r="BC9" i="6"/>
  <c r="E46" i="2"/>
  <c r="E47" i="2" s="1"/>
  <c r="BB15" i="6"/>
  <c r="BA15" i="6"/>
  <c r="BG15" i="6"/>
  <c r="BF15" i="6"/>
  <c r="BH15" i="6"/>
  <c r="O38" i="2"/>
  <c r="L38" i="2"/>
  <c r="N38" i="2"/>
  <c r="N40" i="2" s="1"/>
  <c r="M38" i="2"/>
  <c r="M40" i="2" s="1"/>
  <c r="K38" i="2"/>
  <c r="J38" i="2"/>
  <c r="J40" i="2" s="1"/>
  <c r="I38" i="2"/>
  <c r="I40" i="2" s="1"/>
  <c r="AV8" i="6"/>
  <c r="AP8" i="6"/>
  <c r="AO8" i="6"/>
  <c r="AT8" i="6"/>
  <c r="AS8" i="6"/>
  <c r="AQ8" i="6"/>
  <c r="AR8" i="6"/>
  <c r="AW8" i="6"/>
  <c r="AU8" i="6"/>
  <c r="G32" i="2"/>
  <c r="G33" i="2" s="1"/>
  <c r="G20" i="1" l="1"/>
  <c r="G21" i="1" s="1"/>
  <c r="D53" i="2"/>
  <c r="D55" i="2"/>
  <c r="D57" i="2"/>
  <c r="D54" i="2"/>
  <c r="D56" i="2"/>
  <c r="D58" i="2"/>
  <c r="D59" i="2"/>
  <c r="D52" i="2"/>
  <c r="D51" i="2"/>
  <c r="M92" i="12"/>
  <c r="N92" i="12" s="1"/>
  <c r="O90" i="12"/>
  <c r="F29" i="1"/>
  <c r="F30" i="1" s="1"/>
  <c r="F22" i="1"/>
  <c r="J29" i="1"/>
  <c r="J30" i="1" s="1"/>
  <c r="J22" i="1"/>
  <c r="H29" i="1"/>
  <c r="H30" i="1" s="1"/>
  <c r="H22" i="1"/>
  <c r="L29" i="1"/>
  <c r="L30" i="1" s="1"/>
  <c r="L22" i="1"/>
  <c r="I29" i="1"/>
  <c r="I30" i="1" s="1"/>
  <c r="I22" i="1"/>
  <c r="K22" i="1"/>
  <c r="K29" i="1"/>
  <c r="K30" i="1" s="1"/>
  <c r="O31" i="2"/>
  <c r="O32" i="2" s="1"/>
  <c r="O33" i="2" s="1"/>
  <c r="O40" i="2"/>
  <c r="K64" i="2"/>
  <c r="K40" i="2"/>
  <c r="K41" i="2" s="1"/>
  <c r="L64" i="2"/>
  <c r="L40" i="2"/>
  <c r="L41" i="2" s="1"/>
  <c r="BH8" i="6"/>
  <c r="BE8" i="6"/>
  <c r="BC8" i="6"/>
  <c r="BB8" i="6"/>
  <c r="BA8" i="6"/>
  <c r="BF8" i="6"/>
  <c r="BD8" i="6"/>
  <c r="BG8" i="6"/>
  <c r="C21" i="1"/>
  <c r="M31" i="2"/>
  <c r="M32" i="2" s="1"/>
  <c r="M33" i="2" s="1"/>
  <c r="M64" i="2"/>
  <c r="O64" i="2"/>
  <c r="L31" i="2"/>
  <c r="L32" i="2" s="1"/>
  <c r="L33" i="2" s="1"/>
  <c r="K31" i="2"/>
  <c r="K32" i="2" s="1"/>
  <c r="K33" i="2" s="1"/>
  <c r="J64" i="2"/>
  <c r="J31" i="2"/>
  <c r="J32" i="2" s="1"/>
  <c r="J33" i="2" s="1"/>
  <c r="I31" i="2"/>
  <c r="I32" i="2" s="1"/>
  <c r="I33" i="2" s="1"/>
  <c r="N31" i="2"/>
  <c r="N32" i="2" s="1"/>
  <c r="N33" i="2" s="1"/>
  <c r="N64" i="2"/>
  <c r="I64" i="2"/>
  <c r="D38" i="2"/>
  <c r="D40" i="2" s="1"/>
  <c r="AZ8" i="6"/>
  <c r="M41" i="2"/>
  <c r="N41" i="2"/>
  <c r="J41" i="2"/>
  <c r="I41" i="2"/>
  <c r="BE15" i="6"/>
  <c r="BD15" i="6"/>
  <c r="AZ15" i="6"/>
  <c r="G41" i="2"/>
  <c r="BC15" i="6"/>
  <c r="BP15" i="6"/>
  <c r="BQ15" i="6"/>
  <c r="BS15" i="6"/>
  <c r="BR15" i="6"/>
  <c r="M93" i="12" l="1"/>
  <c r="N93" i="12" s="1"/>
  <c r="O91" i="12"/>
  <c r="G29" i="1"/>
  <c r="G30" i="1" s="1"/>
  <c r="G22" i="1"/>
  <c r="C29" i="1"/>
  <c r="C30" i="1" s="1"/>
  <c r="C22" i="1"/>
  <c r="D31" i="2"/>
  <c r="D32" i="2" s="1"/>
  <c r="D33" i="2" s="1"/>
  <c r="D64" i="2"/>
  <c r="E64" i="2"/>
  <c r="D41" i="2"/>
  <c r="O41" i="2"/>
  <c r="E31" i="2"/>
  <c r="E32" i="2" s="1"/>
  <c r="E33" i="2" s="1"/>
  <c r="M94" i="12" l="1"/>
  <c r="N94" i="12" s="1"/>
  <c r="O92" i="12"/>
  <c r="E41" i="2"/>
  <c r="M95" i="12" l="1"/>
  <c r="N95" i="12" s="1"/>
  <c r="O93" i="12"/>
  <c r="M96" i="12" l="1"/>
  <c r="N96" i="12" s="1"/>
  <c r="O94" i="12"/>
  <c r="M97" i="12" l="1"/>
  <c r="N97" i="12" s="1"/>
  <c r="O95" i="12"/>
  <c r="M98" i="12" l="1"/>
  <c r="N98" i="12" s="1"/>
  <c r="O96" i="12"/>
  <c r="M99" i="12" l="1"/>
  <c r="N99" i="12" s="1"/>
  <c r="O97" i="12"/>
  <c r="M100" i="12" l="1"/>
  <c r="N100" i="12" s="1"/>
  <c r="O98" i="12"/>
  <c r="M101" i="12" l="1"/>
  <c r="N101" i="12" s="1"/>
  <c r="O99" i="12"/>
  <c r="M102" i="12" l="1"/>
  <c r="N102" i="12" s="1"/>
  <c r="O100" i="12"/>
  <c r="M103" i="12" l="1"/>
  <c r="N103" i="12" s="1"/>
  <c r="O101" i="12"/>
  <c r="M104" i="12" l="1"/>
  <c r="N104" i="12" s="1"/>
  <c r="O102" i="12"/>
  <c r="M105" i="12" l="1"/>
  <c r="N105" i="12" s="1"/>
  <c r="O103" i="12"/>
  <c r="M106" i="12" l="1"/>
  <c r="N106" i="12" s="1"/>
  <c r="O104" i="12"/>
  <c r="M107" i="12" l="1"/>
  <c r="N107" i="12" s="1"/>
  <c r="O105" i="12"/>
  <c r="M108" i="12" l="1"/>
  <c r="N108" i="12" s="1"/>
  <c r="O106" i="12"/>
  <c r="M109" i="12" l="1"/>
  <c r="N109" i="12" s="1"/>
  <c r="O107" i="12"/>
  <c r="M110" i="12" l="1"/>
  <c r="N110" i="12" s="1"/>
  <c r="O108" i="12"/>
  <c r="M111" i="12" l="1"/>
  <c r="N111" i="12" s="1"/>
  <c r="O109" i="12"/>
  <c r="M112" i="12" l="1"/>
  <c r="N112" i="12" s="1"/>
  <c r="O110" i="12"/>
  <c r="M113" i="12" l="1"/>
  <c r="N113" i="12" s="1"/>
  <c r="O111" i="12"/>
  <c r="M114" i="12" l="1"/>
  <c r="N114" i="12" s="1"/>
  <c r="O112" i="12"/>
  <c r="M115" i="12" l="1"/>
  <c r="N115" i="12" s="1"/>
  <c r="O113" i="12"/>
  <c r="M116" i="12" l="1"/>
  <c r="N116" i="12" s="1"/>
  <c r="O114" i="12"/>
  <c r="M117" i="12" l="1"/>
  <c r="N117" i="12" s="1"/>
  <c r="O115" i="12"/>
  <c r="M118" i="12" l="1"/>
  <c r="N118" i="12" s="1"/>
  <c r="O116" i="12"/>
  <c r="M119" i="12" l="1"/>
  <c r="N119" i="12" s="1"/>
  <c r="O117" i="12"/>
  <c r="M120" i="12" l="1"/>
  <c r="N120" i="12" s="1"/>
  <c r="O118" i="12"/>
  <c r="M121" i="12" l="1"/>
  <c r="N121" i="12" s="1"/>
  <c r="O119" i="12"/>
  <c r="M122" i="12" l="1"/>
  <c r="N122" i="12" s="1"/>
  <c r="O120" i="12"/>
  <c r="M123" i="12" l="1"/>
  <c r="N123" i="12" s="1"/>
  <c r="O121" i="12"/>
  <c r="M124" i="12" l="1"/>
  <c r="N124" i="12" s="1"/>
  <c r="O122" i="12"/>
  <c r="M125" i="12" l="1"/>
  <c r="N125" i="12" s="1"/>
  <c r="O123" i="12"/>
  <c r="M126" i="12" l="1"/>
  <c r="N126" i="12" s="1"/>
  <c r="O124" i="12"/>
  <c r="M127" i="12" l="1"/>
  <c r="N127" i="12" s="1"/>
  <c r="O125" i="12"/>
  <c r="M128" i="12" l="1"/>
  <c r="N128" i="12" s="1"/>
  <c r="O126" i="12"/>
  <c r="M129" i="12" l="1"/>
  <c r="N129" i="12" s="1"/>
  <c r="O127" i="12"/>
  <c r="M130" i="12" l="1"/>
  <c r="N130" i="12" s="1"/>
  <c r="O128" i="12"/>
  <c r="M131" i="12" l="1"/>
  <c r="N131" i="12" s="1"/>
  <c r="O129" i="12"/>
  <c r="M132" i="12" l="1"/>
  <c r="N132" i="12" s="1"/>
  <c r="O130" i="12"/>
  <c r="M133" i="12" l="1"/>
  <c r="N133" i="12" s="1"/>
  <c r="O131" i="12"/>
  <c r="M134" i="12" l="1"/>
  <c r="N134" i="12" s="1"/>
  <c r="O132" i="12"/>
  <c r="M135" i="12" l="1"/>
  <c r="N135" i="12" s="1"/>
  <c r="O133" i="12"/>
  <c r="M136" i="12" l="1"/>
  <c r="N136" i="12" s="1"/>
  <c r="O134" i="12"/>
  <c r="M137" i="12" l="1"/>
  <c r="N137" i="12" s="1"/>
  <c r="O135" i="12"/>
  <c r="M138" i="12" l="1"/>
  <c r="N138" i="12" s="1"/>
  <c r="O136" i="12"/>
  <c r="M139" i="12" l="1"/>
  <c r="N139" i="12" s="1"/>
  <c r="O137" i="12"/>
  <c r="M140" i="12" l="1"/>
  <c r="N140" i="12" s="1"/>
  <c r="O138" i="12"/>
  <c r="M141" i="12" l="1"/>
  <c r="N141" i="12" s="1"/>
  <c r="O139" i="12"/>
  <c r="M142" i="12" l="1"/>
  <c r="N142" i="12" s="1"/>
  <c r="O140" i="12"/>
  <c r="M143" i="12" l="1"/>
  <c r="N143" i="12" s="1"/>
  <c r="O141" i="12"/>
  <c r="M144" i="12" l="1"/>
  <c r="N144" i="12" s="1"/>
  <c r="O142" i="12"/>
  <c r="M145" i="12" l="1"/>
  <c r="N145" i="12" s="1"/>
  <c r="O143" i="12"/>
  <c r="M146" i="12" l="1"/>
  <c r="N146" i="12" s="1"/>
  <c r="O144" i="12"/>
  <c r="M147" i="12" l="1"/>
  <c r="N147" i="12" s="1"/>
  <c r="O145" i="12"/>
  <c r="M148" i="12" l="1"/>
  <c r="N148" i="12" s="1"/>
  <c r="O146" i="12"/>
  <c r="M149" i="12" l="1"/>
  <c r="N149" i="12" s="1"/>
  <c r="O147" i="12"/>
  <c r="M150" i="12" l="1"/>
  <c r="N150" i="12" s="1"/>
  <c r="O148" i="12"/>
  <c r="M151" i="12" l="1"/>
  <c r="N151" i="12" s="1"/>
  <c r="O149" i="12"/>
  <c r="M152" i="12" l="1"/>
  <c r="N152" i="12" s="1"/>
  <c r="O150" i="12"/>
  <c r="M153" i="12" l="1"/>
  <c r="N153" i="12" s="1"/>
  <c r="O151" i="12"/>
  <c r="M154" i="12" l="1"/>
  <c r="N154" i="12" s="1"/>
  <c r="O152" i="12"/>
  <c r="M155" i="12" l="1"/>
  <c r="N155" i="12" s="1"/>
  <c r="O153" i="12"/>
  <c r="M156" i="12" l="1"/>
  <c r="N156" i="12" s="1"/>
  <c r="O154" i="12"/>
  <c r="M157" i="12" l="1"/>
  <c r="N157" i="12" s="1"/>
  <c r="O155" i="12"/>
  <c r="M158" i="12" l="1"/>
  <c r="N158" i="12" s="1"/>
  <c r="O156" i="12"/>
  <c r="M159" i="12" l="1"/>
  <c r="N159" i="12" s="1"/>
  <c r="O157" i="12"/>
  <c r="M160" i="12" l="1"/>
  <c r="N160" i="12" s="1"/>
  <c r="O158" i="12"/>
  <c r="M161" i="12" l="1"/>
  <c r="N161" i="12" s="1"/>
  <c r="O159" i="12"/>
  <c r="M162" i="12" l="1"/>
  <c r="N162" i="12" s="1"/>
  <c r="O160" i="12"/>
  <c r="M163" i="12" l="1"/>
  <c r="N163" i="12" s="1"/>
  <c r="O161" i="12"/>
  <c r="M164" i="12" l="1"/>
  <c r="N164" i="12" s="1"/>
  <c r="O162" i="12"/>
  <c r="M165" i="12" l="1"/>
  <c r="N165" i="12" s="1"/>
  <c r="O163" i="12"/>
  <c r="M166" i="12" l="1"/>
  <c r="N166" i="12" s="1"/>
  <c r="O164" i="12"/>
  <c r="M167" i="12" l="1"/>
  <c r="N167" i="12" s="1"/>
  <c r="O165" i="12"/>
  <c r="M168" i="12" l="1"/>
  <c r="N168" i="12" s="1"/>
  <c r="O166" i="12"/>
  <c r="M169" i="12" l="1"/>
  <c r="N169" i="12" s="1"/>
  <c r="O167" i="12"/>
  <c r="M170" i="12" l="1"/>
  <c r="N170" i="12" s="1"/>
  <c r="O168" i="12"/>
  <c r="M171" i="12" l="1"/>
  <c r="N171" i="12" s="1"/>
  <c r="O169" i="12"/>
  <c r="M172" i="12" l="1"/>
  <c r="N172" i="12" s="1"/>
  <c r="O170" i="12"/>
  <c r="M173" i="12" l="1"/>
  <c r="N173" i="12" s="1"/>
  <c r="O171" i="12"/>
  <c r="M174" i="12" l="1"/>
  <c r="N174" i="12" s="1"/>
  <c r="O172" i="12"/>
  <c r="M175" i="12" l="1"/>
  <c r="N175" i="12" s="1"/>
  <c r="O173" i="12"/>
  <c r="M176" i="12" l="1"/>
  <c r="N176" i="12" s="1"/>
  <c r="O174" i="12"/>
  <c r="M177" i="12" l="1"/>
  <c r="N177" i="12" s="1"/>
  <c r="O175" i="12"/>
  <c r="M178" i="12" l="1"/>
  <c r="N178" i="12" s="1"/>
  <c r="O176" i="12"/>
  <c r="M179" i="12" l="1"/>
  <c r="N179" i="12" s="1"/>
  <c r="O177" i="12"/>
  <c r="M180" i="12" l="1"/>
  <c r="N180" i="12" s="1"/>
  <c r="O178" i="12"/>
  <c r="M181" i="12" l="1"/>
  <c r="N181" i="12" s="1"/>
  <c r="O179" i="12"/>
  <c r="M182" i="12" l="1"/>
  <c r="N182" i="12" s="1"/>
  <c r="O180" i="12"/>
  <c r="M183" i="12" l="1"/>
  <c r="N183" i="12" s="1"/>
  <c r="O181" i="12"/>
  <c r="M184" i="12" l="1"/>
  <c r="N184" i="12" s="1"/>
  <c r="O182" i="12"/>
  <c r="M185" i="12" l="1"/>
  <c r="N185" i="12" s="1"/>
  <c r="O183" i="12"/>
  <c r="M186" i="12" l="1"/>
  <c r="N186" i="12" s="1"/>
  <c r="O184" i="12"/>
  <c r="M187" i="12" l="1"/>
  <c r="N187" i="12" s="1"/>
  <c r="O185" i="12"/>
  <c r="M188" i="12" l="1"/>
  <c r="N188" i="12" s="1"/>
  <c r="O186" i="12"/>
  <c r="M189" i="12" l="1"/>
  <c r="N189" i="12" s="1"/>
  <c r="O187" i="12"/>
  <c r="M190" i="12" l="1"/>
  <c r="N190" i="12" s="1"/>
  <c r="O188" i="12"/>
  <c r="M191" i="12" l="1"/>
  <c r="N191" i="12" s="1"/>
  <c r="O189" i="12"/>
  <c r="M192" i="12" l="1"/>
  <c r="N192" i="12" s="1"/>
  <c r="O190" i="12"/>
  <c r="M193" i="12" l="1"/>
  <c r="N193" i="12" s="1"/>
  <c r="O191" i="12"/>
  <c r="M194" i="12" l="1"/>
  <c r="N194" i="12" s="1"/>
  <c r="O192" i="12"/>
  <c r="M195" i="12" l="1"/>
  <c r="N195" i="12" s="1"/>
  <c r="O193" i="12"/>
  <c r="M196" i="12" l="1"/>
  <c r="N196" i="12" s="1"/>
  <c r="O194" i="12"/>
  <c r="M197" i="12" l="1"/>
  <c r="N197" i="12" s="1"/>
  <c r="O195" i="12"/>
  <c r="M198" i="12" l="1"/>
  <c r="N198" i="12" s="1"/>
  <c r="O196" i="12"/>
  <c r="M199" i="12" l="1"/>
  <c r="N199" i="12" s="1"/>
  <c r="O197" i="12"/>
  <c r="M200" i="12" l="1"/>
  <c r="N200" i="12" s="1"/>
  <c r="O198" i="12"/>
  <c r="M201" i="12" l="1"/>
  <c r="N201" i="12" s="1"/>
  <c r="O199" i="12"/>
  <c r="M202" i="12" l="1"/>
  <c r="N202" i="12" s="1"/>
  <c r="O200" i="12"/>
  <c r="M203" i="12" l="1"/>
  <c r="N203" i="12" s="1"/>
  <c r="O201" i="12"/>
  <c r="M204" i="12" l="1"/>
  <c r="N204" i="12" s="1"/>
  <c r="O202" i="12"/>
  <c r="M205" i="12" l="1"/>
  <c r="N205" i="12" s="1"/>
  <c r="O203" i="12"/>
  <c r="M206" i="12" l="1"/>
  <c r="N206" i="12" s="1"/>
  <c r="O204" i="12"/>
  <c r="M207" i="12" l="1"/>
  <c r="N207" i="12" s="1"/>
  <c r="O205" i="12"/>
  <c r="M208" i="12" l="1"/>
  <c r="N208" i="12" s="1"/>
  <c r="O206" i="12"/>
  <c r="M209" i="12" l="1"/>
  <c r="N209" i="12" s="1"/>
  <c r="O207" i="12"/>
  <c r="M210" i="12" l="1"/>
  <c r="N210" i="12" s="1"/>
  <c r="O208" i="12"/>
  <c r="M211" i="12" l="1"/>
  <c r="N211" i="12" s="1"/>
  <c r="O209" i="12"/>
  <c r="M212" i="12" l="1"/>
  <c r="N212" i="12" s="1"/>
  <c r="O210" i="12"/>
  <c r="M213" i="12" l="1"/>
  <c r="N213" i="12" s="1"/>
  <c r="O211" i="12"/>
  <c r="M214" i="12" l="1"/>
  <c r="N214" i="12" s="1"/>
  <c r="O212" i="12"/>
  <c r="M215" i="12" l="1"/>
  <c r="N215" i="12" s="1"/>
  <c r="O213" i="12"/>
  <c r="M216" i="12" l="1"/>
  <c r="N216" i="12" s="1"/>
  <c r="O214" i="12"/>
  <c r="M217" i="12" l="1"/>
  <c r="N217" i="12" s="1"/>
  <c r="O215" i="12"/>
  <c r="M218" i="12" l="1"/>
  <c r="N218" i="12" s="1"/>
  <c r="O216" i="12"/>
  <c r="M219" i="12" l="1"/>
  <c r="N219" i="12" s="1"/>
  <c r="O217" i="12"/>
  <c r="M220" i="12" l="1"/>
  <c r="N220" i="12" s="1"/>
  <c r="O218" i="12"/>
  <c r="M221" i="12" l="1"/>
  <c r="N221" i="12" s="1"/>
  <c r="O219" i="12"/>
  <c r="M222" i="12" l="1"/>
  <c r="N222" i="12" s="1"/>
  <c r="O220" i="12"/>
  <c r="M223" i="12" l="1"/>
  <c r="N223" i="12" s="1"/>
  <c r="O221" i="12"/>
  <c r="M224" i="12" l="1"/>
  <c r="N224" i="12" s="1"/>
  <c r="O222" i="12"/>
  <c r="M225" i="12" l="1"/>
  <c r="N225" i="12" s="1"/>
  <c r="O223" i="12"/>
  <c r="M226" i="12" l="1"/>
  <c r="N226" i="12" s="1"/>
  <c r="O224" i="12"/>
  <c r="M227" i="12" l="1"/>
  <c r="N227" i="12" s="1"/>
  <c r="O225" i="12"/>
  <c r="M228" i="12" l="1"/>
  <c r="N228" i="12" s="1"/>
  <c r="O226" i="12"/>
  <c r="M229" i="12" l="1"/>
  <c r="N229" i="12" s="1"/>
  <c r="O227" i="12"/>
  <c r="M230" i="12" l="1"/>
  <c r="N230" i="12" s="1"/>
  <c r="O228" i="12"/>
  <c r="M231" i="12" l="1"/>
  <c r="N231" i="12" s="1"/>
  <c r="O229" i="12"/>
  <c r="M232" i="12" l="1"/>
  <c r="N232" i="12" s="1"/>
  <c r="O230" i="12"/>
  <c r="M233" i="12" l="1"/>
  <c r="N233" i="12" s="1"/>
  <c r="O231" i="12"/>
  <c r="M234" i="12" l="1"/>
  <c r="N234" i="12" s="1"/>
  <c r="O232" i="12"/>
  <c r="M235" i="12" l="1"/>
  <c r="N235" i="12" s="1"/>
  <c r="O233" i="12"/>
  <c r="M236" i="12" l="1"/>
  <c r="N236" i="12" s="1"/>
  <c r="O234" i="12"/>
  <c r="M237" i="12" l="1"/>
  <c r="N237" i="12" s="1"/>
  <c r="O235" i="12"/>
  <c r="M238" i="12" l="1"/>
  <c r="N238" i="12" s="1"/>
  <c r="O236" i="12"/>
  <c r="M239" i="12" l="1"/>
  <c r="N239" i="12" s="1"/>
  <c r="O237" i="12"/>
  <c r="M240" i="12" l="1"/>
  <c r="N240" i="12" s="1"/>
  <c r="O238" i="12"/>
  <c r="M241" i="12" l="1"/>
  <c r="N241" i="12" s="1"/>
  <c r="O239" i="12"/>
  <c r="M242" i="12" l="1"/>
  <c r="N242" i="12" s="1"/>
  <c r="O240" i="12"/>
  <c r="M243" i="12" l="1"/>
  <c r="N243" i="12" s="1"/>
  <c r="O241" i="12"/>
  <c r="M244" i="12" l="1"/>
  <c r="N244" i="12" s="1"/>
  <c r="O242" i="12"/>
  <c r="M245" i="12" l="1"/>
  <c r="N245" i="12" s="1"/>
  <c r="O243" i="12"/>
  <c r="M246" i="12" l="1"/>
  <c r="N246" i="12" s="1"/>
  <c r="O244" i="12"/>
  <c r="M247" i="12" l="1"/>
  <c r="N247" i="12" s="1"/>
  <c r="O245" i="12"/>
  <c r="M248" i="12" l="1"/>
  <c r="N248" i="12" s="1"/>
  <c r="O246" i="12"/>
  <c r="M249" i="12" l="1"/>
  <c r="N249" i="12" s="1"/>
  <c r="O247" i="12"/>
  <c r="M250" i="12" l="1"/>
  <c r="N250" i="12" s="1"/>
  <c r="O248" i="12"/>
  <c r="M251" i="12" l="1"/>
  <c r="N251" i="12" s="1"/>
  <c r="O249" i="12"/>
  <c r="M252" i="12" l="1"/>
  <c r="N252" i="12" s="1"/>
  <c r="O250" i="12"/>
  <c r="M253" i="12" l="1"/>
  <c r="N253" i="12" s="1"/>
  <c r="O251" i="12"/>
  <c r="M254" i="12" l="1"/>
  <c r="N254" i="12" s="1"/>
  <c r="O252" i="12"/>
  <c r="M255" i="12" l="1"/>
  <c r="N255" i="12" s="1"/>
  <c r="O253" i="12"/>
  <c r="M256" i="12" l="1"/>
  <c r="N256" i="12" s="1"/>
  <c r="O254" i="12"/>
  <c r="M257" i="12" l="1"/>
  <c r="N257" i="12" s="1"/>
  <c r="O255" i="12"/>
  <c r="M258" i="12" l="1"/>
  <c r="N258" i="12" s="1"/>
  <c r="O256" i="12"/>
  <c r="M259" i="12" l="1"/>
  <c r="N259" i="12" s="1"/>
  <c r="O257" i="12"/>
  <c r="M260" i="12" l="1"/>
  <c r="N260" i="12" s="1"/>
  <c r="O258" i="12"/>
  <c r="M261" i="12" l="1"/>
  <c r="N261" i="12" s="1"/>
  <c r="O259" i="12"/>
  <c r="M262" i="12" l="1"/>
  <c r="N262" i="12" s="1"/>
  <c r="O260" i="12"/>
  <c r="M263" i="12" l="1"/>
  <c r="N263" i="12" s="1"/>
  <c r="O261" i="12"/>
  <c r="M264" i="12" l="1"/>
  <c r="N264" i="12" s="1"/>
  <c r="O262" i="12"/>
  <c r="M265" i="12" l="1"/>
  <c r="N265" i="12" s="1"/>
  <c r="O263" i="12"/>
  <c r="M266" i="12" l="1"/>
  <c r="N266" i="12" s="1"/>
  <c r="O264" i="12"/>
  <c r="M267" i="12" l="1"/>
  <c r="N267" i="12" s="1"/>
  <c r="O265" i="12"/>
  <c r="M268" i="12" l="1"/>
  <c r="N268" i="12" s="1"/>
  <c r="O266" i="12"/>
  <c r="M269" i="12" l="1"/>
  <c r="N269" i="12" s="1"/>
  <c r="O267" i="12"/>
  <c r="M270" i="12" l="1"/>
  <c r="N270" i="12" s="1"/>
  <c r="O268" i="12"/>
  <c r="M271" i="12" l="1"/>
  <c r="N271" i="12" s="1"/>
  <c r="O269" i="12"/>
  <c r="M272" i="12" l="1"/>
  <c r="N272" i="12" s="1"/>
  <c r="O270" i="12"/>
  <c r="M273" i="12" l="1"/>
  <c r="N273" i="12" s="1"/>
  <c r="O271" i="12"/>
  <c r="M274" i="12" l="1"/>
  <c r="N274" i="12" s="1"/>
  <c r="O272" i="12"/>
  <c r="M275" i="12" l="1"/>
  <c r="N275" i="12" s="1"/>
  <c r="O273" i="12"/>
  <c r="M276" i="12" l="1"/>
  <c r="N276" i="12" s="1"/>
  <c r="O274" i="12"/>
  <c r="M277" i="12" l="1"/>
  <c r="N277" i="12" s="1"/>
  <c r="O275" i="12"/>
  <c r="M278" i="12" l="1"/>
  <c r="N278" i="12" s="1"/>
  <c r="O276" i="12"/>
  <c r="M279" i="12" l="1"/>
  <c r="N279" i="12" s="1"/>
  <c r="O277" i="12"/>
  <c r="M280" i="12" l="1"/>
  <c r="N280" i="12" s="1"/>
  <c r="O278" i="12"/>
  <c r="M281" i="12" l="1"/>
  <c r="N281" i="12" s="1"/>
  <c r="O279" i="12"/>
  <c r="M282" i="12" l="1"/>
  <c r="N282" i="12" s="1"/>
  <c r="O280" i="12"/>
  <c r="M283" i="12" l="1"/>
  <c r="N283" i="12" s="1"/>
  <c r="O281" i="12"/>
  <c r="M284" i="12" l="1"/>
  <c r="N284" i="12" s="1"/>
  <c r="O282" i="12"/>
  <c r="M285" i="12" l="1"/>
  <c r="N285" i="12" s="1"/>
  <c r="O283" i="12"/>
  <c r="M286" i="12" l="1"/>
  <c r="N286" i="12" s="1"/>
  <c r="O284" i="12"/>
  <c r="M287" i="12" l="1"/>
  <c r="N287" i="12" s="1"/>
  <c r="O285" i="12"/>
  <c r="M288" i="12" l="1"/>
  <c r="N288" i="12" s="1"/>
  <c r="O286" i="12"/>
  <c r="M289" i="12" l="1"/>
  <c r="N289" i="12" s="1"/>
  <c r="O287" i="12"/>
  <c r="M290" i="12" l="1"/>
  <c r="N290" i="12" s="1"/>
  <c r="O288" i="12"/>
  <c r="M291" i="12" l="1"/>
  <c r="N291" i="12" s="1"/>
  <c r="O289" i="12"/>
  <c r="M292" i="12" l="1"/>
  <c r="N292" i="12" s="1"/>
  <c r="O290" i="12"/>
  <c r="M293" i="12" l="1"/>
  <c r="N293" i="12" s="1"/>
  <c r="O291" i="12"/>
  <c r="M294" i="12" l="1"/>
  <c r="N294" i="12" s="1"/>
  <c r="O292" i="12"/>
  <c r="M295" i="12" l="1"/>
  <c r="N295" i="12" s="1"/>
  <c r="O293" i="12"/>
  <c r="M296" i="12" l="1"/>
  <c r="N296" i="12" s="1"/>
  <c r="O294" i="12"/>
  <c r="M297" i="12" l="1"/>
  <c r="N297" i="12" s="1"/>
  <c r="O295" i="12"/>
  <c r="M298" i="12" l="1"/>
  <c r="N298" i="12" s="1"/>
  <c r="O296" i="12"/>
  <c r="M299" i="12" l="1"/>
  <c r="N299" i="12" s="1"/>
  <c r="O297" i="12"/>
  <c r="M300" i="12" l="1"/>
  <c r="N300" i="12" s="1"/>
  <c r="O298" i="12"/>
  <c r="M301" i="12" l="1"/>
  <c r="N301" i="12" s="1"/>
  <c r="O299" i="12"/>
  <c r="M302" i="12" l="1"/>
  <c r="N302" i="12" s="1"/>
  <c r="O300" i="12"/>
  <c r="M303" i="12" l="1"/>
  <c r="N303" i="12" s="1"/>
  <c r="O301" i="12"/>
  <c r="M304" i="12" l="1"/>
  <c r="N304" i="12" s="1"/>
  <c r="O302" i="12"/>
  <c r="M305" i="12" l="1"/>
  <c r="N305" i="12" s="1"/>
  <c r="O303" i="12"/>
  <c r="M306" i="12" l="1"/>
  <c r="N306" i="12" s="1"/>
  <c r="O304" i="12"/>
  <c r="M307" i="12" l="1"/>
  <c r="N307" i="12" s="1"/>
  <c r="O305" i="12"/>
  <c r="M308" i="12" l="1"/>
  <c r="N308" i="12" s="1"/>
  <c r="O306" i="12"/>
  <c r="M309" i="12" l="1"/>
  <c r="N309" i="12" s="1"/>
  <c r="O307" i="12"/>
  <c r="M310" i="12" l="1"/>
  <c r="N310" i="12" s="1"/>
  <c r="O308" i="12"/>
  <c r="M311" i="12" l="1"/>
  <c r="N311" i="12" s="1"/>
  <c r="O309" i="12"/>
  <c r="M312" i="12" l="1"/>
  <c r="N312" i="12" s="1"/>
  <c r="O310" i="12"/>
  <c r="M313" i="12" l="1"/>
  <c r="N313" i="12" s="1"/>
  <c r="O311" i="12"/>
  <c r="M314" i="12" l="1"/>
  <c r="N314" i="12" s="1"/>
  <c r="O312" i="12"/>
  <c r="M315" i="12" l="1"/>
  <c r="N315" i="12" s="1"/>
  <c r="O313" i="12"/>
  <c r="M316" i="12" l="1"/>
  <c r="N316" i="12" s="1"/>
  <c r="O314" i="12"/>
  <c r="M317" i="12" l="1"/>
  <c r="N317" i="12" s="1"/>
  <c r="O315" i="12"/>
  <c r="M318" i="12" l="1"/>
  <c r="N318" i="12" s="1"/>
  <c r="O316" i="12"/>
  <c r="M319" i="12" l="1"/>
  <c r="N319" i="12" s="1"/>
  <c r="O317" i="12"/>
  <c r="M320" i="12" l="1"/>
  <c r="N320" i="12" s="1"/>
  <c r="O318" i="12"/>
  <c r="M321" i="12" l="1"/>
  <c r="N321" i="12" s="1"/>
  <c r="O319" i="12"/>
  <c r="M322" i="12" l="1"/>
  <c r="N322" i="12" s="1"/>
  <c r="O320" i="12"/>
  <c r="M323" i="12" l="1"/>
  <c r="N323" i="12" s="1"/>
  <c r="O321" i="12"/>
  <c r="M324" i="12" l="1"/>
  <c r="N324" i="12" s="1"/>
  <c r="O322" i="12"/>
  <c r="M325" i="12" l="1"/>
  <c r="N325" i="12" s="1"/>
  <c r="O323" i="12"/>
  <c r="M326" i="12" l="1"/>
  <c r="N326" i="12" s="1"/>
  <c r="O324" i="12"/>
  <c r="M327" i="12" l="1"/>
  <c r="N327" i="12" s="1"/>
  <c r="O325" i="12"/>
  <c r="M328" i="12" l="1"/>
  <c r="N328" i="12" s="1"/>
  <c r="O326" i="12"/>
  <c r="M329" i="12" l="1"/>
  <c r="N329" i="12" s="1"/>
  <c r="O327" i="12"/>
  <c r="M330" i="12" l="1"/>
  <c r="N330" i="12" s="1"/>
  <c r="O328" i="12"/>
  <c r="M331" i="12" l="1"/>
  <c r="N331" i="12" s="1"/>
  <c r="O329" i="12"/>
  <c r="M332" i="12" l="1"/>
  <c r="N332" i="12" s="1"/>
  <c r="O330" i="12"/>
  <c r="M333" i="12" l="1"/>
  <c r="N333" i="12" s="1"/>
  <c r="O331" i="12"/>
  <c r="M334" i="12" l="1"/>
  <c r="N334" i="12" s="1"/>
  <c r="O332" i="12"/>
  <c r="M335" i="12" l="1"/>
  <c r="N335" i="12" s="1"/>
  <c r="O333" i="12"/>
  <c r="M336" i="12" l="1"/>
  <c r="N336" i="12" s="1"/>
  <c r="O334" i="12"/>
  <c r="M337" i="12" l="1"/>
  <c r="N337" i="12" s="1"/>
  <c r="O335" i="12"/>
  <c r="M338" i="12" l="1"/>
  <c r="N338" i="12" s="1"/>
  <c r="O336" i="12"/>
  <c r="M339" i="12" l="1"/>
  <c r="N339" i="12" s="1"/>
  <c r="O337" i="12"/>
  <c r="M340" i="12" l="1"/>
  <c r="N340" i="12" s="1"/>
  <c r="O338" i="12"/>
  <c r="M341" i="12" l="1"/>
  <c r="N341" i="12" s="1"/>
  <c r="O339" i="12"/>
  <c r="M342" i="12" l="1"/>
  <c r="N342" i="12" s="1"/>
  <c r="O340" i="12"/>
  <c r="M343" i="12" l="1"/>
  <c r="N343" i="12" s="1"/>
  <c r="O341" i="12"/>
  <c r="M344" i="12" l="1"/>
  <c r="N344" i="12" s="1"/>
  <c r="O342" i="12"/>
  <c r="M345" i="12" l="1"/>
  <c r="N345" i="12" s="1"/>
  <c r="O343" i="12"/>
  <c r="M346" i="12" l="1"/>
  <c r="N346" i="12" s="1"/>
  <c r="O344" i="12"/>
  <c r="M347" i="12" l="1"/>
  <c r="N347" i="12" s="1"/>
  <c r="O345" i="12"/>
  <c r="M348" i="12" l="1"/>
  <c r="N348" i="12" s="1"/>
  <c r="O346" i="12"/>
  <c r="M349" i="12" l="1"/>
  <c r="N349" i="12" s="1"/>
  <c r="O347" i="12"/>
  <c r="M350" i="12" l="1"/>
  <c r="N350" i="12" s="1"/>
  <c r="O348" i="12"/>
  <c r="M351" i="12" l="1"/>
  <c r="N351" i="12" s="1"/>
  <c r="O349" i="12"/>
  <c r="M352" i="12" l="1"/>
  <c r="N352" i="12" s="1"/>
  <c r="O350" i="12"/>
  <c r="M353" i="12" l="1"/>
  <c r="N353" i="12" s="1"/>
  <c r="O351" i="12"/>
  <c r="M354" i="12" l="1"/>
  <c r="N354" i="12" s="1"/>
  <c r="O352" i="12"/>
  <c r="M355" i="12" l="1"/>
  <c r="N355" i="12" s="1"/>
  <c r="O353" i="12"/>
  <c r="M356" i="12" l="1"/>
  <c r="N356" i="12" s="1"/>
  <c r="O354" i="12"/>
  <c r="M357" i="12" l="1"/>
  <c r="N357" i="12" s="1"/>
  <c r="O355" i="12"/>
  <c r="M358" i="12" l="1"/>
  <c r="N358" i="12" s="1"/>
  <c r="O356" i="12"/>
  <c r="M359" i="12" l="1"/>
  <c r="N359" i="12" s="1"/>
  <c r="O357" i="12"/>
  <c r="M360" i="12" l="1"/>
  <c r="N360" i="12" s="1"/>
  <c r="O358" i="12"/>
  <c r="M361" i="12" l="1"/>
  <c r="N361" i="12" s="1"/>
  <c r="O359" i="12"/>
  <c r="M362" i="12" l="1"/>
  <c r="N362" i="12" s="1"/>
  <c r="O360" i="12"/>
  <c r="M363" i="12" l="1"/>
  <c r="N363" i="12" s="1"/>
  <c r="O361" i="12"/>
  <c r="M364" i="12" l="1"/>
  <c r="N364" i="12" s="1"/>
  <c r="O362" i="12"/>
  <c r="M365" i="12" l="1"/>
  <c r="N365" i="12" s="1"/>
  <c r="O363" i="12"/>
  <c r="M366" i="12" l="1"/>
  <c r="N366" i="12" s="1"/>
  <c r="O364" i="12"/>
  <c r="M367" i="12" l="1"/>
  <c r="N367" i="12" s="1"/>
  <c r="O365" i="12"/>
  <c r="M368" i="12" l="1"/>
  <c r="N368" i="12" s="1"/>
  <c r="O366" i="12"/>
  <c r="M369" i="12" l="1"/>
  <c r="N369" i="12" s="1"/>
  <c r="O367" i="12"/>
  <c r="M370" i="12" l="1"/>
  <c r="N370" i="12" s="1"/>
  <c r="O368" i="12"/>
  <c r="M371" i="12" l="1"/>
  <c r="N371" i="12" s="1"/>
  <c r="O369" i="12"/>
  <c r="M372" i="12" l="1"/>
  <c r="N372" i="12" s="1"/>
  <c r="O370" i="12"/>
  <c r="M373" i="12" l="1"/>
  <c r="N373" i="12" s="1"/>
  <c r="O371" i="12"/>
  <c r="M374" i="12" l="1"/>
  <c r="N374" i="12" s="1"/>
  <c r="O372" i="12"/>
  <c r="M375" i="12" l="1"/>
  <c r="N375" i="12" s="1"/>
  <c r="O373" i="12"/>
  <c r="M376" i="12" l="1"/>
  <c r="N376" i="12" s="1"/>
  <c r="O374" i="12"/>
  <c r="M377" i="12" l="1"/>
  <c r="N377" i="12" s="1"/>
  <c r="O375" i="12"/>
  <c r="M378" i="12" l="1"/>
  <c r="N378" i="12" s="1"/>
  <c r="O376" i="12"/>
  <c r="M379" i="12" l="1"/>
  <c r="N379" i="12" s="1"/>
  <c r="O377" i="12"/>
  <c r="M380" i="12" l="1"/>
  <c r="N380" i="12" s="1"/>
  <c r="O378" i="12"/>
  <c r="M381" i="12" l="1"/>
  <c r="N381" i="12" s="1"/>
  <c r="O379" i="12"/>
  <c r="M382" i="12" l="1"/>
  <c r="N382" i="12" s="1"/>
  <c r="O380" i="12"/>
  <c r="M383" i="12" l="1"/>
  <c r="N383" i="12" s="1"/>
  <c r="O381" i="12"/>
  <c r="M384" i="12" l="1"/>
  <c r="N384" i="12" s="1"/>
  <c r="O382" i="12"/>
  <c r="M385" i="12" l="1"/>
  <c r="N385" i="12" s="1"/>
  <c r="O383" i="12"/>
  <c r="M386" i="12" l="1"/>
  <c r="N386" i="12" s="1"/>
  <c r="O384" i="12"/>
  <c r="M387" i="12" l="1"/>
  <c r="N387" i="12" s="1"/>
  <c r="O385" i="12"/>
  <c r="M388" i="12" l="1"/>
  <c r="N388" i="12" s="1"/>
  <c r="O386" i="12"/>
  <c r="M389" i="12" l="1"/>
  <c r="N389" i="12" s="1"/>
  <c r="O387" i="12"/>
  <c r="M390" i="12" l="1"/>
  <c r="N390" i="12" s="1"/>
  <c r="O388" i="12"/>
  <c r="M391" i="12" l="1"/>
  <c r="N391" i="12" s="1"/>
  <c r="O389" i="12"/>
  <c r="M392" i="12" l="1"/>
  <c r="N392" i="12" s="1"/>
  <c r="O390" i="12"/>
  <c r="M393" i="12" l="1"/>
  <c r="N393" i="12" s="1"/>
  <c r="O391" i="12"/>
  <c r="M394" i="12" l="1"/>
  <c r="N394" i="12" s="1"/>
  <c r="O392" i="12"/>
  <c r="M395" i="12" l="1"/>
  <c r="N395" i="12" s="1"/>
  <c r="O393" i="12"/>
  <c r="M396" i="12" l="1"/>
  <c r="N396" i="12" s="1"/>
  <c r="O394" i="12"/>
  <c r="M397" i="12" l="1"/>
  <c r="N397" i="12" s="1"/>
  <c r="O395" i="12"/>
  <c r="M398" i="12" l="1"/>
  <c r="N398" i="12" s="1"/>
  <c r="O396" i="12"/>
  <c r="M399" i="12" l="1"/>
  <c r="N399" i="12" s="1"/>
  <c r="O397" i="12"/>
  <c r="M400" i="12" l="1"/>
  <c r="N400" i="12" s="1"/>
  <c r="O398" i="12"/>
  <c r="M401" i="12" l="1"/>
  <c r="N401" i="12" s="1"/>
  <c r="O399" i="12"/>
  <c r="M402" i="12" l="1"/>
  <c r="N402" i="12" s="1"/>
  <c r="O400" i="12"/>
  <c r="M403" i="12" l="1"/>
  <c r="N403" i="12" s="1"/>
  <c r="O401" i="12"/>
  <c r="M404" i="12" l="1"/>
  <c r="N404" i="12" s="1"/>
  <c r="O402" i="12"/>
  <c r="M405" i="12" l="1"/>
  <c r="N405" i="12" s="1"/>
  <c r="O403" i="12"/>
  <c r="M406" i="12" l="1"/>
  <c r="N406" i="12" s="1"/>
  <c r="O404" i="12"/>
  <c r="M407" i="12" l="1"/>
  <c r="N407" i="12" s="1"/>
  <c r="O405" i="12"/>
  <c r="M408" i="12" l="1"/>
  <c r="N408" i="12" s="1"/>
  <c r="O406" i="12"/>
  <c r="M409" i="12" l="1"/>
  <c r="N409" i="12" s="1"/>
  <c r="O407" i="12"/>
  <c r="M410" i="12" l="1"/>
  <c r="N410" i="12" s="1"/>
  <c r="O408" i="12"/>
  <c r="M411" i="12" l="1"/>
  <c r="N411" i="12" s="1"/>
  <c r="O409" i="12"/>
  <c r="M412" i="12" l="1"/>
  <c r="N412" i="12" s="1"/>
  <c r="O410" i="12"/>
  <c r="M413" i="12" l="1"/>
  <c r="N413" i="12" s="1"/>
  <c r="O411" i="12"/>
  <c r="M414" i="12" l="1"/>
  <c r="N414" i="12" s="1"/>
  <c r="O412" i="12"/>
  <c r="M415" i="12" l="1"/>
  <c r="N415" i="12" s="1"/>
  <c r="O413" i="12"/>
  <c r="M416" i="12" l="1"/>
  <c r="N416" i="12" s="1"/>
  <c r="O414" i="12"/>
  <c r="M417" i="12" l="1"/>
  <c r="N417" i="12" s="1"/>
  <c r="O415" i="12"/>
  <c r="M418" i="12" l="1"/>
  <c r="N418" i="12" s="1"/>
  <c r="O416" i="12"/>
  <c r="M419" i="12" l="1"/>
  <c r="N419" i="12" s="1"/>
  <c r="O417" i="12"/>
  <c r="M420" i="12" l="1"/>
  <c r="N420" i="12" s="1"/>
  <c r="O418" i="12"/>
  <c r="M421" i="12" l="1"/>
  <c r="N421" i="12" s="1"/>
  <c r="O419" i="12"/>
  <c r="M422" i="12" l="1"/>
  <c r="N422" i="12" s="1"/>
  <c r="O420" i="12"/>
  <c r="M423" i="12" l="1"/>
  <c r="N423" i="12" s="1"/>
  <c r="O421" i="12"/>
  <c r="M424" i="12" l="1"/>
  <c r="N424" i="12" s="1"/>
  <c r="O422" i="12"/>
  <c r="M425" i="12" l="1"/>
  <c r="N425" i="12" s="1"/>
  <c r="O423" i="12"/>
  <c r="M426" i="12" l="1"/>
  <c r="N426" i="12" s="1"/>
  <c r="O424" i="12"/>
  <c r="M427" i="12" l="1"/>
  <c r="N427" i="12" s="1"/>
  <c r="O425" i="12"/>
  <c r="M428" i="12" l="1"/>
  <c r="N428" i="12" s="1"/>
  <c r="O426" i="12"/>
  <c r="M429" i="12" l="1"/>
  <c r="N429" i="12" s="1"/>
  <c r="O427" i="12"/>
  <c r="M430" i="12" l="1"/>
  <c r="N430" i="12" s="1"/>
  <c r="O428" i="12"/>
  <c r="M431" i="12" l="1"/>
  <c r="N431" i="12" s="1"/>
  <c r="O429" i="12"/>
  <c r="M432" i="12" l="1"/>
  <c r="N432" i="12" s="1"/>
  <c r="O430" i="12"/>
  <c r="M433" i="12" l="1"/>
  <c r="N433" i="12" s="1"/>
  <c r="O431" i="12"/>
  <c r="M434" i="12" l="1"/>
  <c r="N434" i="12" s="1"/>
  <c r="O432" i="12"/>
  <c r="M435" i="12" l="1"/>
  <c r="N435" i="12" s="1"/>
  <c r="O433" i="12"/>
  <c r="M436" i="12" l="1"/>
  <c r="N436" i="12" s="1"/>
  <c r="O434" i="12"/>
  <c r="M437" i="12" l="1"/>
  <c r="N437" i="12" s="1"/>
  <c r="O435" i="12"/>
  <c r="M438" i="12" l="1"/>
  <c r="N438" i="12" s="1"/>
  <c r="O436" i="12"/>
  <c r="M439" i="12" l="1"/>
  <c r="N439" i="12" s="1"/>
  <c r="O437" i="12"/>
  <c r="M440" i="12" l="1"/>
  <c r="N440" i="12" s="1"/>
  <c r="O438" i="12"/>
  <c r="M441" i="12" l="1"/>
  <c r="N441" i="12" s="1"/>
  <c r="O439" i="12"/>
  <c r="M442" i="12" l="1"/>
  <c r="N442" i="12" s="1"/>
  <c r="O440" i="12"/>
  <c r="M443" i="12" l="1"/>
  <c r="N443" i="12" s="1"/>
  <c r="O441" i="12"/>
  <c r="M444" i="12" l="1"/>
  <c r="N444" i="12" s="1"/>
  <c r="O442" i="12"/>
  <c r="M445" i="12" l="1"/>
  <c r="N445" i="12" s="1"/>
  <c r="O443" i="12"/>
  <c r="M446" i="12" l="1"/>
  <c r="N446" i="12" s="1"/>
  <c r="O444" i="12"/>
  <c r="M447" i="12" l="1"/>
  <c r="N447" i="12" s="1"/>
  <c r="O445" i="12"/>
  <c r="M448" i="12" l="1"/>
  <c r="N448" i="12" s="1"/>
  <c r="O446" i="12"/>
  <c r="M449" i="12" l="1"/>
  <c r="N449" i="12" s="1"/>
  <c r="O447" i="12"/>
  <c r="M450" i="12" l="1"/>
  <c r="N450" i="12" s="1"/>
  <c r="O448" i="12"/>
  <c r="M451" i="12" l="1"/>
  <c r="N451" i="12" s="1"/>
  <c r="O449" i="12"/>
  <c r="M452" i="12" l="1"/>
  <c r="N452" i="12" s="1"/>
  <c r="O450" i="12"/>
  <c r="M453" i="12" l="1"/>
  <c r="N453" i="12" s="1"/>
  <c r="O451" i="12"/>
  <c r="M454" i="12" l="1"/>
  <c r="N454" i="12" s="1"/>
  <c r="O452" i="12"/>
  <c r="M455" i="12" l="1"/>
  <c r="N455" i="12" s="1"/>
  <c r="O453" i="12"/>
  <c r="M456" i="12" l="1"/>
  <c r="N456" i="12" s="1"/>
  <c r="O454" i="12"/>
  <c r="M457" i="12" l="1"/>
  <c r="N457" i="12" s="1"/>
  <c r="O455" i="12"/>
  <c r="M458" i="12" l="1"/>
  <c r="N458" i="12" s="1"/>
  <c r="O456" i="12"/>
  <c r="M459" i="12" l="1"/>
  <c r="N459" i="12" s="1"/>
  <c r="O457" i="12"/>
  <c r="M460" i="12" l="1"/>
  <c r="N460" i="12" s="1"/>
  <c r="O458" i="12"/>
  <c r="M461" i="12" l="1"/>
  <c r="N461" i="12" s="1"/>
  <c r="O459" i="12"/>
  <c r="M462" i="12" l="1"/>
  <c r="N462" i="12" s="1"/>
  <c r="O460" i="12"/>
  <c r="M463" i="12" l="1"/>
  <c r="N463" i="12" s="1"/>
  <c r="O461" i="12"/>
  <c r="M464" i="12" l="1"/>
  <c r="N464" i="12" s="1"/>
  <c r="O462" i="12"/>
  <c r="M465" i="12" l="1"/>
  <c r="N465" i="12" s="1"/>
  <c r="O463" i="12"/>
  <c r="M466" i="12" l="1"/>
  <c r="N466" i="12" s="1"/>
  <c r="O464" i="12"/>
  <c r="M467" i="12" l="1"/>
  <c r="N467" i="12" s="1"/>
  <c r="O465" i="12"/>
  <c r="M468" i="12" l="1"/>
  <c r="N468" i="12" s="1"/>
  <c r="O466" i="12"/>
  <c r="M469" i="12" l="1"/>
  <c r="N469" i="12" s="1"/>
  <c r="O467" i="12"/>
  <c r="M470" i="12" l="1"/>
  <c r="N470" i="12" s="1"/>
  <c r="O468" i="12"/>
  <c r="M471" i="12" l="1"/>
  <c r="N471" i="12" s="1"/>
  <c r="O469" i="12"/>
  <c r="M472" i="12" l="1"/>
  <c r="N472" i="12" s="1"/>
  <c r="O470" i="12"/>
  <c r="M473" i="12" l="1"/>
  <c r="N473" i="12" s="1"/>
  <c r="O471" i="12"/>
  <c r="M474" i="12" l="1"/>
  <c r="N474" i="12" s="1"/>
  <c r="O472" i="12"/>
  <c r="M475" i="12" l="1"/>
  <c r="N475" i="12" s="1"/>
  <c r="O473" i="12"/>
  <c r="M476" i="12" l="1"/>
  <c r="N476" i="12" s="1"/>
  <c r="O474" i="12"/>
  <c r="M477" i="12" l="1"/>
  <c r="N477" i="12" s="1"/>
  <c r="O475" i="12"/>
  <c r="M478" i="12" l="1"/>
  <c r="N478" i="12" s="1"/>
  <c r="O476" i="12"/>
  <c r="M479" i="12" l="1"/>
  <c r="N479" i="12" s="1"/>
  <c r="O477" i="12"/>
  <c r="M480" i="12" l="1"/>
  <c r="N480" i="12" s="1"/>
  <c r="O478" i="12"/>
  <c r="M481" i="12" l="1"/>
  <c r="N481" i="12" s="1"/>
  <c r="O479" i="12"/>
  <c r="M482" i="12" l="1"/>
  <c r="N482" i="12" s="1"/>
  <c r="O480" i="12"/>
  <c r="M483" i="12" l="1"/>
  <c r="N483" i="12" s="1"/>
  <c r="O481" i="12"/>
  <c r="M484" i="12" l="1"/>
  <c r="N484" i="12" s="1"/>
  <c r="O482" i="12"/>
  <c r="M485" i="12" l="1"/>
  <c r="N485" i="12" s="1"/>
  <c r="O483" i="12"/>
  <c r="M486" i="12" l="1"/>
  <c r="N486" i="12" s="1"/>
  <c r="O484" i="12"/>
  <c r="M487" i="12" l="1"/>
  <c r="N487" i="12" s="1"/>
  <c r="O485" i="12"/>
  <c r="M488" i="12" l="1"/>
  <c r="N488" i="12" s="1"/>
  <c r="O486" i="12"/>
  <c r="M489" i="12" l="1"/>
  <c r="N489" i="12" s="1"/>
  <c r="O487" i="12"/>
  <c r="M490" i="12" l="1"/>
  <c r="N490" i="12" s="1"/>
  <c r="O488" i="12"/>
  <c r="M491" i="12" l="1"/>
  <c r="N491" i="12" s="1"/>
  <c r="O489" i="12"/>
  <c r="M492" i="12" l="1"/>
  <c r="N492" i="12" s="1"/>
  <c r="O490" i="12"/>
  <c r="M493" i="12" l="1"/>
  <c r="N493" i="12" s="1"/>
  <c r="O491" i="12"/>
  <c r="M494" i="12" l="1"/>
  <c r="N494" i="12" s="1"/>
  <c r="O492" i="12"/>
  <c r="M495" i="12" l="1"/>
  <c r="N495" i="12" s="1"/>
  <c r="O493" i="12"/>
  <c r="M496" i="12" l="1"/>
  <c r="N496" i="12" s="1"/>
  <c r="O494" i="12"/>
  <c r="M497" i="12" l="1"/>
  <c r="N497" i="12" s="1"/>
  <c r="O495" i="12"/>
  <c r="M498" i="12" l="1"/>
  <c r="N498" i="12" s="1"/>
  <c r="O496" i="12"/>
  <c r="M499" i="12" l="1"/>
  <c r="N499" i="12" s="1"/>
  <c r="O497" i="12"/>
  <c r="M500" i="12" l="1"/>
  <c r="N500" i="12" s="1"/>
  <c r="O498" i="12"/>
  <c r="M501" i="12" l="1"/>
  <c r="N501" i="12" s="1"/>
  <c r="O499" i="12"/>
  <c r="M502" i="12" l="1"/>
  <c r="N502" i="12" s="1"/>
  <c r="O500" i="12"/>
  <c r="M503" i="12" l="1"/>
  <c r="N503" i="12" s="1"/>
  <c r="O501" i="12"/>
  <c r="M504" i="12" l="1"/>
  <c r="N504" i="12" s="1"/>
  <c r="O502" i="12"/>
  <c r="M505" i="12" l="1"/>
  <c r="N505" i="12" s="1"/>
  <c r="O503" i="12"/>
  <c r="M506" i="12" l="1"/>
  <c r="N506" i="12" s="1"/>
  <c r="O504" i="12"/>
  <c r="M507" i="12" l="1"/>
  <c r="N507" i="12" s="1"/>
  <c r="O505" i="12"/>
  <c r="M508" i="12" l="1"/>
  <c r="N508" i="12" s="1"/>
  <c r="O506" i="12"/>
  <c r="M509" i="12" l="1"/>
  <c r="N509" i="12" s="1"/>
  <c r="O507" i="12"/>
  <c r="M510" i="12" l="1"/>
  <c r="N510" i="12" s="1"/>
  <c r="O508" i="12"/>
  <c r="M511" i="12" l="1"/>
  <c r="N511" i="12" s="1"/>
  <c r="O509" i="12"/>
  <c r="M512" i="12" l="1"/>
  <c r="N512" i="12" s="1"/>
  <c r="O510" i="12"/>
  <c r="M513" i="12" l="1"/>
  <c r="N513" i="12" s="1"/>
  <c r="O511" i="12"/>
  <c r="M514" i="12" l="1"/>
  <c r="N514" i="12" s="1"/>
  <c r="O512" i="12"/>
  <c r="M515" i="12" l="1"/>
  <c r="N515" i="12" s="1"/>
  <c r="O513" i="12"/>
  <c r="M516" i="12" l="1"/>
  <c r="N516" i="12" s="1"/>
  <c r="O514" i="12"/>
  <c r="M517" i="12" l="1"/>
  <c r="N517" i="12" s="1"/>
  <c r="O515" i="12"/>
  <c r="M518" i="12" l="1"/>
  <c r="N518" i="12" s="1"/>
  <c r="O516" i="12"/>
  <c r="M519" i="12" l="1"/>
  <c r="N519" i="12" s="1"/>
  <c r="O517" i="12"/>
  <c r="M520" i="12" l="1"/>
  <c r="N520" i="12" s="1"/>
  <c r="O518" i="12"/>
  <c r="M521" i="12" l="1"/>
  <c r="N521" i="12" s="1"/>
  <c r="O519" i="12"/>
  <c r="M522" i="12" l="1"/>
  <c r="N522" i="12" s="1"/>
  <c r="O520" i="12"/>
  <c r="M523" i="12" l="1"/>
  <c r="N523" i="12" s="1"/>
  <c r="O521" i="12"/>
  <c r="M524" i="12" l="1"/>
  <c r="N524" i="12" s="1"/>
  <c r="O522" i="12"/>
  <c r="M525" i="12" l="1"/>
  <c r="N525" i="12" s="1"/>
  <c r="O523" i="12"/>
  <c r="M526" i="12" l="1"/>
  <c r="N526" i="12" s="1"/>
  <c r="O524" i="12"/>
  <c r="M527" i="12" l="1"/>
  <c r="N527" i="12" s="1"/>
  <c r="O525" i="12"/>
  <c r="M528" i="12" l="1"/>
  <c r="N528" i="12" s="1"/>
  <c r="O526" i="12"/>
  <c r="M529" i="12" l="1"/>
  <c r="N529" i="12" s="1"/>
  <c r="O527" i="12"/>
  <c r="M530" i="12" l="1"/>
  <c r="N530" i="12" s="1"/>
  <c r="O528" i="12"/>
  <c r="M531" i="12" l="1"/>
  <c r="N531" i="12" s="1"/>
  <c r="O529" i="12"/>
  <c r="M532" i="12" l="1"/>
  <c r="N532" i="12" s="1"/>
  <c r="O530" i="12"/>
  <c r="M533" i="12" l="1"/>
  <c r="N533" i="12" s="1"/>
  <c r="O531" i="12"/>
  <c r="M534" i="12" l="1"/>
  <c r="N534" i="12" s="1"/>
  <c r="O532" i="12"/>
  <c r="M535" i="12" l="1"/>
  <c r="N535" i="12" s="1"/>
  <c r="O533" i="12"/>
  <c r="M536" i="12" l="1"/>
  <c r="N536" i="12" s="1"/>
  <c r="O534" i="12"/>
  <c r="M537" i="12" l="1"/>
  <c r="N537" i="12" s="1"/>
  <c r="O535" i="12"/>
  <c r="M538" i="12" l="1"/>
  <c r="N538" i="12" s="1"/>
  <c r="O536" i="12"/>
  <c r="M539" i="12" l="1"/>
  <c r="N539" i="12" s="1"/>
  <c r="O537" i="12"/>
  <c r="M540" i="12" l="1"/>
  <c r="N540" i="12" s="1"/>
  <c r="O538" i="12"/>
  <c r="M541" i="12" l="1"/>
  <c r="N541" i="12" s="1"/>
  <c r="O539" i="12"/>
  <c r="M542" i="12" l="1"/>
  <c r="N542" i="12" s="1"/>
  <c r="O540" i="12"/>
  <c r="M543" i="12" l="1"/>
  <c r="N543" i="12" s="1"/>
  <c r="O541" i="12"/>
  <c r="M544" i="12" l="1"/>
  <c r="N544" i="12" s="1"/>
  <c r="O542" i="12"/>
  <c r="M545" i="12" l="1"/>
  <c r="N545" i="12" s="1"/>
  <c r="O543" i="12"/>
  <c r="M546" i="12" l="1"/>
  <c r="N546" i="12" s="1"/>
  <c r="O544" i="12"/>
  <c r="M547" i="12" l="1"/>
  <c r="N547" i="12" s="1"/>
  <c r="O545" i="12"/>
  <c r="M548" i="12" l="1"/>
  <c r="N548" i="12" s="1"/>
  <c r="O546" i="12"/>
  <c r="M549" i="12" l="1"/>
  <c r="N549" i="12" s="1"/>
  <c r="O547" i="12"/>
  <c r="M550" i="12" l="1"/>
  <c r="N550" i="12" s="1"/>
  <c r="O548" i="12"/>
  <c r="M551" i="12" l="1"/>
  <c r="N551" i="12" s="1"/>
  <c r="O549" i="12"/>
  <c r="M552" i="12" l="1"/>
  <c r="N552" i="12" s="1"/>
  <c r="O550" i="12"/>
  <c r="M553" i="12" l="1"/>
  <c r="N553" i="12" s="1"/>
  <c r="O551" i="12"/>
  <c r="M554" i="12" l="1"/>
  <c r="N554" i="12" s="1"/>
  <c r="O552" i="12"/>
  <c r="M555" i="12" l="1"/>
  <c r="N555" i="12" s="1"/>
  <c r="O553" i="12"/>
  <c r="M556" i="12" l="1"/>
  <c r="N556" i="12" s="1"/>
  <c r="O554" i="12"/>
  <c r="M557" i="12" l="1"/>
  <c r="N557" i="12" s="1"/>
  <c r="O555" i="12"/>
  <c r="M558" i="12" l="1"/>
  <c r="N558" i="12" s="1"/>
  <c r="O556" i="12"/>
  <c r="M559" i="12" l="1"/>
  <c r="N559" i="12" s="1"/>
  <c r="O557" i="12"/>
  <c r="M560" i="12" l="1"/>
  <c r="N560" i="12" s="1"/>
  <c r="O558" i="12"/>
  <c r="M561" i="12" l="1"/>
  <c r="N561" i="12" s="1"/>
  <c r="O559" i="12"/>
  <c r="M562" i="12" l="1"/>
  <c r="N562" i="12" s="1"/>
  <c r="O560" i="12"/>
  <c r="M563" i="12" l="1"/>
  <c r="N563" i="12" s="1"/>
  <c r="O561" i="12"/>
  <c r="M564" i="12" l="1"/>
  <c r="N564" i="12" s="1"/>
  <c r="O562" i="12"/>
  <c r="M565" i="12" l="1"/>
  <c r="N565" i="12" s="1"/>
  <c r="O563" i="12"/>
  <c r="M566" i="12" l="1"/>
  <c r="N566" i="12" s="1"/>
  <c r="O564" i="12"/>
  <c r="M567" i="12" l="1"/>
  <c r="N567" i="12" s="1"/>
  <c r="O565" i="12"/>
  <c r="M568" i="12" l="1"/>
  <c r="N568" i="12" s="1"/>
  <c r="O566" i="12"/>
  <c r="M569" i="12" l="1"/>
  <c r="N569" i="12" s="1"/>
  <c r="O567" i="12"/>
  <c r="M570" i="12" l="1"/>
  <c r="N570" i="12" s="1"/>
  <c r="O568" i="12"/>
  <c r="M571" i="12" l="1"/>
  <c r="N571" i="12" s="1"/>
  <c r="O569" i="12"/>
  <c r="M572" i="12" l="1"/>
  <c r="N572" i="12" s="1"/>
  <c r="O570" i="12"/>
  <c r="M573" i="12" l="1"/>
  <c r="N573" i="12" s="1"/>
  <c r="O571" i="12"/>
  <c r="M574" i="12" l="1"/>
  <c r="N574" i="12" s="1"/>
  <c r="O572" i="12"/>
  <c r="M575" i="12" l="1"/>
  <c r="N575" i="12" s="1"/>
  <c r="O573" i="12"/>
  <c r="M576" i="12" l="1"/>
  <c r="N576" i="12" s="1"/>
  <c r="O574" i="12"/>
  <c r="M577" i="12" l="1"/>
  <c r="N577" i="12" s="1"/>
  <c r="O575" i="12"/>
  <c r="M578" i="12" l="1"/>
  <c r="N578" i="12" s="1"/>
  <c r="O576" i="12"/>
  <c r="M579" i="12" l="1"/>
  <c r="N579" i="12" s="1"/>
  <c r="O577" i="12"/>
  <c r="M580" i="12" l="1"/>
  <c r="N580" i="12" s="1"/>
  <c r="O578" i="12"/>
  <c r="M581" i="12" l="1"/>
  <c r="N581" i="12" s="1"/>
  <c r="O579" i="12"/>
  <c r="M582" i="12" l="1"/>
  <c r="N582" i="12" s="1"/>
  <c r="O580" i="12"/>
  <c r="M583" i="12" l="1"/>
  <c r="N583" i="12" s="1"/>
  <c r="O581" i="12"/>
  <c r="M584" i="12" l="1"/>
  <c r="N584" i="12" s="1"/>
  <c r="O582" i="12"/>
  <c r="M585" i="12" l="1"/>
  <c r="N585" i="12" s="1"/>
  <c r="O583" i="12"/>
  <c r="M586" i="12" l="1"/>
  <c r="N586" i="12" s="1"/>
  <c r="O584" i="12"/>
  <c r="M587" i="12" l="1"/>
  <c r="N587" i="12" s="1"/>
  <c r="O585" i="12"/>
  <c r="M588" i="12" l="1"/>
  <c r="N588" i="12" s="1"/>
  <c r="O586" i="12"/>
  <c r="M589" i="12" l="1"/>
  <c r="N589" i="12" s="1"/>
  <c r="O587" i="12"/>
  <c r="M590" i="12" l="1"/>
  <c r="N590" i="12" s="1"/>
  <c r="O588" i="12"/>
  <c r="M591" i="12" l="1"/>
  <c r="N591" i="12" s="1"/>
  <c r="O589" i="12"/>
  <c r="M592" i="12" l="1"/>
  <c r="N592" i="12" s="1"/>
  <c r="O590" i="12"/>
  <c r="M593" i="12" l="1"/>
  <c r="N593" i="12" s="1"/>
  <c r="O591" i="12"/>
  <c r="M594" i="12" l="1"/>
  <c r="N594" i="12" s="1"/>
  <c r="O592" i="12"/>
  <c r="M595" i="12" l="1"/>
  <c r="N595" i="12" s="1"/>
  <c r="O593" i="12"/>
  <c r="M596" i="12" l="1"/>
  <c r="N596" i="12" s="1"/>
  <c r="O594" i="12"/>
  <c r="M597" i="12" l="1"/>
  <c r="N597" i="12" s="1"/>
  <c r="O595" i="12"/>
  <c r="M598" i="12" l="1"/>
  <c r="N598" i="12" s="1"/>
  <c r="O596" i="12"/>
  <c r="M599" i="12" l="1"/>
  <c r="N599" i="12" s="1"/>
  <c r="O597" i="12"/>
  <c r="M600" i="12" l="1"/>
  <c r="N600" i="12" s="1"/>
  <c r="O598" i="12"/>
  <c r="M601" i="12" l="1"/>
  <c r="N601" i="12" s="1"/>
  <c r="O599" i="12"/>
  <c r="M602" i="12" l="1"/>
  <c r="N602" i="12" s="1"/>
  <c r="O600" i="12"/>
  <c r="M603" i="12" l="1"/>
  <c r="N603" i="12" s="1"/>
  <c r="O601" i="12"/>
  <c r="M604" i="12" l="1"/>
  <c r="N604" i="12" s="1"/>
  <c r="O602" i="12"/>
  <c r="M605" i="12" l="1"/>
  <c r="N605" i="12" s="1"/>
  <c r="O603" i="12"/>
  <c r="M606" i="12" l="1"/>
  <c r="N606" i="12" s="1"/>
  <c r="O604" i="12"/>
  <c r="M607" i="12" l="1"/>
  <c r="N607" i="12" s="1"/>
  <c r="O605" i="12"/>
  <c r="M608" i="12" l="1"/>
  <c r="N608" i="12" s="1"/>
  <c r="O606" i="12"/>
  <c r="M609" i="12" l="1"/>
  <c r="N609" i="12" s="1"/>
  <c r="O607" i="12"/>
  <c r="M610" i="12" l="1"/>
  <c r="N610" i="12" s="1"/>
  <c r="O608" i="12"/>
  <c r="M611" i="12" l="1"/>
  <c r="N611" i="12" s="1"/>
  <c r="O609" i="12"/>
  <c r="M612" i="12" l="1"/>
  <c r="N612" i="12" s="1"/>
  <c r="O610" i="12"/>
  <c r="M613" i="12" l="1"/>
  <c r="N613" i="12" s="1"/>
  <c r="O611" i="12"/>
  <c r="M614" i="12" l="1"/>
  <c r="N614" i="12" s="1"/>
  <c r="O612" i="12"/>
  <c r="M615" i="12" l="1"/>
  <c r="N615" i="12" s="1"/>
  <c r="O613" i="12"/>
  <c r="M616" i="12" l="1"/>
  <c r="N616" i="12" s="1"/>
  <c r="O614" i="12"/>
  <c r="M617" i="12" l="1"/>
  <c r="N617" i="12" s="1"/>
  <c r="O615" i="12"/>
  <c r="M618" i="12" l="1"/>
  <c r="N618" i="12" s="1"/>
  <c r="O616" i="12"/>
  <c r="M619" i="12" l="1"/>
  <c r="N619" i="12" s="1"/>
  <c r="O617" i="12"/>
  <c r="M620" i="12" l="1"/>
  <c r="N620" i="12" s="1"/>
  <c r="O618" i="12"/>
  <c r="M621" i="12" l="1"/>
  <c r="N621" i="12" s="1"/>
  <c r="O619" i="12"/>
  <c r="M622" i="12" l="1"/>
  <c r="N622" i="12" s="1"/>
  <c r="O620" i="12"/>
  <c r="M623" i="12" l="1"/>
  <c r="N623" i="12" s="1"/>
  <c r="O621" i="12"/>
  <c r="M624" i="12" l="1"/>
  <c r="N624" i="12" s="1"/>
  <c r="O622" i="12"/>
  <c r="M625" i="12" l="1"/>
  <c r="N625" i="12" s="1"/>
  <c r="O623" i="12"/>
  <c r="M626" i="12" l="1"/>
  <c r="N626" i="12" s="1"/>
  <c r="O624" i="12"/>
  <c r="M627" i="12" l="1"/>
  <c r="N627" i="12" s="1"/>
  <c r="O625" i="12"/>
  <c r="M628" i="12" l="1"/>
  <c r="N628" i="12" s="1"/>
  <c r="O626" i="12"/>
  <c r="M629" i="12" l="1"/>
  <c r="N629" i="12" s="1"/>
  <c r="O627" i="12"/>
  <c r="M630" i="12" l="1"/>
  <c r="N630" i="12" s="1"/>
  <c r="O628" i="12"/>
  <c r="M631" i="12" l="1"/>
  <c r="N631" i="12" s="1"/>
  <c r="O629" i="12"/>
  <c r="M632" i="12" l="1"/>
  <c r="N632" i="12" s="1"/>
  <c r="O630" i="12"/>
  <c r="M633" i="12" l="1"/>
  <c r="N633" i="12" s="1"/>
  <c r="O631" i="12"/>
  <c r="M634" i="12" l="1"/>
  <c r="N634" i="12" s="1"/>
  <c r="O632" i="12"/>
  <c r="M635" i="12" l="1"/>
  <c r="N635" i="12" s="1"/>
  <c r="O633" i="12"/>
  <c r="M636" i="12" l="1"/>
  <c r="N636" i="12" s="1"/>
  <c r="O634" i="12"/>
  <c r="M637" i="12" l="1"/>
  <c r="N637" i="12" s="1"/>
  <c r="O635" i="12"/>
  <c r="M638" i="12" l="1"/>
  <c r="N638" i="12" s="1"/>
  <c r="O636" i="12"/>
  <c r="M639" i="12" l="1"/>
  <c r="N639" i="12" s="1"/>
  <c r="O637" i="12"/>
  <c r="M640" i="12" l="1"/>
  <c r="N640" i="12" s="1"/>
  <c r="O638" i="12"/>
  <c r="M641" i="12" l="1"/>
  <c r="N641" i="12" s="1"/>
  <c r="O639" i="12"/>
  <c r="M642" i="12" l="1"/>
  <c r="N642" i="12" s="1"/>
  <c r="O640" i="12"/>
  <c r="M643" i="12" l="1"/>
  <c r="N643" i="12" s="1"/>
  <c r="O641" i="12"/>
  <c r="M644" i="12" l="1"/>
  <c r="N644" i="12" s="1"/>
  <c r="O642" i="12"/>
  <c r="M645" i="12" l="1"/>
  <c r="N645" i="12" s="1"/>
  <c r="O643" i="12"/>
  <c r="M646" i="12" l="1"/>
  <c r="N646" i="12" s="1"/>
  <c r="O644" i="12"/>
  <c r="M647" i="12" l="1"/>
  <c r="N647" i="12" s="1"/>
  <c r="O645" i="12"/>
  <c r="M648" i="12" l="1"/>
  <c r="N648" i="12" s="1"/>
  <c r="O646" i="12"/>
  <c r="M649" i="12" l="1"/>
  <c r="N649" i="12" s="1"/>
  <c r="O647" i="12"/>
  <c r="M650" i="12" l="1"/>
  <c r="N650" i="12" s="1"/>
  <c r="O648" i="12"/>
  <c r="M651" i="12" l="1"/>
  <c r="N651" i="12" s="1"/>
  <c r="O649" i="12"/>
  <c r="M652" i="12" l="1"/>
  <c r="N652" i="12" s="1"/>
  <c r="O650" i="12"/>
  <c r="M653" i="12" l="1"/>
  <c r="N653" i="12" s="1"/>
  <c r="O651" i="12"/>
  <c r="M654" i="12" l="1"/>
  <c r="N654" i="12" s="1"/>
  <c r="O652" i="12"/>
  <c r="M655" i="12" l="1"/>
  <c r="N655" i="12" s="1"/>
  <c r="O653" i="12"/>
  <c r="M656" i="12" l="1"/>
  <c r="N656" i="12" s="1"/>
  <c r="O654" i="12"/>
  <c r="M657" i="12" l="1"/>
  <c r="N657" i="12" s="1"/>
  <c r="O655" i="12"/>
  <c r="M658" i="12" l="1"/>
  <c r="N658" i="12" s="1"/>
  <c r="O656" i="12"/>
  <c r="M659" i="12" l="1"/>
  <c r="N659" i="12" s="1"/>
  <c r="O657" i="12"/>
  <c r="M660" i="12" l="1"/>
  <c r="N660" i="12" s="1"/>
  <c r="O658" i="12"/>
  <c r="M661" i="12" l="1"/>
  <c r="N661" i="12" s="1"/>
  <c r="O659" i="12"/>
  <c r="M662" i="12" l="1"/>
  <c r="N662" i="12" s="1"/>
  <c r="O660" i="12"/>
  <c r="M663" i="12" l="1"/>
  <c r="N663" i="12" s="1"/>
  <c r="O661" i="12"/>
  <c r="M664" i="12" l="1"/>
  <c r="N664" i="12" s="1"/>
  <c r="O662" i="12"/>
  <c r="M665" i="12" l="1"/>
  <c r="N665" i="12" s="1"/>
  <c r="O663" i="12"/>
  <c r="M666" i="12" l="1"/>
  <c r="N666" i="12" s="1"/>
  <c r="O664" i="12"/>
  <c r="M667" i="12" l="1"/>
  <c r="N667" i="12" s="1"/>
  <c r="O665" i="12"/>
  <c r="M668" i="12" l="1"/>
  <c r="N668" i="12" s="1"/>
  <c r="O666" i="12"/>
  <c r="M669" i="12" l="1"/>
  <c r="N669" i="12" s="1"/>
  <c r="O667" i="12"/>
  <c r="M670" i="12" l="1"/>
  <c r="N670" i="12" s="1"/>
  <c r="O668" i="12"/>
  <c r="M671" i="12" l="1"/>
  <c r="N671" i="12" s="1"/>
  <c r="O669" i="12"/>
  <c r="M672" i="12" l="1"/>
  <c r="N672" i="12" s="1"/>
  <c r="O670" i="12"/>
  <c r="M673" i="12" l="1"/>
  <c r="N673" i="12" s="1"/>
  <c r="O671" i="12"/>
  <c r="M674" i="12" l="1"/>
  <c r="N674" i="12" s="1"/>
  <c r="O672" i="12"/>
  <c r="M675" i="12" l="1"/>
  <c r="N675" i="12" s="1"/>
  <c r="O673" i="12"/>
  <c r="M676" i="12" l="1"/>
  <c r="N676" i="12" s="1"/>
  <c r="O674" i="12"/>
  <c r="M677" i="12" l="1"/>
  <c r="N677" i="12" s="1"/>
  <c r="O675" i="12"/>
  <c r="M678" i="12" l="1"/>
  <c r="N678" i="12" s="1"/>
  <c r="O676" i="12"/>
  <c r="M679" i="12" l="1"/>
  <c r="N679" i="12" s="1"/>
  <c r="O677" i="12"/>
  <c r="M680" i="12" l="1"/>
  <c r="N680" i="12" s="1"/>
  <c r="O678" i="12"/>
  <c r="M681" i="12" l="1"/>
  <c r="N681" i="12" s="1"/>
  <c r="O679" i="12"/>
  <c r="M682" i="12" l="1"/>
  <c r="N682" i="12" s="1"/>
  <c r="O680" i="12"/>
  <c r="M683" i="12" l="1"/>
  <c r="N683" i="12" s="1"/>
  <c r="O681" i="12"/>
  <c r="M684" i="12" l="1"/>
  <c r="N684" i="12" s="1"/>
  <c r="O682" i="12"/>
  <c r="M685" i="12" l="1"/>
  <c r="N685" i="12" s="1"/>
  <c r="O683" i="12"/>
  <c r="M686" i="12" l="1"/>
  <c r="N686" i="12" s="1"/>
  <c r="O684" i="12"/>
  <c r="M687" i="12" l="1"/>
  <c r="N687" i="12" s="1"/>
  <c r="O685" i="12"/>
  <c r="M688" i="12" l="1"/>
  <c r="N688" i="12" s="1"/>
  <c r="O686" i="12"/>
  <c r="M689" i="12" l="1"/>
  <c r="N689" i="12" s="1"/>
  <c r="O687" i="12"/>
  <c r="M690" i="12" l="1"/>
  <c r="N690" i="12" s="1"/>
  <c r="O688" i="12"/>
  <c r="M691" i="12" l="1"/>
  <c r="N691" i="12" s="1"/>
  <c r="O689" i="12"/>
  <c r="M692" i="12" l="1"/>
  <c r="N692" i="12" s="1"/>
  <c r="O690" i="12"/>
  <c r="M693" i="12" l="1"/>
  <c r="N693" i="12" s="1"/>
  <c r="O691" i="12"/>
  <c r="M694" i="12" l="1"/>
  <c r="N694" i="12" s="1"/>
  <c r="O692" i="12"/>
  <c r="M695" i="12" l="1"/>
  <c r="N695" i="12" s="1"/>
  <c r="O693" i="12"/>
  <c r="M696" i="12" l="1"/>
  <c r="N696" i="12" s="1"/>
  <c r="O694" i="12"/>
  <c r="M697" i="12" l="1"/>
  <c r="N697" i="12" s="1"/>
  <c r="O695" i="12"/>
  <c r="M698" i="12" l="1"/>
  <c r="N698" i="12" s="1"/>
  <c r="O696" i="12"/>
  <c r="M699" i="12" l="1"/>
  <c r="N699" i="12" s="1"/>
  <c r="O697" i="12"/>
  <c r="M700" i="12" l="1"/>
  <c r="N700" i="12" s="1"/>
  <c r="O698" i="12"/>
  <c r="M701" i="12" l="1"/>
  <c r="N701" i="12" s="1"/>
  <c r="O699" i="12"/>
  <c r="M702" i="12" l="1"/>
  <c r="N702" i="12" s="1"/>
  <c r="O700" i="12"/>
  <c r="M703" i="12" l="1"/>
  <c r="N703" i="12" s="1"/>
  <c r="O701" i="12"/>
  <c r="M704" i="12" l="1"/>
  <c r="N704" i="12" s="1"/>
  <c r="O702" i="12"/>
  <c r="M705" i="12" l="1"/>
  <c r="N705" i="12" s="1"/>
  <c r="O703" i="12"/>
  <c r="M706" i="12" l="1"/>
  <c r="N706" i="12" s="1"/>
  <c r="O704" i="12"/>
  <c r="M707" i="12" l="1"/>
  <c r="N707" i="12" s="1"/>
  <c r="O705" i="12"/>
  <c r="M708" i="12" l="1"/>
  <c r="N708" i="12" s="1"/>
  <c r="O706" i="12"/>
  <c r="M709" i="12" l="1"/>
  <c r="N709" i="12" s="1"/>
  <c r="O707" i="12"/>
  <c r="M710" i="12" l="1"/>
  <c r="N710" i="12" s="1"/>
  <c r="O708" i="12"/>
  <c r="M711" i="12" l="1"/>
  <c r="N711" i="12" s="1"/>
  <c r="O709" i="12"/>
  <c r="M712" i="12" l="1"/>
  <c r="N712" i="12" s="1"/>
  <c r="O710" i="12"/>
  <c r="M713" i="12" l="1"/>
  <c r="N713" i="12" s="1"/>
  <c r="O711" i="12"/>
  <c r="M714" i="12" l="1"/>
  <c r="N714" i="12" s="1"/>
  <c r="O712" i="12"/>
  <c r="M715" i="12" l="1"/>
  <c r="N715" i="12" s="1"/>
  <c r="O713" i="12"/>
  <c r="M716" i="12" l="1"/>
  <c r="N716" i="12" s="1"/>
  <c r="O714" i="12"/>
  <c r="M717" i="12" l="1"/>
  <c r="N717" i="12" s="1"/>
  <c r="O715" i="12"/>
  <c r="M718" i="12" l="1"/>
  <c r="N718" i="12" s="1"/>
  <c r="O716" i="12"/>
  <c r="M719" i="12" l="1"/>
  <c r="N719" i="12" s="1"/>
  <c r="O717" i="12"/>
  <c r="M720" i="12" l="1"/>
  <c r="N720" i="12" s="1"/>
  <c r="O718" i="12"/>
  <c r="M721" i="12" l="1"/>
  <c r="N721" i="12" s="1"/>
  <c r="O719" i="12"/>
  <c r="M722" i="12" l="1"/>
  <c r="N722" i="12" s="1"/>
  <c r="O720" i="12"/>
  <c r="M723" i="12" l="1"/>
  <c r="N723" i="12" s="1"/>
  <c r="O721" i="12"/>
  <c r="M724" i="12" l="1"/>
  <c r="N724" i="12" s="1"/>
  <c r="O722" i="12"/>
  <c r="M725" i="12" l="1"/>
  <c r="N725" i="12" s="1"/>
  <c r="O723" i="12"/>
  <c r="M726" i="12" l="1"/>
  <c r="N726" i="12" s="1"/>
  <c r="O724" i="12"/>
  <c r="M727" i="12" l="1"/>
  <c r="N727" i="12" s="1"/>
  <c r="O725" i="12"/>
  <c r="M728" i="12" l="1"/>
  <c r="N728" i="12" s="1"/>
  <c r="O726" i="12"/>
  <c r="M729" i="12" l="1"/>
  <c r="N729" i="12" s="1"/>
  <c r="O727" i="12"/>
  <c r="M730" i="12" l="1"/>
  <c r="N730" i="12" s="1"/>
  <c r="O728" i="12"/>
  <c r="M731" i="12" l="1"/>
  <c r="N731" i="12" s="1"/>
  <c r="O729" i="12"/>
  <c r="M732" i="12" l="1"/>
  <c r="N732" i="12" s="1"/>
  <c r="O730" i="12"/>
  <c r="M733" i="12" l="1"/>
  <c r="N733" i="12" s="1"/>
  <c r="O731" i="12"/>
  <c r="M734" i="12" l="1"/>
  <c r="N734" i="12" s="1"/>
  <c r="O732" i="12"/>
  <c r="M735" i="12" l="1"/>
  <c r="N735" i="12" s="1"/>
  <c r="O733" i="12"/>
  <c r="M736" i="12" l="1"/>
  <c r="N736" i="12" s="1"/>
  <c r="O734" i="12"/>
  <c r="M737" i="12" l="1"/>
  <c r="N737" i="12" s="1"/>
  <c r="O735" i="12"/>
  <c r="M738" i="12" l="1"/>
  <c r="N738" i="12" s="1"/>
  <c r="O736" i="12"/>
  <c r="M739" i="12" l="1"/>
  <c r="N739" i="12" s="1"/>
  <c r="O737" i="12"/>
  <c r="M740" i="12" l="1"/>
  <c r="N740" i="12" s="1"/>
  <c r="O738" i="12"/>
  <c r="M741" i="12" l="1"/>
  <c r="N741" i="12" s="1"/>
  <c r="O739" i="12"/>
  <c r="M742" i="12" l="1"/>
  <c r="N742" i="12" s="1"/>
  <c r="O740" i="12"/>
  <c r="M743" i="12" l="1"/>
  <c r="N743" i="12" s="1"/>
  <c r="O741" i="12"/>
  <c r="M744" i="12" l="1"/>
  <c r="N744" i="12" s="1"/>
  <c r="O742" i="12"/>
  <c r="M745" i="12" l="1"/>
  <c r="N745" i="12" s="1"/>
  <c r="O743" i="12"/>
  <c r="M746" i="12" l="1"/>
  <c r="N746" i="12" s="1"/>
  <c r="O744" i="12"/>
  <c r="M747" i="12" l="1"/>
  <c r="N747" i="12" s="1"/>
  <c r="O745" i="12"/>
  <c r="M748" i="12" l="1"/>
  <c r="N748" i="12" s="1"/>
  <c r="O746" i="12"/>
  <c r="M749" i="12" l="1"/>
  <c r="N749" i="12" s="1"/>
  <c r="O747" i="12"/>
  <c r="M750" i="12" l="1"/>
  <c r="N750" i="12" s="1"/>
  <c r="O748" i="12"/>
  <c r="M751" i="12" l="1"/>
  <c r="N751" i="12" s="1"/>
  <c r="O749" i="12"/>
  <c r="M752" i="12" l="1"/>
  <c r="N752" i="12" s="1"/>
  <c r="O750" i="12"/>
  <c r="M753" i="12" l="1"/>
  <c r="N753" i="12" s="1"/>
  <c r="O751" i="12"/>
  <c r="M754" i="12" l="1"/>
  <c r="N754" i="12" s="1"/>
  <c r="O752" i="12"/>
  <c r="M755" i="12" l="1"/>
  <c r="N755" i="12" s="1"/>
  <c r="O753" i="12"/>
  <c r="M756" i="12" l="1"/>
  <c r="N756" i="12" s="1"/>
  <c r="O754" i="12"/>
  <c r="M757" i="12" l="1"/>
  <c r="N757" i="12" s="1"/>
  <c r="O755" i="12"/>
  <c r="M758" i="12" l="1"/>
  <c r="N758" i="12" s="1"/>
  <c r="O756" i="12"/>
  <c r="M759" i="12" l="1"/>
  <c r="N759" i="12" s="1"/>
  <c r="O757" i="12"/>
  <c r="M760" i="12" l="1"/>
  <c r="N760" i="12" s="1"/>
  <c r="O758" i="12"/>
  <c r="M761" i="12" l="1"/>
  <c r="N761" i="12" s="1"/>
  <c r="O759" i="12"/>
  <c r="M762" i="12" l="1"/>
  <c r="N762" i="12" s="1"/>
  <c r="O760" i="12"/>
  <c r="M763" i="12" l="1"/>
  <c r="N763" i="12" s="1"/>
  <c r="O761" i="12"/>
  <c r="M764" i="12" l="1"/>
  <c r="N764" i="12" s="1"/>
  <c r="O762" i="12"/>
  <c r="M765" i="12" l="1"/>
  <c r="N765" i="12" s="1"/>
  <c r="O763" i="12"/>
  <c r="M766" i="12" l="1"/>
  <c r="N766" i="12" s="1"/>
  <c r="O764" i="12"/>
  <c r="M767" i="12" l="1"/>
  <c r="N767" i="12" s="1"/>
  <c r="O765" i="12"/>
  <c r="M768" i="12" l="1"/>
  <c r="N768" i="12" s="1"/>
  <c r="O766" i="12"/>
  <c r="M769" i="12" l="1"/>
  <c r="N769" i="12" s="1"/>
  <c r="O767" i="12"/>
  <c r="M770" i="12" l="1"/>
  <c r="N770" i="12" s="1"/>
  <c r="O768" i="12"/>
  <c r="M771" i="12" l="1"/>
  <c r="N771" i="12" s="1"/>
  <c r="O769" i="12"/>
  <c r="M772" i="12" l="1"/>
  <c r="N772" i="12" s="1"/>
  <c r="O770" i="12"/>
  <c r="M773" i="12" l="1"/>
  <c r="N773" i="12" s="1"/>
  <c r="O771" i="12"/>
  <c r="M774" i="12" l="1"/>
  <c r="N774" i="12" s="1"/>
  <c r="O772" i="12"/>
  <c r="M775" i="12" l="1"/>
  <c r="N775" i="12" s="1"/>
  <c r="O773" i="12"/>
  <c r="M776" i="12" l="1"/>
  <c r="N776" i="12" s="1"/>
  <c r="O774" i="12"/>
  <c r="M777" i="12" l="1"/>
  <c r="N777" i="12" s="1"/>
  <c r="O775" i="12"/>
  <c r="M778" i="12" l="1"/>
  <c r="N778" i="12" s="1"/>
  <c r="O776" i="12"/>
  <c r="M779" i="12" l="1"/>
  <c r="N779" i="12" s="1"/>
  <c r="O777" i="12"/>
  <c r="M780" i="12" l="1"/>
  <c r="N780" i="12" s="1"/>
  <c r="O778" i="12"/>
  <c r="M781" i="12" l="1"/>
  <c r="N781" i="12" s="1"/>
  <c r="O779" i="12"/>
  <c r="M782" i="12" l="1"/>
  <c r="N782" i="12" s="1"/>
  <c r="O780" i="12"/>
  <c r="M783" i="12" l="1"/>
  <c r="N783" i="12" s="1"/>
  <c r="O781" i="12"/>
  <c r="M784" i="12" l="1"/>
  <c r="N784" i="12" s="1"/>
  <c r="O782" i="12"/>
  <c r="M785" i="12" l="1"/>
  <c r="N785" i="12" s="1"/>
  <c r="O783" i="12"/>
  <c r="M786" i="12" l="1"/>
  <c r="N786" i="12" s="1"/>
  <c r="O784" i="12"/>
  <c r="M787" i="12" l="1"/>
  <c r="N787" i="12" s="1"/>
  <c r="O785" i="12"/>
  <c r="M788" i="12" l="1"/>
  <c r="N788" i="12" s="1"/>
  <c r="O786" i="12"/>
  <c r="M789" i="12" l="1"/>
  <c r="N789" i="12" s="1"/>
  <c r="O787" i="12"/>
  <c r="M790" i="12" l="1"/>
  <c r="N790" i="12" s="1"/>
  <c r="O788" i="12"/>
  <c r="M791" i="12" l="1"/>
  <c r="N791" i="12" s="1"/>
  <c r="O789" i="12"/>
  <c r="M792" i="12" l="1"/>
  <c r="N792" i="12" s="1"/>
  <c r="O790" i="12"/>
  <c r="M793" i="12" l="1"/>
  <c r="N793" i="12" s="1"/>
  <c r="O791" i="12"/>
  <c r="M794" i="12" l="1"/>
  <c r="N794" i="12" s="1"/>
  <c r="O792" i="12"/>
  <c r="M795" i="12" l="1"/>
  <c r="N795" i="12" s="1"/>
  <c r="O793" i="12"/>
  <c r="M796" i="12" l="1"/>
  <c r="N796" i="12" s="1"/>
  <c r="O794" i="12"/>
  <c r="M797" i="12" l="1"/>
  <c r="N797" i="12" s="1"/>
  <c r="O795" i="12"/>
  <c r="M798" i="12" l="1"/>
  <c r="N798" i="12" s="1"/>
  <c r="O796" i="12"/>
  <c r="M799" i="12" l="1"/>
  <c r="N799" i="12" s="1"/>
  <c r="O797" i="12"/>
  <c r="M800" i="12" l="1"/>
  <c r="N800" i="12" s="1"/>
  <c r="O798" i="12"/>
  <c r="M801" i="12" l="1"/>
  <c r="N801" i="12" s="1"/>
  <c r="O799" i="12"/>
  <c r="M802" i="12" l="1"/>
  <c r="N802" i="12" s="1"/>
  <c r="O800" i="12"/>
  <c r="M803" i="12" l="1"/>
  <c r="N803" i="12" s="1"/>
  <c r="O801" i="12"/>
  <c r="M804" i="12" l="1"/>
  <c r="N804" i="12" s="1"/>
  <c r="O802" i="12"/>
  <c r="M805" i="12" l="1"/>
  <c r="N805" i="12" s="1"/>
  <c r="O803" i="12"/>
  <c r="M806" i="12" l="1"/>
  <c r="N806" i="12" s="1"/>
  <c r="O804" i="12"/>
  <c r="M807" i="12" l="1"/>
  <c r="N807" i="12" s="1"/>
  <c r="O805" i="12"/>
  <c r="M808" i="12" l="1"/>
  <c r="N808" i="12" s="1"/>
  <c r="O806" i="12"/>
  <c r="M809" i="12" l="1"/>
  <c r="N809" i="12" s="1"/>
  <c r="O807" i="12"/>
  <c r="M810" i="12" l="1"/>
  <c r="N810" i="12" s="1"/>
  <c r="O808" i="12"/>
  <c r="M811" i="12" l="1"/>
  <c r="N811" i="12" s="1"/>
  <c r="O809" i="12"/>
  <c r="M812" i="12" l="1"/>
  <c r="N812" i="12" s="1"/>
  <c r="O810" i="12"/>
  <c r="M813" i="12" l="1"/>
  <c r="N813" i="12" s="1"/>
  <c r="O811" i="12"/>
  <c r="M814" i="12" l="1"/>
  <c r="N814" i="12" s="1"/>
  <c r="O812" i="12"/>
  <c r="M815" i="12" l="1"/>
  <c r="N815" i="12" s="1"/>
  <c r="O813" i="12"/>
  <c r="M816" i="12" l="1"/>
  <c r="N816" i="12" s="1"/>
  <c r="O814" i="12"/>
  <c r="M817" i="12" l="1"/>
  <c r="N817" i="12" s="1"/>
  <c r="O815" i="12"/>
  <c r="M818" i="12" l="1"/>
  <c r="N818" i="12" s="1"/>
  <c r="O816" i="12"/>
  <c r="M819" i="12" l="1"/>
  <c r="N819" i="12" s="1"/>
  <c r="O817" i="12"/>
  <c r="M820" i="12" l="1"/>
  <c r="N820" i="12" s="1"/>
  <c r="O818" i="12"/>
  <c r="M821" i="12" l="1"/>
  <c r="N821" i="12" s="1"/>
  <c r="O819" i="12"/>
  <c r="M822" i="12" l="1"/>
  <c r="N822" i="12" s="1"/>
  <c r="O820" i="12"/>
  <c r="M823" i="12" l="1"/>
  <c r="N823" i="12" s="1"/>
  <c r="O821" i="12"/>
  <c r="M824" i="12" l="1"/>
  <c r="N824" i="12" s="1"/>
  <c r="O822" i="12"/>
  <c r="M825" i="12" l="1"/>
  <c r="N825" i="12" s="1"/>
  <c r="O823" i="12"/>
  <c r="M826" i="12" l="1"/>
  <c r="N826" i="12" s="1"/>
  <c r="O824" i="12"/>
  <c r="M827" i="12" l="1"/>
  <c r="N827" i="12" s="1"/>
  <c r="O825" i="12"/>
  <c r="M828" i="12" l="1"/>
  <c r="N828" i="12" s="1"/>
  <c r="O826" i="12"/>
  <c r="M829" i="12" l="1"/>
  <c r="N829" i="12" s="1"/>
  <c r="O827" i="12"/>
  <c r="M830" i="12" l="1"/>
  <c r="N830" i="12" s="1"/>
  <c r="O828" i="12"/>
  <c r="M831" i="12" l="1"/>
  <c r="N831" i="12" s="1"/>
  <c r="O829" i="12"/>
  <c r="M832" i="12" l="1"/>
  <c r="N832" i="12" s="1"/>
  <c r="O830" i="12"/>
  <c r="M833" i="12" l="1"/>
  <c r="N833" i="12" s="1"/>
  <c r="O831" i="12"/>
  <c r="M834" i="12" l="1"/>
  <c r="N834" i="12" s="1"/>
  <c r="O832" i="12"/>
  <c r="M835" i="12" l="1"/>
  <c r="N835" i="12" s="1"/>
  <c r="O833" i="12"/>
  <c r="M836" i="12" l="1"/>
  <c r="N836" i="12" s="1"/>
  <c r="O834" i="12"/>
  <c r="M837" i="12" l="1"/>
  <c r="N837" i="12" s="1"/>
  <c r="O835" i="12"/>
  <c r="M838" i="12" l="1"/>
  <c r="N838" i="12" s="1"/>
  <c r="O836" i="12"/>
  <c r="M839" i="12" l="1"/>
  <c r="N839" i="12" s="1"/>
  <c r="O837" i="12"/>
  <c r="M840" i="12" l="1"/>
  <c r="N840" i="12" s="1"/>
  <c r="O838" i="12"/>
  <c r="M841" i="12" l="1"/>
  <c r="N841" i="12" s="1"/>
  <c r="O839" i="12"/>
  <c r="M842" i="12" l="1"/>
  <c r="N842" i="12" s="1"/>
  <c r="O840" i="12"/>
  <c r="M843" i="12" l="1"/>
  <c r="N843" i="12" s="1"/>
  <c r="O841" i="12"/>
  <c r="M844" i="12" l="1"/>
  <c r="N844" i="12" s="1"/>
  <c r="O842" i="12"/>
  <c r="M845" i="12" l="1"/>
  <c r="N845" i="12" s="1"/>
  <c r="O843" i="12"/>
  <c r="M846" i="12" l="1"/>
  <c r="N846" i="12" s="1"/>
  <c r="O844" i="12"/>
  <c r="M847" i="12" l="1"/>
  <c r="N847" i="12" s="1"/>
  <c r="O845" i="12"/>
  <c r="M848" i="12" l="1"/>
  <c r="N848" i="12" s="1"/>
  <c r="O846" i="12"/>
  <c r="M849" i="12" l="1"/>
  <c r="N849" i="12" s="1"/>
  <c r="O847" i="12"/>
  <c r="M850" i="12" l="1"/>
  <c r="N850" i="12" s="1"/>
  <c r="O848" i="12"/>
  <c r="M851" i="12" l="1"/>
  <c r="N851" i="12" s="1"/>
  <c r="O849" i="12"/>
  <c r="M852" i="12" l="1"/>
  <c r="N852" i="12" s="1"/>
  <c r="O850" i="12"/>
  <c r="M853" i="12" l="1"/>
  <c r="N853" i="12" s="1"/>
  <c r="O851" i="12"/>
  <c r="M854" i="12" l="1"/>
  <c r="N854" i="12" s="1"/>
  <c r="O852" i="12"/>
  <c r="M855" i="12" l="1"/>
  <c r="N855" i="12" s="1"/>
  <c r="O853" i="12"/>
  <c r="M856" i="12" l="1"/>
  <c r="N856" i="12" s="1"/>
  <c r="O854" i="12"/>
  <c r="M857" i="12" l="1"/>
  <c r="N857" i="12" s="1"/>
  <c r="O855" i="12"/>
  <c r="M858" i="12" l="1"/>
  <c r="N858" i="12" s="1"/>
  <c r="O856" i="12"/>
  <c r="M859" i="12" l="1"/>
  <c r="N859" i="12" s="1"/>
  <c r="O857" i="12"/>
  <c r="M860" i="12" l="1"/>
  <c r="N860" i="12" s="1"/>
  <c r="O858" i="12"/>
  <c r="M861" i="12" l="1"/>
  <c r="N861" i="12" s="1"/>
  <c r="O859" i="12"/>
  <c r="M862" i="12" l="1"/>
  <c r="N862" i="12" s="1"/>
  <c r="O860" i="12"/>
  <c r="M863" i="12" l="1"/>
  <c r="N863" i="12" s="1"/>
  <c r="O861" i="12"/>
  <c r="M864" i="12" l="1"/>
  <c r="N864" i="12" s="1"/>
  <c r="O862" i="12"/>
  <c r="M865" i="12" l="1"/>
  <c r="N865" i="12" s="1"/>
  <c r="O863" i="12"/>
  <c r="M866" i="12" l="1"/>
  <c r="N866" i="12" s="1"/>
  <c r="O864" i="12"/>
  <c r="M867" i="12" l="1"/>
  <c r="N867" i="12" s="1"/>
  <c r="O865" i="12"/>
  <c r="M868" i="12" l="1"/>
  <c r="N868" i="12" s="1"/>
  <c r="O866" i="12"/>
  <c r="M869" i="12" l="1"/>
  <c r="N869" i="12" s="1"/>
  <c r="O867" i="12"/>
  <c r="M870" i="12" l="1"/>
  <c r="N870" i="12" s="1"/>
  <c r="O868" i="12"/>
  <c r="M871" i="12" l="1"/>
  <c r="N871" i="12" s="1"/>
  <c r="O869" i="12"/>
  <c r="M872" i="12" l="1"/>
  <c r="N872" i="12" s="1"/>
  <c r="O870" i="12"/>
  <c r="M873" i="12" l="1"/>
  <c r="N873" i="12" s="1"/>
  <c r="O871" i="12"/>
  <c r="M874" i="12" l="1"/>
  <c r="N874" i="12" s="1"/>
  <c r="O872" i="12"/>
  <c r="M875" i="12" l="1"/>
  <c r="N875" i="12" s="1"/>
  <c r="O873" i="12"/>
  <c r="M876" i="12" l="1"/>
  <c r="N876" i="12" s="1"/>
  <c r="O874" i="12"/>
  <c r="M877" i="12" l="1"/>
  <c r="N877" i="12" s="1"/>
  <c r="O875" i="12"/>
  <c r="M878" i="12" l="1"/>
  <c r="N878" i="12" s="1"/>
  <c r="O876" i="12"/>
  <c r="M879" i="12" l="1"/>
  <c r="N879" i="12" s="1"/>
  <c r="O877" i="12"/>
  <c r="M880" i="12" l="1"/>
  <c r="N880" i="12" s="1"/>
  <c r="O878" i="12"/>
  <c r="M881" i="12" l="1"/>
  <c r="N881" i="12" s="1"/>
  <c r="O879" i="12"/>
  <c r="M882" i="12" l="1"/>
  <c r="N882" i="12" s="1"/>
  <c r="O880" i="12"/>
  <c r="M883" i="12" l="1"/>
  <c r="N883" i="12" s="1"/>
  <c r="O881" i="12"/>
  <c r="M884" i="12" l="1"/>
  <c r="N884" i="12" s="1"/>
  <c r="O882" i="12"/>
  <c r="M885" i="12" l="1"/>
  <c r="N885" i="12" s="1"/>
  <c r="O883" i="12"/>
  <c r="M886" i="12" l="1"/>
  <c r="N886" i="12" s="1"/>
  <c r="O884" i="12"/>
  <c r="M887" i="12" l="1"/>
  <c r="N887" i="12" s="1"/>
  <c r="O885" i="12"/>
  <c r="M888" i="12" l="1"/>
  <c r="N888" i="12" s="1"/>
  <c r="O886" i="12"/>
  <c r="M889" i="12" l="1"/>
  <c r="N889" i="12" s="1"/>
  <c r="O887" i="12"/>
  <c r="M890" i="12" l="1"/>
  <c r="N890" i="12" s="1"/>
  <c r="O888" i="12"/>
  <c r="M891" i="12" l="1"/>
  <c r="N891" i="12" s="1"/>
  <c r="O889" i="12"/>
  <c r="M892" i="12" l="1"/>
  <c r="N892" i="12" s="1"/>
  <c r="O890" i="12"/>
  <c r="M893" i="12" l="1"/>
  <c r="N893" i="12" s="1"/>
  <c r="O891" i="12"/>
  <c r="M894" i="12" l="1"/>
  <c r="N894" i="12" s="1"/>
  <c r="O892" i="12"/>
  <c r="M895" i="12" l="1"/>
  <c r="N895" i="12" s="1"/>
  <c r="O893" i="12"/>
  <c r="M896" i="12" l="1"/>
  <c r="N896" i="12" s="1"/>
  <c r="O894" i="12"/>
  <c r="M897" i="12" l="1"/>
  <c r="N897" i="12" s="1"/>
  <c r="O895" i="12"/>
  <c r="M898" i="12" l="1"/>
  <c r="N898" i="12" s="1"/>
  <c r="O896" i="12"/>
  <c r="M899" i="12" l="1"/>
  <c r="N899" i="12" s="1"/>
  <c r="O897" i="12"/>
  <c r="M900" i="12" l="1"/>
  <c r="N900" i="12" s="1"/>
  <c r="O898" i="12"/>
  <c r="M901" i="12" l="1"/>
  <c r="N901" i="12" s="1"/>
  <c r="O899" i="12"/>
  <c r="M902" i="12" l="1"/>
  <c r="N902" i="12" s="1"/>
  <c r="O900" i="12"/>
  <c r="M903" i="12" l="1"/>
  <c r="N903" i="12" s="1"/>
  <c r="O901" i="12"/>
  <c r="M904" i="12" l="1"/>
  <c r="N904" i="12" s="1"/>
  <c r="O902" i="12"/>
  <c r="M905" i="12" l="1"/>
  <c r="N905" i="12" s="1"/>
  <c r="O903" i="12"/>
  <c r="M906" i="12" l="1"/>
  <c r="N906" i="12" s="1"/>
  <c r="O904" i="12"/>
  <c r="M907" i="12" l="1"/>
  <c r="N907" i="12" s="1"/>
  <c r="O905" i="12"/>
  <c r="M908" i="12" l="1"/>
  <c r="N908" i="12" s="1"/>
  <c r="O906" i="12"/>
  <c r="M909" i="12" l="1"/>
  <c r="N909" i="12" s="1"/>
  <c r="O907" i="12"/>
  <c r="M910" i="12" l="1"/>
  <c r="N910" i="12" s="1"/>
  <c r="O908" i="12"/>
  <c r="M911" i="12" l="1"/>
  <c r="N911" i="12" s="1"/>
  <c r="O909" i="12"/>
  <c r="M912" i="12" l="1"/>
  <c r="N912" i="12" s="1"/>
  <c r="O910" i="12"/>
  <c r="M913" i="12" l="1"/>
  <c r="N913" i="12" s="1"/>
  <c r="O911" i="12"/>
  <c r="M914" i="12" l="1"/>
  <c r="N914" i="12" s="1"/>
  <c r="O912" i="12"/>
  <c r="M915" i="12" l="1"/>
  <c r="N915" i="12" s="1"/>
  <c r="O913" i="12"/>
  <c r="M916" i="12" l="1"/>
  <c r="N916" i="12" s="1"/>
  <c r="O914" i="12"/>
  <c r="M917" i="12" l="1"/>
  <c r="N917" i="12" s="1"/>
  <c r="O915" i="12"/>
  <c r="M918" i="12" l="1"/>
  <c r="N918" i="12" s="1"/>
  <c r="O916" i="12"/>
  <c r="M919" i="12" l="1"/>
  <c r="N919" i="12" s="1"/>
  <c r="O917" i="12"/>
  <c r="M920" i="12" l="1"/>
  <c r="N920" i="12" s="1"/>
  <c r="O918" i="12"/>
  <c r="M921" i="12" l="1"/>
  <c r="N921" i="12" s="1"/>
  <c r="O919" i="12"/>
  <c r="M922" i="12" l="1"/>
  <c r="N922" i="12" s="1"/>
  <c r="O920" i="12"/>
  <c r="M923" i="12" l="1"/>
  <c r="N923" i="12" s="1"/>
  <c r="O921" i="12"/>
  <c r="M924" i="12" l="1"/>
  <c r="N924" i="12" s="1"/>
  <c r="O922" i="12"/>
  <c r="M925" i="12" l="1"/>
  <c r="N925" i="12" s="1"/>
  <c r="O923" i="12"/>
  <c r="M926" i="12" l="1"/>
  <c r="N926" i="12" s="1"/>
  <c r="O924" i="12"/>
  <c r="M927" i="12" l="1"/>
  <c r="N927" i="12" s="1"/>
  <c r="O925" i="12"/>
  <c r="M928" i="12" l="1"/>
  <c r="N928" i="12" s="1"/>
  <c r="O926" i="12"/>
  <c r="M929" i="12" l="1"/>
  <c r="N929" i="12" s="1"/>
  <c r="O927" i="12"/>
  <c r="M930" i="12" l="1"/>
  <c r="N930" i="12" s="1"/>
  <c r="O928" i="12"/>
  <c r="M931" i="12" l="1"/>
  <c r="N931" i="12" s="1"/>
  <c r="O929" i="12"/>
  <c r="M932" i="12" l="1"/>
  <c r="N932" i="12" s="1"/>
  <c r="O930" i="12"/>
  <c r="M933" i="12" l="1"/>
  <c r="N933" i="12" s="1"/>
  <c r="O931" i="12"/>
  <c r="M934" i="12" l="1"/>
  <c r="N934" i="12" s="1"/>
  <c r="O932" i="12"/>
  <c r="M935" i="12" l="1"/>
  <c r="N935" i="12" s="1"/>
  <c r="O933" i="12"/>
  <c r="M936" i="12" l="1"/>
  <c r="N936" i="12" s="1"/>
  <c r="O934" i="12"/>
  <c r="M937" i="12" l="1"/>
  <c r="N937" i="12" s="1"/>
  <c r="O935" i="12"/>
  <c r="M938" i="12" l="1"/>
  <c r="N938" i="12" s="1"/>
  <c r="O936" i="12"/>
  <c r="M939" i="12" l="1"/>
  <c r="N939" i="12" s="1"/>
  <c r="O937" i="12"/>
  <c r="M940" i="12" l="1"/>
  <c r="N940" i="12" s="1"/>
  <c r="O938" i="12"/>
  <c r="M941" i="12" l="1"/>
  <c r="N941" i="12" s="1"/>
  <c r="O939" i="12"/>
  <c r="M942" i="12" l="1"/>
  <c r="N942" i="12" s="1"/>
  <c r="O940" i="12"/>
  <c r="M943" i="12" l="1"/>
  <c r="N943" i="12" s="1"/>
  <c r="O941" i="12"/>
  <c r="M944" i="12" l="1"/>
  <c r="N944" i="12" s="1"/>
  <c r="O942" i="12"/>
  <c r="M945" i="12" l="1"/>
  <c r="N945" i="12" s="1"/>
  <c r="O943" i="12"/>
  <c r="M946" i="12" l="1"/>
  <c r="N946" i="12" s="1"/>
  <c r="O944" i="12"/>
  <c r="M947" i="12" l="1"/>
  <c r="N947" i="12" s="1"/>
  <c r="O945" i="12"/>
  <c r="M948" i="12" l="1"/>
  <c r="N948" i="12" s="1"/>
  <c r="O946" i="12"/>
  <c r="M949" i="12" l="1"/>
  <c r="N949" i="12" s="1"/>
  <c r="O947" i="12"/>
  <c r="M950" i="12" l="1"/>
  <c r="N950" i="12" s="1"/>
  <c r="O948" i="12"/>
  <c r="M951" i="12" l="1"/>
  <c r="N951" i="12" s="1"/>
  <c r="O949" i="12"/>
  <c r="M952" i="12" l="1"/>
  <c r="N952" i="12" s="1"/>
  <c r="O950" i="12"/>
  <c r="M953" i="12" l="1"/>
  <c r="N953" i="12" s="1"/>
  <c r="O951" i="12"/>
  <c r="M954" i="12" l="1"/>
  <c r="N954" i="12" s="1"/>
  <c r="O952" i="12"/>
  <c r="M955" i="12" l="1"/>
  <c r="N955" i="12" s="1"/>
  <c r="O953" i="12"/>
  <c r="M956" i="12" l="1"/>
  <c r="N956" i="12" s="1"/>
  <c r="O954" i="12"/>
  <c r="M957" i="12" l="1"/>
  <c r="N957" i="12" s="1"/>
  <c r="O955" i="12"/>
  <c r="M958" i="12" l="1"/>
  <c r="N958" i="12" s="1"/>
  <c r="O956" i="12"/>
  <c r="M959" i="12" l="1"/>
  <c r="N959" i="12" s="1"/>
  <c r="O957" i="12"/>
  <c r="M960" i="12" l="1"/>
  <c r="N960" i="12" s="1"/>
  <c r="O958" i="12"/>
  <c r="M961" i="12" l="1"/>
  <c r="N961" i="12" s="1"/>
  <c r="O959" i="12"/>
  <c r="M962" i="12" l="1"/>
  <c r="N962" i="12" s="1"/>
  <c r="O960" i="12"/>
  <c r="M963" i="12" l="1"/>
  <c r="N963" i="12" s="1"/>
  <c r="O961" i="12"/>
  <c r="M964" i="12" l="1"/>
  <c r="N964" i="12" s="1"/>
  <c r="O962" i="12"/>
  <c r="M965" i="12" l="1"/>
  <c r="N965" i="12" s="1"/>
  <c r="O963" i="12"/>
  <c r="M966" i="12" l="1"/>
  <c r="N966" i="12" s="1"/>
  <c r="O964" i="12"/>
  <c r="M967" i="12" l="1"/>
  <c r="N967" i="12" s="1"/>
  <c r="O965" i="12"/>
  <c r="M968" i="12" l="1"/>
  <c r="N968" i="12" s="1"/>
  <c r="O966" i="12"/>
  <c r="M969" i="12" l="1"/>
  <c r="N969" i="12" s="1"/>
  <c r="O967" i="12"/>
  <c r="M970" i="12" l="1"/>
  <c r="N970" i="12" s="1"/>
  <c r="O968" i="12"/>
  <c r="M971" i="12" l="1"/>
  <c r="N971" i="12" s="1"/>
  <c r="O969" i="12"/>
  <c r="M972" i="12" l="1"/>
  <c r="N972" i="12" s="1"/>
  <c r="O970" i="12"/>
  <c r="M973" i="12" l="1"/>
  <c r="N973" i="12" s="1"/>
  <c r="O971" i="12"/>
  <c r="M974" i="12" l="1"/>
  <c r="N974" i="12" s="1"/>
  <c r="O972" i="12"/>
  <c r="M975" i="12" l="1"/>
  <c r="N975" i="12" s="1"/>
  <c r="O973" i="12"/>
  <c r="M976" i="12" l="1"/>
  <c r="N976" i="12" s="1"/>
  <c r="O974" i="12"/>
  <c r="M977" i="12" l="1"/>
  <c r="N977" i="12" s="1"/>
  <c r="O975" i="12"/>
  <c r="M978" i="12" l="1"/>
  <c r="N978" i="12" s="1"/>
  <c r="O976" i="12"/>
  <c r="M979" i="12" l="1"/>
  <c r="N979" i="12" s="1"/>
  <c r="O977" i="12"/>
  <c r="M980" i="12" l="1"/>
  <c r="N980" i="12" s="1"/>
  <c r="O978" i="12"/>
  <c r="M981" i="12" l="1"/>
  <c r="N981" i="12" s="1"/>
  <c r="O979" i="12"/>
  <c r="M982" i="12" l="1"/>
  <c r="N982" i="12" s="1"/>
  <c r="O980" i="12"/>
  <c r="M983" i="12" l="1"/>
  <c r="N983" i="12" s="1"/>
  <c r="O981" i="12"/>
  <c r="M984" i="12" l="1"/>
  <c r="N984" i="12" s="1"/>
  <c r="O982" i="12"/>
  <c r="M985" i="12" l="1"/>
  <c r="N985" i="12" s="1"/>
  <c r="O983" i="12"/>
  <c r="M986" i="12" l="1"/>
  <c r="N986" i="12" s="1"/>
  <c r="O984" i="12"/>
  <c r="M987" i="12" l="1"/>
  <c r="N987" i="12" s="1"/>
  <c r="O985" i="12"/>
  <c r="M988" i="12" l="1"/>
  <c r="N988" i="12" s="1"/>
  <c r="O986" i="12"/>
  <c r="M989" i="12" l="1"/>
  <c r="N989" i="12" s="1"/>
  <c r="O987" i="12"/>
  <c r="M990" i="12" l="1"/>
  <c r="N990" i="12" s="1"/>
  <c r="O988" i="12"/>
  <c r="M991" i="12" l="1"/>
  <c r="N991" i="12" s="1"/>
  <c r="O989" i="12"/>
  <c r="M992" i="12" l="1"/>
  <c r="N992" i="12" s="1"/>
  <c r="O990" i="12"/>
  <c r="M993" i="12" l="1"/>
  <c r="N993" i="12" s="1"/>
  <c r="O991" i="12"/>
  <c r="M994" i="12" l="1"/>
  <c r="N994" i="12" s="1"/>
  <c r="O992" i="12"/>
  <c r="M995" i="12" l="1"/>
  <c r="N995" i="12" s="1"/>
  <c r="O993" i="12"/>
  <c r="M996" i="12" l="1"/>
  <c r="N996" i="12" s="1"/>
  <c r="O994" i="12"/>
  <c r="M997" i="12" l="1"/>
  <c r="N997" i="12" s="1"/>
  <c r="O995" i="12"/>
  <c r="M998" i="12" l="1"/>
  <c r="N998" i="12" s="1"/>
  <c r="O996" i="12"/>
  <c r="M999" i="12" l="1"/>
  <c r="N999" i="12" s="1"/>
  <c r="O997" i="12"/>
  <c r="M1000" i="12" l="1"/>
  <c r="N1000" i="12" s="1"/>
  <c r="O998" i="12"/>
  <c r="M1001" i="12" l="1"/>
  <c r="N1001" i="12" s="1"/>
  <c r="O999" i="12"/>
  <c r="M1002" i="12" l="1"/>
  <c r="N1002" i="12" s="1"/>
  <c r="O1000" i="12"/>
  <c r="M1003" i="12" l="1"/>
  <c r="N1003" i="12" s="1"/>
  <c r="O1001" i="12"/>
  <c r="M1004" i="12" l="1"/>
  <c r="N1004" i="12" s="1"/>
  <c r="O1002" i="12"/>
  <c r="M1005" i="12" l="1"/>
  <c r="N1005" i="12" s="1"/>
  <c r="O1003" i="12"/>
  <c r="M1006" i="12" l="1"/>
  <c r="N1006" i="12" s="1"/>
  <c r="O1004" i="12"/>
  <c r="M1007" i="12" l="1"/>
  <c r="N1007" i="12" s="1"/>
  <c r="O1005" i="12"/>
  <c r="M1008" i="12" l="1"/>
  <c r="N1008" i="12" s="1"/>
  <c r="O1006" i="12"/>
  <c r="M1009" i="12" l="1"/>
  <c r="N1009" i="12" s="1"/>
  <c r="O1007" i="12"/>
  <c r="M1010" i="12" l="1"/>
  <c r="N1010" i="12" s="1"/>
  <c r="O1008" i="12"/>
  <c r="M1011" i="12" l="1"/>
  <c r="N1011" i="12" s="1"/>
  <c r="O1009" i="12"/>
  <c r="M1012" i="12" l="1"/>
  <c r="N1012" i="12" s="1"/>
  <c r="O1010" i="12"/>
  <c r="M1013" i="12" l="1"/>
  <c r="N1013" i="12" s="1"/>
  <c r="O1011" i="12"/>
  <c r="M1014" i="12" l="1"/>
  <c r="N1014" i="12" s="1"/>
  <c r="O1012" i="12"/>
  <c r="M1015" i="12" l="1"/>
  <c r="N1015" i="12" s="1"/>
  <c r="O1013" i="12"/>
  <c r="M1016" i="12" l="1"/>
  <c r="N1016" i="12" s="1"/>
  <c r="O1014" i="12"/>
  <c r="M1017" i="12" l="1"/>
  <c r="N1017" i="12" s="1"/>
  <c r="O1015" i="12"/>
  <c r="M1018" i="12" l="1"/>
  <c r="N1018" i="12" s="1"/>
  <c r="O1016" i="12"/>
  <c r="M1019" i="12" l="1"/>
  <c r="N1019" i="12" s="1"/>
  <c r="O1017" i="12"/>
  <c r="M1020" i="12" l="1"/>
  <c r="N1020" i="12" s="1"/>
  <c r="O1018" i="12"/>
  <c r="M1021" i="12" l="1"/>
  <c r="N1021" i="12" s="1"/>
  <c r="O1019" i="12"/>
  <c r="M1022" i="12" l="1"/>
  <c r="N1022" i="12" s="1"/>
  <c r="O1020" i="12"/>
  <c r="M1023" i="12" l="1"/>
  <c r="N1023" i="12" s="1"/>
  <c r="O1021" i="12"/>
  <c r="M1024" i="12" l="1"/>
  <c r="N1024" i="12" s="1"/>
  <c r="O1022" i="12"/>
  <c r="M1025" i="12" l="1"/>
  <c r="N1025" i="12" s="1"/>
  <c r="O1023" i="12"/>
  <c r="M1026" i="12" l="1"/>
  <c r="N1026" i="12" s="1"/>
  <c r="O1024" i="12"/>
  <c r="M1027" i="12" l="1"/>
  <c r="N1027" i="12" s="1"/>
  <c r="O1025" i="12"/>
  <c r="M1028" i="12" l="1"/>
  <c r="N1028" i="12" s="1"/>
  <c r="O1026" i="12"/>
  <c r="M1029" i="12" l="1"/>
  <c r="N1029" i="12" s="1"/>
  <c r="O1027" i="12"/>
  <c r="M1030" i="12" l="1"/>
  <c r="N1030" i="12" s="1"/>
  <c r="O1028" i="12"/>
  <c r="M1031" i="12" l="1"/>
  <c r="N1031" i="12" s="1"/>
  <c r="O1029" i="12"/>
  <c r="M1032" i="12" l="1"/>
  <c r="N1032" i="12" s="1"/>
  <c r="O1030" i="12"/>
  <c r="M1033" i="12" l="1"/>
  <c r="N1033" i="12" s="1"/>
  <c r="O1031" i="12"/>
  <c r="M1034" i="12" l="1"/>
  <c r="N1034" i="12" s="1"/>
  <c r="O1032" i="12"/>
  <c r="M1035" i="12" l="1"/>
  <c r="N1035" i="12" s="1"/>
  <c r="O1033" i="12"/>
  <c r="M1036" i="12" l="1"/>
  <c r="N1036" i="12" s="1"/>
  <c r="O1034" i="12"/>
  <c r="M1037" i="12" l="1"/>
  <c r="N1037" i="12" s="1"/>
  <c r="O1035" i="12"/>
  <c r="M1038" i="12" l="1"/>
  <c r="N1038" i="12" s="1"/>
  <c r="O1036" i="12"/>
  <c r="M1039" i="12" l="1"/>
  <c r="N1039" i="12" s="1"/>
  <c r="O1037" i="12"/>
  <c r="M1040" i="12" l="1"/>
  <c r="N1040" i="12" s="1"/>
  <c r="O1038" i="12"/>
  <c r="M1041" i="12" l="1"/>
  <c r="N1041" i="12" s="1"/>
  <c r="O1039" i="12"/>
  <c r="M1042" i="12" l="1"/>
  <c r="N1042" i="12" s="1"/>
  <c r="O1040" i="12"/>
  <c r="M1043" i="12" l="1"/>
  <c r="N1043" i="12" s="1"/>
  <c r="O1041" i="12"/>
  <c r="M1044" i="12" l="1"/>
  <c r="N1044" i="12" s="1"/>
  <c r="O1042" i="12"/>
  <c r="M1045" i="12" l="1"/>
  <c r="N1045" i="12" s="1"/>
  <c r="O1043" i="12"/>
  <c r="M1046" i="12" l="1"/>
  <c r="N1046" i="12" s="1"/>
  <c r="O1044" i="12"/>
  <c r="M1047" i="12" l="1"/>
  <c r="N1047" i="12" s="1"/>
  <c r="O1045" i="12"/>
  <c r="M1048" i="12" l="1"/>
  <c r="N1048" i="12" s="1"/>
  <c r="O1046" i="12"/>
  <c r="M1049" i="12" l="1"/>
  <c r="N1049" i="12" s="1"/>
  <c r="O1047" i="12"/>
  <c r="M1050" i="12" l="1"/>
  <c r="N1050" i="12" s="1"/>
  <c r="O1048" i="12"/>
  <c r="M1051" i="12" l="1"/>
  <c r="N1051" i="12" s="1"/>
  <c r="O1049" i="12"/>
  <c r="M1052" i="12" l="1"/>
  <c r="N1052" i="12" s="1"/>
  <c r="O1050" i="12"/>
  <c r="M1053" i="12" l="1"/>
  <c r="N1053" i="12" s="1"/>
  <c r="O1051" i="12"/>
  <c r="M1054" i="12" l="1"/>
  <c r="N1054" i="12" s="1"/>
  <c r="O1052" i="12"/>
  <c r="M1055" i="12" l="1"/>
  <c r="N1055" i="12" s="1"/>
  <c r="O1053" i="12"/>
  <c r="M1056" i="12" l="1"/>
  <c r="N1056" i="12" s="1"/>
  <c r="O1054" i="12"/>
  <c r="M1057" i="12" l="1"/>
  <c r="N1057" i="12" s="1"/>
  <c r="O1055" i="12"/>
  <c r="M1058" i="12" l="1"/>
  <c r="N1058" i="12" s="1"/>
  <c r="O1056" i="12"/>
  <c r="M1059" i="12" l="1"/>
  <c r="N1059" i="12" s="1"/>
  <c r="O1057" i="12"/>
  <c r="M1060" i="12" l="1"/>
  <c r="N1060" i="12" s="1"/>
  <c r="O1058" i="12"/>
  <c r="M1061" i="12" l="1"/>
  <c r="N1061" i="12" s="1"/>
  <c r="O1059" i="12"/>
  <c r="M1062" i="12" l="1"/>
  <c r="N1062" i="12" s="1"/>
  <c r="O1060" i="12"/>
  <c r="M1063" i="12" l="1"/>
  <c r="N1063" i="12" s="1"/>
  <c r="O1061" i="12"/>
  <c r="M1064" i="12" l="1"/>
  <c r="N1064" i="12" s="1"/>
  <c r="O1062" i="12"/>
  <c r="M1065" i="12" l="1"/>
  <c r="N1065" i="12" s="1"/>
  <c r="O1063" i="12"/>
  <c r="M1066" i="12" l="1"/>
  <c r="N1066" i="12" s="1"/>
  <c r="O1064" i="12"/>
  <c r="M1067" i="12" l="1"/>
  <c r="N1067" i="12" s="1"/>
  <c r="O1065" i="12"/>
  <c r="M1068" i="12" l="1"/>
  <c r="N1068" i="12" s="1"/>
  <c r="O1066" i="12"/>
  <c r="M1069" i="12" l="1"/>
  <c r="N1069" i="12" s="1"/>
  <c r="O1067" i="12"/>
  <c r="M1070" i="12" l="1"/>
  <c r="N1070" i="12" s="1"/>
  <c r="O1068" i="12"/>
  <c r="M1071" i="12" l="1"/>
  <c r="N1071" i="12" s="1"/>
  <c r="O1069" i="12"/>
  <c r="M1072" i="12" l="1"/>
  <c r="N1072" i="12" s="1"/>
  <c r="O1070" i="12"/>
  <c r="M1073" i="12" l="1"/>
  <c r="N1073" i="12" s="1"/>
  <c r="O1071" i="12"/>
  <c r="M1074" i="12" l="1"/>
  <c r="N1074" i="12" s="1"/>
  <c r="O1072" i="12"/>
  <c r="M1075" i="12" l="1"/>
  <c r="N1075" i="12" s="1"/>
  <c r="O1073" i="12"/>
  <c r="M1076" i="12" l="1"/>
  <c r="N1076" i="12" s="1"/>
  <c r="O1074" i="12"/>
  <c r="M1077" i="12" l="1"/>
  <c r="N1077" i="12" s="1"/>
  <c r="O1075" i="12"/>
  <c r="M1078" i="12" l="1"/>
  <c r="N1078" i="12" s="1"/>
  <c r="O1076" i="12"/>
  <c r="M1079" i="12" l="1"/>
  <c r="N1079" i="12" s="1"/>
  <c r="O1077" i="12"/>
  <c r="M1080" i="12" l="1"/>
  <c r="N1080" i="12" s="1"/>
  <c r="O1078" i="12"/>
  <c r="M1081" i="12" l="1"/>
  <c r="N1081" i="12" s="1"/>
  <c r="O1079" i="12"/>
  <c r="M1082" i="12" l="1"/>
  <c r="N1082" i="12" s="1"/>
  <c r="O1080" i="12"/>
  <c r="M1083" i="12" l="1"/>
  <c r="N1083" i="12" s="1"/>
  <c r="O1081" i="12"/>
  <c r="M1084" i="12" l="1"/>
  <c r="N1084" i="12" s="1"/>
  <c r="O1082" i="12"/>
  <c r="M1085" i="12" l="1"/>
  <c r="N1085" i="12" s="1"/>
  <c r="O1083" i="12"/>
  <c r="M1086" i="12" l="1"/>
  <c r="N1086" i="12" s="1"/>
  <c r="O1084" i="12"/>
  <c r="M1087" i="12" l="1"/>
  <c r="N1087" i="12" s="1"/>
  <c r="O1085" i="12"/>
  <c r="M1088" i="12" l="1"/>
  <c r="N1088" i="12" s="1"/>
  <c r="O1086" i="12"/>
  <c r="M1089" i="12" l="1"/>
  <c r="N1089" i="12" s="1"/>
  <c r="O1087" i="12"/>
  <c r="M1090" i="12" l="1"/>
  <c r="N1090" i="12" s="1"/>
  <c r="O1088" i="12"/>
  <c r="M1091" i="12" l="1"/>
  <c r="N1091" i="12" s="1"/>
  <c r="O1089" i="12"/>
  <c r="M1092" i="12" l="1"/>
  <c r="N1092" i="12" s="1"/>
  <c r="O1090" i="12"/>
  <c r="M1093" i="12" l="1"/>
  <c r="N1093" i="12" s="1"/>
  <c r="O1091" i="12"/>
  <c r="M1094" i="12" l="1"/>
  <c r="N1094" i="12" s="1"/>
  <c r="O1092" i="12"/>
  <c r="M1095" i="12" l="1"/>
  <c r="N1095" i="12" s="1"/>
  <c r="O1093" i="12"/>
  <c r="M1096" i="12" l="1"/>
  <c r="N1096" i="12" s="1"/>
  <c r="O1094" i="12"/>
  <c r="M1097" i="12" l="1"/>
  <c r="N1097" i="12" s="1"/>
  <c r="O1095" i="12"/>
  <c r="M1098" i="12" l="1"/>
  <c r="N1098" i="12" s="1"/>
  <c r="O1096" i="12"/>
  <c r="M1099" i="12" l="1"/>
  <c r="N1099" i="12" s="1"/>
  <c r="O1097" i="12"/>
  <c r="M1100" i="12" l="1"/>
  <c r="N1100" i="12" s="1"/>
  <c r="O1098" i="12"/>
  <c r="M1101" i="12" l="1"/>
  <c r="N1101" i="12" s="1"/>
  <c r="O1099" i="12"/>
  <c r="M1102" i="12" l="1"/>
  <c r="N1102" i="12" s="1"/>
  <c r="O1100" i="12"/>
  <c r="M1103" i="12" l="1"/>
  <c r="N1103" i="12" s="1"/>
  <c r="O1101" i="12"/>
  <c r="M1104" i="12" l="1"/>
  <c r="N1104" i="12" s="1"/>
  <c r="O1102" i="12"/>
  <c r="M1105" i="12" l="1"/>
  <c r="N1105" i="12" s="1"/>
  <c r="O1103" i="12"/>
  <c r="M1106" i="12" l="1"/>
  <c r="N1106" i="12" s="1"/>
  <c r="O1104" i="12"/>
  <c r="M1107" i="12" l="1"/>
  <c r="N1107" i="12" s="1"/>
  <c r="O1105" i="12"/>
  <c r="M1108" i="12" l="1"/>
  <c r="N1108" i="12" s="1"/>
  <c r="O1106" i="12"/>
  <c r="M1109" i="12" l="1"/>
  <c r="N1109" i="12" s="1"/>
  <c r="O1107" i="12"/>
  <c r="M1110" i="12" l="1"/>
  <c r="N1110" i="12" s="1"/>
  <c r="O1108" i="12"/>
  <c r="M1111" i="12" l="1"/>
  <c r="N1111" i="12" s="1"/>
  <c r="O1109" i="12"/>
  <c r="M1112" i="12" l="1"/>
  <c r="N1112" i="12" s="1"/>
  <c r="O1110" i="12"/>
  <c r="M1113" i="12" l="1"/>
  <c r="N1113" i="12" s="1"/>
  <c r="O1111" i="12"/>
  <c r="M1114" i="12" l="1"/>
  <c r="N1114" i="12" s="1"/>
  <c r="O1112" i="12"/>
  <c r="M1115" i="12" l="1"/>
  <c r="N1115" i="12" s="1"/>
  <c r="O1113" i="12"/>
  <c r="M1116" i="12" l="1"/>
  <c r="N1116" i="12" s="1"/>
  <c r="O1114" i="12"/>
  <c r="M1117" i="12" l="1"/>
  <c r="N1117" i="12" s="1"/>
  <c r="O1115" i="12"/>
  <c r="M1118" i="12" l="1"/>
  <c r="N1118" i="12" s="1"/>
  <c r="O1116" i="12"/>
  <c r="M1119" i="12" l="1"/>
  <c r="N1119" i="12" s="1"/>
  <c r="O1117" i="12"/>
  <c r="M1120" i="12" l="1"/>
  <c r="N1120" i="12" s="1"/>
  <c r="O1118" i="12"/>
  <c r="M1121" i="12" l="1"/>
  <c r="N1121" i="12" s="1"/>
  <c r="O1119" i="12"/>
  <c r="M1122" i="12" l="1"/>
  <c r="N1122" i="12" s="1"/>
  <c r="O1120" i="12"/>
  <c r="M1123" i="12" l="1"/>
  <c r="N1123" i="12" s="1"/>
  <c r="O1121" i="12"/>
  <c r="M1124" i="12" l="1"/>
  <c r="N1124" i="12" s="1"/>
  <c r="O1122" i="12"/>
  <c r="M1125" i="12" l="1"/>
  <c r="N1125" i="12" s="1"/>
  <c r="O1123" i="12"/>
  <c r="M1126" i="12" l="1"/>
  <c r="N1126" i="12" s="1"/>
  <c r="O1124" i="12"/>
  <c r="M1127" i="12" l="1"/>
  <c r="N1127" i="12" s="1"/>
  <c r="O1125" i="12"/>
  <c r="M1128" i="12" l="1"/>
  <c r="N1128" i="12" s="1"/>
  <c r="O1126" i="12"/>
  <c r="M1129" i="12" l="1"/>
  <c r="N1129" i="12" s="1"/>
  <c r="O1127" i="12"/>
  <c r="M1130" i="12" l="1"/>
  <c r="N1130" i="12" s="1"/>
  <c r="O1128" i="12"/>
  <c r="M1131" i="12" l="1"/>
  <c r="N1131" i="12" s="1"/>
  <c r="O1129" i="12"/>
  <c r="M1132" i="12" l="1"/>
  <c r="N1132" i="12" s="1"/>
  <c r="O1130" i="12"/>
  <c r="M1133" i="12" l="1"/>
  <c r="N1133" i="12" s="1"/>
  <c r="O1131" i="12"/>
  <c r="M1134" i="12" l="1"/>
  <c r="N1134" i="12" s="1"/>
  <c r="O1132" i="12"/>
  <c r="M1135" i="12" l="1"/>
  <c r="N1135" i="12" s="1"/>
  <c r="O1133" i="12"/>
  <c r="M1136" i="12" l="1"/>
  <c r="N1136" i="12" s="1"/>
  <c r="O1134" i="12"/>
  <c r="M1137" i="12" l="1"/>
  <c r="N1137" i="12" s="1"/>
  <c r="O1135" i="12"/>
  <c r="M1138" i="12" l="1"/>
  <c r="N1138" i="12" s="1"/>
  <c r="O1136" i="12"/>
  <c r="M1139" i="12" l="1"/>
  <c r="N1139" i="12" s="1"/>
  <c r="O1137" i="12"/>
  <c r="M1140" i="12" l="1"/>
  <c r="N1140" i="12" s="1"/>
  <c r="O1138" i="12"/>
  <c r="M1141" i="12" l="1"/>
  <c r="N1141" i="12" s="1"/>
  <c r="O1139" i="12"/>
  <c r="M1142" i="12" l="1"/>
  <c r="N1142" i="12" s="1"/>
  <c r="O1140" i="12"/>
  <c r="M1143" i="12" l="1"/>
  <c r="N1143" i="12" s="1"/>
  <c r="O1141" i="12"/>
  <c r="M1144" i="12" l="1"/>
  <c r="N1144" i="12" s="1"/>
  <c r="O1142" i="12"/>
  <c r="M1145" i="12" l="1"/>
  <c r="N1145" i="12" s="1"/>
  <c r="O1143" i="12"/>
  <c r="M1146" i="12" l="1"/>
  <c r="N1146" i="12" s="1"/>
  <c r="O1144" i="12"/>
  <c r="M1147" i="12" l="1"/>
  <c r="N1147" i="12" s="1"/>
  <c r="O1145" i="12"/>
  <c r="M1148" i="12" l="1"/>
  <c r="N1148" i="12" s="1"/>
  <c r="O1146" i="12"/>
  <c r="M1149" i="12" l="1"/>
  <c r="N1149" i="12" s="1"/>
  <c r="O1147" i="12"/>
  <c r="M1150" i="12" l="1"/>
  <c r="N1150" i="12" s="1"/>
  <c r="O1148" i="12"/>
  <c r="M1151" i="12" l="1"/>
  <c r="N1151" i="12" s="1"/>
  <c r="O1149" i="12"/>
  <c r="M1152" i="12" l="1"/>
  <c r="N1152" i="12" s="1"/>
  <c r="O1150" i="12"/>
  <c r="M1153" i="12" l="1"/>
  <c r="N1153" i="12" s="1"/>
  <c r="O1151" i="12"/>
  <c r="M1154" i="12" l="1"/>
  <c r="N1154" i="12" s="1"/>
  <c r="O1152" i="12"/>
  <c r="M1155" i="12" l="1"/>
  <c r="N1155" i="12" s="1"/>
  <c r="O1153" i="12"/>
  <c r="M1156" i="12" l="1"/>
  <c r="N1156" i="12" s="1"/>
  <c r="O1154" i="12"/>
  <c r="M1157" i="12" l="1"/>
  <c r="N1157" i="12" s="1"/>
  <c r="O1155" i="12"/>
  <c r="M1158" i="12" l="1"/>
  <c r="N1158" i="12" s="1"/>
  <c r="O1156" i="12"/>
  <c r="M1159" i="12" l="1"/>
  <c r="N1159" i="12" s="1"/>
  <c r="O1157" i="12"/>
  <c r="M1160" i="12" l="1"/>
  <c r="N1160" i="12" s="1"/>
  <c r="O1158" i="12"/>
  <c r="M1161" i="12" l="1"/>
  <c r="N1161" i="12" s="1"/>
  <c r="O1159" i="12"/>
  <c r="M1162" i="12" l="1"/>
  <c r="N1162" i="12" s="1"/>
  <c r="O1160" i="12"/>
  <c r="M1163" i="12" l="1"/>
  <c r="N1163" i="12" s="1"/>
  <c r="O1161" i="12"/>
  <c r="M1164" i="12" l="1"/>
  <c r="N1164" i="12" s="1"/>
  <c r="O1162" i="12"/>
  <c r="M1165" i="12" l="1"/>
  <c r="N1165" i="12" s="1"/>
  <c r="O1163" i="12"/>
  <c r="M1166" i="12" l="1"/>
  <c r="N1166" i="12" s="1"/>
  <c r="O1164" i="12"/>
  <c r="M1167" i="12" l="1"/>
  <c r="N1167" i="12" s="1"/>
  <c r="O1165" i="12"/>
  <c r="M1168" i="12" l="1"/>
  <c r="N1168" i="12" s="1"/>
  <c r="O1166" i="12"/>
  <c r="M1169" i="12" l="1"/>
  <c r="N1169" i="12" s="1"/>
  <c r="O1167" i="12"/>
  <c r="M1170" i="12" l="1"/>
  <c r="N1170" i="12" s="1"/>
  <c r="O1168" i="12"/>
  <c r="M1171" i="12" l="1"/>
  <c r="N1171" i="12" s="1"/>
  <c r="O1169" i="12"/>
  <c r="M1172" i="12" l="1"/>
  <c r="N1172" i="12" s="1"/>
  <c r="O1170" i="12"/>
  <c r="M1173" i="12" l="1"/>
  <c r="N1173" i="12" s="1"/>
  <c r="O1171" i="12"/>
  <c r="M1174" i="12" l="1"/>
  <c r="N1174" i="12" s="1"/>
  <c r="O1172" i="12"/>
  <c r="M1175" i="12" l="1"/>
  <c r="N1175" i="12" s="1"/>
  <c r="O1173" i="12"/>
  <c r="M1176" i="12" l="1"/>
  <c r="N1176" i="12" s="1"/>
  <c r="O1174" i="12"/>
  <c r="M1177" i="12" l="1"/>
  <c r="N1177" i="12" s="1"/>
  <c r="O1175" i="12"/>
  <c r="M1178" i="12" l="1"/>
  <c r="N1178" i="12" s="1"/>
  <c r="O1176" i="12"/>
  <c r="M1179" i="12" l="1"/>
  <c r="N1179" i="12" s="1"/>
  <c r="O1177" i="12"/>
  <c r="M1180" i="12" l="1"/>
  <c r="N1180" i="12" s="1"/>
  <c r="O1178" i="12"/>
  <c r="M1181" i="12" l="1"/>
  <c r="N1181" i="12" s="1"/>
  <c r="O1179" i="12"/>
  <c r="M1182" i="12" l="1"/>
  <c r="N1182" i="12" s="1"/>
  <c r="O1180" i="12"/>
  <c r="M1183" i="12" l="1"/>
  <c r="N1183" i="12" s="1"/>
  <c r="O1181" i="12"/>
  <c r="M1184" i="12" l="1"/>
  <c r="N1184" i="12" s="1"/>
  <c r="O1182" i="12"/>
  <c r="M1185" i="12" l="1"/>
  <c r="N1185" i="12" s="1"/>
  <c r="O1183" i="12"/>
  <c r="M1186" i="12" l="1"/>
  <c r="N1186" i="12" s="1"/>
  <c r="O1184" i="12"/>
  <c r="M1187" i="12" l="1"/>
  <c r="N1187" i="12" s="1"/>
  <c r="O1185" i="12"/>
  <c r="M1188" i="12" l="1"/>
  <c r="N1188" i="12" s="1"/>
  <c r="O1186" i="12"/>
  <c r="M1189" i="12" l="1"/>
  <c r="N1189" i="12" s="1"/>
  <c r="O1187" i="12"/>
  <c r="M1190" i="12" l="1"/>
  <c r="N1190" i="12" s="1"/>
  <c r="O1188" i="12"/>
  <c r="M1191" i="12" l="1"/>
  <c r="N1191" i="12" s="1"/>
  <c r="O1189" i="12"/>
  <c r="M1192" i="12" l="1"/>
  <c r="N1192" i="12" s="1"/>
  <c r="O1190" i="12"/>
  <c r="M1193" i="12" l="1"/>
  <c r="N1193" i="12" s="1"/>
  <c r="O1191" i="12"/>
  <c r="M1194" i="12" l="1"/>
  <c r="N1194" i="12" s="1"/>
  <c r="O1192" i="12"/>
  <c r="M1195" i="12" l="1"/>
  <c r="N1195" i="12" s="1"/>
  <c r="O1193" i="12"/>
  <c r="M1196" i="12" l="1"/>
  <c r="N1196" i="12" s="1"/>
  <c r="O1194" i="12"/>
  <c r="M1197" i="12" l="1"/>
  <c r="N1197" i="12" s="1"/>
  <c r="O1195" i="12"/>
  <c r="M1198" i="12" l="1"/>
  <c r="N1198" i="12" s="1"/>
  <c r="O1196" i="12"/>
  <c r="M1199" i="12" l="1"/>
  <c r="N1199" i="12" s="1"/>
  <c r="O1197" i="12"/>
  <c r="M1200" i="12" l="1"/>
  <c r="N1200" i="12" s="1"/>
  <c r="O1198" i="12"/>
  <c r="M1201" i="12" l="1"/>
  <c r="N1201" i="12" s="1"/>
  <c r="O1199" i="12"/>
  <c r="M1202" i="12" l="1"/>
  <c r="N1202" i="12" s="1"/>
  <c r="O1200" i="12"/>
  <c r="M1203" i="12" l="1"/>
  <c r="N1203" i="12" s="1"/>
  <c r="O1201" i="12"/>
  <c r="M1204" i="12" l="1"/>
  <c r="N1204" i="12" s="1"/>
  <c r="O1202" i="12"/>
  <c r="M1205" i="12" l="1"/>
  <c r="N1205" i="12" s="1"/>
  <c r="O1203" i="12"/>
  <c r="M1206" i="12" l="1"/>
  <c r="N1206" i="12" s="1"/>
  <c r="O1204" i="12"/>
  <c r="M1207" i="12" l="1"/>
  <c r="N1207" i="12" s="1"/>
  <c r="O1205" i="12"/>
  <c r="M1208" i="12" l="1"/>
  <c r="N1208" i="12" s="1"/>
  <c r="O1206" i="12"/>
  <c r="M1209" i="12" l="1"/>
  <c r="N1209" i="12" s="1"/>
  <c r="O1207" i="12"/>
  <c r="M1210" i="12" l="1"/>
  <c r="N1210" i="12" s="1"/>
  <c r="O1208" i="12"/>
  <c r="M1211" i="12" l="1"/>
  <c r="N1211" i="12" s="1"/>
  <c r="O1209" i="12"/>
  <c r="M1212" i="12" l="1"/>
  <c r="N1212" i="12" s="1"/>
  <c r="O1210" i="12"/>
  <c r="M1213" i="12" l="1"/>
  <c r="N1213" i="12" s="1"/>
  <c r="O1211" i="12"/>
  <c r="M1214" i="12" l="1"/>
  <c r="N1214" i="12" s="1"/>
  <c r="O1212" i="12"/>
  <c r="M1215" i="12" l="1"/>
  <c r="N1215" i="12" s="1"/>
  <c r="O1213" i="12"/>
  <c r="M1216" i="12" l="1"/>
  <c r="N1216" i="12" s="1"/>
  <c r="O1214" i="12"/>
  <c r="M1217" i="12" l="1"/>
  <c r="N1217" i="12" s="1"/>
  <c r="O1215" i="12"/>
  <c r="M1218" i="12" l="1"/>
  <c r="N1218" i="12" s="1"/>
  <c r="O1216" i="12"/>
  <c r="M1219" i="12" l="1"/>
  <c r="N1219" i="12" s="1"/>
  <c r="O1217" i="12"/>
  <c r="M1220" i="12" l="1"/>
  <c r="N1220" i="12" s="1"/>
  <c r="O1218" i="12"/>
  <c r="M1221" i="12" l="1"/>
  <c r="N1221" i="12" s="1"/>
  <c r="O1219" i="12"/>
  <c r="M1222" i="12" l="1"/>
  <c r="N1222" i="12" s="1"/>
  <c r="O1220" i="12"/>
  <c r="M1223" i="12" l="1"/>
  <c r="N1223" i="12" s="1"/>
  <c r="O1221" i="12"/>
  <c r="M1224" i="12" l="1"/>
  <c r="N1224" i="12" s="1"/>
  <c r="O1222" i="12"/>
  <c r="M1225" i="12" l="1"/>
  <c r="N1225" i="12" s="1"/>
  <c r="O1223" i="12"/>
  <c r="M1226" i="12" l="1"/>
  <c r="N1226" i="12" s="1"/>
  <c r="O1224" i="12"/>
  <c r="M1227" i="12" l="1"/>
  <c r="N1227" i="12" s="1"/>
  <c r="O1225" i="12"/>
  <c r="M1228" i="12" l="1"/>
  <c r="N1228" i="12" s="1"/>
  <c r="O1226" i="12"/>
  <c r="M1229" i="12" l="1"/>
  <c r="N1229" i="12" s="1"/>
  <c r="O1227" i="12"/>
  <c r="M1230" i="12" l="1"/>
  <c r="N1230" i="12" s="1"/>
  <c r="O1228" i="12"/>
  <c r="M1231" i="12" l="1"/>
  <c r="N1231" i="12" s="1"/>
  <c r="O1229" i="12"/>
  <c r="M1232" i="12" l="1"/>
  <c r="N1232" i="12" s="1"/>
  <c r="O1230" i="12"/>
  <c r="M1233" i="12" l="1"/>
  <c r="N1233" i="12" s="1"/>
  <c r="O1231" i="12"/>
  <c r="M1234" i="12" l="1"/>
  <c r="N1234" i="12" s="1"/>
  <c r="O1232" i="12"/>
  <c r="M1235" i="12" l="1"/>
  <c r="N1235" i="12" s="1"/>
  <c r="O1233" i="12"/>
  <c r="M1236" i="12" l="1"/>
  <c r="N1236" i="12" s="1"/>
  <c r="O1234" i="12"/>
  <c r="M1237" i="12" l="1"/>
  <c r="N1237" i="12" s="1"/>
  <c r="O1235" i="12"/>
  <c r="M1238" i="12" l="1"/>
  <c r="N1238" i="12" s="1"/>
  <c r="O1236" i="12"/>
  <c r="M1239" i="12" l="1"/>
  <c r="N1239" i="12" s="1"/>
  <c r="O1237" i="12"/>
  <c r="M1240" i="12" l="1"/>
  <c r="N1240" i="12" s="1"/>
  <c r="O1238" i="12"/>
  <c r="M1241" i="12" l="1"/>
  <c r="N1241" i="12" s="1"/>
  <c r="O1239" i="12"/>
  <c r="M1242" i="12" l="1"/>
  <c r="N1242" i="12" s="1"/>
  <c r="O1240" i="12"/>
  <c r="M1243" i="12" l="1"/>
  <c r="N1243" i="12" s="1"/>
  <c r="O1241" i="12"/>
  <c r="M1244" i="12" l="1"/>
  <c r="N1244" i="12" s="1"/>
  <c r="O1242" i="12"/>
  <c r="M1245" i="12" l="1"/>
  <c r="N1245" i="12" s="1"/>
  <c r="O1243" i="12"/>
  <c r="M1246" i="12" l="1"/>
  <c r="N1246" i="12" s="1"/>
  <c r="O1244" i="12"/>
  <c r="M1247" i="12" l="1"/>
  <c r="N1247" i="12" s="1"/>
  <c r="O1245" i="12"/>
  <c r="M1248" i="12" l="1"/>
  <c r="N1248" i="12" s="1"/>
  <c r="O1246" i="12"/>
  <c r="M1249" i="12" l="1"/>
  <c r="N1249" i="12" s="1"/>
  <c r="O1247" i="12"/>
  <c r="M1250" i="12" l="1"/>
  <c r="N1250" i="12" s="1"/>
  <c r="O1248" i="12"/>
  <c r="M1251" i="12" l="1"/>
  <c r="N1251" i="12" s="1"/>
  <c r="O1249" i="12"/>
  <c r="M1252" i="12" l="1"/>
  <c r="N1252" i="12" s="1"/>
  <c r="O1250" i="12"/>
  <c r="M1253" i="12" l="1"/>
  <c r="N1253" i="12" s="1"/>
  <c r="O1251" i="12"/>
  <c r="M1254" i="12" l="1"/>
  <c r="N1254" i="12" s="1"/>
  <c r="O1252" i="12"/>
  <c r="M1255" i="12" l="1"/>
  <c r="N1255" i="12" s="1"/>
  <c r="O1253" i="12"/>
  <c r="M1256" i="12" l="1"/>
  <c r="N1256" i="12" s="1"/>
  <c r="O1254" i="12"/>
  <c r="M1257" i="12" l="1"/>
  <c r="N1257" i="12" s="1"/>
  <c r="O1255" i="12"/>
  <c r="M1258" i="12" l="1"/>
  <c r="N1258" i="12" s="1"/>
  <c r="O1256" i="12"/>
  <c r="M1259" i="12" l="1"/>
  <c r="N1259" i="12" s="1"/>
  <c r="O1257" i="12"/>
  <c r="M1260" i="12" l="1"/>
  <c r="N1260" i="12" s="1"/>
  <c r="O1258" i="12"/>
  <c r="M1261" i="12" l="1"/>
  <c r="N1261" i="12" s="1"/>
  <c r="O1259" i="12"/>
  <c r="M1262" i="12" l="1"/>
  <c r="N1262" i="12" s="1"/>
  <c r="O1260" i="12"/>
  <c r="M1263" i="12" l="1"/>
  <c r="N1263" i="12" s="1"/>
  <c r="O1261" i="12"/>
  <c r="M1264" i="12" l="1"/>
  <c r="N1264" i="12" s="1"/>
  <c r="O1262" i="12"/>
  <c r="M1265" i="12" l="1"/>
  <c r="N1265" i="12" s="1"/>
  <c r="O1263" i="12"/>
  <c r="M1266" i="12" l="1"/>
  <c r="N1266" i="12" s="1"/>
  <c r="O1264" i="12"/>
  <c r="M1267" i="12" l="1"/>
  <c r="N1267" i="12" s="1"/>
  <c r="O1265" i="12"/>
  <c r="M1268" i="12" l="1"/>
  <c r="N1268" i="12" s="1"/>
  <c r="O1266" i="12"/>
  <c r="M1269" i="12" l="1"/>
  <c r="N1269" i="12" s="1"/>
  <c r="O1267" i="12"/>
  <c r="M1270" i="12" l="1"/>
  <c r="N1270" i="12" s="1"/>
  <c r="O1268" i="12"/>
  <c r="M1271" i="12" l="1"/>
  <c r="N1271" i="12" s="1"/>
  <c r="O1269" i="12"/>
  <c r="M1272" i="12" l="1"/>
  <c r="N1272" i="12" s="1"/>
  <c r="O1270" i="12"/>
  <c r="M1273" i="12" l="1"/>
  <c r="N1273" i="12" s="1"/>
  <c r="O1271" i="12"/>
  <c r="M1274" i="12" l="1"/>
  <c r="N1274" i="12" s="1"/>
  <c r="O1272" i="12"/>
  <c r="M1275" i="12" l="1"/>
  <c r="N1275" i="12" s="1"/>
  <c r="O1273" i="12"/>
  <c r="M1276" i="12" l="1"/>
  <c r="N1276" i="12" s="1"/>
  <c r="O1274" i="12"/>
  <c r="M1277" i="12" l="1"/>
  <c r="N1277" i="12" s="1"/>
  <c r="O1275" i="12"/>
  <c r="M1278" i="12" l="1"/>
  <c r="N1278" i="12" s="1"/>
  <c r="O1276" i="12"/>
  <c r="M1279" i="12" l="1"/>
  <c r="N1279" i="12" s="1"/>
  <c r="O1277" i="12"/>
  <c r="M1280" i="12" l="1"/>
  <c r="N1280" i="12" s="1"/>
  <c r="O1278" i="12"/>
  <c r="M1281" i="12" l="1"/>
  <c r="N1281" i="12" s="1"/>
  <c r="O1279" i="12"/>
  <c r="M1282" i="12" l="1"/>
  <c r="N1282" i="12" s="1"/>
  <c r="O1280" i="12"/>
  <c r="M1283" i="12" l="1"/>
  <c r="N1283" i="12" s="1"/>
  <c r="O1281" i="12"/>
  <c r="M1284" i="12" l="1"/>
  <c r="N1284" i="12" s="1"/>
  <c r="O1282" i="12"/>
  <c r="M1285" i="12" l="1"/>
  <c r="N1285" i="12" s="1"/>
  <c r="O1283" i="12"/>
  <c r="M1286" i="12" l="1"/>
  <c r="N1286" i="12" s="1"/>
  <c r="O1284" i="12"/>
  <c r="M1287" i="12" l="1"/>
  <c r="N1287" i="12" s="1"/>
  <c r="O1285" i="12"/>
  <c r="M1288" i="12" l="1"/>
  <c r="N1288" i="12" s="1"/>
  <c r="O1286" i="12"/>
  <c r="M1289" i="12" l="1"/>
  <c r="N1289" i="12" s="1"/>
  <c r="O1287" i="12"/>
  <c r="M1290" i="12" l="1"/>
  <c r="N1290" i="12" s="1"/>
  <c r="O1288" i="12"/>
  <c r="M1291" i="12" l="1"/>
  <c r="N1291" i="12" s="1"/>
  <c r="O1289" i="12"/>
  <c r="M1292" i="12" l="1"/>
  <c r="N1292" i="12" s="1"/>
  <c r="O1290" i="12"/>
  <c r="M1293" i="12" l="1"/>
  <c r="N1293" i="12" s="1"/>
  <c r="O1291" i="12"/>
  <c r="M1294" i="12" l="1"/>
  <c r="N1294" i="12" s="1"/>
  <c r="O1292" i="12"/>
  <c r="M1295" i="12" l="1"/>
  <c r="N1295" i="12" s="1"/>
  <c r="O1293" i="12"/>
  <c r="M1296" i="12" l="1"/>
  <c r="N1296" i="12" s="1"/>
  <c r="O1294" i="12"/>
  <c r="M1297" i="12" l="1"/>
  <c r="N1297" i="12" s="1"/>
  <c r="O1295" i="12"/>
  <c r="M1298" i="12" l="1"/>
  <c r="N1298" i="12" s="1"/>
  <c r="O1296" i="12"/>
  <c r="M1299" i="12" l="1"/>
  <c r="N1299" i="12" s="1"/>
  <c r="O1297" i="12"/>
  <c r="M1300" i="12" l="1"/>
  <c r="N1300" i="12" s="1"/>
  <c r="O1298" i="12"/>
  <c r="M1301" i="12" l="1"/>
  <c r="N1301" i="12" s="1"/>
  <c r="O1299" i="12"/>
  <c r="M1302" i="12" l="1"/>
  <c r="N1302" i="12" s="1"/>
  <c r="O1300" i="12"/>
  <c r="M1303" i="12" l="1"/>
  <c r="N1303" i="12" s="1"/>
  <c r="O1301" i="12"/>
  <c r="M1304" i="12" l="1"/>
  <c r="N1304" i="12" s="1"/>
  <c r="O1302" i="12"/>
  <c r="M1305" i="12" l="1"/>
  <c r="N1305" i="12" s="1"/>
  <c r="O1303" i="12"/>
  <c r="M1306" i="12" l="1"/>
  <c r="N1306" i="12" s="1"/>
  <c r="O1304" i="12"/>
  <c r="M1307" i="12" l="1"/>
  <c r="N1307" i="12" s="1"/>
  <c r="O1305" i="12"/>
  <c r="M1308" i="12" l="1"/>
  <c r="N1308" i="12" s="1"/>
  <c r="O1306" i="12"/>
  <c r="M1309" i="12" l="1"/>
  <c r="N1309" i="12" s="1"/>
  <c r="O1307" i="12"/>
  <c r="M1310" i="12" l="1"/>
  <c r="N1310" i="12" s="1"/>
  <c r="O1308" i="12"/>
  <c r="M1311" i="12" l="1"/>
  <c r="N1311" i="12" s="1"/>
  <c r="O1309" i="12"/>
  <c r="M1312" i="12" l="1"/>
  <c r="N1312" i="12" s="1"/>
  <c r="O1310" i="12"/>
  <c r="M1313" i="12" l="1"/>
  <c r="N1313" i="12" s="1"/>
  <c r="O1311" i="12"/>
  <c r="M1314" i="12" l="1"/>
  <c r="N1314" i="12" s="1"/>
  <c r="O1312" i="12"/>
  <c r="M1315" i="12" l="1"/>
  <c r="N1315" i="12" s="1"/>
  <c r="O1313" i="12"/>
  <c r="M1316" i="12" l="1"/>
  <c r="N1316" i="12" s="1"/>
  <c r="O1314" i="12"/>
  <c r="M1317" i="12" l="1"/>
  <c r="N1317" i="12" s="1"/>
  <c r="O1315" i="12"/>
  <c r="M1318" i="12" l="1"/>
  <c r="N1318" i="12" s="1"/>
  <c r="O1316" i="12"/>
  <c r="M1319" i="12" l="1"/>
  <c r="N1319" i="12" s="1"/>
  <c r="O1317" i="12"/>
  <c r="M1320" i="12" l="1"/>
  <c r="N1320" i="12" s="1"/>
  <c r="O1318" i="12"/>
  <c r="M1321" i="12" l="1"/>
  <c r="N1321" i="12" s="1"/>
  <c r="O1319" i="12"/>
  <c r="M1322" i="12" l="1"/>
  <c r="N1322" i="12" s="1"/>
  <c r="O1320" i="12"/>
  <c r="M1323" i="12" l="1"/>
  <c r="N1323" i="12" s="1"/>
  <c r="O1321" i="12"/>
  <c r="M1324" i="12" l="1"/>
  <c r="N1324" i="12" s="1"/>
  <c r="O1322" i="12"/>
  <c r="M1325" i="12" l="1"/>
  <c r="N1325" i="12" s="1"/>
  <c r="O1323" i="12"/>
  <c r="M1326" i="12" l="1"/>
  <c r="N1326" i="12" s="1"/>
  <c r="O1324" i="12"/>
  <c r="M1327" i="12" l="1"/>
  <c r="N1327" i="12" s="1"/>
  <c r="O1325" i="12"/>
  <c r="M1328" i="12" l="1"/>
  <c r="N1328" i="12" s="1"/>
  <c r="O1326" i="12"/>
  <c r="M1329" i="12" l="1"/>
  <c r="N1329" i="12" s="1"/>
  <c r="O1327" i="12"/>
  <c r="M1330" i="12" l="1"/>
  <c r="N1330" i="12" s="1"/>
  <c r="O1328" i="12"/>
  <c r="M1331" i="12" l="1"/>
  <c r="N1331" i="12" s="1"/>
  <c r="O1329" i="12"/>
  <c r="M1332" i="12" l="1"/>
  <c r="N1332" i="12" s="1"/>
  <c r="O1330" i="12"/>
  <c r="M1333" i="12" l="1"/>
  <c r="N1333" i="12" s="1"/>
  <c r="O1331" i="12"/>
  <c r="M1334" i="12" l="1"/>
  <c r="N1334" i="12" s="1"/>
  <c r="O1332" i="12"/>
  <c r="M1335" i="12" l="1"/>
  <c r="N1335" i="12" s="1"/>
  <c r="O1333" i="12"/>
  <c r="M1336" i="12" l="1"/>
  <c r="N1336" i="12" s="1"/>
  <c r="O1334" i="12"/>
  <c r="M1337" i="12" l="1"/>
  <c r="N1337" i="12" s="1"/>
  <c r="O1335" i="12"/>
  <c r="M1338" i="12" l="1"/>
  <c r="N1338" i="12" s="1"/>
  <c r="O1336" i="12"/>
  <c r="M1339" i="12" l="1"/>
  <c r="N1339" i="12" s="1"/>
  <c r="O1337" i="12"/>
  <c r="M1340" i="12" l="1"/>
  <c r="N1340" i="12" s="1"/>
  <c r="O1338" i="12"/>
  <c r="M1341" i="12" l="1"/>
  <c r="N1341" i="12" s="1"/>
  <c r="O1339" i="12"/>
  <c r="M1342" i="12" l="1"/>
  <c r="N1342" i="12" s="1"/>
  <c r="O1340" i="12"/>
  <c r="M1343" i="12" l="1"/>
  <c r="N1343" i="12" s="1"/>
  <c r="O1341" i="12"/>
  <c r="M1344" i="12" l="1"/>
  <c r="N1344" i="12" s="1"/>
  <c r="O1342" i="12"/>
  <c r="M1345" i="12" l="1"/>
  <c r="N1345" i="12" s="1"/>
  <c r="O1343" i="12"/>
  <c r="M1346" i="12" l="1"/>
  <c r="N1346" i="12" s="1"/>
  <c r="O1344" i="12"/>
  <c r="M1347" i="12" l="1"/>
  <c r="N1347" i="12" s="1"/>
  <c r="O1345" i="12"/>
  <c r="M1348" i="12" l="1"/>
  <c r="N1348" i="12" s="1"/>
  <c r="O1346" i="12"/>
  <c r="M1349" i="12" l="1"/>
  <c r="N1349" i="12" s="1"/>
  <c r="O1347" i="12"/>
  <c r="M1350" i="12" l="1"/>
  <c r="N1350" i="12" s="1"/>
  <c r="O1348" i="12"/>
  <c r="M1351" i="12" l="1"/>
  <c r="N1351" i="12" s="1"/>
  <c r="O1349" i="12"/>
  <c r="M1352" i="12" l="1"/>
  <c r="N1352" i="12" s="1"/>
  <c r="O1350" i="12"/>
  <c r="M1353" i="12" l="1"/>
  <c r="N1353" i="12" s="1"/>
  <c r="O1351" i="12"/>
  <c r="M1354" i="12" l="1"/>
  <c r="N1354" i="12" s="1"/>
  <c r="O1352" i="12"/>
  <c r="M1355" i="12" l="1"/>
  <c r="N1355" i="12" s="1"/>
  <c r="O1353" i="12"/>
  <c r="M1356" i="12" l="1"/>
  <c r="N1356" i="12" s="1"/>
  <c r="O1354" i="12"/>
  <c r="M1357" i="12" l="1"/>
  <c r="N1357" i="12" s="1"/>
  <c r="O1355" i="12"/>
  <c r="M1358" i="12" l="1"/>
  <c r="N1358" i="12" s="1"/>
  <c r="O1356" i="12"/>
  <c r="M1359" i="12" l="1"/>
  <c r="N1359" i="12" s="1"/>
  <c r="O1357" i="12"/>
  <c r="M1360" i="12" l="1"/>
  <c r="N1360" i="12" s="1"/>
  <c r="O1358" i="12"/>
  <c r="M1361" i="12" l="1"/>
  <c r="N1361" i="12" s="1"/>
  <c r="O1359" i="12"/>
  <c r="M1362" i="12" l="1"/>
  <c r="N1362" i="12" s="1"/>
  <c r="O1360" i="12"/>
  <c r="M1363" i="12" l="1"/>
  <c r="N1363" i="12" s="1"/>
  <c r="O1361" i="12"/>
  <c r="M1364" i="12" l="1"/>
  <c r="N1364" i="12" s="1"/>
  <c r="O1362" i="12"/>
  <c r="M1365" i="12" l="1"/>
  <c r="N1365" i="12" s="1"/>
  <c r="O1363" i="12"/>
  <c r="M1366" i="12" l="1"/>
  <c r="N1366" i="12" s="1"/>
  <c r="O1364" i="12"/>
  <c r="M1367" i="12" l="1"/>
  <c r="N1367" i="12" s="1"/>
  <c r="O1365" i="12"/>
  <c r="M1368" i="12" l="1"/>
  <c r="N1368" i="12" s="1"/>
  <c r="O1366" i="12"/>
  <c r="M1369" i="12" l="1"/>
  <c r="N1369" i="12" s="1"/>
  <c r="O1367" i="12"/>
  <c r="M1370" i="12" l="1"/>
  <c r="N1370" i="12" s="1"/>
  <c r="O1368" i="12"/>
  <c r="M1371" i="12" l="1"/>
  <c r="N1371" i="12" s="1"/>
  <c r="O1369" i="12"/>
  <c r="M1372" i="12" l="1"/>
  <c r="N1372" i="12" s="1"/>
  <c r="O1370" i="12"/>
  <c r="M1373" i="12" l="1"/>
  <c r="N1373" i="12" s="1"/>
  <c r="O1371" i="12"/>
  <c r="M1374" i="12" l="1"/>
  <c r="N1374" i="12" s="1"/>
  <c r="O1372" i="12"/>
  <c r="M1375" i="12" l="1"/>
  <c r="N1375" i="12" s="1"/>
  <c r="O1373" i="12"/>
  <c r="M1376" i="12" l="1"/>
  <c r="N1376" i="12" s="1"/>
  <c r="O1374" i="12"/>
  <c r="M1377" i="12" l="1"/>
  <c r="N1377" i="12" s="1"/>
  <c r="O1375" i="12"/>
  <c r="M1378" i="12" l="1"/>
  <c r="N1378" i="12" s="1"/>
  <c r="O1376" i="12"/>
  <c r="M1379" i="12" l="1"/>
  <c r="N1379" i="12" s="1"/>
  <c r="O1377" i="12"/>
  <c r="M1380" i="12" l="1"/>
  <c r="N1380" i="12" s="1"/>
  <c r="O1378" i="12"/>
  <c r="M1381" i="12" l="1"/>
  <c r="N1381" i="12" s="1"/>
  <c r="O1379" i="12"/>
  <c r="M1382" i="12" l="1"/>
  <c r="N1382" i="12" s="1"/>
  <c r="O1380" i="12"/>
  <c r="M1383" i="12" l="1"/>
  <c r="N1383" i="12" s="1"/>
  <c r="O1381" i="12"/>
  <c r="M1384" i="12" l="1"/>
  <c r="N1384" i="12" s="1"/>
  <c r="O1382" i="12"/>
  <c r="M1385" i="12" l="1"/>
  <c r="N1385" i="12" s="1"/>
  <c r="O1383" i="12"/>
  <c r="M1386" i="12" l="1"/>
  <c r="N1386" i="12" s="1"/>
  <c r="O1384" i="12"/>
  <c r="M1387" i="12" l="1"/>
  <c r="N1387" i="12" s="1"/>
  <c r="O1385" i="12"/>
  <c r="M1388" i="12" l="1"/>
  <c r="N1388" i="12" s="1"/>
  <c r="O1386" i="12"/>
  <c r="M1389" i="12" l="1"/>
  <c r="N1389" i="12" s="1"/>
  <c r="O1387" i="12"/>
  <c r="M1390" i="12" l="1"/>
  <c r="N1390" i="12" s="1"/>
  <c r="O1388" i="12"/>
  <c r="M1391" i="12" l="1"/>
  <c r="N1391" i="12" s="1"/>
  <c r="O1389" i="12"/>
  <c r="M1392" i="12" l="1"/>
  <c r="N1392" i="12" s="1"/>
  <c r="O1390" i="12"/>
  <c r="M1393" i="12" l="1"/>
  <c r="N1393" i="12" s="1"/>
  <c r="O1391" i="12"/>
  <c r="M1394" i="12" l="1"/>
  <c r="N1394" i="12" s="1"/>
  <c r="O1392" i="12"/>
  <c r="M1395" i="12" l="1"/>
  <c r="N1395" i="12" s="1"/>
  <c r="O1393" i="12"/>
  <c r="M1396" i="12" l="1"/>
  <c r="N1396" i="12" s="1"/>
  <c r="O1394" i="12"/>
  <c r="M1397" i="12" l="1"/>
  <c r="N1397" i="12" s="1"/>
  <c r="O1395" i="12"/>
  <c r="M1398" i="12" l="1"/>
  <c r="N1398" i="12" s="1"/>
  <c r="O1396" i="12"/>
  <c r="M1399" i="12" l="1"/>
  <c r="N1399" i="12" s="1"/>
  <c r="O1397" i="12"/>
  <c r="M1400" i="12" l="1"/>
  <c r="N1400" i="12" s="1"/>
  <c r="O1398" i="12"/>
  <c r="M1401" i="12" l="1"/>
  <c r="N1401" i="12" s="1"/>
  <c r="O1399" i="12"/>
  <c r="M1402" i="12" l="1"/>
  <c r="N1402" i="12" s="1"/>
  <c r="O1400" i="12"/>
  <c r="M1403" i="12" l="1"/>
  <c r="N1403" i="12" s="1"/>
  <c r="O1401" i="12"/>
  <c r="M1404" i="12" l="1"/>
  <c r="N1404" i="12" s="1"/>
  <c r="O1402" i="12"/>
  <c r="M1405" i="12" l="1"/>
  <c r="N1405" i="12" s="1"/>
  <c r="O1403" i="12"/>
  <c r="M1406" i="12" l="1"/>
  <c r="N1406" i="12" s="1"/>
  <c r="O1404" i="12"/>
  <c r="M1407" i="12" l="1"/>
  <c r="N1407" i="12" s="1"/>
  <c r="O1405" i="12"/>
  <c r="M1408" i="12" l="1"/>
  <c r="N1408" i="12" s="1"/>
  <c r="O1406" i="12"/>
  <c r="M1409" i="12" l="1"/>
  <c r="N1409" i="12" s="1"/>
  <c r="O1407" i="12"/>
  <c r="M1410" i="12" l="1"/>
  <c r="N1410" i="12" s="1"/>
  <c r="O1408" i="12"/>
  <c r="M1411" i="12" l="1"/>
  <c r="N1411" i="12" s="1"/>
  <c r="O1409" i="12"/>
  <c r="M1412" i="12" l="1"/>
  <c r="N1412" i="12" s="1"/>
  <c r="O1410" i="12"/>
  <c r="M1413" i="12" l="1"/>
  <c r="N1413" i="12" s="1"/>
  <c r="O1411" i="12"/>
  <c r="M1414" i="12" l="1"/>
  <c r="N1414" i="12" s="1"/>
  <c r="O1412" i="12"/>
  <c r="M1415" i="12" l="1"/>
  <c r="N1415" i="12" s="1"/>
  <c r="O1413" i="12"/>
  <c r="M1416" i="12" l="1"/>
  <c r="N1416" i="12" s="1"/>
  <c r="O1414" i="12"/>
  <c r="M1417" i="12" l="1"/>
  <c r="N1417" i="12" s="1"/>
  <c r="O1415" i="12"/>
  <c r="M1418" i="12" l="1"/>
  <c r="N1418" i="12" s="1"/>
  <c r="O1416" i="12"/>
  <c r="M1419" i="12" l="1"/>
  <c r="N1419" i="12" s="1"/>
  <c r="O1417" i="12"/>
  <c r="M1420" i="12" l="1"/>
  <c r="N1420" i="12" s="1"/>
  <c r="O1418" i="12"/>
  <c r="M1421" i="12" l="1"/>
  <c r="N1421" i="12" s="1"/>
  <c r="O1419" i="12"/>
  <c r="M1422" i="12" l="1"/>
  <c r="N1422" i="12" s="1"/>
  <c r="O1420" i="12"/>
  <c r="M1423" i="12" l="1"/>
  <c r="N1423" i="12" s="1"/>
  <c r="O1421" i="12"/>
  <c r="M1424" i="12" l="1"/>
  <c r="N1424" i="12" s="1"/>
  <c r="O1422" i="12"/>
  <c r="M1425" i="12" l="1"/>
  <c r="N1425" i="12" s="1"/>
  <c r="O1423" i="12"/>
  <c r="M1426" i="12" l="1"/>
  <c r="N1426" i="12" s="1"/>
  <c r="O1424" i="12"/>
  <c r="M1427" i="12" l="1"/>
  <c r="N1427" i="12" s="1"/>
  <c r="O1425" i="12"/>
  <c r="M1428" i="12" l="1"/>
  <c r="N1428" i="12" s="1"/>
  <c r="O1426" i="12"/>
  <c r="M1429" i="12" l="1"/>
  <c r="N1429" i="12" s="1"/>
  <c r="O1427" i="12"/>
  <c r="M1430" i="12" l="1"/>
  <c r="N1430" i="12" s="1"/>
  <c r="O1428" i="12"/>
  <c r="M1431" i="12" l="1"/>
  <c r="N1431" i="12" s="1"/>
  <c r="O1429" i="12"/>
  <c r="M1432" i="12" l="1"/>
  <c r="N1432" i="12" s="1"/>
  <c r="O1430" i="12"/>
  <c r="M1433" i="12" l="1"/>
  <c r="N1433" i="12" s="1"/>
  <c r="O1431" i="12"/>
  <c r="M1434" i="12" l="1"/>
  <c r="N1434" i="12" s="1"/>
  <c r="O1432" i="12"/>
  <c r="M1435" i="12" l="1"/>
  <c r="N1435" i="12" s="1"/>
  <c r="O1433" i="12"/>
  <c r="M1436" i="12" l="1"/>
  <c r="N1436" i="12" s="1"/>
  <c r="O1434" i="12"/>
  <c r="M1437" i="12" l="1"/>
  <c r="N1437" i="12" s="1"/>
  <c r="O1435" i="12"/>
  <c r="M1438" i="12" l="1"/>
  <c r="N1438" i="12" s="1"/>
  <c r="O1436" i="12"/>
  <c r="M1439" i="12" l="1"/>
  <c r="N1439" i="12" s="1"/>
  <c r="O1437" i="12"/>
  <c r="M1440" i="12" l="1"/>
  <c r="N1440" i="12" s="1"/>
  <c r="O1438" i="12"/>
  <c r="M1441" i="12" l="1"/>
  <c r="N1441" i="12" s="1"/>
  <c r="O1439" i="12"/>
  <c r="M1442" i="12" l="1"/>
  <c r="N1442" i="12" s="1"/>
  <c r="O1440" i="12"/>
  <c r="M1443" i="12" l="1"/>
  <c r="N1443" i="12" s="1"/>
  <c r="O1441" i="12"/>
  <c r="M1444" i="12" l="1"/>
  <c r="N1444" i="12" s="1"/>
  <c r="O1442" i="12"/>
  <c r="M1445" i="12" l="1"/>
  <c r="N1445" i="12" s="1"/>
  <c r="O1443" i="12"/>
  <c r="M1446" i="12" l="1"/>
  <c r="N1446" i="12" s="1"/>
  <c r="O1444" i="12"/>
  <c r="M1447" i="12" l="1"/>
  <c r="N1447" i="12" s="1"/>
  <c r="O1445" i="12"/>
  <c r="M1448" i="12" l="1"/>
  <c r="N1448" i="12" s="1"/>
  <c r="O1446" i="12"/>
  <c r="M1449" i="12" l="1"/>
  <c r="N1449" i="12" s="1"/>
  <c r="O1447" i="12"/>
  <c r="M1450" i="12" l="1"/>
  <c r="N1450" i="12" s="1"/>
  <c r="O1448" i="12"/>
  <c r="M1451" i="12" l="1"/>
  <c r="N1451" i="12" s="1"/>
  <c r="O1449" i="12"/>
  <c r="M1452" i="12" l="1"/>
  <c r="N1452" i="12" s="1"/>
  <c r="O1450" i="12"/>
  <c r="M1453" i="12" l="1"/>
  <c r="N1453" i="12" s="1"/>
  <c r="O1451" i="12"/>
  <c r="M1454" i="12" l="1"/>
  <c r="N1454" i="12" s="1"/>
  <c r="O1452" i="12"/>
  <c r="M1455" i="12" l="1"/>
  <c r="N1455" i="12" s="1"/>
  <c r="O1453" i="12"/>
  <c r="M1456" i="12" l="1"/>
  <c r="N1456" i="12" s="1"/>
  <c r="O1454" i="12"/>
  <c r="M1457" i="12" l="1"/>
  <c r="N1457" i="12" s="1"/>
  <c r="O1455" i="12"/>
  <c r="M1458" i="12" l="1"/>
  <c r="N1458" i="12" s="1"/>
  <c r="O1456" i="12"/>
  <c r="M1459" i="12" l="1"/>
  <c r="N1459" i="12" s="1"/>
  <c r="O1457" i="12"/>
  <c r="M1460" i="12" l="1"/>
  <c r="N1460" i="12" s="1"/>
  <c r="O1458" i="12"/>
  <c r="M1461" i="12" l="1"/>
  <c r="N1461" i="12" s="1"/>
  <c r="O1459" i="12"/>
  <c r="M1462" i="12" l="1"/>
  <c r="N1462" i="12" s="1"/>
  <c r="O1460" i="12"/>
  <c r="M1463" i="12" l="1"/>
  <c r="N1463" i="12" s="1"/>
  <c r="O1461" i="12"/>
  <c r="M1464" i="12" l="1"/>
  <c r="N1464" i="12" s="1"/>
  <c r="O1462" i="12"/>
  <c r="M1465" i="12" l="1"/>
  <c r="N1465" i="12" s="1"/>
  <c r="O1463" i="12"/>
  <c r="M1466" i="12" l="1"/>
  <c r="N1466" i="12" s="1"/>
  <c r="O1464" i="12"/>
  <c r="M1467" i="12" l="1"/>
  <c r="N1467" i="12" s="1"/>
  <c r="O1465" i="12"/>
  <c r="M1468" i="12" l="1"/>
  <c r="N1468" i="12" s="1"/>
  <c r="O1466" i="12"/>
  <c r="M1469" i="12" l="1"/>
  <c r="N1469" i="12" s="1"/>
  <c r="O1467" i="12"/>
  <c r="M1470" i="12" l="1"/>
  <c r="N1470" i="12" s="1"/>
  <c r="O1468" i="12"/>
  <c r="M1471" i="12" l="1"/>
  <c r="N1471" i="12" s="1"/>
  <c r="O1469" i="12"/>
  <c r="M1472" i="12" l="1"/>
  <c r="N1472" i="12" s="1"/>
  <c r="O1470" i="12"/>
  <c r="M1473" i="12" l="1"/>
  <c r="N1473" i="12" s="1"/>
  <c r="O1471" i="12"/>
  <c r="M1474" i="12" l="1"/>
  <c r="N1474" i="12" s="1"/>
  <c r="O1472" i="12"/>
  <c r="M1475" i="12" l="1"/>
  <c r="N1475" i="12" s="1"/>
  <c r="O1473" i="12"/>
  <c r="M1476" i="12" l="1"/>
  <c r="N1476" i="12" s="1"/>
  <c r="O1474" i="12"/>
  <c r="M1477" i="12" l="1"/>
  <c r="N1477" i="12" s="1"/>
  <c r="O1475" i="12"/>
  <c r="M1478" i="12" l="1"/>
  <c r="N1478" i="12" s="1"/>
  <c r="O1476" i="12"/>
  <c r="M1479" i="12" l="1"/>
  <c r="N1479" i="12" s="1"/>
  <c r="O1477" i="12"/>
  <c r="M1480" i="12" l="1"/>
  <c r="N1480" i="12" s="1"/>
  <c r="O1478" i="12"/>
  <c r="M1481" i="12" l="1"/>
  <c r="N1481" i="12" s="1"/>
  <c r="O1479" i="12"/>
  <c r="M1482" i="12" l="1"/>
  <c r="N1482" i="12" s="1"/>
  <c r="O1480" i="12"/>
  <c r="M1483" i="12" l="1"/>
  <c r="N1483" i="12" s="1"/>
  <c r="O1481" i="12"/>
  <c r="M1484" i="12" l="1"/>
  <c r="N1484" i="12" s="1"/>
  <c r="O1482" i="12"/>
  <c r="M1485" i="12" l="1"/>
  <c r="N1485" i="12" s="1"/>
  <c r="O1483" i="12"/>
  <c r="M1486" i="12" l="1"/>
  <c r="N1486" i="12" s="1"/>
  <c r="O1484" i="12"/>
  <c r="M1487" i="12" l="1"/>
  <c r="N1487" i="12" s="1"/>
  <c r="O1485" i="12"/>
  <c r="M1488" i="12" l="1"/>
  <c r="N1488" i="12" s="1"/>
  <c r="O1486" i="12"/>
  <c r="M1489" i="12" l="1"/>
  <c r="N1489" i="12" s="1"/>
  <c r="O1487" i="12"/>
  <c r="M1490" i="12" l="1"/>
  <c r="N1490" i="12" s="1"/>
  <c r="O1488" i="12"/>
  <c r="M1491" i="12" l="1"/>
  <c r="N1491" i="12" s="1"/>
  <c r="O1489" i="12"/>
  <c r="M1492" i="12" l="1"/>
  <c r="N1492" i="12" s="1"/>
  <c r="O1490" i="12"/>
  <c r="M1493" i="12" l="1"/>
  <c r="N1493" i="12" s="1"/>
  <c r="O1491" i="12"/>
  <c r="M1494" i="12" l="1"/>
  <c r="N1494" i="12" s="1"/>
  <c r="O1492" i="12"/>
  <c r="M1495" i="12" l="1"/>
  <c r="N1495" i="12" s="1"/>
  <c r="O1493" i="12"/>
  <c r="M1496" i="12" l="1"/>
  <c r="N1496" i="12" s="1"/>
  <c r="O1494" i="12"/>
  <c r="M1497" i="12" l="1"/>
  <c r="N1497" i="12" s="1"/>
  <c r="O1495" i="12"/>
  <c r="M1498" i="12" l="1"/>
  <c r="N1498" i="12" s="1"/>
  <c r="O1496" i="12"/>
  <c r="M1499" i="12" l="1"/>
  <c r="N1499" i="12" s="1"/>
  <c r="O1497" i="12"/>
  <c r="M1500" i="12" l="1"/>
  <c r="N1500" i="12" s="1"/>
  <c r="O1498" i="12"/>
  <c r="M1501" i="12" l="1"/>
  <c r="N1501" i="12" s="1"/>
  <c r="O1499" i="12"/>
  <c r="M1502" i="12" l="1"/>
  <c r="N1502" i="12" s="1"/>
  <c r="O1500" i="12"/>
  <c r="M1503" i="12" l="1"/>
  <c r="N1503" i="12" s="1"/>
  <c r="O1501" i="12"/>
  <c r="M1504" i="12" l="1"/>
  <c r="N1504" i="12" s="1"/>
  <c r="O1502" i="12"/>
  <c r="M1505" i="12" l="1"/>
  <c r="N1505" i="12" s="1"/>
  <c r="O1503" i="12"/>
  <c r="M1506" i="12" l="1"/>
  <c r="N1506" i="12" s="1"/>
  <c r="O1504" i="12"/>
  <c r="M1507" i="12" l="1"/>
  <c r="N1507" i="12" s="1"/>
  <c r="O1505" i="12"/>
  <c r="M1508" i="12" l="1"/>
  <c r="N1508" i="12" s="1"/>
  <c r="O1506" i="12"/>
  <c r="M1509" i="12" l="1"/>
  <c r="N1509" i="12" s="1"/>
  <c r="O1507" i="12"/>
  <c r="M1510" i="12" l="1"/>
  <c r="N1510" i="12" s="1"/>
  <c r="O1508" i="12"/>
  <c r="M1511" i="12" l="1"/>
  <c r="N1511" i="12" s="1"/>
  <c r="O1509" i="12"/>
  <c r="M1512" i="12" l="1"/>
  <c r="N1512" i="12" s="1"/>
  <c r="O1510" i="12"/>
  <c r="M1513" i="12" l="1"/>
  <c r="N1513" i="12" s="1"/>
  <c r="O1511" i="12"/>
  <c r="M1514" i="12" l="1"/>
  <c r="N1514" i="12" s="1"/>
  <c r="O1512" i="12"/>
  <c r="M1515" i="12" l="1"/>
  <c r="N1515" i="12" s="1"/>
  <c r="O1513" i="12"/>
  <c r="M1516" i="12" l="1"/>
  <c r="N1516" i="12" s="1"/>
  <c r="O1514" i="12"/>
  <c r="M1517" i="12" l="1"/>
  <c r="N1517" i="12" s="1"/>
  <c r="O1515" i="12"/>
  <c r="M1518" i="12" l="1"/>
  <c r="N1518" i="12" s="1"/>
  <c r="O1516" i="12"/>
  <c r="M1519" i="12" l="1"/>
  <c r="N1519" i="12" s="1"/>
  <c r="O1517" i="12"/>
  <c r="M1520" i="12" l="1"/>
  <c r="N1520" i="12" s="1"/>
  <c r="O1518" i="12"/>
  <c r="M1521" i="12" l="1"/>
  <c r="N1521" i="12" s="1"/>
  <c r="O1519" i="12"/>
  <c r="M1522" i="12" l="1"/>
  <c r="N1522" i="12" s="1"/>
  <c r="O1520" i="12"/>
  <c r="M1523" i="12" l="1"/>
  <c r="N1523" i="12" s="1"/>
  <c r="O1521" i="12"/>
  <c r="M1524" i="12" l="1"/>
  <c r="N1524" i="12" s="1"/>
  <c r="O1522" i="12"/>
  <c r="M1525" i="12" l="1"/>
  <c r="N1525" i="12" s="1"/>
  <c r="O1523" i="12"/>
  <c r="M1526" i="12" l="1"/>
  <c r="N1526" i="12" s="1"/>
  <c r="O1524" i="12"/>
  <c r="M1527" i="12" l="1"/>
  <c r="N1527" i="12" s="1"/>
  <c r="O1525" i="12"/>
  <c r="M1528" i="12" l="1"/>
  <c r="N1528" i="12" s="1"/>
  <c r="O1526" i="12"/>
  <c r="M1529" i="12" l="1"/>
  <c r="N1529" i="12" s="1"/>
  <c r="O1527" i="12"/>
  <c r="M1530" i="12" l="1"/>
  <c r="N1530" i="12" s="1"/>
  <c r="O1528" i="12"/>
  <c r="M1531" i="12" l="1"/>
  <c r="N1531" i="12" s="1"/>
  <c r="O1529" i="12"/>
  <c r="M1532" i="12" l="1"/>
  <c r="N1532" i="12" s="1"/>
  <c r="O1530" i="12"/>
  <c r="M1533" i="12" l="1"/>
  <c r="N1533" i="12" s="1"/>
  <c r="O1531" i="12"/>
  <c r="M1534" i="12" l="1"/>
  <c r="N1534" i="12" s="1"/>
  <c r="O1532" i="12"/>
  <c r="M1535" i="12" l="1"/>
  <c r="N1535" i="12" s="1"/>
  <c r="O1533" i="12"/>
  <c r="M1536" i="12" l="1"/>
  <c r="N1536" i="12" s="1"/>
  <c r="O1534" i="12"/>
  <c r="M1537" i="12" l="1"/>
  <c r="N1537" i="12" s="1"/>
  <c r="O1535" i="12"/>
  <c r="M1538" i="12" l="1"/>
  <c r="N1538" i="12" s="1"/>
  <c r="O1536" i="12"/>
  <c r="M1539" i="12" l="1"/>
  <c r="N1539" i="12" s="1"/>
  <c r="O1537" i="12"/>
  <c r="M1540" i="12" l="1"/>
  <c r="N1540" i="12" s="1"/>
  <c r="O1538" i="12"/>
  <c r="M1541" i="12" l="1"/>
  <c r="N1541" i="12" s="1"/>
  <c r="O1539" i="12"/>
  <c r="M1542" i="12" l="1"/>
  <c r="N1542" i="12" s="1"/>
  <c r="O1540" i="12"/>
  <c r="M1543" i="12" l="1"/>
  <c r="N1543" i="12" s="1"/>
  <c r="O1541" i="12"/>
  <c r="M1544" i="12" l="1"/>
  <c r="N1544" i="12" s="1"/>
  <c r="O1542" i="12"/>
  <c r="M1545" i="12" l="1"/>
  <c r="N1545" i="12" s="1"/>
  <c r="O1543" i="12"/>
  <c r="M1546" i="12" l="1"/>
  <c r="N1546" i="12" s="1"/>
  <c r="O1544" i="12"/>
  <c r="M1547" i="12" l="1"/>
  <c r="N1547" i="12" s="1"/>
  <c r="O1545" i="12"/>
  <c r="M1548" i="12" l="1"/>
  <c r="N1548" i="12" s="1"/>
  <c r="O1546" i="12"/>
  <c r="M1549" i="12" l="1"/>
  <c r="N1549" i="12" s="1"/>
  <c r="O1547" i="12"/>
  <c r="M1550" i="12" l="1"/>
  <c r="N1550" i="12" s="1"/>
  <c r="O1548" i="12"/>
  <c r="M1551" i="12" l="1"/>
  <c r="N1551" i="12" s="1"/>
  <c r="O1549" i="12"/>
  <c r="M1552" i="12" l="1"/>
  <c r="N1552" i="12" s="1"/>
  <c r="O1550" i="12"/>
  <c r="M1553" i="12" l="1"/>
  <c r="N1553" i="12" s="1"/>
  <c r="O1551" i="12"/>
  <c r="M1554" i="12" l="1"/>
  <c r="N1554" i="12" s="1"/>
  <c r="O1552" i="12"/>
  <c r="M1555" i="12" l="1"/>
  <c r="N1555" i="12" s="1"/>
  <c r="O1553" i="12"/>
  <c r="M1556" i="12" l="1"/>
  <c r="N1556" i="12" s="1"/>
  <c r="O1554" i="12"/>
  <c r="M1557" i="12" l="1"/>
  <c r="N1557" i="12" s="1"/>
  <c r="O1555" i="12"/>
  <c r="M1558" i="12" l="1"/>
  <c r="N1558" i="12" s="1"/>
  <c r="O1556" i="12"/>
  <c r="M1559" i="12" l="1"/>
  <c r="N1559" i="12" s="1"/>
  <c r="O1557" i="12"/>
  <c r="M1560" i="12" l="1"/>
  <c r="N1560" i="12" s="1"/>
  <c r="O1558" i="12"/>
  <c r="M1561" i="12" l="1"/>
  <c r="N1561" i="12" s="1"/>
  <c r="O1559" i="12"/>
  <c r="M1562" i="12" l="1"/>
  <c r="N1562" i="12" s="1"/>
  <c r="O1560" i="12"/>
  <c r="M1563" i="12" l="1"/>
  <c r="N1563" i="12" s="1"/>
  <c r="O1561" i="12"/>
  <c r="M1564" i="12" l="1"/>
  <c r="N1564" i="12" s="1"/>
  <c r="O1562" i="12"/>
  <c r="M1565" i="12" l="1"/>
  <c r="N1565" i="12" s="1"/>
  <c r="O1563" i="12"/>
  <c r="M1566" i="12" l="1"/>
  <c r="N1566" i="12" s="1"/>
  <c r="O1564" i="12"/>
  <c r="M1567" i="12" l="1"/>
  <c r="N1567" i="12" s="1"/>
  <c r="O1565" i="12"/>
  <c r="M1568" i="12" l="1"/>
  <c r="N1568" i="12" s="1"/>
  <c r="O1566" i="12"/>
  <c r="M1569" i="12" l="1"/>
  <c r="N1569" i="12" s="1"/>
  <c r="O1567" i="12"/>
  <c r="M1570" i="12" l="1"/>
  <c r="N1570" i="12" s="1"/>
  <c r="O1568" i="12"/>
  <c r="M1571" i="12" l="1"/>
  <c r="N1571" i="12" s="1"/>
  <c r="O1569" i="12"/>
  <c r="M1572" i="12" l="1"/>
  <c r="N1572" i="12" s="1"/>
  <c r="O1570" i="12"/>
  <c r="M1573" i="12" l="1"/>
  <c r="N1573" i="12" s="1"/>
  <c r="O1571" i="12"/>
  <c r="M1574" i="12" l="1"/>
  <c r="N1574" i="12" s="1"/>
  <c r="O1572" i="12"/>
  <c r="M1575" i="12" l="1"/>
  <c r="N1575" i="12" s="1"/>
  <c r="O1573" i="12"/>
  <c r="M1576" i="12" l="1"/>
  <c r="N1576" i="12" s="1"/>
  <c r="O1574" i="12"/>
  <c r="M1577" i="12" l="1"/>
  <c r="N1577" i="12" s="1"/>
  <c r="O1575" i="12"/>
  <c r="M1578" i="12" l="1"/>
  <c r="N1578" i="12" s="1"/>
  <c r="O1576" i="12"/>
  <c r="M1579" i="12" l="1"/>
  <c r="N1579" i="12" s="1"/>
  <c r="O1577" i="12"/>
  <c r="M1580" i="12" l="1"/>
  <c r="N1580" i="12" s="1"/>
  <c r="O1578" i="12"/>
  <c r="M1581" i="12" l="1"/>
  <c r="N1581" i="12" s="1"/>
  <c r="O1579" i="12"/>
  <c r="M1582" i="12" l="1"/>
  <c r="N1582" i="12" s="1"/>
  <c r="O1580" i="12"/>
  <c r="M1583" i="12" l="1"/>
  <c r="N1583" i="12" s="1"/>
  <c r="O1581" i="12"/>
  <c r="M1584" i="12" l="1"/>
  <c r="N1584" i="12" s="1"/>
  <c r="O1582" i="12"/>
  <c r="M1585" i="12" l="1"/>
  <c r="N1585" i="12" s="1"/>
  <c r="O1583" i="12"/>
  <c r="M1586" i="12" l="1"/>
  <c r="N1586" i="12" s="1"/>
  <c r="O1584" i="12"/>
  <c r="M1587" i="12" l="1"/>
  <c r="N1587" i="12" s="1"/>
  <c r="O1585" i="12"/>
  <c r="M1588" i="12" l="1"/>
  <c r="N1588" i="12" s="1"/>
  <c r="O1586" i="12"/>
  <c r="M1589" i="12" l="1"/>
  <c r="N1589" i="12" s="1"/>
  <c r="O1587" i="12"/>
  <c r="M1590" i="12" l="1"/>
  <c r="N1590" i="12" s="1"/>
  <c r="O1588" i="12"/>
  <c r="M1591" i="12" l="1"/>
  <c r="N1591" i="12" s="1"/>
  <c r="O1589" i="12"/>
  <c r="M1592" i="12" l="1"/>
  <c r="N1592" i="12" s="1"/>
  <c r="O1590" i="12"/>
  <c r="M1593" i="12" l="1"/>
  <c r="N1593" i="12" s="1"/>
  <c r="O1591" i="12"/>
  <c r="M1594" i="12" l="1"/>
  <c r="N1594" i="12" s="1"/>
  <c r="O1592" i="12"/>
  <c r="M1595" i="12" l="1"/>
  <c r="N1595" i="12" s="1"/>
  <c r="O1593" i="12"/>
  <c r="M1596" i="12" l="1"/>
  <c r="N1596" i="12" s="1"/>
  <c r="O1594" i="12"/>
  <c r="M1597" i="12" l="1"/>
  <c r="N1597" i="12" s="1"/>
  <c r="O1595" i="12"/>
  <c r="M1598" i="12" l="1"/>
  <c r="N1598" i="12" s="1"/>
  <c r="O1596" i="12"/>
  <c r="M1599" i="12" l="1"/>
  <c r="N1599" i="12" s="1"/>
  <c r="O1597" i="12"/>
  <c r="M1600" i="12" l="1"/>
  <c r="N1600" i="12" s="1"/>
  <c r="O1598" i="12"/>
  <c r="M1601" i="12" l="1"/>
  <c r="N1601" i="12" s="1"/>
  <c r="O1599" i="12"/>
  <c r="M1602" i="12" l="1"/>
  <c r="N1602" i="12" s="1"/>
  <c r="O1600" i="12"/>
  <c r="M1603" i="12" l="1"/>
  <c r="N1603" i="12" s="1"/>
  <c r="O1601" i="12"/>
  <c r="M1604" i="12" l="1"/>
  <c r="N1604" i="12" s="1"/>
  <c r="O1602" i="12"/>
  <c r="M1605" i="12" l="1"/>
  <c r="N1605" i="12" s="1"/>
  <c r="O1603" i="12"/>
  <c r="M1606" i="12" l="1"/>
  <c r="N1606" i="12" s="1"/>
  <c r="O1604" i="12"/>
  <c r="M1607" i="12" l="1"/>
  <c r="N1607" i="12" s="1"/>
  <c r="O1605" i="12"/>
  <c r="M1608" i="12" l="1"/>
  <c r="N1608" i="12" s="1"/>
  <c r="O1606" i="12"/>
  <c r="M1609" i="12" l="1"/>
  <c r="N1609" i="12" s="1"/>
  <c r="O1607" i="12"/>
  <c r="M1610" i="12" l="1"/>
  <c r="N1610" i="12" s="1"/>
  <c r="O1608" i="12"/>
  <c r="M1611" i="12" l="1"/>
  <c r="N1611" i="12" s="1"/>
  <c r="O1609" i="12"/>
  <c r="M1612" i="12" l="1"/>
  <c r="N1612" i="12" s="1"/>
  <c r="O1610" i="12"/>
  <c r="M1613" i="12" l="1"/>
  <c r="N1613" i="12" s="1"/>
  <c r="O1611" i="12"/>
  <c r="M1614" i="12" l="1"/>
  <c r="N1614" i="12" s="1"/>
  <c r="O1612" i="12"/>
  <c r="M1615" i="12" l="1"/>
  <c r="N1615" i="12" s="1"/>
  <c r="O1613" i="12"/>
  <c r="M1616" i="12" l="1"/>
  <c r="N1616" i="12" s="1"/>
  <c r="O1614" i="12"/>
  <c r="M1617" i="12" l="1"/>
  <c r="N1617" i="12" s="1"/>
  <c r="O1615" i="12"/>
  <c r="M1618" i="12" l="1"/>
  <c r="N1618" i="12" s="1"/>
  <c r="O1616" i="12"/>
  <c r="M1619" i="12" l="1"/>
  <c r="N1619" i="12" s="1"/>
  <c r="O1617" i="12"/>
  <c r="M1620" i="12" l="1"/>
  <c r="N1620" i="12" s="1"/>
  <c r="O1618" i="12"/>
  <c r="M1621" i="12" l="1"/>
  <c r="N1621" i="12" s="1"/>
  <c r="O1619" i="12"/>
  <c r="M1622" i="12" l="1"/>
  <c r="N1622" i="12" s="1"/>
  <c r="O1620" i="12"/>
  <c r="M1623" i="12" l="1"/>
  <c r="N1623" i="12" s="1"/>
  <c r="O1621" i="12"/>
  <c r="M1624" i="12" l="1"/>
  <c r="N1624" i="12" s="1"/>
  <c r="O1622" i="12"/>
  <c r="M1625" i="12" l="1"/>
  <c r="N1625" i="12" s="1"/>
  <c r="O1623" i="12"/>
  <c r="M1626" i="12" l="1"/>
  <c r="N1626" i="12" s="1"/>
  <c r="O1624" i="12"/>
  <c r="M1627" i="12" l="1"/>
  <c r="N1627" i="12" s="1"/>
  <c r="O1625" i="12"/>
  <c r="M1628" i="12" l="1"/>
  <c r="N1628" i="12" s="1"/>
  <c r="O1626" i="12"/>
  <c r="M1629" i="12" l="1"/>
  <c r="N1629" i="12" s="1"/>
  <c r="O1627" i="12"/>
  <c r="M1630" i="12" l="1"/>
  <c r="N1630" i="12" s="1"/>
  <c r="O1628" i="12"/>
  <c r="M1631" i="12" l="1"/>
  <c r="N1631" i="12" s="1"/>
  <c r="O1629" i="12"/>
  <c r="M1632" i="12" l="1"/>
  <c r="N1632" i="12" s="1"/>
  <c r="O1630" i="12"/>
  <c r="M1633" i="12" l="1"/>
  <c r="N1633" i="12" s="1"/>
  <c r="O1631" i="12"/>
  <c r="M1634" i="12" l="1"/>
  <c r="N1634" i="12" s="1"/>
  <c r="O1632" i="12"/>
  <c r="M1635" i="12" l="1"/>
  <c r="N1635" i="12" s="1"/>
  <c r="O1633" i="12"/>
  <c r="M1636" i="12" l="1"/>
  <c r="N1636" i="12" s="1"/>
  <c r="O1634" i="12"/>
  <c r="M1637" i="12" l="1"/>
  <c r="N1637" i="12" s="1"/>
  <c r="O1635" i="12"/>
  <c r="M1638" i="12" l="1"/>
  <c r="N1638" i="12" s="1"/>
  <c r="O1636" i="12"/>
  <c r="M1639" i="12" l="1"/>
  <c r="N1639" i="12" s="1"/>
  <c r="O1637" i="12"/>
  <c r="M1640" i="12" l="1"/>
  <c r="N1640" i="12" s="1"/>
  <c r="O1638" i="12"/>
  <c r="M1641" i="12" l="1"/>
  <c r="N1641" i="12" s="1"/>
  <c r="O1639" i="12"/>
  <c r="M1642" i="12" l="1"/>
  <c r="N1642" i="12" s="1"/>
  <c r="O1640" i="12"/>
  <c r="M1643" i="12" l="1"/>
  <c r="N1643" i="12" s="1"/>
  <c r="O1641" i="12"/>
  <c r="M1644" i="12" l="1"/>
  <c r="N1644" i="12" s="1"/>
  <c r="O1642" i="12"/>
  <c r="M1645" i="12" l="1"/>
  <c r="N1645" i="12" s="1"/>
  <c r="O1643" i="12"/>
  <c r="M1646" i="12" l="1"/>
  <c r="N1646" i="12" s="1"/>
  <c r="O1644" i="12"/>
  <c r="M1647" i="12" l="1"/>
  <c r="N1647" i="12" s="1"/>
  <c r="O1645" i="12"/>
  <c r="M1648" i="12" l="1"/>
  <c r="N1648" i="12" s="1"/>
  <c r="O1646" i="12"/>
  <c r="M1649" i="12" l="1"/>
  <c r="N1649" i="12" s="1"/>
  <c r="O1647" i="12"/>
  <c r="M1650" i="12" l="1"/>
  <c r="N1650" i="12" s="1"/>
  <c r="O1648" i="12"/>
  <c r="M1651" i="12" l="1"/>
  <c r="N1651" i="12" s="1"/>
  <c r="O1649" i="12"/>
  <c r="M1652" i="12" l="1"/>
  <c r="N1652" i="12" s="1"/>
  <c r="O1650" i="12"/>
  <c r="M1653" i="12" l="1"/>
  <c r="N1653" i="12" s="1"/>
  <c r="O1651" i="12"/>
  <c r="M1654" i="12" l="1"/>
  <c r="N1654" i="12" s="1"/>
  <c r="O1652" i="12"/>
  <c r="M1655" i="12" l="1"/>
  <c r="N1655" i="12" s="1"/>
  <c r="O1653" i="12"/>
  <c r="M1656" i="12" l="1"/>
  <c r="N1656" i="12" s="1"/>
  <c r="O1654" i="12"/>
  <c r="M1657" i="12" l="1"/>
  <c r="N1657" i="12" s="1"/>
  <c r="O1655" i="12"/>
  <c r="M1658" i="12" l="1"/>
  <c r="N1658" i="12" s="1"/>
  <c r="O1656" i="12"/>
  <c r="M1659" i="12" l="1"/>
  <c r="N1659" i="12" s="1"/>
  <c r="O1657" i="12"/>
  <c r="M1660" i="12" l="1"/>
  <c r="N1660" i="12" s="1"/>
  <c r="O1658" i="12"/>
  <c r="M1661" i="12" l="1"/>
  <c r="N1661" i="12" s="1"/>
  <c r="O1659" i="12"/>
  <c r="M1662" i="12" l="1"/>
  <c r="N1662" i="12" s="1"/>
  <c r="O1660" i="12"/>
  <c r="M1663" i="12" l="1"/>
  <c r="N1663" i="12" s="1"/>
  <c r="O1661" i="12"/>
  <c r="M1664" i="12" l="1"/>
  <c r="N1664" i="12" s="1"/>
  <c r="O1662" i="12"/>
  <c r="M1665" i="12" l="1"/>
  <c r="N1665" i="12" s="1"/>
  <c r="O1663" i="12"/>
  <c r="M1666" i="12" l="1"/>
  <c r="N1666" i="12" s="1"/>
  <c r="O1664" i="12"/>
  <c r="M1667" i="12" l="1"/>
  <c r="N1667" i="12" s="1"/>
  <c r="O1665" i="12"/>
  <c r="M1668" i="12" l="1"/>
  <c r="N1668" i="12" s="1"/>
  <c r="O1666" i="12"/>
  <c r="M1669" i="12" l="1"/>
  <c r="N1669" i="12" s="1"/>
  <c r="O1667" i="12"/>
  <c r="M1670" i="12" l="1"/>
  <c r="N1670" i="12" s="1"/>
  <c r="O1668" i="12"/>
  <c r="M1671" i="12" l="1"/>
  <c r="N1671" i="12" s="1"/>
  <c r="O1669" i="12"/>
  <c r="M1672" i="12" l="1"/>
  <c r="N1672" i="12" s="1"/>
  <c r="O1670" i="12"/>
  <c r="M1673" i="12" l="1"/>
  <c r="N1673" i="12" s="1"/>
  <c r="O1671" i="12"/>
  <c r="M1674" i="12" l="1"/>
  <c r="N1674" i="12" s="1"/>
  <c r="O1672" i="12"/>
  <c r="M1675" i="12" l="1"/>
  <c r="N1675" i="12" s="1"/>
  <c r="O1673" i="12"/>
  <c r="M1676" i="12" l="1"/>
  <c r="N1676" i="12" s="1"/>
  <c r="O1674" i="12"/>
  <c r="M1677" i="12" l="1"/>
  <c r="N1677" i="12" s="1"/>
  <c r="O1675" i="12"/>
  <c r="M1678" i="12" l="1"/>
  <c r="N1678" i="12" s="1"/>
  <c r="O1676" i="12"/>
  <c r="M1679" i="12" l="1"/>
  <c r="N1679" i="12" s="1"/>
  <c r="O1677" i="12"/>
  <c r="M1680" i="12" l="1"/>
  <c r="N1680" i="12" s="1"/>
  <c r="O1678" i="12"/>
  <c r="M1681" i="12" l="1"/>
  <c r="N1681" i="12" s="1"/>
  <c r="O1679" i="12"/>
  <c r="M1682" i="12" l="1"/>
  <c r="N1682" i="12" s="1"/>
  <c r="O1680" i="12"/>
  <c r="M1683" i="12" l="1"/>
  <c r="N1683" i="12" s="1"/>
  <c r="O1681" i="12"/>
  <c r="M1684" i="12" l="1"/>
  <c r="N1684" i="12" s="1"/>
  <c r="O1682" i="12"/>
  <c r="M1685" i="12" l="1"/>
  <c r="N1685" i="12" s="1"/>
  <c r="O1683" i="12"/>
  <c r="M1686" i="12" l="1"/>
  <c r="N1686" i="12" s="1"/>
  <c r="O1684" i="12"/>
  <c r="M1687" i="12" l="1"/>
  <c r="N1687" i="12" s="1"/>
  <c r="O1685" i="12"/>
  <c r="M1688" i="12" l="1"/>
  <c r="N1688" i="12" s="1"/>
  <c r="O1686" i="12"/>
  <c r="M1689" i="12" l="1"/>
  <c r="N1689" i="12" s="1"/>
  <c r="O1687" i="12"/>
  <c r="M1690" i="12" l="1"/>
  <c r="N1690" i="12" s="1"/>
  <c r="O1688" i="12"/>
  <c r="M1691" i="12" l="1"/>
  <c r="N1691" i="12" s="1"/>
  <c r="O1689" i="12"/>
  <c r="M1692" i="12" l="1"/>
  <c r="N1692" i="12" s="1"/>
  <c r="O1690" i="12"/>
  <c r="M1693" i="12" l="1"/>
  <c r="N1693" i="12" s="1"/>
  <c r="O1691" i="12"/>
  <c r="M1694" i="12" l="1"/>
  <c r="N1694" i="12" s="1"/>
  <c r="O1692" i="12"/>
  <c r="M1695" i="12" l="1"/>
  <c r="N1695" i="12" s="1"/>
  <c r="O1693" i="12"/>
  <c r="M1696" i="12" l="1"/>
  <c r="N1696" i="12" s="1"/>
  <c r="O1694" i="12"/>
  <c r="M1697" i="12" l="1"/>
  <c r="N1697" i="12" s="1"/>
  <c r="O1695" i="12"/>
  <c r="M1698" i="12" l="1"/>
  <c r="N1698" i="12" s="1"/>
  <c r="O1696" i="12"/>
  <c r="M1699" i="12" l="1"/>
  <c r="N1699" i="12" s="1"/>
  <c r="O1697" i="12"/>
  <c r="M1700" i="12" l="1"/>
  <c r="N1700" i="12" s="1"/>
  <c r="O1698" i="12"/>
  <c r="M1701" i="12" l="1"/>
  <c r="N1701" i="12" s="1"/>
  <c r="O1699" i="12"/>
  <c r="M1702" i="12" l="1"/>
  <c r="N1702" i="12" s="1"/>
  <c r="O1700" i="12"/>
  <c r="M1703" i="12" l="1"/>
  <c r="N1703" i="12" s="1"/>
  <c r="O1701" i="12"/>
  <c r="M1704" i="12" l="1"/>
  <c r="N1704" i="12" s="1"/>
  <c r="O1702" i="12"/>
  <c r="M1705" i="12" l="1"/>
  <c r="N1705" i="12" s="1"/>
  <c r="O1703" i="12"/>
  <c r="M1706" i="12" l="1"/>
  <c r="N1706" i="12" s="1"/>
  <c r="O1704" i="12"/>
  <c r="M1707" i="12" l="1"/>
  <c r="N1707" i="12" s="1"/>
  <c r="O1705" i="12"/>
  <c r="M1708" i="12" l="1"/>
  <c r="N1708" i="12" s="1"/>
  <c r="O1706" i="12"/>
  <c r="M1709" i="12" l="1"/>
  <c r="N1709" i="12" s="1"/>
  <c r="O1707" i="12"/>
  <c r="M1710" i="12" l="1"/>
  <c r="N1710" i="12" s="1"/>
  <c r="O1708" i="12"/>
  <c r="M1711" i="12" l="1"/>
  <c r="N1711" i="12" s="1"/>
  <c r="O1709" i="12"/>
  <c r="M1712" i="12" l="1"/>
  <c r="N1712" i="12" s="1"/>
  <c r="O1710" i="12"/>
  <c r="M1713" i="12" l="1"/>
  <c r="N1713" i="12" s="1"/>
  <c r="O1711" i="12"/>
  <c r="M1714" i="12" l="1"/>
  <c r="N1714" i="12" s="1"/>
  <c r="O1712" i="12"/>
  <c r="M1715" i="12" l="1"/>
  <c r="N1715" i="12" s="1"/>
  <c r="O1713" i="12"/>
  <c r="M1716" i="12" l="1"/>
  <c r="N1716" i="12" s="1"/>
  <c r="O1714" i="12"/>
  <c r="M1717" i="12" l="1"/>
  <c r="N1717" i="12" s="1"/>
  <c r="O1715" i="12"/>
  <c r="M1718" i="12" l="1"/>
  <c r="N1718" i="12" s="1"/>
  <c r="O1716" i="12"/>
  <c r="M1719" i="12" l="1"/>
  <c r="N1719" i="12" s="1"/>
  <c r="O1717" i="12"/>
  <c r="M1720" i="12" l="1"/>
  <c r="N1720" i="12" s="1"/>
  <c r="O1718" i="12"/>
  <c r="M1721" i="12" l="1"/>
  <c r="N1721" i="12" s="1"/>
  <c r="O1719" i="12"/>
  <c r="M1722" i="12" l="1"/>
  <c r="N1722" i="12" s="1"/>
  <c r="O1720" i="12"/>
  <c r="M1723" i="12" l="1"/>
  <c r="N1723" i="12" s="1"/>
  <c r="O1721" i="12"/>
  <c r="M1724" i="12" l="1"/>
  <c r="N1724" i="12" s="1"/>
  <c r="O1722" i="12"/>
  <c r="M1725" i="12" l="1"/>
  <c r="N1725" i="12" s="1"/>
  <c r="O1723" i="12"/>
  <c r="M1726" i="12" l="1"/>
  <c r="N1726" i="12" s="1"/>
  <c r="O1724" i="12"/>
  <c r="M1727" i="12" l="1"/>
  <c r="N1727" i="12" s="1"/>
  <c r="O1725" i="12"/>
  <c r="M1728" i="12" l="1"/>
  <c r="N1728" i="12" s="1"/>
  <c r="O1726" i="12"/>
  <c r="M1729" i="12" l="1"/>
  <c r="N1729" i="12" s="1"/>
  <c r="O1727" i="12"/>
  <c r="M1730" i="12" l="1"/>
  <c r="N1730" i="12" s="1"/>
  <c r="O1728" i="12"/>
  <c r="M1731" i="12" l="1"/>
  <c r="N1731" i="12" s="1"/>
  <c r="O1729" i="12"/>
  <c r="M1732" i="12" l="1"/>
  <c r="N1732" i="12" s="1"/>
  <c r="O1730" i="12"/>
  <c r="M1733" i="12" l="1"/>
  <c r="N1733" i="12" s="1"/>
  <c r="O1731" i="12"/>
  <c r="M1734" i="12" l="1"/>
  <c r="N1734" i="12" s="1"/>
  <c r="O1732" i="12"/>
  <c r="M1735" i="12" l="1"/>
  <c r="N1735" i="12" s="1"/>
  <c r="O1733" i="12"/>
  <c r="M1736" i="12" l="1"/>
  <c r="N1736" i="12" s="1"/>
  <c r="O1734" i="12"/>
  <c r="M1737" i="12" l="1"/>
  <c r="N1737" i="12" s="1"/>
  <c r="O1735" i="12"/>
  <c r="M1738" i="12" l="1"/>
  <c r="N1738" i="12" s="1"/>
  <c r="O1736" i="12"/>
  <c r="M1739" i="12" l="1"/>
  <c r="N1739" i="12" s="1"/>
  <c r="O1737" i="12"/>
  <c r="M1740" i="12" l="1"/>
  <c r="N1740" i="12" s="1"/>
  <c r="O1738" i="12"/>
  <c r="M1741" i="12" l="1"/>
  <c r="N1741" i="12" s="1"/>
  <c r="O1739" i="12"/>
  <c r="M1742" i="12" l="1"/>
  <c r="N1742" i="12" s="1"/>
  <c r="O1740" i="12"/>
  <c r="M1743" i="12" l="1"/>
  <c r="N1743" i="12" s="1"/>
  <c r="O1741" i="12"/>
  <c r="M1744" i="12" l="1"/>
  <c r="N1744" i="12" s="1"/>
  <c r="O1742" i="12"/>
  <c r="M1745" i="12" l="1"/>
  <c r="N1745" i="12" s="1"/>
  <c r="O1743" i="12"/>
  <c r="M1746" i="12" l="1"/>
  <c r="N1746" i="12" s="1"/>
  <c r="O1744" i="12"/>
  <c r="M1747" i="12" l="1"/>
  <c r="N1747" i="12" s="1"/>
  <c r="O1745" i="12"/>
  <c r="M1748" i="12" l="1"/>
  <c r="N1748" i="12" s="1"/>
  <c r="O1746" i="12"/>
  <c r="M1749" i="12" l="1"/>
  <c r="N1749" i="12" s="1"/>
  <c r="O1747" i="12"/>
  <c r="M1750" i="12" l="1"/>
  <c r="N1750" i="12" s="1"/>
  <c r="O1748" i="12"/>
  <c r="M1751" i="12" l="1"/>
  <c r="N1751" i="12" s="1"/>
  <c r="O1749" i="12"/>
  <c r="M1752" i="12" l="1"/>
  <c r="N1752" i="12" s="1"/>
  <c r="O1750" i="12"/>
  <c r="M1753" i="12" l="1"/>
  <c r="N1753" i="12" s="1"/>
  <c r="O1751" i="12"/>
  <c r="M1754" i="12" l="1"/>
  <c r="N1754" i="12" s="1"/>
  <c r="O1752" i="12"/>
  <c r="M1755" i="12" l="1"/>
  <c r="N1755" i="12" s="1"/>
  <c r="O1753" i="12"/>
  <c r="M1756" i="12" l="1"/>
  <c r="N1756" i="12" s="1"/>
  <c r="O1754" i="12"/>
  <c r="M1757" i="12" l="1"/>
  <c r="N1757" i="12" s="1"/>
  <c r="O1755" i="12"/>
  <c r="M1758" i="12" l="1"/>
  <c r="N1758" i="12" s="1"/>
  <c r="O1756" i="12"/>
  <c r="M1759" i="12" l="1"/>
  <c r="N1759" i="12" s="1"/>
  <c r="O1757" i="12"/>
  <c r="M1760" i="12" l="1"/>
  <c r="N1760" i="12" s="1"/>
  <c r="O1758" i="12"/>
  <c r="M1761" i="12" l="1"/>
  <c r="N1761" i="12" s="1"/>
  <c r="O1759" i="12"/>
  <c r="M1762" i="12" l="1"/>
  <c r="N1762" i="12" s="1"/>
  <c r="O1760" i="12"/>
  <c r="M1763" i="12" l="1"/>
  <c r="N1763" i="12" s="1"/>
  <c r="O1761" i="12"/>
  <c r="M1764" i="12" l="1"/>
  <c r="N1764" i="12" s="1"/>
  <c r="O1762" i="12"/>
  <c r="M1765" i="12" l="1"/>
  <c r="N1765" i="12" s="1"/>
  <c r="O1763" i="12"/>
  <c r="M1766" i="12" l="1"/>
  <c r="N1766" i="12" s="1"/>
  <c r="O1764" i="12"/>
  <c r="M1767" i="12" l="1"/>
  <c r="N1767" i="12" s="1"/>
  <c r="O1765" i="12"/>
  <c r="M1768" i="12" l="1"/>
  <c r="N1768" i="12" s="1"/>
  <c r="O1766" i="12"/>
  <c r="M1769" i="12" l="1"/>
  <c r="N1769" i="12" s="1"/>
  <c r="O1767" i="12"/>
  <c r="M1770" i="12" l="1"/>
  <c r="N1770" i="12" s="1"/>
  <c r="O1768" i="12"/>
  <c r="M1771" i="12" l="1"/>
  <c r="N1771" i="12" s="1"/>
  <c r="O1769" i="12"/>
  <c r="M1772" i="12" l="1"/>
  <c r="N1772" i="12" s="1"/>
  <c r="O1770" i="12"/>
  <c r="M1773" i="12" l="1"/>
  <c r="N1773" i="12" s="1"/>
  <c r="O1771" i="12"/>
  <c r="M1774" i="12" l="1"/>
  <c r="N1774" i="12" s="1"/>
  <c r="O1772" i="12"/>
  <c r="M1775" i="12" l="1"/>
  <c r="N1775" i="12" s="1"/>
  <c r="O1773" i="12"/>
  <c r="M1776" i="12" l="1"/>
  <c r="N1776" i="12" s="1"/>
  <c r="O1774" i="12"/>
  <c r="M1777" i="12" l="1"/>
  <c r="N1777" i="12" s="1"/>
  <c r="O1775" i="12"/>
  <c r="M1778" i="12" l="1"/>
  <c r="N1778" i="12" s="1"/>
  <c r="O1776" i="12"/>
  <c r="M1779" i="12" l="1"/>
  <c r="N1779" i="12" s="1"/>
  <c r="O1777" i="12"/>
  <c r="M1780" i="12" l="1"/>
  <c r="N1780" i="12" s="1"/>
  <c r="O1778" i="12"/>
  <c r="M1781" i="12" l="1"/>
  <c r="N1781" i="12" s="1"/>
  <c r="O1779" i="12"/>
  <c r="M1782" i="12" l="1"/>
  <c r="N1782" i="12" s="1"/>
  <c r="O1780" i="12"/>
  <c r="M1783" i="12" l="1"/>
  <c r="N1783" i="12" s="1"/>
  <c r="O1781" i="12"/>
  <c r="M1784" i="12" l="1"/>
  <c r="N1784" i="12" s="1"/>
  <c r="O1782" i="12"/>
  <c r="M1785" i="12" l="1"/>
  <c r="N1785" i="12" s="1"/>
  <c r="O1783" i="12"/>
  <c r="M1786" i="12" l="1"/>
  <c r="N1786" i="12" s="1"/>
  <c r="O1784" i="12"/>
  <c r="M1787" i="12" l="1"/>
  <c r="N1787" i="12" s="1"/>
  <c r="O1785" i="12"/>
  <c r="M1788" i="12" l="1"/>
  <c r="N1788" i="12" s="1"/>
  <c r="O1786" i="12"/>
  <c r="M1789" i="12" l="1"/>
  <c r="N1789" i="12" s="1"/>
  <c r="O1787" i="12"/>
  <c r="M1790" i="12" l="1"/>
  <c r="N1790" i="12" s="1"/>
  <c r="O1788" i="12"/>
  <c r="M1791" i="12" l="1"/>
  <c r="N1791" i="12" s="1"/>
  <c r="O1789" i="12"/>
  <c r="M1792" i="12" l="1"/>
  <c r="N1792" i="12" s="1"/>
  <c r="O1790" i="12"/>
  <c r="M1793" i="12" l="1"/>
  <c r="N1793" i="12" s="1"/>
  <c r="O1791" i="12"/>
  <c r="M1794" i="12" l="1"/>
  <c r="N1794" i="12" s="1"/>
  <c r="O1792" i="12"/>
  <c r="M1795" i="12" l="1"/>
  <c r="N1795" i="12" s="1"/>
  <c r="O1793" i="12"/>
  <c r="M1796" i="12" l="1"/>
  <c r="N1796" i="12" s="1"/>
  <c r="O1794" i="12"/>
  <c r="M1797" i="12" l="1"/>
  <c r="N1797" i="12" s="1"/>
  <c r="O1795" i="12"/>
  <c r="M1798" i="12" l="1"/>
  <c r="N1798" i="12" s="1"/>
  <c r="O1796" i="12"/>
  <c r="M1799" i="12" l="1"/>
  <c r="N1799" i="12" s="1"/>
  <c r="O1797" i="12"/>
  <c r="M1800" i="12" l="1"/>
  <c r="N1800" i="12" s="1"/>
  <c r="O1798" i="12"/>
  <c r="M1801" i="12" l="1"/>
  <c r="N1801" i="12" s="1"/>
  <c r="O1799" i="12"/>
  <c r="M1802" i="12" l="1"/>
  <c r="N1802" i="12" s="1"/>
  <c r="O1800" i="12"/>
  <c r="M1803" i="12" l="1"/>
  <c r="N1803" i="12" s="1"/>
  <c r="O1801" i="12"/>
  <c r="M1804" i="12" l="1"/>
  <c r="N1804" i="12" s="1"/>
  <c r="O1802" i="12"/>
  <c r="M1805" i="12" l="1"/>
  <c r="N1805" i="12" s="1"/>
  <c r="O1803" i="12"/>
  <c r="M1806" i="12" l="1"/>
  <c r="N1806" i="12" s="1"/>
  <c r="O1804" i="12"/>
  <c r="M1807" i="12" l="1"/>
  <c r="N1807" i="12" s="1"/>
  <c r="O1805" i="12"/>
  <c r="M1808" i="12" l="1"/>
  <c r="N1808" i="12" s="1"/>
  <c r="O1806" i="12"/>
  <c r="M1809" i="12" l="1"/>
  <c r="N1809" i="12" s="1"/>
  <c r="O1807" i="12"/>
  <c r="M1810" i="12" l="1"/>
  <c r="N1810" i="12" s="1"/>
  <c r="O1808" i="12"/>
  <c r="M1811" i="12" l="1"/>
  <c r="N1811" i="12" s="1"/>
  <c r="O1809" i="12"/>
  <c r="M1812" i="12" l="1"/>
  <c r="N1812" i="12" s="1"/>
  <c r="O1810" i="12"/>
  <c r="M1813" i="12" l="1"/>
  <c r="N1813" i="12" s="1"/>
  <c r="O1811" i="12"/>
  <c r="M1814" i="12" l="1"/>
  <c r="N1814" i="12" s="1"/>
  <c r="O1812" i="12"/>
  <c r="M1815" i="12" l="1"/>
  <c r="N1815" i="12" s="1"/>
  <c r="O1813" i="12"/>
  <c r="M1816" i="12" l="1"/>
  <c r="N1816" i="12" s="1"/>
  <c r="O1814" i="12"/>
  <c r="M1817" i="12" l="1"/>
  <c r="N1817" i="12" s="1"/>
  <c r="O1815" i="12"/>
  <c r="M1818" i="12" l="1"/>
  <c r="N1818" i="12" s="1"/>
  <c r="O1816" i="12"/>
  <c r="M1819" i="12" l="1"/>
  <c r="N1819" i="12" s="1"/>
  <c r="O1817" i="12"/>
  <c r="M1820" i="12" l="1"/>
  <c r="N1820" i="12" s="1"/>
  <c r="O1818" i="12"/>
  <c r="M1821" i="12" l="1"/>
  <c r="N1821" i="12" s="1"/>
  <c r="O1819" i="12"/>
  <c r="M1822" i="12" l="1"/>
  <c r="N1822" i="12" s="1"/>
  <c r="O1820" i="12"/>
  <c r="M1823" i="12" l="1"/>
  <c r="N1823" i="12" s="1"/>
  <c r="O1821" i="12"/>
  <c r="M1824" i="12" l="1"/>
  <c r="N1824" i="12" s="1"/>
  <c r="O1822" i="12"/>
  <c r="M1825" i="12" l="1"/>
  <c r="N1825" i="12" s="1"/>
  <c r="O1823" i="12"/>
  <c r="M1826" i="12" l="1"/>
  <c r="N1826" i="12" s="1"/>
  <c r="O1824" i="12"/>
  <c r="M1827" i="12" l="1"/>
  <c r="N1827" i="12" s="1"/>
  <c r="O1825" i="12"/>
  <c r="M1828" i="12" l="1"/>
  <c r="N1828" i="12" s="1"/>
  <c r="O1826" i="12"/>
  <c r="M1829" i="12" l="1"/>
  <c r="N1829" i="12" s="1"/>
  <c r="O1827" i="12"/>
  <c r="M1830" i="12" l="1"/>
  <c r="N1830" i="12" s="1"/>
  <c r="O1828" i="12"/>
  <c r="M1831" i="12" l="1"/>
  <c r="N1831" i="12" s="1"/>
  <c r="O1829" i="12"/>
  <c r="M1832" i="12" l="1"/>
  <c r="N1832" i="12" s="1"/>
  <c r="O1830" i="12"/>
  <c r="M1833" i="12" l="1"/>
  <c r="N1833" i="12" s="1"/>
  <c r="O1831" i="12"/>
  <c r="M1834" i="12" l="1"/>
  <c r="N1834" i="12" s="1"/>
  <c r="O1832" i="12"/>
  <c r="M1835" i="12" l="1"/>
  <c r="N1835" i="12" s="1"/>
  <c r="O1833" i="12"/>
  <c r="M1836" i="12" l="1"/>
  <c r="N1836" i="12" s="1"/>
  <c r="O1834" i="12"/>
  <c r="M1837" i="12" l="1"/>
  <c r="N1837" i="12" s="1"/>
  <c r="O1835" i="12"/>
  <c r="M1838" i="12" l="1"/>
  <c r="N1838" i="12" s="1"/>
  <c r="O1836" i="12"/>
  <c r="M1839" i="12" l="1"/>
  <c r="N1839" i="12" s="1"/>
  <c r="O1837" i="12"/>
  <c r="M1840" i="12" l="1"/>
  <c r="N1840" i="12" s="1"/>
  <c r="O1838" i="12"/>
  <c r="M1841" i="12" l="1"/>
  <c r="N1841" i="12" s="1"/>
  <c r="O1839" i="12"/>
  <c r="M1842" i="12" l="1"/>
  <c r="N1842" i="12" s="1"/>
  <c r="O1840" i="12"/>
  <c r="M1843" i="12" l="1"/>
  <c r="N1843" i="12" s="1"/>
  <c r="O1841" i="12"/>
  <c r="M1844" i="12" l="1"/>
  <c r="N1844" i="12" s="1"/>
  <c r="O1842" i="12"/>
  <c r="M1845" i="12" l="1"/>
  <c r="N1845" i="12" s="1"/>
  <c r="O1843" i="12"/>
  <c r="M1846" i="12" l="1"/>
  <c r="N1846" i="12" s="1"/>
  <c r="O1844" i="12"/>
  <c r="M1847" i="12" l="1"/>
  <c r="N1847" i="12" s="1"/>
  <c r="O1845" i="12"/>
  <c r="M1848" i="12" l="1"/>
  <c r="N1848" i="12" s="1"/>
  <c r="O1846" i="12"/>
  <c r="M1849" i="12" l="1"/>
  <c r="N1849" i="12" s="1"/>
  <c r="O1847" i="12"/>
  <c r="M1850" i="12" l="1"/>
  <c r="N1850" i="12" s="1"/>
  <c r="O1848" i="12"/>
  <c r="M1851" i="12" l="1"/>
  <c r="N1851" i="12" s="1"/>
  <c r="O1849" i="12"/>
  <c r="M1852" i="12" l="1"/>
  <c r="N1852" i="12" s="1"/>
  <c r="O1850" i="12"/>
  <c r="M1853" i="12" l="1"/>
  <c r="N1853" i="12" s="1"/>
  <c r="O1851" i="12"/>
  <c r="M1854" i="12" l="1"/>
  <c r="N1854" i="12" s="1"/>
  <c r="O1852" i="12"/>
  <c r="M1855" i="12" l="1"/>
  <c r="N1855" i="12" s="1"/>
  <c r="O1853" i="12"/>
  <c r="M1856" i="12" l="1"/>
  <c r="N1856" i="12" s="1"/>
  <c r="O1854" i="12"/>
  <c r="M1857" i="12" l="1"/>
  <c r="N1857" i="12" s="1"/>
  <c r="O1855" i="12"/>
  <c r="M1858" i="12" l="1"/>
  <c r="N1858" i="12" s="1"/>
  <c r="O1856" i="12"/>
  <c r="M1859" i="12" l="1"/>
  <c r="N1859" i="12" s="1"/>
  <c r="O1857" i="12"/>
  <c r="M1860" i="12" l="1"/>
  <c r="N1860" i="12" s="1"/>
  <c r="O1858" i="12"/>
  <c r="M1861" i="12" l="1"/>
  <c r="N1861" i="12" s="1"/>
  <c r="O1859" i="12"/>
  <c r="M1862" i="12" l="1"/>
  <c r="N1862" i="12" s="1"/>
  <c r="O1860" i="12"/>
  <c r="M1863" i="12" l="1"/>
  <c r="N1863" i="12" s="1"/>
  <c r="O1861" i="12"/>
  <c r="M1864" i="12" l="1"/>
  <c r="N1864" i="12" s="1"/>
  <c r="O1862" i="12"/>
  <c r="M1865" i="12" l="1"/>
  <c r="N1865" i="12" s="1"/>
  <c r="O1863" i="12"/>
  <c r="M1866" i="12" l="1"/>
  <c r="N1866" i="12" s="1"/>
  <c r="O1864" i="12"/>
  <c r="M1867" i="12" l="1"/>
  <c r="N1867" i="12" s="1"/>
  <c r="O1865" i="12"/>
  <c r="M1868" i="12" l="1"/>
  <c r="N1868" i="12" s="1"/>
  <c r="O1866" i="12"/>
  <c r="M1869" i="12" l="1"/>
  <c r="N1869" i="12" s="1"/>
  <c r="O1867" i="12"/>
  <c r="M1870" i="12" l="1"/>
  <c r="N1870" i="12" s="1"/>
  <c r="O1868" i="12"/>
  <c r="M1871" i="12" l="1"/>
  <c r="N1871" i="12" s="1"/>
  <c r="O1869" i="12"/>
  <c r="M1872" i="12" l="1"/>
  <c r="N1872" i="12" s="1"/>
  <c r="O1870" i="12"/>
  <c r="M1873" i="12" l="1"/>
  <c r="N1873" i="12" s="1"/>
  <c r="O1871" i="12"/>
  <c r="M1874" i="12" l="1"/>
  <c r="N1874" i="12" s="1"/>
  <c r="O1872" i="12"/>
  <c r="M1875" i="12" l="1"/>
  <c r="N1875" i="12" s="1"/>
  <c r="O1873" i="12"/>
  <c r="M1876" i="12" l="1"/>
  <c r="N1876" i="12" s="1"/>
  <c r="O1874" i="12"/>
  <c r="M1877" i="12" l="1"/>
  <c r="N1877" i="12" s="1"/>
  <c r="O1875" i="12"/>
  <c r="M1878" i="12" l="1"/>
  <c r="N1878" i="12" s="1"/>
  <c r="O1876" i="12"/>
  <c r="M1879" i="12" l="1"/>
  <c r="N1879" i="12" s="1"/>
  <c r="O1877" i="12"/>
  <c r="M1880" i="12" l="1"/>
  <c r="N1880" i="12" s="1"/>
  <c r="O1878" i="12"/>
  <c r="M1881" i="12" l="1"/>
  <c r="N1881" i="12" s="1"/>
  <c r="O1879" i="12"/>
  <c r="M1882" i="12" l="1"/>
  <c r="N1882" i="12" s="1"/>
  <c r="O1880" i="12"/>
  <c r="M1883" i="12" l="1"/>
  <c r="N1883" i="12" s="1"/>
  <c r="O1881" i="12"/>
  <c r="M1884" i="12" l="1"/>
  <c r="N1884" i="12" s="1"/>
  <c r="O1882" i="12"/>
  <c r="M1885" i="12" l="1"/>
  <c r="N1885" i="12" s="1"/>
  <c r="O1883" i="12"/>
  <c r="M1886" i="12" l="1"/>
  <c r="N1886" i="12" s="1"/>
  <c r="O1884" i="12"/>
  <c r="M1887" i="12" l="1"/>
  <c r="N1887" i="12" s="1"/>
  <c r="O1885" i="12"/>
  <c r="M1888" i="12" l="1"/>
  <c r="N1888" i="12" s="1"/>
  <c r="O1886" i="12"/>
  <c r="M1889" i="12" l="1"/>
  <c r="N1889" i="12" s="1"/>
  <c r="O1887" i="12"/>
  <c r="M1890" i="12" l="1"/>
  <c r="N1890" i="12" s="1"/>
  <c r="O1888" i="12"/>
  <c r="M1891" i="12" l="1"/>
  <c r="N1891" i="12" s="1"/>
  <c r="O1889" i="12"/>
  <c r="M1892" i="12" l="1"/>
  <c r="N1892" i="12" s="1"/>
  <c r="O1890" i="12"/>
  <c r="M1893" i="12" l="1"/>
  <c r="N1893" i="12" s="1"/>
  <c r="O1891" i="12"/>
  <c r="M1894" i="12" l="1"/>
  <c r="N1894" i="12" s="1"/>
  <c r="O1892" i="12"/>
  <c r="M1895" i="12" l="1"/>
  <c r="N1895" i="12" s="1"/>
  <c r="O1893" i="12"/>
  <c r="M1896" i="12" l="1"/>
  <c r="N1896" i="12" s="1"/>
  <c r="O1894" i="12"/>
  <c r="M1897" i="12" l="1"/>
  <c r="N1897" i="12" s="1"/>
  <c r="O1895" i="12"/>
  <c r="M1898" i="12" l="1"/>
  <c r="N1898" i="12" s="1"/>
  <c r="O1896" i="12"/>
  <c r="M1899" i="12" l="1"/>
  <c r="N1899" i="12" s="1"/>
  <c r="O1897" i="12"/>
  <c r="M1900" i="12" l="1"/>
  <c r="N1900" i="12" s="1"/>
  <c r="O1898" i="12"/>
  <c r="M1901" i="12" l="1"/>
  <c r="N1901" i="12" s="1"/>
  <c r="O1899" i="12"/>
  <c r="M1902" i="12" l="1"/>
  <c r="N1902" i="12" s="1"/>
  <c r="O1900" i="12"/>
  <c r="M1903" i="12" l="1"/>
  <c r="N1903" i="12" s="1"/>
  <c r="O1901" i="12"/>
  <c r="M1904" i="12" l="1"/>
  <c r="N1904" i="12" s="1"/>
  <c r="O1902" i="12"/>
  <c r="M1905" i="12" l="1"/>
  <c r="N1905" i="12" s="1"/>
  <c r="O1903" i="12"/>
  <c r="M1906" i="12" l="1"/>
  <c r="N1906" i="12" s="1"/>
  <c r="O1904" i="12"/>
  <c r="M1907" i="12" l="1"/>
  <c r="N1907" i="12" s="1"/>
  <c r="O1905" i="12"/>
  <c r="M1908" i="12" l="1"/>
  <c r="N1908" i="12" s="1"/>
  <c r="O1906" i="12"/>
  <c r="M1909" i="12" l="1"/>
  <c r="N1909" i="12" s="1"/>
  <c r="O1907" i="12"/>
  <c r="M1910" i="12" l="1"/>
  <c r="N1910" i="12" s="1"/>
  <c r="O1908" i="12"/>
  <c r="M1911" i="12" l="1"/>
  <c r="N1911" i="12" s="1"/>
  <c r="O1909" i="12"/>
  <c r="M1912" i="12" l="1"/>
  <c r="N1912" i="12" s="1"/>
  <c r="O1910" i="12"/>
  <c r="M1913" i="12" l="1"/>
  <c r="N1913" i="12" s="1"/>
  <c r="O1911" i="12"/>
  <c r="M1914" i="12" l="1"/>
  <c r="N1914" i="12" s="1"/>
  <c r="O1912" i="12"/>
  <c r="M1915" i="12" l="1"/>
  <c r="N1915" i="12" s="1"/>
  <c r="O1913" i="12"/>
  <c r="M1916" i="12" l="1"/>
  <c r="N1916" i="12" s="1"/>
  <c r="O1914" i="12"/>
  <c r="M1917" i="12" l="1"/>
  <c r="N1917" i="12" s="1"/>
  <c r="O1915" i="12"/>
  <c r="M1918" i="12" l="1"/>
  <c r="N1918" i="12" s="1"/>
  <c r="O1916" i="12"/>
  <c r="M1919" i="12" l="1"/>
  <c r="N1919" i="12" s="1"/>
  <c r="O1917" i="12"/>
  <c r="M1920" i="12" l="1"/>
  <c r="N1920" i="12" s="1"/>
  <c r="O1918" i="12"/>
  <c r="M1921" i="12" l="1"/>
  <c r="N1921" i="12" s="1"/>
  <c r="O1919" i="12"/>
  <c r="M1922" i="12" l="1"/>
  <c r="N1922" i="12" s="1"/>
  <c r="O1920" i="12"/>
  <c r="M1923" i="12" l="1"/>
  <c r="N1923" i="12" s="1"/>
  <c r="O1921" i="12"/>
  <c r="M1924" i="12" l="1"/>
  <c r="N1924" i="12" s="1"/>
  <c r="O1922" i="12"/>
  <c r="M1925" i="12" l="1"/>
  <c r="N1925" i="12" s="1"/>
  <c r="O1923" i="12"/>
  <c r="M1926" i="12" l="1"/>
  <c r="N1926" i="12" s="1"/>
  <c r="O1924" i="12"/>
  <c r="M1927" i="12" l="1"/>
  <c r="N1927" i="12" s="1"/>
  <c r="O1925" i="12"/>
  <c r="M1928" i="12" l="1"/>
  <c r="N1928" i="12" s="1"/>
  <c r="O1926" i="12"/>
  <c r="M1929" i="12" l="1"/>
  <c r="N1929" i="12" s="1"/>
  <c r="O1927" i="12"/>
  <c r="M1930" i="12" l="1"/>
  <c r="N1930" i="12" s="1"/>
  <c r="O1928" i="12"/>
  <c r="M1931" i="12" l="1"/>
  <c r="N1931" i="12" s="1"/>
  <c r="O1929" i="12"/>
  <c r="M1932" i="12" l="1"/>
  <c r="N1932" i="12" s="1"/>
  <c r="O1930" i="12"/>
  <c r="M1933" i="12" l="1"/>
  <c r="N1933" i="12" s="1"/>
  <c r="O1931" i="12"/>
  <c r="M1934" i="12" l="1"/>
  <c r="N1934" i="12" s="1"/>
  <c r="O1932" i="12"/>
  <c r="M1935" i="12" l="1"/>
  <c r="N1935" i="12" s="1"/>
  <c r="O1933" i="12"/>
  <c r="M1936" i="12" l="1"/>
  <c r="N1936" i="12" s="1"/>
  <c r="O1934" i="12"/>
  <c r="M1937" i="12" l="1"/>
  <c r="N1937" i="12" s="1"/>
  <c r="O1935" i="12"/>
  <c r="M1938" i="12" l="1"/>
  <c r="N1938" i="12" s="1"/>
  <c r="O1936" i="12"/>
  <c r="M1939" i="12" l="1"/>
  <c r="N1939" i="12" s="1"/>
  <c r="O1937" i="12"/>
  <c r="M1940" i="12" l="1"/>
  <c r="N1940" i="12" s="1"/>
  <c r="O1938" i="12"/>
  <c r="M1941" i="12" l="1"/>
  <c r="N1941" i="12" s="1"/>
  <c r="O1939" i="12"/>
  <c r="M1942" i="12" l="1"/>
  <c r="N1942" i="12" s="1"/>
  <c r="O1940" i="12"/>
  <c r="M1943" i="12" l="1"/>
  <c r="N1943" i="12" s="1"/>
  <c r="O1941" i="12"/>
  <c r="M1944" i="12" l="1"/>
  <c r="N1944" i="12" s="1"/>
  <c r="O1942" i="12"/>
  <c r="M1945" i="12" l="1"/>
  <c r="N1945" i="12" s="1"/>
  <c r="O1943" i="12"/>
  <c r="M1946" i="12" l="1"/>
  <c r="N1946" i="12" s="1"/>
  <c r="O1944" i="12"/>
  <c r="M1947" i="12" l="1"/>
  <c r="N1947" i="12" s="1"/>
  <c r="O1945" i="12"/>
  <c r="M1948" i="12" l="1"/>
  <c r="N1948" i="12" s="1"/>
  <c r="O1946" i="12"/>
  <c r="M1949" i="12" l="1"/>
  <c r="N1949" i="12" s="1"/>
  <c r="O1947" i="12"/>
  <c r="M1950" i="12" l="1"/>
  <c r="N1950" i="12" s="1"/>
  <c r="O1948" i="12"/>
  <c r="M1951" i="12" l="1"/>
  <c r="N1951" i="12" s="1"/>
  <c r="O1949" i="12"/>
  <c r="M1952" i="12" l="1"/>
  <c r="N1952" i="12" s="1"/>
  <c r="O1950" i="12"/>
  <c r="M1953" i="12" l="1"/>
  <c r="N1953" i="12" s="1"/>
  <c r="O1951" i="12"/>
  <c r="M1954" i="12" l="1"/>
  <c r="N1954" i="12" s="1"/>
  <c r="O1952" i="12"/>
  <c r="M1955" i="12" l="1"/>
  <c r="N1955" i="12" s="1"/>
  <c r="O1953" i="12"/>
  <c r="M1956" i="12" l="1"/>
  <c r="N1956" i="12" s="1"/>
  <c r="O1954" i="12"/>
  <c r="M1957" i="12" l="1"/>
  <c r="N1957" i="12" s="1"/>
  <c r="O1955" i="12"/>
  <c r="M1958" i="12" l="1"/>
  <c r="N1958" i="12" s="1"/>
  <c r="O1956" i="12"/>
  <c r="M1959" i="12" l="1"/>
  <c r="N1959" i="12" s="1"/>
  <c r="O1957" i="12"/>
  <c r="M1960" i="12" l="1"/>
  <c r="N1960" i="12" s="1"/>
  <c r="O1958" i="12"/>
  <c r="M1961" i="12" l="1"/>
  <c r="N1961" i="12" s="1"/>
  <c r="O1959" i="12"/>
  <c r="M1962" i="12" l="1"/>
  <c r="N1962" i="12" s="1"/>
  <c r="O1960" i="12"/>
  <c r="M1963" i="12" l="1"/>
  <c r="N1963" i="12" s="1"/>
  <c r="O1961" i="12"/>
  <c r="M1964" i="12" l="1"/>
  <c r="N1964" i="12" s="1"/>
  <c r="O1962" i="12"/>
  <c r="M1965" i="12" l="1"/>
  <c r="N1965" i="12" s="1"/>
  <c r="O1963" i="12"/>
  <c r="M1966" i="12" l="1"/>
  <c r="N1966" i="12" s="1"/>
  <c r="O1964" i="12"/>
  <c r="M1967" i="12" l="1"/>
  <c r="N1967" i="12" s="1"/>
  <c r="O1965" i="12"/>
  <c r="M1968" i="12" l="1"/>
  <c r="N1968" i="12" s="1"/>
  <c r="O1966" i="12"/>
  <c r="M1969" i="12" l="1"/>
  <c r="N1969" i="12" s="1"/>
  <c r="O1967" i="12"/>
  <c r="M1970" i="12" l="1"/>
  <c r="N1970" i="12" s="1"/>
  <c r="O1968" i="12"/>
  <c r="M1971" i="12" l="1"/>
  <c r="N1971" i="12" s="1"/>
  <c r="O1969" i="12"/>
  <c r="M1972" i="12" l="1"/>
  <c r="N1972" i="12" s="1"/>
  <c r="O1970" i="12"/>
  <c r="M1973" i="12" l="1"/>
  <c r="N1973" i="12" s="1"/>
  <c r="O1971" i="12"/>
  <c r="M1974" i="12" l="1"/>
  <c r="N1974" i="12" s="1"/>
  <c r="O1972" i="12"/>
  <c r="M1975" i="12" l="1"/>
  <c r="N1975" i="12" s="1"/>
  <c r="O1973" i="12"/>
  <c r="M1976" i="12" l="1"/>
  <c r="N1976" i="12" s="1"/>
  <c r="O1974" i="12"/>
  <c r="M1977" i="12" l="1"/>
  <c r="N1977" i="12" s="1"/>
  <c r="O1975" i="12"/>
  <c r="M1978" i="12" l="1"/>
  <c r="N1978" i="12" s="1"/>
  <c r="O1976" i="12"/>
  <c r="M1979" i="12" l="1"/>
  <c r="N1979" i="12" s="1"/>
  <c r="O1977" i="12"/>
  <c r="M1980" i="12" l="1"/>
  <c r="N1980" i="12" s="1"/>
  <c r="O1978" i="12"/>
  <c r="M1981" i="12" l="1"/>
  <c r="N1981" i="12" s="1"/>
  <c r="O1979" i="12"/>
  <c r="M1982" i="12" l="1"/>
  <c r="N1982" i="12" s="1"/>
  <c r="O1980" i="12"/>
  <c r="M1983" i="12" l="1"/>
  <c r="N1983" i="12" s="1"/>
  <c r="O1981" i="12"/>
  <c r="M1984" i="12" l="1"/>
  <c r="N1984" i="12" s="1"/>
  <c r="O1982" i="12"/>
  <c r="M1985" i="12" l="1"/>
  <c r="N1985" i="12" s="1"/>
  <c r="O1983" i="12"/>
  <c r="M1986" i="12" l="1"/>
  <c r="N1986" i="12" s="1"/>
  <c r="O1984" i="12"/>
  <c r="M1987" i="12" l="1"/>
  <c r="N1987" i="12" s="1"/>
  <c r="O1985" i="12"/>
  <c r="M1988" i="12" l="1"/>
  <c r="N1988" i="12" s="1"/>
  <c r="O1986" i="12"/>
  <c r="M1989" i="12" l="1"/>
  <c r="N1989" i="12" s="1"/>
  <c r="O1987" i="12"/>
  <c r="M1990" i="12" l="1"/>
  <c r="N1990" i="12" s="1"/>
  <c r="O1988" i="12"/>
  <c r="M1991" i="12" l="1"/>
  <c r="N1991" i="12" s="1"/>
  <c r="O1989" i="12"/>
  <c r="M1992" i="12" l="1"/>
  <c r="N1992" i="12" s="1"/>
  <c r="O1990" i="12"/>
  <c r="M1993" i="12" l="1"/>
  <c r="N1993" i="12" s="1"/>
  <c r="O1991" i="12"/>
  <c r="M1994" i="12" l="1"/>
  <c r="N1994" i="12" s="1"/>
  <c r="O1992" i="12"/>
  <c r="M1995" i="12" l="1"/>
  <c r="N1995" i="12" s="1"/>
  <c r="O1993" i="12"/>
  <c r="M1996" i="12" l="1"/>
  <c r="N1996" i="12" s="1"/>
  <c r="O1994" i="12"/>
  <c r="M1997" i="12" l="1"/>
  <c r="N1997" i="12" s="1"/>
  <c r="O1995" i="12"/>
  <c r="M1998" i="12" l="1"/>
  <c r="N1998" i="12" s="1"/>
  <c r="O1996" i="12"/>
  <c r="M1999" i="12" l="1"/>
  <c r="N1999" i="12" s="1"/>
  <c r="O1997" i="12"/>
  <c r="M2000" i="12" l="1"/>
  <c r="N2000" i="12" s="1"/>
  <c r="O1998" i="12"/>
  <c r="M2001" i="12" l="1"/>
  <c r="N2001" i="12" s="1"/>
  <c r="O1999" i="12"/>
  <c r="M2002" i="12" l="1"/>
  <c r="N2002" i="12" s="1"/>
  <c r="O2000" i="12"/>
  <c r="M2003" i="12" l="1"/>
  <c r="N2003" i="12" s="1"/>
  <c r="O2001" i="12"/>
  <c r="M2004" i="12" l="1"/>
  <c r="N2004" i="12" s="1"/>
  <c r="O2002" i="12"/>
  <c r="M2005" i="12" l="1"/>
  <c r="N2005" i="12" s="1"/>
  <c r="O2003" i="12"/>
  <c r="M2006" i="12" l="1"/>
  <c r="N2006" i="12" s="1"/>
  <c r="O2004" i="12"/>
  <c r="M2007" i="12" l="1"/>
  <c r="N2007" i="12" s="1"/>
  <c r="O2005" i="12"/>
  <c r="M2008" i="12" l="1"/>
  <c r="N2008" i="12" s="1"/>
  <c r="O2006" i="12"/>
  <c r="M2009" i="12" l="1"/>
  <c r="N2009" i="12" s="1"/>
  <c r="O2007" i="12"/>
  <c r="M2010" i="12" l="1"/>
  <c r="N2010" i="12" s="1"/>
  <c r="O2008" i="12"/>
  <c r="M2011" i="12" l="1"/>
  <c r="N2011" i="12" s="1"/>
  <c r="O2009" i="12"/>
  <c r="M2012" i="12" l="1"/>
  <c r="N2012" i="12" s="1"/>
  <c r="O2010" i="12"/>
  <c r="M2013" i="12" l="1"/>
  <c r="N2013" i="12" s="1"/>
  <c r="O2011" i="12"/>
  <c r="M2014" i="12" l="1"/>
  <c r="N2014" i="12" s="1"/>
  <c r="O2012" i="12"/>
  <c r="M2015" i="12" l="1"/>
  <c r="N2015" i="12" s="1"/>
  <c r="O2013" i="12"/>
  <c r="M2016" i="12" l="1"/>
  <c r="N2016" i="12" s="1"/>
  <c r="O2014" i="12"/>
  <c r="M2017" i="12" l="1"/>
  <c r="N2017" i="12" s="1"/>
  <c r="O2015" i="12"/>
  <c r="M2018" i="12" l="1"/>
  <c r="N2018" i="12" s="1"/>
  <c r="O2016" i="12"/>
  <c r="M2019" i="12" l="1"/>
  <c r="N2019" i="12" s="1"/>
  <c r="O2017" i="12"/>
  <c r="M2020" i="12" l="1"/>
  <c r="N2020" i="12" s="1"/>
  <c r="O2018" i="12"/>
  <c r="M2021" i="12" l="1"/>
  <c r="N2021" i="12" s="1"/>
  <c r="O2019" i="12"/>
  <c r="M2022" i="12" l="1"/>
  <c r="N2022" i="12" s="1"/>
  <c r="O2020" i="12"/>
  <c r="M2023" i="12" l="1"/>
  <c r="N2023" i="12" s="1"/>
  <c r="O2021" i="12"/>
  <c r="M2024" i="12" l="1"/>
  <c r="N2024" i="12" s="1"/>
  <c r="O2022" i="12"/>
  <c r="M2025" i="12" l="1"/>
  <c r="N2025" i="12" s="1"/>
  <c r="O2023" i="12"/>
  <c r="M2026" i="12" l="1"/>
  <c r="N2026" i="12" s="1"/>
  <c r="O2024" i="12"/>
  <c r="M2027" i="12" l="1"/>
  <c r="N2027" i="12" s="1"/>
  <c r="O2025" i="12"/>
  <c r="M2028" i="12" l="1"/>
  <c r="N2028" i="12" s="1"/>
  <c r="O2026" i="12"/>
  <c r="M2029" i="12" l="1"/>
  <c r="N2029" i="12" s="1"/>
  <c r="O2027" i="12"/>
  <c r="M2030" i="12" l="1"/>
  <c r="N2030" i="12" s="1"/>
  <c r="O2028" i="12"/>
  <c r="M2031" i="12" l="1"/>
  <c r="N2031" i="12" s="1"/>
  <c r="O2029" i="12"/>
  <c r="M2032" i="12" l="1"/>
  <c r="N2032" i="12" s="1"/>
  <c r="O2030" i="12"/>
  <c r="M2033" i="12" l="1"/>
  <c r="N2033" i="12" s="1"/>
  <c r="O2031" i="12"/>
  <c r="M2034" i="12" l="1"/>
  <c r="N2034" i="12" s="1"/>
  <c r="O2032" i="12"/>
  <c r="M2035" i="12" l="1"/>
  <c r="N2035" i="12" s="1"/>
  <c r="O2033" i="12"/>
  <c r="M2036" i="12" l="1"/>
  <c r="N2036" i="12" s="1"/>
  <c r="O2034" i="12"/>
  <c r="M2037" i="12" l="1"/>
  <c r="N2037" i="12" s="1"/>
  <c r="O2035" i="12"/>
  <c r="M2038" i="12" l="1"/>
  <c r="N2038" i="12" s="1"/>
  <c r="O2036" i="12"/>
  <c r="M2039" i="12" l="1"/>
  <c r="N2039" i="12" s="1"/>
  <c r="O2037" i="12"/>
  <c r="M2040" i="12" l="1"/>
  <c r="N2040" i="12" s="1"/>
  <c r="O2038" i="12"/>
  <c r="M2041" i="12" l="1"/>
  <c r="N2041" i="12" s="1"/>
  <c r="O2039" i="12"/>
  <c r="M2042" i="12" l="1"/>
  <c r="N2042" i="12" s="1"/>
  <c r="O2040" i="12"/>
  <c r="M2043" i="12" l="1"/>
  <c r="N2043" i="12" s="1"/>
  <c r="O2041" i="12"/>
  <c r="M2044" i="12" l="1"/>
  <c r="N2044" i="12" s="1"/>
  <c r="O2042" i="12"/>
  <c r="M2045" i="12" l="1"/>
  <c r="N2045" i="12" s="1"/>
  <c r="O2043" i="12"/>
  <c r="M2046" i="12" l="1"/>
  <c r="N2046" i="12" s="1"/>
  <c r="O2044" i="12"/>
  <c r="M2047" i="12" l="1"/>
  <c r="N2047" i="12" s="1"/>
  <c r="O2045" i="12"/>
  <c r="M2048" i="12" l="1"/>
  <c r="N2048" i="12" s="1"/>
  <c r="O2046" i="12"/>
  <c r="M2049" i="12" l="1"/>
  <c r="N2049" i="12" s="1"/>
  <c r="O2047" i="12"/>
  <c r="M2050" i="12" l="1"/>
  <c r="N2050" i="12" s="1"/>
  <c r="O2048" i="12"/>
  <c r="M2051" i="12" l="1"/>
  <c r="N2051" i="12" s="1"/>
  <c r="O2049" i="12"/>
  <c r="M2052" i="12" l="1"/>
  <c r="N2052" i="12" s="1"/>
  <c r="O2050" i="12"/>
  <c r="M2053" i="12" l="1"/>
  <c r="N2053" i="12" s="1"/>
  <c r="O2051" i="12"/>
  <c r="M2054" i="12" l="1"/>
  <c r="N2054" i="12" s="1"/>
  <c r="O2052" i="12"/>
  <c r="M2055" i="12" l="1"/>
  <c r="N2055" i="12" s="1"/>
  <c r="O2053" i="12"/>
  <c r="M2056" i="12" l="1"/>
  <c r="N2056" i="12" s="1"/>
  <c r="O2054" i="12"/>
  <c r="M2057" i="12" l="1"/>
  <c r="N2057" i="12" s="1"/>
  <c r="O2055" i="12"/>
  <c r="M2058" i="12" l="1"/>
  <c r="N2058" i="12" s="1"/>
  <c r="O2056" i="12"/>
  <c r="M2059" i="12" l="1"/>
  <c r="N2059" i="12" s="1"/>
  <c r="O2057" i="12"/>
  <c r="M2060" i="12" l="1"/>
  <c r="N2060" i="12" s="1"/>
  <c r="O2058" i="12"/>
  <c r="M2061" i="12" l="1"/>
  <c r="N2061" i="12" s="1"/>
  <c r="O2059" i="12"/>
  <c r="M2062" i="12" l="1"/>
  <c r="N2062" i="12" s="1"/>
  <c r="O2060" i="12"/>
  <c r="M2063" i="12" l="1"/>
  <c r="N2063" i="12" s="1"/>
  <c r="O2061" i="12"/>
  <c r="M2064" i="12" l="1"/>
  <c r="N2064" i="12" s="1"/>
  <c r="O2062" i="12"/>
  <c r="M2065" i="12" l="1"/>
  <c r="N2065" i="12" s="1"/>
  <c r="O2063" i="12"/>
  <c r="M2066" i="12" l="1"/>
  <c r="N2066" i="12" s="1"/>
  <c r="O2064" i="12"/>
  <c r="M2067" i="12" l="1"/>
  <c r="N2067" i="12" s="1"/>
  <c r="O2065" i="12"/>
  <c r="M2068" i="12" l="1"/>
  <c r="N2068" i="12" s="1"/>
  <c r="O2066" i="12"/>
  <c r="M2069" i="12" l="1"/>
  <c r="N2069" i="12" s="1"/>
  <c r="O2067" i="12"/>
  <c r="M2070" i="12" l="1"/>
  <c r="N2070" i="12" s="1"/>
  <c r="O2068" i="12"/>
  <c r="M2071" i="12" l="1"/>
  <c r="N2071" i="12" s="1"/>
  <c r="O2069" i="12"/>
  <c r="M2072" i="12" l="1"/>
  <c r="N2072" i="12" s="1"/>
  <c r="O2070" i="12"/>
  <c r="M2073" i="12" l="1"/>
  <c r="N2073" i="12" s="1"/>
  <c r="O2071" i="12"/>
  <c r="M2074" i="12" l="1"/>
  <c r="N2074" i="12" s="1"/>
  <c r="O2072" i="12"/>
  <c r="M2075" i="12" l="1"/>
  <c r="N2075" i="12" s="1"/>
  <c r="O2073" i="12"/>
  <c r="M2076" i="12" l="1"/>
  <c r="N2076" i="12" s="1"/>
  <c r="O2074" i="12"/>
  <c r="M2077" i="12" l="1"/>
  <c r="N2077" i="12" s="1"/>
  <c r="O2075" i="12"/>
  <c r="M2078" i="12" l="1"/>
  <c r="N2078" i="12" s="1"/>
  <c r="O2076" i="12"/>
  <c r="M2079" i="12" l="1"/>
  <c r="N2079" i="12" s="1"/>
  <c r="O2077" i="12"/>
  <c r="M2080" i="12" l="1"/>
  <c r="N2080" i="12" s="1"/>
  <c r="O2078" i="12"/>
  <c r="M2081" i="12" l="1"/>
  <c r="N2081" i="12" s="1"/>
  <c r="O2079" i="12"/>
  <c r="M2082" i="12" l="1"/>
  <c r="N2082" i="12" s="1"/>
  <c r="O2080" i="12"/>
  <c r="M2083" i="12" l="1"/>
  <c r="N2083" i="12" s="1"/>
  <c r="O2081" i="12"/>
  <c r="M2084" i="12" l="1"/>
  <c r="N2084" i="12" s="1"/>
  <c r="O2082" i="12"/>
  <c r="M2085" i="12" l="1"/>
  <c r="N2085" i="12" s="1"/>
  <c r="O2083" i="12"/>
  <c r="M2086" i="12" l="1"/>
  <c r="N2086" i="12" s="1"/>
  <c r="O2084" i="12"/>
  <c r="M2087" i="12" l="1"/>
  <c r="N2087" i="12" s="1"/>
  <c r="O2085" i="12"/>
  <c r="M2088" i="12" l="1"/>
  <c r="N2088" i="12" s="1"/>
  <c r="O2086" i="12"/>
  <c r="M2089" i="12" l="1"/>
  <c r="N2089" i="12" s="1"/>
  <c r="O2087" i="12"/>
  <c r="M2090" i="12" l="1"/>
  <c r="N2090" i="12" s="1"/>
  <c r="O2088" i="12"/>
  <c r="M2091" i="12" l="1"/>
  <c r="N2091" i="12" s="1"/>
  <c r="O2089" i="12"/>
  <c r="M2092" i="12" l="1"/>
  <c r="N2092" i="12" s="1"/>
  <c r="O2090" i="12"/>
  <c r="M2093" i="12" l="1"/>
  <c r="N2093" i="12" s="1"/>
  <c r="O2091" i="12"/>
  <c r="M2094" i="12" l="1"/>
  <c r="N2094" i="12" s="1"/>
  <c r="O2092" i="12"/>
  <c r="M2095" i="12" l="1"/>
  <c r="N2095" i="12" s="1"/>
  <c r="O2093" i="12"/>
  <c r="M2096" i="12" l="1"/>
  <c r="N2096" i="12" s="1"/>
  <c r="O2094" i="12"/>
  <c r="M2097" i="12" l="1"/>
  <c r="N2097" i="12" s="1"/>
  <c r="O2095" i="12"/>
  <c r="M2098" i="12" l="1"/>
  <c r="N2098" i="12" s="1"/>
  <c r="O2096" i="12"/>
  <c r="M2099" i="12" l="1"/>
  <c r="N2099" i="12" s="1"/>
  <c r="O2097" i="12"/>
  <c r="M2100" i="12" l="1"/>
  <c r="N2100" i="12" s="1"/>
  <c r="O2098" i="12"/>
  <c r="M2101" i="12" l="1"/>
  <c r="N2101" i="12" s="1"/>
  <c r="O2099" i="12"/>
  <c r="M2102" i="12" l="1"/>
  <c r="N2102" i="12" s="1"/>
  <c r="O2100" i="12"/>
  <c r="M2103" i="12" l="1"/>
  <c r="N2103" i="12" s="1"/>
  <c r="O2101" i="12"/>
  <c r="M2104" i="12" l="1"/>
  <c r="N2104" i="12" s="1"/>
  <c r="O2102" i="12"/>
  <c r="M2105" i="12" l="1"/>
  <c r="N2105" i="12" s="1"/>
  <c r="O2103" i="12"/>
  <c r="M2106" i="12" l="1"/>
  <c r="N2106" i="12" s="1"/>
  <c r="O2104" i="12"/>
  <c r="M2107" i="12" l="1"/>
  <c r="N2107" i="12" s="1"/>
  <c r="O2105" i="12"/>
  <c r="M2108" i="12" l="1"/>
  <c r="N2108" i="12" s="1"/>
  <c r="O2106" i="12"/>
  <c r="M2109" i="12" l="1"/>
  <c r="N2109" i="12" s="1"/>
  <c r="O2107" i="12"/>
  <c r="M2110" i="12" l="1"/>
  <c r="N2110" i="12" s="1"/>
  <c r="O2108" i="12"/>
  <c r="M2111" i="12" l="1"/>
  <c r="N2111" i="12" s="1"/>
  <c r="O2109" i="12"/>
  <c r="M2112" i="12" l="1"/>
  <c r="N2112" i="12" s="1"/>
  <c r="O2110" i="12"/>
  <c r="M2113" i="12" l="1"/>
  <c r="N2113" i="12" s="1"/>
  <c r="O2111" i="12"/>
  <c r="M2114" i="12" l="1"/>
  <c r="N2114" i="12" s="1"/>
  <c r="O2112" i="12"/>
  <c r="M2115" i="12" l="1"/>
  <c r="N2115" i="12" s="1"/>
  <c r="O2113" i="12"/>
  <c r="M2116" i="12" l="1"/>
  <c r="N2116" i="12" s="1"/>
  <c r="O2114" i="12"/>
  <c r="M2117" i="12" l="1"/>
  <c r="N2117" i="12" s="1"/>
  <c r="O2115" i="12"/>
  <c r="M2118" i="12" l="1"/>
  <c r="N2118" i="12" s="1"/>
  <c r="O2116" i="12"/>
  <c r="M2119" i="12" l="1"/>
  <c r="N2119" i="12" s="1"/>
  <c r="O2117" i="12"/>
  <c r="M2120" i="12" l="1"/>
  <c r="N2120" i="12" s="1"/>
  <c r="O2118" i="12"/>
  <c r="M2121" i="12" l="1"/>
  <c r="N2121" i="12" s="1"/>
  <c r="O2119" i="12"/>
  <c r="M2122" i="12" l="1"/>
  <c r="N2122" i="12" s="1"/>
  <c r="O2120" i="12"/>
  <c r="M2123" i="12" l="1"/>
  <c r="N2123" i="12" s="1"/>
  <c r="O2121" i="12"/>
  <c r="M2124" i="12" l="1"/>
  <c r="N2124" i="12" s="1"/>
  <c r="O2122" i="12"/>
  <c r="M2125" i="12" l="1"/>
  <c r="N2125" i="12" s="1"/>
  <c r="O2123" i="12"/>
  <c r="M2126" i="12" l="1"/>
  <c r="N2126" i="12" s="1"/>
  <c r="O2124" i="12"/>
  <c r="M2127" i="12" l="1"/>
  <c r="N2127" i="12" s="1"/>
  <c r="O2125" i="12"/>
  <c r="M2128" i="12" l="1"/>
  <c r="N2128" i="12" s="1"/>
  <c r="O2126" i="12"/>
  <c r="M2129" i="12" l="1"/>
  <c r="N2129" i="12" s="1"/>
  <c r="O2127" i="12"/>
  <c r="M2130" i="12" l="1"/>
  <c r="N2130" i="12" s="1"/>
  <c r="O2128" i="12"/>
  <c r="M2131" i="12" l="1"/>
  <c r="N2131" i="12" s="1"/>
  <c r="O2129" i="12"/>
  <c r="M2132" i="12" l="1"/>
  <c r="N2132" i="12" s="1"/>
  <c r="O2130" i="12"/>
  <c r="M2133" i="12" l="1"/>
  <c r="N2133" i="12" s="1"/>
  <c r="O2131" i="12"/>
  <c r="M2134" i="12" l="1"/>
  <c r="N2134" i="12" s="1"/>
  <c r="O2132" i="12"/>
  <c r="M2135" i="12" l="1"/>
  <c r="N2135" i="12" s="1"/>
  <c r="O2133" i="12"/>
  <c r="M2136" i="12" l="1"/>
  <c r="N2136" i="12" s="1"/>
  <c r="O2134" i="12"/>
  <c r="M2137" i="12" l="1"/>
  <c r="N2137" i="12" s="1"/>
  <c r="O2135" i="12"/>
  <c r="M2138" i="12" l="1"/>
  <c r="N2138" i="12" s="1"/>
  <c r="O2136" i="12"/>
  <c r="M2139" i="12" l="1"/>
  <c r="N2139" i="12" s="1"/>
  <c r="O2137" i="12"/>
  <c r="M2140" i="12" l="1"/>
  <c r="N2140" i="12" s="1"/>
  <c r="O2138" i="12"/>
  <c r="M2141" i="12" l="1"/>
  <c r="N2141" i="12" s="1"/>
  <c r="O2139" i="12"/>
  <c r="M2142" i="12" l="1"/>
  <c r="N2142" i="12" s="1"/>
  <c r="O2140" i="12"/>
  <c r="M2143" i="12" l="1"/>
  <c r="N2143" i="12" s="1"/>
  <c r="O2141" i="12"/>
  <c r="M2144" i="12" l="1"/>
  <c r="N2144" i="12" s="1"/>
  <c r="O2142" i="12"/>
  <c r="M2145" i="12" l="1"/>
  <c r="N2145" i="12" s="1"/>
  <c r="O2143" i="12"/>
  <c r="M2146" i="12" l="1"/>
  <c r="N2146" i="12" s="1"/>
  <c r="O2144" i="12"/>
  <c r="M2147" i="12" l="1"/>
  <c r="N2147" i="12" s="1"/>
  <c r="O2145" i="12"/>
  <c r="M2148" i="12" l="1"/>
  <c r="N2148" i="12" s="1"/>
  <c r="O2146" i="12"/>
  <c r="M2149" i="12" l="1"/>
  <c r="N2149" i="12" s="1"/>
  <c r="O2147" i="12"/>
  <c r="M2150" i="12" l="1"/>
  <c r="N2150" i="12" s="1"/>
  <c r="O2148" i="12"/>
  <c r="M2151" i="12" l="1"/>
  <c r="N2151" i="12" s="1"/>
  <c r="O2149" i="12"/>
  <c r="M2152" i="12" l="1"/>
  <c r="N2152" i="12" s="1"/>
  <c r="O2150" i="12"/>
  <c r="M2153" i="12" l="1"/>
  <c r="N2153" i="12" s="1"/>
  <c r="O2151" i="12"/>
  <c r="M2154" i="12" l="1"/>
  <c r="N2154" i="12" s="1"/>
  <c r="O2152" i="12"/>
  <c r="M2155" i="12" l="1"/>
  <c r="N2155" i="12" s="1"/>
  <c r="O2153" i="12"/>
  <c r="M2156" i="12" l="1"/>
  <c r="N2156" i="12" s="1"/>
  <c r="O2154" i="12"/>
  <c r="M2157" i="12" l="1"/>
  <c r="N2157" i="12" s="1"/>
  <c r="O2155" i="12"/>
  <c r="M2158" i="12" l="1"/>
  <c r="N2158" i="12" s="1"/>
  <c r="O2156" i="12"/>
  <c r="M2159" i="12" l="1"/>
  <c r="N2159" i="12" s="1"/>
  <c r="O2157" i="12"/>
  <c r="M2160" i="12" l="1"/>
  <c r="N2160" i="12" s="1"/>
  <c r="O2158" i="12"/>
  <c r="M2161" i="12" l="1"/>
  <c r="N2161" i="12" s="1"/>
  <c r="O2159" i="12"/>
  <c r="M2162" i="12" l="1"/>
  <c r="N2162" i="12" s="1"/>
  <c r="O2160" i="12"/>
  <c r="M2163" i="12" l="1"/>
  <c r="N2163" i="12" s="1"/>
  <c r="O2161" i="12"/>
  <c r="M2164" i="12" l="1"/>
  <c r="N2164" i="12" s="1"/>
  <c r="O2162" i="12"/>
  <c r="M2165" i="12" l="1"/>
  <c r="N2165" i="12" s="1"/>
  <c r="O2163" i="12"/>
  <c r="M2166" i="12" l="1"/>
  <c r="N2166" i="12" s="1"/>
  <c r="O2164" i="12"/>
  <c r="M2167" i="12" l="1"/>
  <c r="N2167" i="12" s="1"/>
  <c r="O2165" i="12"/>
  <c r="M2168" i="12" l="1"/>
  <c r="N2168" i="12" s="1"/>
  <c r="O2166" i="12"/>
  <c r="M2169" i="12" l="1"/>
  <c r="N2169" i="12" s="1"/>
  <c r="O2167" i="12"/>
  <c r="M2170" i="12" l="1"/>
  <c r="N2170" i="12" s="1"/>
  <c r="O2168" i="12"/>
  <c r="M2171" i="12" l="1"/>
  <c r="N2171" i="12" s="1"/>
  <c r="O2169" i="12"/>
  <c r="M2172" i="12" l="1"/>
  <c r="N2172" i="12" s="1"/>
  <c r="O2170" i="12"/>
  <c r="M2173" i="12" l="1"/>
  <c r="N2173" i="12" s="1"/>
  <c r="O2171" i="12"/>
  <c r="M2174" i="12" l="1"/>
  <c r="N2174" i="12" s="1"/>
  <c r="O2172" i="12"/>
  <c r="M2175" i="12" l="1"/>
  <c r="N2175" i="12" s="1"/>
  <c r="O2173" i="12"/>
  <c r="M2176" i="12" l="1"/>
  <c r="N2176" i="12" s="1"/>
  <c r="O2174" i="12"/>
  <c r="M2177" i="12" l="1"/>
  <c r="N2177" i="12" s="1"/>
  <c r="O2175" i="12"/>
  <c r="M2178" i="12" l="1"/>
  <c r="N2178" i="12" s="1"/>
  <c r="O2176" i="12"/>
  <c r="M2179" i="12" l="1"/>
  <c r="N2179" i="12" s="1"/>
  <c r="O2177" i="12"/>
  <c r="M2180" i="12" l="1"/>
  <c r="N2180" i="12" s="1"/>
  <c r="O2178" i="12"/>
  <c r="M2181" i="12" l="1"/>
  <c r="N2181" i="12" s="1"/>
  <c r="O2179" i="12"/>
  <c r="M2182" i="12" l="1"/>
  <c r="N2182" i="12" s="1"/>
  <c r="O2180" i="12"/>
  <c r="M2183" i="12" l="1"/>
  <c r="N2183" i="12" s="1"/>
  <c r="O2181" i="12"/>
  <c r="M2184" i="12" l="1"/>
  <c r="N2184" i="12" s="1"/>
  <c r="O2182" i="12"/>
  <c r="M2185" i="12" l="1"/>
  <c r="N2185" i="12" s="1"/>
  <c r="O2183" i="12"/>
  <c r="M2186" i="12" l="1"/>
  <c r="N2186" i="12" s="1"/>
  <c r="O2184" i="12"/>
  <c r="M2187" i="12" l="1"/>
  <c r="N2187" i="12" s="1"/>
  <c r="O2185" i="12"/>
  <c r="M2188" i="12" l="1"/>
  <c r="N2188" i="12" s="1"/>
  <c r="O2186" i="12"/>
  <c r="M2189" i="12" l="1"/>
  <c r="N2189" i="12" s="1"/>
  <c r="O2187" i="12"/>
  <c r="M2190" i="12" l="1"/>
  <c r="N2190" i="12" s="1"/>
  <c r="O2188" i="12"/>
  <c r="M2191" i="12" l="1"/>
  <c r="N2191" i="12" s="1"/>
  <c r="O2189" i="12"/>
  <c r="M2192" i="12" l="1"/>
  <c r="N2192" i="12" s="1"/>
  <c r="O2190" i="12"/>
  <c r="M2193" i="12" l="1"/>
  <c r="N2193" i="12" s="1"/>
  <c r="O2191" i="12"/>
  <c r="M2194" i="12" l="1"/>
  <c r="N2194" i="12" s="1"/>
  <c r="O2192" i="12"/>
  <c r="M2195" i="12" l="1"/>
  <c r="N2195" i="12" s="1"/>
  <c r="O2193" i="12"/>
  <c r="M2196" i="12" l="1"/>
  <c r="N2196" i="12" s="1"/>
  <c r="O2194" i="12"/>
  <c r="M2197" i="12" l="1"/>
  <c r="N2197" i="12" s="1"/>
  <c r="O2195" i="12"/>
  <c r="M2198" i="12" l="1"/>
  <c r="N2198" i="12" s="1"/>
  <c r="O2196" i="12"/>
  <c r="M2199" i="12" l="1"/>
  <c r="N2199" i="12" s="1"/>
  <c r="O2197" i="12"/>
  <c r="M2200" i="12" l="1"/>
  <c r="N2200" i="12" s="1"/>
  <c r="O2198" i="12"/>
  <c r="M2201" i="12" l="1"/>
  <c r="N2201" i="12" s="1"/>
  <c r="O2199" i="12"/>
  <c r="M2202" i="12" l="1"/>
  <c r="N2202" i="12" s="1"/>
  <c r="O2200" i="12"/>
  <c r="M2203" i="12" l="1"/>
  <c r="N2203" i="12" s="1"/>
  <c r="O2201" i="12"/>
  <c r="M2204" i="12" l="1"/>
  <c r="N2204" i="12" s="1"/>
  <c r="O2202" i="12"/>
  <c r="M2205" i="12" l="1"/>
  <c r="N2205" i="12" s="1"/>
  <c r="O2203" i="12"/>
  <c r="M2206" i="12" l="1"/>
  <c r="N2206" i="12" s="1"/>
  <c r="O2204" i="12"/>
  <c r="M2207" i="12" l="1"/>
  <c r="N2207" i="12" s="1"/>
  <c r="O2205" i="12"/>
  <c r="M2208" i="12" l="1"/>
  <c r="N2208" i="12" s="1"/>
  <c r="O2206" i="12"/>
  <c r="M2209" i="12" l="1"/>
  <c r="N2209" i="12" s="1"/>
  <c r="O2207" i="12"/>
  <c r="M2210" i="12" l="1"/>
  <c r="N2210" i="12" s="1"/>
  <c r="O2208" i="12"/>
  <c r="M2211" i="12" l="1"/>
  <c r="N2211" i="12" s="1"/>
  <c r="O2209" i="12"/>
  <c r="M2212" i="12" l="1"/>
  <c r="N2212" i="12" s="1"/>
  <c r="O2210" i="12"/>
  <c r="M2213" i="12" l="1"/>
  <c r="N2213" i="12" s="1"/>
  <c r="O2211" i="12"/>
  <c r="M2214" i="12" l="1"/>
  <c r="N2214" i="12" s="1"/>
  <c r="O2212" i="12"/>
  <c r="M2215" i="12" l="1"/>
  <c r="N2215" i="12" s="1"/>
  <c r="O2213" i="12"/>
  <c r="M2216" i="12" l="1"/>
  <c r="N2216" i="12" s="1"/>
  <c r="O2214" i="12"/>
  <c r="M2217" i="12" l="1"/>
  <c r="N2217" i="12" s="1"/>
  <c r="O2215" i="12"/>
  <c r="M2218" i="12" l="1"/>
  <c r="N2218" i="12" s="1"/>
  <c r="O2216" i="12"/>
  <c r="M2219" i="12" l="1"/>
  <c r="N2219" i="12" s="1"/>
  <c r="O2217" i="12"/>
  <c r="M2220" i="12" l="1"/>
  <c r="N2220" i="12" s="1"/>
  <c r="O2218" i="12"/>
  <c r="M2221" i="12" l="1"/>
  <c r="N2221" i="12" s="1"/>
  <c r="O2219" i="12"/>
  <c r="M2222" i="12" l="1"/>
  <c r="N2222" i="12" s="1"/>
  <c r="O2220" i="12"/>
  <c r="M2223" i="12" l="1"/>
  <c r="N2223" i="12" s="1"/>
  <c r="O2221" i="12"/>
  <c r="M2224" i="12" l="1"/>
  <c r="N2224" i="12" s="1"/>
  <c r="O2222" i="12"/>
  <c r="M2225" i="12" l="1"/>
  <c r="N2225" i="12" s="1"/>
  <c r="O2223" i="12"/>
  <c r="M2226" i="12" l="1"/>
  <c r="N2226" i="12" s="1"/>
  <c r="O2224" i="12"/>
  <c r="M2227" i="12" l="1"/>
  <c r="N2227" i="12" s="1"/>
  <c r="O2225" i="12"/>
  <c r="M2228" i="12" l="1"/>
  <c r="N2228" i="12" s="1"/>
  <c r="O2226" i="12"/>
  <c r="M2229" i="12" l="1"/>
  <c r="N2229" i="12" s="1"/>
  <c r="O2227" i="12"/>
  <c r="M2230" i="12" l="1"/>
  <c r="N2230" i="12" s="1"/>
  <c r="O2228" i="12"/>
  <c r="M2231" i="12" l="1"/>
  <c r="N2231" i="12" s="1"/>
  <c r="O2229" i="12"/>
  <c r="M2232" i="12" l="1"/>
  <c r="N2232" i="12" s="1"/>
  <c r="O2230" i="12"/>
  <c r="M2233" i="12" l="1"/>
  <c r="N2233" i="12" s="1"/>
  <c r="O2231" i="12"/>
  <c r="M2234" i="12" l="1"/>
  <c r="N2234" i="12" s="1"/>
  <c r="O2232" i="12"/>
  <c r="M2235" i="12" l="1"/>
  <c r="N2235" i="12" s="1"/>
  <c r="O2233" i="12"/>
  <c r="M2236" i="12" l="1"/>
  <c r="N2236" i="12" s="1"/>
  <c r="O2234" i="12"/>
  <c r="M2237" i="12" l="1"/>
  <c r="N2237" i="12" s="1"/>
  <c r="O2235" i="12"/>
  <c r="M2238" i="12" l="1"/>
  <c r="N2238" i="12" s="1"/>
  <c r="O2236" i="12"/>
  <c r="M2239" i="12" l="1"/>
  <c r="N2239" i="12" s="1"/>
  <c r="O2237" i="12"/>
  <c r="M2240" i="12" l="1"/>
  <c r="N2240" i="12" s="1"/>
  <c r="O2238" i="12"/>
  <c r="M2241" i="12" l="1"/>
  <c r="N2241" i="12" s="1"/>
  <c r="O2239" i="12"/>
  <c r="M2242" i="12" l="1"/>
  <c r="N2242" i="12" s="1"/>
  <c r="O2240" i="12"/>
  <c r="M2243" i="12" l="1"/>
  <c r="N2243" i="12" s="1"/>
  <c r="O2241" i="12"/>
  <c r="M2244" i="12" l="1"/>
  <c r="N2244" i="12" s="1"/>
  <c r="O2242" i="12"/>
  <c r="M2245" i="12" l="1"/>
  <c r="N2245" i="12" s="1"/>
  <c r="O2243" i="12"/>
  <c r="M2246" i="12" l="1"/>
  <c r="N2246" i="12" s="1"/>
  <c r="O2244" i="12"/>
  <c r="M2247" i="12" l="1"/>
  <c r="N2247" i="12" s="1"/>
  <c r="O2245" i="12"/>
  <c r="M2248" i="12" l="1"/>
  <c r="N2248" i="12" s="1"/>
  <c r="O2246" i="12"/>
  <c r="M2249" i="12" l="1"/>
  <c r="N2249" i="12" s="1"/>
  <c r="O2247" i="12"/>
  <c r="M2250" i="12" l="1"/>
  <c r="N2250" i="12" s="1"/>
  <c r="O2248" i="12"/>
  <c r="M2251" i="12" l="1"/>
  <c r="N2251" i="12" s="1"/>
  <c r="O2249" i="12"/>
  <c r="M2252" i="12" l="1"/>
  <c r="N2252" i="12" s="1"/>
  <c r="O2250" i="12"/>
  <c r="M2253" i="12" l="1"/>
  <c r="N2253" i="12" s="1"/>
  <c r="O2251" i="12"/>
  <c r="M2254" i="12" l="1"/>
  <c r="N2254" i="12" s="1"/>
  <c r="O2252" i="12"/>
  <c r="M2255" i="12" l="1"/>
  <c r="N2255" i="12" s="1"/>
  <c r="O2253" i="12"/>
  <c r="M2256" i="12" l="1"/>
  <c r="N2256" i="12" s="1"/>
  <c r="O2254" i="12"/>
  <c r="M2257" i="12" l="1"/>
  <c r="N2257" i="12" s="1"/>
  <c r="O2255" i="12"/>
  <c r="M2258" i="12" l="1"/>
  <c r="N2258" i="12" s="1"/>
  <c r="O2256" i="12"/>
  <c r="M2259" i="12" l="1"/>
  <c r="N2259" i="12" s="1"/>
  <c r="O2257" i="12"/>
  <c r="M2260" i="12" l="1"/>
  <c r="N2260" i="12" s="1"/>
  <c r="O2258" i="12"/>
  <c r="M2261" i="12" l="1"/>
  <c r="N2261" i="12" s="1"/>
  <c r="O2259" i="12"/>
  <c r="M2262" i="12" l="1"/>
  <c r="N2262" i="12" s="1"/>
  <c r="O2260" i="12"/>
  <c r="M2263" i="12" l="1"/>
  <c r="N2263" i="12" s="1"/>
  <c r="O2261" i="12"/>
  <c r="M2264" i="12" l="1"/>
  <c r="N2264" i="12" s="1"/>
  <c r="O2262" i="12"/>
  <c r="M2265" i="12" l="1"/>
  <c r="N2265" i="12" s="1"/>
  <c r="O2263" i="12"/>
  <c r="M2266" i="12" l="1"/>
  <c r="N2266" i="12" s="1"/>
  <c r="O2264" i="12"/>
  <c r="M2267" i="12" l="1"/>
  <c r="N2267" i="12" s="1"/>
  <c r="O2265" i="12"/>
  <c r="M2268" i="12" l="1"/>
  <c r="N2268" i="12" s="1"/>
  <c r="O2266" i="12"/>
  <c r="M2269" i="12" l="1"/>
  <c r="N2269" i="12" s="1"/>
  <c r="O2267" i="12"/>
  <c r="M2270" i="12" l="1"/>
  <c r="N2270" i="12" s="1"/>
  <c r="O2268" i="12"/>
  <c r="M2271" i="12" l="1"/>
  <c r="N2271" i="12" s="1"/>
  <c r="O2269" i="12"/>
  <c r="M2272" i="12" l="1"/>
  <c r="N2272" i="12" s="1"/>
  <c r="O2270" i="12"/>
  <c r="M2273" i="12" l="1"/>
  <c r="N2273" i="12" s="1"/>
  <c r="O2271" i="12"/>
  <c r="M2274" i="12" l="1"/>
  <c r="N2274" i="12" s="1"/>
  <c r="O2272" i="12"/>
  <c r="M2275" i="12" l="1"/>
  <c r="N2275" i="12" s="1"/>
  <c r="O2273" i="12"/>
  <c r="M2276" i="12" l="1"/>
  <c r="N2276" i="12" s="1"/>
  <c r="O2274" i="12"/>
  <c r="M2277" i="12" l="1"/>
  <c r="N2277" i="12" s="1"/>
  <c r="O2275" i="12"/>
  <c r="M2278" i="12" l="1"/>
  <c r="N2278" i="12" s="1"/>
  <c r="O2276" i="12"/>
  <c r="M2279" i="12" l="1"/>
  <c r="N2279" i="12" s="1"/>
  <c r="O2277" i="12"/>
  <c r="M2280" i="12" l="1"/>
  <c r="N2280" i="12" s="1"/>
  <c r="O2278" i="12"/>
  <c r="M2281" i="12" l="1"/>
  <c r="N2281" i="12" s="1"/>
  <c r="O2279" i="12"/>
  <c r="M2282" i="12" l="1"/>
  <c r="N2282" i="12" s="1"/>
  <c r="O2280" i="12"/>
  <c r="M2283" i="12" l="1"/>
  <c r="N2283" i="12" s="1"/>
  <c r="O2281" i="12"/>
  <c r="M2284" i="12" l="1"/>
  <c r="N2284" i="12" s="1"/>
  <c r="O2282" i="12"/>
  <c r="M2285" i="12" l="1"/>
  <c r="N2285" i="12" s="1"/>
  <c r="O2283" i="12"/>
  <c r="M2286" i="12" l="1"/>
  <c r="N2286" i="12" s="1"/>
  <c r="O2284" i="12"/>
  <c r="M2287" i="12" l="1"/>
  <c r="N2287" i="12" s="1"/>
  <c r="O2285" i="12"/>
  <c r="M2288" i="12" l="1"/>
  <c r="N2288" i="12" s="1"/>
  <c r="O2286" i="12"/>
  <c r="M2289" i="12" l="1"/>
  <c r="N2289" i="12" s="1"/>
  <c r="O2287" i="12"/>
  <c r="M2290" i="12" l="1"/>
  <c r="N2290" i="12" s="1"/>
  <c r="O2288" i="12"/>
  <c r="M2291" i="12" l="1"/>
  <c r="N2291" i="12" s="1"/>
  <c r="O2289" i="12"/>
  <c r="M2292" i="12" l="1"/>
  <c r="N2292" i="12" s="1"/>
  <c r="O2290" i="12"/>
  <c r="M2293" i="12" l="1"/>
  <c r="N2293" i="12" s="1"/>
  <c r="O2291" i="12"/>
  <c r="M2294" i="12" l="1"/>
  <c r="N2294" i="12" s="1"/>
  <c r="O2292" i="12"/>
  <c r="M2295" i="12" l="1"/>
  <c r="N2295" i="12" s="1"/>
  <c r="O2293" i="12"/>
  <c r="M2296" i="12" l="1"/>
  <c r="N2296" i="12" s="1"/>
  <c r="O2294" i="12"/>
  <c r="M2297" i="12" l="1"/>
  <c r="N2297" i="12" s="1"/>
  <c r="O2295" i="12"/>
  <c r="M2298" i="12" l="1"/>
  <c r="N2298" i="12" s="1"/>
  <c r="O2296" i="12"/>
  <c r="M2299" i="12" l="1"/>
  <c r="N2299" i="12" s="1"/>
  <c r="O2297" i="12"/>
  <c r="M2300" i="12" l="1"/>
  <c r="N2300" i="12" s="1"/>
  <c r="O2298" i="12"/>
  <c r="M2301" i="12" l="1"/>
  <c r="N2301" i="12" s="1"/>
  <c r="O2299" i="12"/>
  <c r="M2302" i="12" l="1"/>
  <c r="N2302" i="12" s="1"/>
  <c r="O2300" i="12"/>
  <c r="M2303" i="12" l="1"/>
  <c r="N2303" i="12" s="1"/>
  <c r="O2301" i="12"/>
  <c r="M2304" i="12" l="1"/>
  <c r="N2304" i="12" s="1"/>
  <c r="O2302" i="12"/>
  <c r="M2305" i="12" l="1"/>
  <c r="N2305" i="12" s="1"/>
  <c r="O2303" i="12"/>
  <c r="M2306" i="12" l="1"/>
  <c r="N2306" i="12" s="1"/>
  <c r="O2304" i="12"/>
  <c r="M2307" i="12" l="1"/>
  <c r="N2307" i="12" s="1"/>
  <c r="O2305" i="12"/>
  <c r="M2308" i="12" l="1"/>
  <c r="N2308" i="12" s="1"/>
  <c r="O2306" i="12"/>
  <c r="M2309" i="12" l="1"/>
  <c r="N2309" i="12" s="1"/>
  <c r="O2307" i="12"/>
  <c r="M2310" i="12" l="1"/>
  <c r="N2310" i="12" s="1"/>
  <c r="O2308" i="12"/>
  <c r="M2311" i="12" l="1"/>
  <c r="N2311" i="12" s="1"/>
  <c r="O2309" i="12"/>
  <c r="M2312" i="12" l="1"/>
  <c r="N2312" i="12" s="1"/>
  <c r="O2310" i="12"/>
  <c r="M2313" i="12" l="1"/>
  <c r="N2313" i="12" s="1"/>
  <c r="O2311" i="12"/>
  <c r="M2314" i="12" l="1"/>
  <c r="N2314" i="12" s="1"/>
  <c r="O2312" i="12"/>
  <c r="M2315" i="12" l="1"/>
  <c r="N2315" i="12" s="1"/>
  <c r="O2313" i="12"/>
  <c r="M2316" i="12" l="1"/>
  <c r="N2316" i="12" s="1"/>
  <c r="O2314" i="12"/>
  <c r="M2317" i="12" l="1"/>
  <c r="N2317" i="12" s="1"/>
  <c r="O2315" i="12"/>
  <c r="M2318" i="12" l="1"/>
  <c r="N2318" i="12" s="1"/>
  <c r="O2316" i="12"/>
  <c r="M2319" i="12" l="1"/>
  <c r="N2319" i="12" s="1"/>
  <c r="O2317" i="12"/>
  <c r="M2320" i="12" l="1"/>
  <c r="N2320" i="12" s="1"/>
  <c r="O2318" i="12"/>
  <c r="M2321" i="12" l="1"/>
  <c r="N2321" i="12" s="1"/>
  <c r="O2319" i="12"/>
  <c r="M2322" i="12" l="1"/>
  <c r="N2322" i="12" s="1"/>
  <c r="O2320" i="12"/>
  <c r="M2323" i="12" l="1"/>
  <c r="N2323" i="12" s="1"/>
  <c r="O2321" i="12"/>
  <c r="M2324" i="12" l="1"/>
  <c r="N2324" i="12" s="1"/>
  <c r="O2322" i="12"/>
  <c r="M2325" i="12" l="1"/>
  <c r="N2325" i="12" s="1"/>
  <c r="O2323" i="12"/>
  <c r="M2326" i="12" l="1"/>
  <c r="N2326" i="12" s="1"/>
  <c r="O2324" i="12"/>
  <c r="M2327" i="12" l="1"/>
  <c r="N2327" i="12" s="1"/>
  <c r="O2325" i="12"/>
  <c r="M2328" i="12" l="1"/>
  <c r="N2328" i="12" s="1"/>
  <c r="O2326" i="12"/>
  <c r="M2329" i="12" l="1"/>
  <c r="N2329" i="12" s="1"/>
  <c r="O2327" i="12"/>
  <c r="M2330" i="12" l="1"/>
  <c r="N2330" i="12" s="1"/>
  <c r="O2328" i="12"/>
  <c r="M2331" i="12" l="1"/>
  <c r="N2331" i="12" s="1"/>
  <c r="O2329" i="12"/>
  <c r="M2332" i="12" l="1"/>
  <c r="N2332" i="12" s="1"/>
  <c r="O2330" i="12"/>
  <c r="M2333" i="12" l="1"/>
  <c r="N2333" i="12" s="1"/>
  <c r="O2331" i="12"/>
  <c r="M2334" i="12" l="1"/>
  <c r="N2334" i="12" s="1"/>
  <c r="O2332" i="12"/>
  <c r="M2335" i="12" l="1"/>
  <c r="N2335" i="12" s="1"/>
  <c r="O2333" i="12"/>
  <c r="M2336" i="12" l="1"/>
  <c r="N2336" i="12" s="1"/>
  <c r="O2334" i="12"/>
  <c r="M2337" i="12" l="1"/>
  <c r="N2337" i="12" s="1"/>
  <c r="O2335" i="12"/>
  <c r="M2338" i="12" l="1"/>
  <c r="N2338" i="12" s="1"/>
  <c r="O2336" i="12"/>
  <c r="M2339" i="12" l="1"/>
  <c r="N2339" i="12" s="1"/>
  <c r="O2337" i="12"/>
  <c r="M2340" i="12" l="1"/>
  <c r="N2340" i="12" s="1"/>
  <c r="O2338" i="12"/>
  <c r="M2341" i="12" l="1"/>
  <c r="N2341" i="12" s="1"/>
  <c r="O2339" i="12"/>
  <c r="M2342" i="12" l="1"/>
  <c r="N2342" i="12" s="1"/>
  <c r="O2340" i="12"/>
  <c r="M2343" i="12" l="1"/>
  <c r="N2343" i="12" s="1"/>
  <c r="O2341" i="12"/>
  <c r="M2344" i="12" l="1"/>
  <c r="N2344" i="12" s="1"/>
  <c r="O2342" i="12"/>
  <c r="M2345" i="12" l="1"/>
  <c r="N2345" i="12" s="1"/>
  <c r="O2343" i="12"/>
  <c r="M2346" i="12" l="1"/>
  <c r="N2346" i="12" s="1"/>
  <c r="O2344" i="12"/>
  <c r="M2347" i="12" l="1"/>
  <c r="N2347" i="12" s="1"/>
  <c r="O2345" i="12"/>
  <c r="M2348" i="12" l="1"/>
  <c r="N2348" i="12" s="1"/>
  <c r="O2346" i="12"/>
  <c r="M2349" i="12" l="1"/>
  <c r="N2349" i="12" s="1"/>
  <c r="O2347" i="12"/>
  <c r="M2350" i="12" l="1"/>
  <c r="N2350" i="12" s="1"/>
  <c r="O2348" i="12"/>
  <c r="M2351" i="12" l="1"/>
  <c r="N2351" i="12" s="1"/>
  <c r="O2349" i="12"/>
  <c r="M2352" i="12" l="1"/>
  <c r="N2352" i="12" s="1"/>
  <c r="O2350" i="12"/>
  <c r="M2353" i="12" l="1"/>
  <c r="N2353" i="12" s="1"/>
  <c r="O2351" i="12"/>
  <c r="M2354" i="12" l="1"/>
  <c r="N2354" i="12" s="1"/>
  <c r="O2352" i="12"/>
  <c r="M2355" i="12" l="1"/>
  <c r="N2355" i="12" s="1"/>
  <c r="O2353" i="12"/>
  <c r="M2356" i="12" l="1"/>
  <c r="N2356" i="12" s="1"/>
  <c r="O2354" i="12"/>
  <c r="M2357" i="12" l="1"/>
  <c r="N2357" i="12" s="1"/>
  <c r="O2355" i="12"/>
  <c r="M2358" i="12" l="1"/>
  <c r="N2358" i="12" s="1"/>
  <c r="O2356" i="12"/>
  <c r="M2359" i="12" l="1"/>
  <c r="N2359" i="12" s="1"/>
  <c r="O2357" i="12"/>
  <c r="M2360" i="12" l="1"/>
  <c r="N2360" i="12" s="1"/>
  <c r="O2358" i="12"/>
  <c r="M2361" i="12" l="1"/>
  <c r="N2361" i="12" s="1"/>
  <c r="O2359" i="12"/>
  <c r="M2362" i="12" l="1"/>
  <c r="N2362" i="12" s="1"/>
  <c r="O2360" i="12"/>
  <c r="M2363" i="12" l="1"/>
  <c r="N2363" i="12" s="1"/>
  <c r="O2361" i="12"/>
  <c r="M2364" i="12" l="1"/>
  <c r="N2364" i="12" s="1"/>
  <c r="O2362" i="12"/>
  <c r="M2365" i="12" l="1"/>
  <c r="N2365" i="12" s="1"/>
  <c r="O2363" i="12"/>
  <c r="M2366" i="12" l="1"/>
  <c r="N2366" i="12" s="1"/>
  <c r="O2364" i="12"/>
  <c r="M2367" i="12" l="1"/>
  <c r="N2367" i="12" s="1"/>
  <c r="O2365" i="12"/>
  <c r="M2368" i="12" l="1"/>
  <c r="N2368" i="12" s="1"/>
  <c r="O2366" i="12"/>
  <c r="M2369" i="12" l="1"/>
  <c r="N2369" i="12" s="1"/>
  <c r="O2367" i="12"/>
  <c r="M2370" i="12" l="1"/>
  <c r="N2370" i="12" s="1"/>
  <c r="O2368" i="12"/>
  <c r="M2371" i="12" l="1"/>
  <c r="N2371" i="12" s="1"/>
  <c r="O2369" i="12"/>
  <c r="M2372" i="12" l="1"/>
  <c r="N2372" i="12" s="1"/>
  <c r="O2370" i="12"/>
  <c r="M2373" i="12" l="1"/>
  <c r="N2373" i="12" s="1"/>
  <c r="O2371" i="12"/>
  <c r="M2374" i="12" l="1"/>
  <c r="N2374" i="12" s="1"/>
  <c r="O2372" i="12"/>
  <c r="M2375" i="12" l="1"/>
  <c r="N2375" i="12" s="1"/>
  <c r="O2373" i="12"/>
  <c r="M2376" i="12" l="1"/>
  <c r="N2376" i="12" s="1"/>
  <c r="O2374" i="12"/>
  <c r="M2377" i="12" l="1"/>
  <c r="N2377" i="12" s="1"/>
  <c r="O2375" i="12"/>
  <c r="M2378" i="12" l="1"/>
  <c r="N2378" i="12" s="1"/>
  <c r="O2376" i="12"/>
  <c r="M2379" i="12" l="1"/>
  <c r="N2379" i="12" s="1"/>
  <c r="O2377" i="12"/>
  <c r="M2380" i="12" l="1"/>
  <c r="N2380" i="12" s="1"/>
  <c r="O2378" i="12"/>
  <c r="M2381" i="12" l="1"/>
  <c r="N2381" i="12" s="1"/>
  <c r="O2379" i="12"/>
  <c r="M2382" i="12" l="1"/>
  <c r="N2382" i="12" s="1"/>
  <c r="O2380" i="12"/>
  <c r="M2383" i="12" l="1"/>
  <c r="N2383" i="12" s="1"/>
  <c r="O2381" i="12"/>
  <c r="M2384" i="12" l="1"/>
  <c r="N2384" i="12" s="1"/>
  <c r="O2382" i="12"/>
  <c r="M2385" i="12" l="1"/>
  <c r="N2385" i="12" s="1"/>
  <c r="O2383" i="12"/>
  <c r="M2386" i="12" l="1"/>
  <c r="N2386" i="12" s="1"/>
  <c r="O2384" i="12"/>
  <c r="M2387" i="12" l="1"/>
  <c r="N2387" i="12" s="1"/>
  <c r="O2385" i="12"/>
  <c r="M2388" i="12" l="1"/>
  <c r="N2388" i="12" s="1"/>
  <c r="O2386" i="12"/>
  <c r="M2389" i="12" l="1"/>
  <c r="N2389" i="12" s="1"/>
  <c r="O2387" i="12"/>
  <c r="M2390" i="12" l="1"/>
  <c r="N2390" i="12" s="1"/>
  <c r="O2388" i="12"/>
  <c r="M2391" i="12" l="1"/>
  <c r="N2391" i="12" s="1"/>
  <c r="O2389" i="12"/>
  <c r="M2392" i="12" l="1"/>
  <c r="N2392" i="12" s="1"/>
  <c r="O2390" i="12"/>
  <c r="M2393" i="12" l="1"/>
  <c r="N2393" i="12" s="1"/>
  <c r="O2391" i="12"/>
  <c r="M2394" i="12" l="1"/>
  <c r="N2394" i="12" s="1"/>
  <c r="O2392" i="12"/>
  <c r="M2395" i="12" l="1"/>
  <c r="N2395" i="12" s="1"/>
  <c r="O2393" i="12"/>
  <c r="M2396" i="12" l="1"/>
  <c r="N2396" i="12" s="1"/>
  <c r="O2394" i="12"/>
  <c r="M2397" i="12" l="1"/>
  <c r="N2397" i="12" s="1"/>
  <c r="O2395" i="12"/>
  <c r="M2398" i="12" l="1"/>
  <c r="N2398" i="12" s="1"/>
  <c r="O2396" i="12"/>
  <c r="M2399" i="12" l="1"/>
  <c r="N2399" i="12" s="1"/>
  <c r="O2397" i="12"/>
  <c r="M2400" i="12" l="1"/>
  <c r="N2400" i="12" s="1"/>
  <c r="O2398" i="12"/>
  <c r="M2401" i="12" l="1"/>
  <c r="N2401" i="12" s="1"/>
  <c r="O2399" i="12"/>
  <c r="M2402" i="12" l="1"/>
  <c r="N2402" i="12" s="1"/>
  <c r="O2400" i="12"/>
  <c r="M2403" i="12" l="1"/>
  <c r="N2403" i="12" s="1"/>
  <c r="O2401" i="12"/>
  <c r="M2404" i="12" l="1"/>
  <c r="N2404" i="12" s="1"/>
  <c r="O2402" i="12"/>
  <c r="M2405" i="12" l="1"/>
  <c r="N2405" i="12" s="1"/>
  <c r="O2403" i="12"/>
  <c r="M2406" i="12" l="1"/>
  <c r="N2406" i="12" s="1"/>
  <c r="O2404" i="12"/>
  <c r="M2407" i="12" l="1"/>
  <c r="N2407" i="12" s="1"/>
  <c r="O2405" i="12"/>
  <c r="M2408" i="12" l="1"/>
  <c r="N2408" i="12" s="1"/>
  <c r="O2406" i="12"/>
  <c r="M2409" i="12" l="1"/>
  <c r="N2409" i="12" s="1"/>
  <c r="O2407" i="12"/>
  <c r="M2410" i="12" l="1"/>
  <c r="N2410" i="12" s="1"/>
  <c r="O2408" i="12"/>
  <c r="M2411" i="12" l="1"/>
  <c r="N2411" i="12" s="1"/>
  <c r="O2409" i="12"/>
  <c r="M2412" i="12" l="1"/>
  <c r="N2412" i="12" s="1"/>
  <c r="O2410" i="12"/>
  <c r="M2413" i="12" l="1"/>
  <c r="N2413" i="12" s="1"/>
  <c r="O2411" i="12"/>
  <c r="M2414" i="12" l="1"/>
  <c r="N2414" i="12" s="1"/>
  <c r="O2412" i="12"/>
  <c r="M2415" i="12" l="1"/>
  <c r="N2415" i="12" s="1"/>
  <c r="O2413" i="12"/>
  <c r="M2416" i="12" l="1"/>
  <c r="N2416" i="12" s="1"/>
  <c r="O2414" i="12"/>
  <c r="M2417" i="12" l="1"/>
  <c r="N2417" i="12" s="1"/>
  <c r="O2415" i="12"/>
  <c r="M2418" i="12" l="1"/>
  <c r="N2418" i="12" s="1"/>
  <c r="O2416" i="12"/>
  <c r="M2419" i="12" l="1"/>
  <c r="N2419" i="12" s="1"/>
  <c r="O2417" i="12"/>
  <c r="M2420" i="12" l="1"/>
  <c r="N2420" i="12" s="1"/>
  <c r="O2418" i="12"/>
  <c r="M2421" i="12" l="1"/>
  <c r="N2421" i="12" s="1"/>
  <c r="O2419" i="12"/>
  <c r="M2422" i="12" l="1"/>
  <c r="N2422" i="12" s="1"/>
  <c r="O2420" i="12"/>
  <c r="M2423" i="12" l="1"/>
  <c r="N2423" i="12" s="1"/>
  <c r="O2421" i="12"/>
  <c r="M2424" i="12" l="1"/>
  <c r="N2424" i="12" s="1"/>
  <c r="O2422" i="12"/>
  <c r="M2425" i="12" l="1"/>
  <c r="N2425" i="12" s="1"/>
  <c r="O2423" i="12"/>
  <c r="M2426" i="12" l="1"/>
  <c r="N2426" i="12" s="1"/>
  <c r="O2424" i="12"/>
  <c r="M2427" i="12" l="1"/>
  <c r="N2427" i="12" s="1"/>
  <c r="O2425" i="12"/>
  <c r="M2428" i="12" l="1"/>
  <c r="N2428" i="12" s="1"/>
  <c r="O2426" i="12"/>
  <c r="M2429" i="12" l="1"/>
  <c r="N2429" i="12" s="1"/>
  <c r="O2427" i="12"/>
  <c r="M2430" i="12" l="1"/>
  <c r="N2430" i="12" s="1"/>
  <c r="O2428" i="12"/>
  <c r="M2431" i="12" l="1"/>
  <c r="N2431" i="12" s="1"/>
  <c r="O2429" i="12"/>
  <c r="M2432" i="12" l="1"/>
  <c r="N2432" i="12" s="1"/>
  <c r="O2430" i="12"/>
  <c r="M2433" i="12" l="1"/>
  <c r="N2433" i="12" s="1"/>
  <c r="O2431" i="12"/>
  <c r="M2434" i="12" l="1"/>
  <c r="N2434" i="12" s="1"/>
  <c r="O2432" i="12"/>
  <c r="M2435" i="12" l="1"/>
  <c r="N2435" i="12" s="1"/>
  <c r="O2433" i="12"/>
  <c r="M2436" i="12" l="1"/>
  <c r="N2436" i="12" s="1"/>
  <c r="O2434" i="12"/>
  <c r="M2437" i="12" l="1"/>
  <c r="N2437" i="12" s="1"/>
  <c r="O2435" i="12"/>
  <c r="M2438" i="12" l="1"/>
  <c r="N2438" i="12" s="1"/>
  <c r="O2436" i="12"/>
  <c r="M2439" i="12" l="1"/>
  <c r="N2439" i="12" s="1"/>
  <c r="O2437" i="12"/>
  <c r="M2440" i="12" l="1"/>
  <c r="N2440" i="12" s="1"/>
  <c r="O2438" i="12"/>
  <c r="M2441" i="12" l="1"/>
  <c r="N2441" i="12" s="1"/>
  <c r="O2439" i="12"/>
  <c r="M2442" i="12" l="1"/>
  <c r="N2442" i="12" s="1"/>
  <c r="O2440" i="12"/>
  <c r="M2443" i="12" l="1"/>
  <c r="N2443" i="12" s="1"/>
  <c r="O2441" i="12"/>
  <c r="M2444" i="12" l="1"/>
  <c r="N2444" i="12" s="1"/>
  <c r="O2442" i="12"/>
  <c r="M2445" i="12" l="1"/>
  <c r="N2445" i="12" s="1"/>
  <c r="O2443" i="12"/>
  <c r="M2446" i="12" l="1"/>
  <c r="N2446" i="12" s="1"/>
  <c r="O2444" i="12"/>
  <c r="M2447" i="12" l="1"/>
  <c r="N2447" i="12" s="1"/>
  <c r="O2445" i="12"/>
  <c r="M2448" i="12" l="1"/>
  <c r="N2448" i="12" s="1"/>
  <c r="O2446" i="12"/>
  <c r="M2449" i="12" l="1"/>
  <c r="N2449" i="12" s="1"/>
  <c r="O2447" i="12"/>
  <c r="M2450" i="12" l="1"/>
  <c r="N2450" i="12" s="1"/>
  <c r="O2448" i="12"/>
  <c r="M2451" i="12" l="1"/>
  <c r="N2451" i="12" s="1"/>
  <c r="O2449" i="12"/>
  <c r="M2452" i="12" l="1"/>
  <c r="N2452" i="12" s="1"/>
  <c r="O2450" i="12"/>
  <c r="M2453" i="12" l="1"/>
  <c r="N2453" i="12" s="1"/>
  <c r="O2451" i="12"/>
  <c r="M2454" i="12" l="1"/>
  <c r="N2454" i="12" s="1"/>
  <c r="O2452" i="12"/>
  <c r="M2455" i="12" l="1"/>
  <c r="N2455" i="12" s="1"/>
  <c r="O2453" i="12"/>
  <c r="M2456" i="12" l="1"/>
  <c r="N2456" i="12" s="1"/>
  <c r="O2454" i="12"/>
  <c r="M2457" i="12" l="1"/>
  <c r="N2457" i="12" s="1"/>
  <c r="O2455" i="12"/>
  <c r="M2458" i="12" l="1"/>
  <c r="N2458" i="12" s="1"/>
  <c r="O2456" i="12"/>
  <c r="M2459" i="12" l="1"/>
  <c r="N2459" i="12" s="1"/>
  <c r="O2457" i="12"/>
  <c r="M2460" i="12" l="1"/>
  <c r="N2460" i="12" s="1"/>
  <c r="O2458" i="12"/>
  <c r="M2461" i="12" l="1"/>
  <c r="N2461" i="12" s="1"/>
  <c r="O2459" i="12"/>
  <c r="M2462" i="12" l="1"/>
  <c r="N2462" i="12" s="1"/>
  <c r="O2460" i="12"/>
  <c r="M2463" i="12" l="1"/>
  <c r="N2463" i="12" s="1"/>
  <c r="O2461" i="12"/>
  <c r="M2464" i="12" l="1"/>
  <c r="N2464" i="12" s="1"/>
  <c r="O2462" i="12"/>
  <c r="M2465" i="12" l="1"/>
  <c r="N2465" i="12" s="1"/>
  <c r="O2463" i="12"/>
  <c r="M2466" i="12" l="1"/>
  <c r="N2466" i="12" s="1"/>
  <c r="O2464" i="12"/>
  <c r="M2467" i="12" l="1"/>
  <c r="N2467" i="12" s="1"/>
  <c r="O2465" i="12"/>
  <c r="M2468" i="12" l="1"/>
  <c r="N2468" i="12" s="1"/>
  <c r="O2466" i="12"/>
  <c r="M2469" i="12" l="1"/>
  <c r="N2469" i="12" s="1"/>
  <c r="O2467" i="12"/>
  <c r="M2470" i="12" l="1"/>
  <c r="N2470" i="12" s="1"/>
  <c r="O2468" i="12"/>
  <c r="M2471" i="12" l="1"/>
  <c r="N2471" i="12" s="1"/>
  <c r="O2469" i="12"/>
  <c r="M2472" i="12" l="1"/>
  <c r="N2472" i="12" s="1"/>
  <c r="O2470" i="12"/>
  <c r="M2473" i="12" l="1"/>
  <c r="N2473" i="12" s="1"/>
  <c r="O2471" i="12"/>
  <c r="M2474" i="12" l="1"/>
  <c r="N2474" i="12" s="1"/>
  <c r="O2472" i="12"/>
  <c r="M2475" i="12" l="1"/>
  <c r="N2475" i="12" s="1"/>
  <c r="O2473" i="12"/>
  <c r="M2476" i="12" l="1"/>
  <c r="N2476" i="12" s="1"/>
  <c r="O2474" i="12"/>
  <c r="M2477" i="12" l="1"/>
  <c r="N2477" i="12" s="1"/>
  <c r="O2475" i="12"/>
  <c r="M2478" i="12" l="1"/>
  <c r="N2478" i="12" s="1"/>
  <c r="O2476" i="12"/>
  <c r="M2479" i="12" l="1"/>
  <c r="N2479" i="12" s="1"/>
  <c r="O2477" i="12"/>
  <c r="M2480" i="12" l="1"/>
  <c r="N2480" i="12" s="1"/>
  <c r="O2478" i="12"/>
  <c r="M2481" i="12" l="1"/>
  <c r="N2481" i="12" s="1"/>
  <c r="O2479" i="12"/>
  <c r="M2482" i="12" l="1"/>
  <c r="N2482" i="12" s="1"/>
  <c r="O2480" i="12"/>
  <c r="M2483" i="12" l="1"/>
  <c r="N2483" i="12" s="1"/>
  <c r="O2481" i="12"/>
  <c r="M2484" i="12" l="1"/>
  <c r="N2484" i="12" s="1"/>
  <c r="O2482" i="12"/>
  <c r="M2485" i="12" l="1"/>
  <c r="N2485" i="12" s="1"/>
  <c r="O2483" i="12"/>
  <c r="M2486" i="12" l="1"/>
  <c r="N2486" i="12" s="1"/>
  <c r="O2484" i="12"/>
  <c r="M2487" i="12" l="1"/>
  <c r="N2487" i="12" s="1"/>
  <c r="O2485" i="12"/>
  <c r="M2488" i="12" l="1"/>
  <c r="N2488" i="12" s="1"/>
  <c r="O2486" i="12"/>
  <c r="M2489" i="12" l="1"/>
  <c r="N2489" i="12" s="1"/>
  <c r="O2487" i="12"/>
  <c r="M2490" i="12" l="1"/>
  <c r="N2490" i="12" s="1"/>
  <c r="O2488" i="12"/>
  <c r="M2491" i="12" l="1"/>
  <c r="N2491" i="12" s="1"/>
  <c r="O2489" i="12"/>
  <c r="M2492" i="12" l="1"/>
  <c r="N2492" i="12" s="1"/>
  <c r="O2490" i="12"/>
  <c r="M2493" i="12" l="1"/>
  <c r="N2493" i="12" s="1"/>
  <c r="O2491" i="12"/>
  <c r="M2494" i="12" l="1"/>
  <c r="N2494" i="12" s="1"/>
  <c r="O2492" i="12"/>
  <c r="M2495" i="12" l="1"/>
  <c r="N2495" i="12" s="1"/>
  <c r="O2493" i="12"/>
  <c r="M2496" i="12" l="1"/>
  <c r="N2496" i="12" s="1"/>
  <c r="O2494" i="12"/>
  <c r="M2497" i="12" l="1"/>
  <c r="N2497" i="12" s="1"/>
  <c r="O2495" i="12"/>
  <c r="M2498" i="12" l="1"/>
  <c r="N2498" i="12" s="1"/>
  <c r="O2496" i="12"/>
  <c r="M2499" i="12" l="1"/>
  <c r="N2499" i="12" s="1"/>
  <c r="O2497" i="12"/>
  <c r="M2500" i="12" l="1"/>
  <c r="N2500" i="12" s="1"/>
  <c r="O2498" i="12"/>
  <c r="M2501" i="12" l="1"/>
  <c r="N2501" i="12" s="1"/>
  <c r="O2499" i="12"/>
  <c r="M2502" i="12" l="1"/>
  <c r="N2502" i="12" s="1"/>
  <c r="O2500" i="12"/>
  <c r="M2503" i="12" l="1"/>
  <c r="N2503" i="12" s="1"/>
  <c r="O2501" i="12"/>
  <c r="M2504" i="12" l="1"/>
  <c r="N2504" i="12" s="1"/>
  <c r="O2502" i="12"/>
  <c r="M2505" i="12" l="1"/>
  <c r="N2505" i="12" s="1"/>
  <c r="O2503" i="12"/>
  <c r="M2506" i="12" l="1"/>
  <c r="N2506" i="12" s="1"/>
  <c r="O2504" i="12"/>
  <c r="M2507" i="12" l="1"/>
  <c r="N2507" i="12" s="1"/>
  <c r="O2505" i="12"/>
  <c r="M2508" i="12" l="1"/>
  <c r="N2508" i="12" s="1"/>
  <c r="O2506" i="12"/>
  <c r="M2509" i="12" l="1"/>
  <c r="N2509" i="12" s="1"/>
  <c r="O2507" i="12"/>
  <c r="M2510" i="12" l="1"/>
  <c r="N2510" i="12" s="1"/>
  <c r="O2508" i="12"/>
  <c r="M2511" i="12" l="1"/>
  <c r="N2511" i="12" s="1"/>
  <c r="O2509" i="12"/>
  <c r="M2512" i="12" l="1"/>
  <c r="N2512" i="12" s="1"/>
  <c r="O2510" i="12"/>
  <c r="M2513" i="12" l="1"/>
  <c r="N2513" i="12" s="1"/>
  <c r="O2511" i="12"/>
  <c r="M2514" i="12" l="1"/>
  <c r="N2514" i="12" s="1"/>
  <c r="O2512" i="12"/>
  <c r="M2515" i="12" l="1"/>
  <c r="N2515" i="12" s="1"/>
  <c r="O2513" i="12"/>
  <c r="M2516" i="12" l="1"/>
  <c r="N2516" i="12" s="1"/>
  <c r="O2514" i="12"/>
  <c r="M2517" i="12" l="1"/>
  <c r="N2517" i="12" s="1"/>
  <c r="O2515" i="12"/>
  <c r="M2518" i="12" l="1"/>
  <c r="N2518" i="12" s="1"/>
  <c r="O2516" i="12"/>
  <c r="M2519" i="12" l="1"/>
  <c r="N2519" i="12" s="1"/>
  <c r="O2517" i="12"/>
  <c r="M2520" i="12" l="1"/>
  <c r="N2520" i="12" s="1"/>
  <c r="O2518" i="12"/>
  <c r="M2521" i="12" l="1"/>
  <c r="N2521" i="12" s="1"/>
  <c r="O2519" i="12"/>
  <c r="M2522" i="12" l="1"/>
  <c r="N2522" i="12" s="1"/>
  <c r="O2520" i="12"/>
  <c r="M2523" i="12" l="1"/>
  <c r="N2523" i="12" s="1"/>
  <c r="O2521" i="12"/>
  <c r="M2524" i="12" l="1"/>
  <c r="N2524" i="12" s="1"/>
  <c r="O2522" i="12"/>
  <c r="M2525" i="12" l="1"/>
  <c r="N2525" i="12" s="1"/>
  <c r="O2523" i="12"/>
  <c r="M2526" i="12" l="1"/>
  <c r="N2526" i="12" s="1"/>
  <c r="O2524" i="12"/>
  <c r="M2527" i="12" l="1"/>
  <c r="N2527" i="12" s="1"/>
  <c r="O2525" i="12"/>
  <c r="M2528" i="12" l="1"/>
  <c r="N2528" i="12" s="1"/>
  <c r="O2526" i="12"/>
  <c r="M2529" i="12" l="1"/>
  <c r="N2529" i="12" s="1"/>
  <c r="O2527" i="12"/>
  <c r="M2530" i="12" l="1"/>
  <c r="N2530" i="12" s="1"/>
  <c r="O2528" i="12"/>
  <c r="M2531" i="12" l="1"/>
  <c r="N2531" i="12" s="1"/>
  <c r="O2529" i="12"/>
  <c r="M2532" i="12" l="1"/>
  <c r="N2532" i="12" s="1"/>
  <c r="O2530" i="12"/>
  <c r="M2533" i="12" l="1"/>
  <c r="N2533" i="12" s="1"/>
  <c r="O2531" i="12"/>
  <c r="M2534" i="12" l="1"/>
  <c r="N2534" i="12" s="1"/>
  <c r="O2532" i="12"/>
  <c r="M2535" i="12" l="1"/>
  <c r="N2535" i="12" s="1"/>
  <c r="O2533" i="12"/>
  <c r="M2536" i="12" l="1"/>
  <c r="N2536" i="12" s="1"/>
  <c r="O2534" i="12"/>
  <c r="M2537" i="12" l="1"/>
  <c r="N2537" i="12" s="1"/>
  <c r="O2535" i="12"/>
  <c r="M2538" i="12" l="1"/>
  <c r="N2538" i="12" s="1"/>
  <c r="O2536" i="12"/>
  <c r="M2539" i="12" l="1"/>
  <c r="N2539" i="12" s="1"/>
  <c r="O2537" i="12"/>
  <c r="M2540" i="12" l="1"/>
  <c r="N2540" i="12" s="1"/>
  <c r="O2538" i="12"/>
  <c r="M2541" i="12" l="1"/>
  <c r="N2541" i="12" s="1"/>
  <c r="O2539" i="12"/>
  <c r="M2542" i="12" l="1"/>
  <c r="N2542" i="12" s="1"/>
  <c r="O2540" i="12"/>
  <c r="M2543" i="12" l="1"/>
  <c r="N2543" i="12" s="1"/>
  <c r="O2541" i="12"/>
  <c r="M2544" i="12" l="1"/>
  <c r="N2544" i="12" s="1"/>
  <c r="O2542" i="12"/>
  <c r="M2545" i="12" l="1"/>
  <c r="N2545" i="12" s="1"/>
  <c r="O2543" i="12"/>
  <c r="M2546" i="12" l="1"/>
  <c r="N2546" i="12" s="1"/>
  <c r="O2544" i="12"/>
  <c r="M2547" i="12" l="1"/>
  <c r="N2547" i="12" s="1"/>
  <c r="O2545" i="12"/>
  <c r="M2548" i="12" l="1"/>
  <c r="N2548" i="12" s="1"/>
  <c r="O2546" i="12"/>
  <c r="M2549" i="12" l="1"/>
  <c r="N2549" i="12" s="1"/>
  <c r="O2547" i="12"/>
  <c r="M2550" i="12" l="1"/>
  <c r="N2550" i="12" s="1"/>
  <c r="O2548" i="12"/>
  <c r="M2551" i="12" l="1"/>
  <c r="N2551" i="12" s="1"/>
  <c r="O2549" i="12"/>
  <c r="M2552" i="12" l="1"/>
  <c r="N2552" i="12" s="1"/>
  <c r="O2550" i="12"/>
  <c r="M2553" i="12" l="1"/>
  <c r="N2553" i="12" s="1"/>
  <c r="O2551" i="12"/>
  <c r="M2554" i="12" l="1"/>
  <c r="N2554" i="12" s="1"/>
  <c r="O2552" i="12"/>
  <c r="M2555" i="12" l="1"/>
  <c r="N2555" i="12" s="1"/>
  <c r="O2553" i="12"/>
  <c r="M2556" i="12" l="1"/>
  <c r="N2556" i="12" s="1"/>
  <c r="O2554" i="12"/>
  <c r="M2557" i="12" l="1"/>
  <c r="N2557" i="12" s="1"/>
  <c r="O2555" i="12"/>
  <c r="M2558" i="12" l="1"/>
  <c r="N2558" i="12" s="1"/>
  <c r="O2556" i="12"/>
  <c r="M2559" i="12" l="1"/>
  <c r="N2559" i="12" s="1"/>
  <c r="O2557" i="12"/>
  <c r="M2560" i="12" l="1"/>
  <c r="N2560" i="12" s="1"/>
  <c r="O2558" i="12"/>
  <c r="M2561" i="12" l="1"/>
  <c r="N2561" i="12" s="1"/>
  <c r="O2559" i="12"/>
  <c r="M2562" i="12" l="1"/>
  <c r="N2562" i="12" s="1"/>
  <c r="O2560" i="12"/>
  <c r="M2563" i="12" l="1"/>
  <c r="N2563" i="12" s="1"/>
  <c r="O2561" i="12"/>
  <c r="M2564" i="12" l="1"/>
  <c r="N2564" i="12" s="1"/>
  <c r="O2562" i="12"/>
  <c r="M2565" i="12" l="1"/>
  <c r="N2565" i="12" s="1"/>
  <c r="O2563" i="12"/>
  <c r="M2566" i="12" l="1"/>
  <c r="N2566" i="12" s="1"/>
  <c r="O2564" i="12"/>
  <c r="M2567" i="12" l="1"/>
  <c r="N2567" i="12" s="1"/>
  <c r="O2565" i="12"/>
  <c r="M2568" i="12" l="1"/>
  <c r="N2568" i="12" s="1"/>
  <c r="O2566" i="12"/>
  <c r="M2569" i="12" l="1"/>
  <c r="N2569" i="12" s="1"/>
  <c r="O2567" i="12"/>
  <c r="M2570" i="12" l="1"/>
  <c r="N2570" i="12" s="1"/>
  <c r="O2568" i="12"/>
  <c r="M2571" i="12" l="1"/>
  <c r="N2571" i="12" s="1"/>
  <c r="O2569" i="12"/>
  <c r="M2572" i="12" l="1"/>
  <c r="N2572" i="12" s="1"/>
  <c r="O2570" i="12"/>
  <c r="M2573" i="12" l="1"/>
  <c r="N2573" i="12" s="1"/>
  <c r="O2571" i="12"/>
  <c r="M2574" i="12" l="1"/>
  <c r="N2574" i="12" s="1"/>
  <c r="O2572" i="12"/>
  <c r="M2575" i="12" l="1"/>
  <c r="N2575" i="12" s="1"/>
  <c r="O2573" i="12"/>
  <c r="M2576" i="12" l="1"/>
  <c r="N2576" i="12" s="1"/>
  <c r="O2574" i="12"/>
  <c r="M2577" i="12" l="1"/>
  <c r="N2577" i="12" s="1"/>
  <c r="O2575" i="12"/>
  <c r="M2578" i="12" l="1"/>
  <c r="N2578" i="12" s="1"/>
  <c r="O2576" i="12"/>
  <c r="M2579" i="12" l="1"/>
  <c r="N2579" i="12" s="1"/>
  <c r="O2577" i="12"/>
  <c r="M2580" i="12" l="1"/>
  <c r="N2580" i="12" s="1"/>
  <c r="O2578" i="12"/>
  <c r="M2581" i="12" l="1"/>
  <c r="N2581" i="12" s="1"/>
  <c r="O2579" i="12"/>
  <c r="M2582" i="12" l="1"/>
  <c r="N2582" i="12" s="1"/>
  <c r="O2580" i="12"/>
  <c r="M2583" i="12" l="1"/>
  <c r="N2583" i="12" s="1"/>
  <c r="O2581" i="12"/>
  <c r="M2584" i="12" l="1"/>
  <c r="N2584" i="12" s="1"/>
  <c r="O2582" i="12"/>
  <c r="M2585" i="12" l="1"/>
  <c r="N2585" i="12" s="1"/>
  <c r="O2583" i="12"/>
  <c r="M2586" i="12" l="1"/>
  <c r="N2586" i="12" s="1"/>
  <c r="O2584" i="12"/>
  <c r="M2587" i="12" l="1"/>
  <c r="N2587" i="12" s="1"/>
  <c r="O2585" i="12"/>
  <c r="M2588" i="12" l="1"/>
  <c r="N2588" i="12" s="1"/>
  <c r="O2586" i="12"/>
  <c r="M2589" i="12" l="1"/>
  <c r="N2589" i="12" s="1"/>
  <c r="O2587" i="12"/>
  <c r="M2590" i="12" l="1"/>
  <c r="N2590" i="12" s="1"/>
  <c r="O2588" i="12"/>
  <c r="M2591" i="12" l="1"/>
  <c r="N2591" i="12" s="1"/>
  <c r="O2589" i="12"/>
  <c r="M2592" i="12" l="1"/>
  <c r="N2592" i="12" s="1"/>
  <c r="O2590" i="12"/>
  <c r="M2593" i="12" l="1"/>
  <c r="N2593" i="12" s="1"/>
  <c r="O2591" i="12"/>
  <c r="M2594" i="12" l="1"/>
  <c r="N2594" i="12" s="1"/>
  <c r="O2592" i="12"/>
  <c r="M2595" i="12" l="1"/>
  <c r="N2595" i="12" s="1"/>
  <c r="O2593" i="12"/>
  <c r="M2596" i="12" l="1"/>
  <c r="N2596" i="12" s="1"/>
  <c r="O2594" i="12"/>
  <c r="M2597" i="12" l="1"/>
  <c r="N2597" i="12" s="1"/>
  <c r="O2595" i="12"/>
  <c r="M2598" i="12" l="1"/>
  <c r="N2598" i="12" s="1"/>
  <c r="O2596" i="12"/>
  <c r="M2599" i="12" l="1"/>
  <c r="N2599" i="12" s="1"/>
  <c r="O2597" i="12"/>
  <c r="M2600" i="12" l="1"/>
  <c r="N2600" i="12" s="1"/>
  <c r="O2598" i="12"/>
  <c r="M2601" i="12" l="1"/>
  <c r="N2601" i="12" s="1"/>
  <c r="O2599" i="12"/>
  <c r="M2602" i="12" l="1"/>
  <c r="N2602" i="12" s="1"/>
  <c r="O2600" i="12"/>
  <c r="M2603" i="12" l="1"/>
  <c r="N2603" i="12" s="1"/>
  <c r="O2601" i="12"/>
  <c r="M2604" i="12" l="1"/>
  <c r="N2604" i="12" s="1"/>
  <c r="O2602" i="12"/>
  <c r="M2605" i="12" l="1"/>
  <c r="N2605" i="12" s="1"/>
  <c r="O2603" i="12"/>
  <c r="M2606" i="12" l="1"/>
  <c r="N2606" i="12" s="1"/>
  <c r="O2604" i="12"/>
  <c r="M2607" i="12" l="1"/>
  <c r="N2607" i="12" s="1"/>
  <c r="O2605" i="12"/>
  <c r="M2608" i="12" l="1"/>
  <c r="N2608" i="12" s="1"/>
  <c r="O2606" i="12"/>
  <c r="M2609" i="12" l="1"/>
  <c r="N2609" i="12" s="1"/>
  <c r="O2607" i="12"/>
  <c r="M2610" i="12" l="1"/>
  <c r="N2610" i="12" s="1"/>
  <c r="O2608" i="12"/>
  <c r="M2611" i="12" l="1"/>
  <c r="N2611" i="12" s="1"/>
  <c r="O2609" i="12"/>
  <c r="M2612" i="12" l="1"/>
  <c r="N2612" i="12" s="1"/>
  <c r="O2610" i="12"/>
  <c r="M2613" i="12" l="1"/>
  <c r="N2613" i="12" s="1"/>
  <c r="O2611" i="12"/>
  <c r="M2614" i="12" l="1"/>
  <c r="N2614" i="12" s="1"/>
  <c r="O2612" i="12"/>
  <c r="M2615" i="12" l="1"/>
  <c r="N2615" i="12" s="1"/>
  <c r="O2613" i="12"/>
  <c r="M2616" i="12" l="1"/>
  <c r="N2616" i="12" s="1"/>
  <c r="O2614" i="12"/>
  <c r="M2617" i="12" l="1"/>
  <c r="N2617" i="12" s="1"/>
  <c r="O2615" i="12"/>
  <c r="M2618" i="12" l="1"/>
  <c r="N2618" i="12" s="1"/>
  <c r="O2616" i="12"/>
  <c r="M2619" i="12" l="1"/>
  <c r="N2619" i="12" s="1"/>
  <c r="O2617" i="12"/>
  <c r="M2620" i="12" l="1"/>
  <c r="N2620" i="12" s="1"/>
  <c r="O2618" i="12"/>
  <c r="M2621" i="12" l="1"/>
  <c r="N2621" i="12" s="1"/>
  <c r="O2619" i="12"/>
  <c r="M2622" i="12" l="1"/>
  <c r="N2622" i="12" s="1"/>
  <c r="O2620" i="12"/>
  <c r="M2623" i="12" l="1"/>
  <c r="N2623" i="12" s="1"/>
  <c r="O2621" i="12"/>
  <c r="M2624" i="12" l="1"/>
  <c r="N2624" i="12" s="1"/>
  <c r="O2622" i="12"/>
  <c r="M2625" i="12" l="1"/>
  <c r="N2625" i="12" s="1"/>
  <c r="O2623" i="12"/>
  <c r="M2626" i="12" l="1"/>
  <c r="N2626" i="12" s="1"/>
  <c r="O2624" i="12"/>
  <c r="M2627" i="12" l="1"/>
  <c r="N2627" i="12" s="1"/>
  <c r="O2625" i="12"/>
  <c r="M2628" i="12" l="1"/>
  <c r="N2628" i="12" s="1"/>
  <c r="O2626" i="12"/>
  <c r="M2629" i="12" l="1"/>
  <c r="N2629" i="12" s="1"/>
  <c r="O2627" i="12"/>
  <c r="M2630" i="12" l="1"/>
  <c r="N2630" i="12" s="1"/>
  <c r="O2628" i="12"/>
  <c r="M2631" i="12" l="1"/>
  <c r="N2631" i="12" s="1"/>
  <c r="O2629" i="12"/>
  <c r="M2632" i="12" l="1"/>
  <c r="N2632" i="12" s="1"/>
  <c r="O2630" i="12"/>
  <c r="M2633" i="12" l="1"/>
  <c r="N2633" i="12" s="1"/>
  <c r="O2631" i="12"/>
  <c r="M2634" i="12" l="1"/>
  <c r="N2634" i="12" s="1"/>
  <c r="O2632" i="12"/>
  <c r="M2635" i="12" l="1"/>
  <c r="N2635" i="12" s="1"/>
  <c r="O2633" i="12"/>
  <c r="M2636" i="12" l="1"/>
  <c r="N2636" i="12" s="1"/>
  <c r="O2634" i="12"/>
  <c r="M2637" i="12" l="1"/>
  <c r="N2637" i="12" s="1"/>
  <c r="O2635" i="12"/>
  <c r="M2638" i="12" l="1"/>
  <c r="N2638" i="12" s="1"/>
  <c r="O2636" i="12"/>
  <c r="M2639" i="12" l="1"/>
  <c r="N2639" i="12" s="1"/>
  <c r="O2637" i="12"/>
  <c r="M2640" i="12" l="1"/>
  <c r="N2640" i="12" s="1"/>
  <c r="O2638" i="12"/>
  <c r="M2641" i="12" l="1"/>
  <c r="N2641" i="12" s="1"/>
  <c r="O2639" i="12"/>
  <c r="M2642" i="12" l="1"/>
  <c r="N2642" i="12" s="1"/>
  <c r="O2640" i="12"/>
  <c r="M2643" i="12" l="1"/>
  <c r="N2643" i="12" s="1"/>
  <c r="O2641" i="12"/>
  <c r="M2644" i="12" l="1"/>
  <c r="N2644" i="12" s="1"/>
  <c r="O2642" i="12"/>
  <c r="M2645" i="12" l="1"/>
  <c r="N2645" i="12" s="1"/>
  <c r="O2643" i="12"/>
  <c r="M2646" i="12" l="1"/>
  <c r="N2646" i="12" s="1"/>
  <c r="O2644" i="12"/>
  <c r="M2647" i="12" l="1"/>
  <c r="N2647" i="12" s="1"/>
  <c r="O2645" i="12"/>
  <c r="M2648" i="12" l="1"/>
  <c r="N2648" i="12" s="1"/>
  <c r="O2646" i="12"/>
  <c r="M2649" i="12" l="1"/>
  <c r="N2649" i="12" s="1"/>
  <c r="O2647" i="12"/>
  <c r="M2650" i="12" l="1"/>
  <c r="N2650" i="12" s="1"/>
  <c r="O2648" i="12"/>
  <c r="M2651" i="12" l="1"/>
  <c r="N2651" i="12" s="1"/>
  <c r="O2649" i="12"/>
  <c r="M2652" i="12" l="1"/>
  <c r="N2652" i="12" s="1"/>
  <c r="O2650" i="12"/>
  <c r="M2653" i="12" l="1"/>
  <c r="N2653" i="12" s="1"/>
  <c r="O2651" i="12"/>
  <c r="M2654" i="12" l="1"/>
  <c r="N2654" i="12" s="1"/>
  <c r="O2652" i="12"/>
  <c r="M2655" i="12" l="1"/>
  <c r="N2655" i="12" s="1"/>
  <c r="O2653" i="12"/>
  <c r="M2656" i="12" l="1"/>
  <c r="N2656" i="12" s="1"/>
  <c r="O2654" i="12"/>
  <c r="M2657" i="12" l="1"/>
  <c r="N2657" i="12" s="1"/>
  <c r="O2655" i="12"/>
  <c r="M2658" i="12" l="1"/>
  <c r="N2658" i="12" s="1"/>
  <c r="O2656" i="12"/>
  <c r="M2659" i="12" l="1"/>
  <c r="N2659" i="12" s="1"/>
  <c r="O2657" i="12"/>
  <c r="M2660" i="12" l="1"/>
  <c r="N2660" i="12" s="1"/>
  <c r="O2658" i="12"/>
  <c r="M2661" i="12" l="1"/>
  <c r="N2661" i="12" s="1"/>
  <c r="O2659" i="12"/>
  <c r="M2662" i="12" l="1"/>
  <c r="N2662" i="12" s="1"/>
  <c r="O2660" i="12"/>
  <c r="M2663" i="12" l="1"/>
  <c r="N2663" i="12" s="1"/>
  <c r="O2661" i="12"/>
  <c r="M2664" i="12" l="1"/>
  <c r="N2664" i="12" s="1"/>
  <c r="O2662" i="12"/>
  <c r="M2665" i="12" l="1"/>
  <c r="N2665" i="12" s="1"/>
  <c r="O2663" i="12"/>
  <c r="M2666" i="12" l="1"/>
  <c r="N2666" i="12" s="1"/>
  <c r="O2664" i="12"/>
  <c r="M2667" i="12" l="1"/>
  <c r="N2667" i="12" s="1"/>
  <c r="O2665" i="12"/>
  <c r="M2668" i="12" l="1"/>
  <c r="N2668" i="12" s="1"/>
  <c r="O2666" i="12"/>
  <c r="M2669" i="12" l="1"/>
  <c r="N2669" i="12" s="1"/>
  <c r="O2667" i="12"/>
  <c r="M2670" i="12" l="1"/>
  <c r="N2670" i="12" s="1"/>
  <c r="O2668" i="12"/>
  <c r="M2671" i="12" l="1"/>
  <c r="N2671" i="12" s="1"/>
  <c r="O2669" i="12"/>
  <c r="M2672" i="12" l="1"/>
  <c r="N2672" i="12" s="1"/>
  <c r="O2670" i="12"/>
  <c r="M2673" i="12" l="1"/>
  <c r="N2673" i="12" s="1"/>
  <c r="O2671" i="12"/>
  <c r="M2674" i="12" l="1"/>
  <c r="N2674" i="12" s="1"/>
  <c r="O2672" i="12"/>
  <c r="M2675" i="12" l="1"/>
  <c r="N2675" i="12" s="1"/>
  <c r="O2673" i="12"/>
  <c r="M2676" i="12" l="1"/>
  <c r="N2676" i="12" s="1"/>
  <c r="O2674" i="12"/>
  <c r="M2677" i="12" l="1"/>
  <c r="N2677" i="12" s="1"/>
  <c r="O2675" i="12"/>
  <c r="M2678" i="12" l="1"/>
  <c r="N2678" i="12" s="1"/>
  <c r="O2676" i="12"/>
  <c r="M2679" i="12" l="1"/>
  <c r="N2679" i="12" s="1"/>
  <c r="O2677" i="12"/>
  <c r="M2680" i="12" l="1"/>
  <c r="N2680" i="12" s="1"/>
  <c r="O2678" i="12"/>
  <c r="M2681" i="12" l="1"/>
  <c r="N2681" i="12" s="1"/>
  <c r="O2679" i="12"/>
  <c r="M2682" i="12" l="1"/>
  <c r="N2682" i="12" s="1"/>
  <c r="O2680" i="12"/>
  <c r="M2683" i="12" l="1"/>
  <c r="N2683" i="12" s="1"/>
  <c r="O2681" i="12"/>
  <c r="M2684" i="12" l="1"/>
  <c r="N2684" i="12" s="1"/>
  <c r="O2682" i="12"/>
  <c r="M2685" i="12" l="1"/>
  <c r="N2685" i="12" s="1"/>
  <c r="O2683" i="12"/>
  <c r="M2686" i="12" l="1"/>
  <c r="N2686" i="12" s="1"/>
  <c r="O2684" i="12"/>
  <c r="M2687" i="12" l="1"/>
  <c r="N2687" i="12" s="1"/>
  <c r="O2685" i="12"/>
  <c r="M2688" i="12" l="1"/>
  <c r="N2688" i="12" s="1"/>
  <c r="O2686" i="12"/>
  <c r="M2689" i="12" l="1"/>
  <c r="N2689" i="12" s="1"/>
  <c r="O2687" i="12"/>
  <c r="M2690" i="12" l="1"/>
  <c r="N2690" i="12" s="1"/>
  <c r="O2688" i="12"/>
  <c r="M2691" i="12" l="1"/>
  <c r="N2691" i="12" s="1"/>
  <c r="O2689" i="12"/>
  <c r="M2692" i="12" l="1"/>
  <c r="N2692" i="12" s="1"/>
  <c r="O2690" i="12"/>
  <c r="M2693" i="12" l="1"/>
  <c r="N2693" i="12" s="1"/>
  <c r="O2691" i="12"/>
  <c r="M2694" i="12" l="1"/>
  <c r="N2694" i="12" s="1"/>
  <c r="O2692" i="12"/>
  <c r="M2695" i="12" l="1"/>
  <c r="N2695" i="12" s="1"/>
  <c r="O2693" i="12"/>
  <c r="M2696" i="12" l="1"/>
  <c r="N2696" i="12" s="1"/>
  <c r="O2694" i="12"/>
  <c r="M2697" i="12" l="1"/>
  <c r="N2697" i="12" s="1"/>
  <c r="O2695" i="12"/>
  <c r="M2698" i="12" l="1"/>
  <c r="N2698" i="12" s="1"/>
  <c r="O2696" i="12"/>
  <c r="M2699" i="12" l="1"/>
  <c r="N2699" i="12" s="1"/>
  <c r="O2697" i="12"/>
  <c r="M2700" i="12" l="1"/>
  <c r="N2700" i="12" s="1"/>
  <c r="O2698" i="12"/>
  <c r="M2701" i="12" l="1"/>
  <c r="N2701" i="12" s="1"/>
  <c r="O2699" i="12"/>
  <c r="M2702" i="12" l="1"/>
  <c r="N2702" i="12" s="1"/>
  <c r="O2700" i="12"/>
  <c r="M2703" i="12" l="1"/>
  <c r="N2703" i="12" s="1"/>
  <c r="O2701" i="12"/>
  <c r="M2704" i="12" l="1"/>
  <c r="N2704" i="12" s="1"/>
  <c r="O2702" i="12"/>
  <c r="M2705" i="12" l="1"/>
  <c r="N2705" i="12" s="1"/>
  <c r="O2703" i="12"/>
  <c r="M2706" i="12" l="1"/>
  <c r="N2706" i="12" s="1"/>
  <c r="O2704" i="12"/>
  <c r="M2707" i="12" l="1"/>
  <c r="N2707" i="12" s="1"/>
  <c r="O2705" i="12"/>
  <c r="M2708" i="12" l="1"/>
  <c r="N2708" i="12" s="1"/>
  <c r="O2706" i="12"/>
  <c r="M2709" i="12" l="1"/>
  <c r="N2709" i="12" s="1"/>
  <c r="O2707" i="12"/>
  <c r="M2710" i="12" l="1"/>
  <c r="N2710" i="12" s="1"/>
  <c r="O2708" i="12"/>
  <c r="M2711" i="12" l="1"/>
  <c r="N2711" i="12" s="1"/>
  <c r="O2709" i="12"/>
  <c r="M2712" i="12" l="1"/>
  <c r="N2712" i="12" s="1"/>
  <c r="O2710" i="12"/>
  <c r="M2713" i="12" l="1"/>
  <c r="N2713" i="12" s="1"/>
  <c r="O2711" i="12"/>
  <c r="M2714" i="12" l="1"/>
  <c r="N2714" i="12" s="1"/>
  <c r="O2712" i="12"/>
  <c r="M2715" i="12" l="1"/>
  <c r="N2715" i="12" s="1"/>
  <c r="O2713" i="12"/>
  <c r="M2716" i="12" l="1"/>
  <c r="N2716" i="12" s="1"/>
  <c r="O2714" i="12"/>
  <c r="M2717" i="12" l="1"/>
  <c r="N2717" i="12" s="1"/>
  <c r="O2715" i="12"/>
  <c r="M2718" i="12" l="1"/>
  <c r="N2718" i="12" s="1"/>
  <c r="O2716" i="12"/>
  <c r="M2719" i="12" l="1"/>
  <c r="N2719" i="12" s="1"/>
  <c r="O2717" i="12"/>
  <c r="M2720" i="12" l="1"/>
  <c r="N2720" i="12" s="1"/>
  <c r="O2718" i="12"/>
  <c r="M2721" i="12" l="1"/>
  <c r="N2721" i="12" s="1"/>
  <c r="O2719" i="12"/>
  <c r="M2722" i="12" l="1"/>
  <c r="N2722" i="12" s="1"/>
  <c r="O2720" i="12"/>
  <c r="M2723" i="12" l="1"/>
  <c r="N2723" i="12" s="1"/>
  <c r="O2721" i="12"/>
  <c r="M2724" i="12" l="1"/>
  <c r="N2724" i="12" s="1"/>
  <c r="O2722" i="12"/>
  <c r="M2725" i="12" l="1"/>
  <c r="N2725" i="12" s="1"/>
  <c r="O2723" i="12"/>
  <c r="M2726" i="12" l="1"/>
  <c r="N2726" i="12" s="1"/>
  <c r="O2724" i="12"/>
  <c r="M2727" i="12" l="1"/>
  <c r="N2727" i="12" s="1"/>
  <c r="O2725" i="12"/>
  <c r="M2728" i="12" l="1"/>
  <c r="N2728" i="12" s="1"/>
  <c r="O2726" i="12"/>
  <c r="M2729" i="12" l="1"/>
  <c r="N2729" i="12" s="1"/>
  <c r="O2727" i="12"/>
  <c r="M2730" i="12" l="1"/>
  <c r="N2730" i="12" s="1"/>
  <c r="O2728" i="12"/>
  <c r="M2731" i="12" l="1"/>
  <c r="N2731" i="12" s="1"/>
  <c r="O2729" i="12"/>
  <c r="M2732" i="12" l="1"/>
  <c r="N2732" i="12" s="1"/>
  <c r="O2730" i="12"/>
  <c r="M2733" i="12" l="1"/>
  <c r="N2733" i="12" s="1"/>
  <c r="O2731" i="12"/>
  <c r="M2734" i="12" l="1"/>
  <c r="N2734" i="12" s="1"/>
  <c r="O2732" i="12"/>
  <c r="M2735" i="12" l="1"/>
  <c r="N2735" i="12" s="1"/>
  <c r="O2733" i="12"/>
  <c r="M2736" i="12" l="1"/>
  <c r="N2736" i="12" s="1"/>
  <c r="O2734" i="12"/>
  <c r="M2737" i="12" l="1"/>
  <c r="N2737" i="12" s="1"/>
  <c r="O2735" i="12"/>
  <c r="M2738" i="12" l="1"/>
  <c r="N2738" i="12" s="1"/>
  <c r="O2736" i="12"/>
  <c r="M2739" i="12" l="1"/>
  <c r="N2739" i="12" s="1"/>
  <c r="O2737" i="12"/>
  <c r="M2740" i="12" l="1"/>
  <c r="N2740" i="12" s="1"/>
  <c r="O2738" i="12"/>
  <c r="M2741" i="12" l="1"/>
  <c r="N2741" i="12" s="1"/>
  <c r="O2739" i="12"/>
  <c r="M2742" i="12" l="1"/>
  <c r="N2742" i="12" s="1"/>
  <c r="O2740" i="12"/>
  <c r="M2743" i="12" l="1"/>
  <c r="N2743" i="12" s="1"/>
  <c r="O2741" i="12"/>
  <c r="M2744" i="12" l="1"/>
  <c r="N2744" i="12" s="1"/>
  <c r="O2742" i="12"/>
  <c r="M2745" i="12" l="1"/>
  <c r="N2745" i="12" s="1"/>
  <c r="O2743" i="12"/>
  <c r="M2746" i="12" l="1"/>
  <c r="N2746" i="12" s="1"/>
  <c r="O2744" i="12"/>
  <c r="M2747" i="12" l="1"/>
  <c r="N2747" i="12" s="1"/>
  <c r="O2745" i="12"/>
  <c r="M2748" i="12" l="1"/>
  <c r="N2748" i="12" s="1"/>
  <c r="O2746" i="12"/>
  <c r="M2749" i="12" l="1"/>
  <c r="N2749" i="12" s="1"/>
  <c r="O2747" i="12"/>
  <c r="M2750" i="12" l="1"/>
  <c r="N2750" i="12" s="1"/>
  <c r="O2748" i="12"/>
  <c r="M2751" i="12" l="1"/>
  <c r="N2751" i="12" s="1"/>
  <c r="O2749" i="12"/>
  <c r="M2752" i="12" l="1"/>
  <c r="N2752" i="12" s="1"/>
  <c r="O2750" i="12"/>
  <c r="M2753" i="12" l="1"/>
  <c r="N2753" i="12" s="1"/>
  <c r="O2751" i="12"/>
  <c r="M2754" i="12" l="1"/>
  <c r="N2754" i="12" s="1"/>
  <c r="O2752" i="12"/>
  <c r="M2755" i="12" l="1"/>
  <c r="N2755" i="12" s="1"/>
  <c r="O2753" i="12"/>
  <c r="M2756" i="12" l="1"/>
  <c r="N2756" i="12" s="1"/>
  <c r="O2754" i="12"/>
  <c r="M2757" i="12" l="1"/>
  <c r="N2757" i="12" s="1"/>
  <c r="O2755" i="12"/>
  <c r="M2758" i="12" l="1"/>
  <c r="N2758" i="12" s="1"/>
  <c r="O2756" i="12"/>
  <c r="M2759" i="12" l="1"/>
  <c r="N2759" i="12" s="1"/>
  <c r="O2757" i="12"/>
  <c r="M2760" i="12" l="1"/>
  <c r="N2760" i="12" s="1"/>
  <c r="O2758" i="12"/>
  <c r="M2761" i="12" l="1"/>
  <c r="N2761" i="12" s="1"/>
  <c r="O2759" i="12"/>
  <c r="M2762" i="12" l="1"/>
  <c r="N2762" i="12" s="1"/>
  <c r="O2760" i="12"/>
  <c r="M2763" i="12" l="1"/>
  <c r="N2763" i="12" s="1"/>
  <c r="O2761" i="12"/>
  <c r="M2764" i="12" l="1"/>
  <c r="N2764" i="12" s="1"/>
  <c r="O2762" i="12"/>
  <c r="M2765" i="12" l="1"/>
  <c r="N2765" i="12" s="1"/>
  <c r="O2763" i="12"/>
  <c r="M2766" i="12" l="1"/>
  <c r="N2766" i="12" s="1"/>
  <c r="O2764" i="12"/>
  <c r="M2767" i="12" l="1"/>
  <c r="N2767" i="12" s="1"/>
  <c r="O2765" i="12"/>
  <c r="M2768" i="12" l="1"/>
  <c r="N2768" i="12" s="1"/>
  <c r="O2766" i="12"/>
  <c r="M2769" i="12" l="1"/>
  <c r="N2769" i="12" s="1"/>
  <c r="O2767" i="12"/>
  <c r="M2770" i="12" l="1"/>
  <c r="N2770" i="12" s="1"/>
  <c r="O2768" i="12"/>
  <c r="M2771" i="12" l="1"/>
  <c r="N2771" i="12" s="1"/>
  <c r="O2769" i="12"/>
  <c r="M2772" i="12" l="1"/>
  <c r="N2772" i="12" s="1"/>
  <c r="O2770" i="12"/>
  <c r="M2773" i="12" l="1"/>
  <c r="N2773" i="12" s="1"/>
  <c r="O2771" i="12"/>
  <c r="M2774" i="12" l="1"/>
  <c r="N2774" i="12" s="1"/>
  <c r="O2772" i="12"/>
  <c r="M2775" i="12" l="1"/>
  <c r="N2775" i="12" s="1"/>
  <c r="O2773" i="12"/>
  <c r="M2776" i="12" l="1"/>
  <c r="N2776" i="12" s="1"/>
  <c r="O2774" i="12"/>
  <c r="M2777" i="12" l="1"/>
  <c r="N2777" i="12" s="1"/>
  <c r="O2775" i="12"/>
  <c r="M2778" i="12" l="1"/>
  <c r="N2778" i="12" s="1"/>
  <c r="O2776" i="12"/>
  <c r="M2779" i="12" l="1"/>
  <c r="N2779" i="12" s="1"/>
  <c r="O2777" i="12"/>
  <c r="M2780" i="12" l="1"/>
  <c r="N2780" i="12" s="1"/>
  <c r="O2778" i="12"/>
  <c r="M2781" i="12" l="1"/>
  <c r="N2781" i="12" s="1"/>
  <c r="O2779" i="12"/>
  <c r="M2782" i="12" l="1"/>
  <c r="N2782" i="12" s="1"/>
  <c r="O2780" i="12"/>
  <c r="M2783" i="12" l="1"/>
  <c r="N2783" i="12" s="1"/>
  <c r="O2781" i="12"/>
  <c r="M2784" i="12" l="1"/>
  <c r="N2784" i="12" s="1"/>
  <c r="O2782" i="12"/>
  <c r="M2785" i="12" l="1"/>
  <c r="N2785" i="12" s="1"/>
  <c r="O2783" i="12"/>
  <c r="M2786" i="12" l="1"/>
  <c r="N2786" i="12" s="1"/>
  <c r="O2784" i="12"/>
  <c r="M2787" i="12" l="1"/>
  <c r="N2787" i="12" s="1"/>
  <c r="O2785" i="12"/>
  <c r="M2788" i="12" l="1"/>
  <c r="N2788" i="12" s="1"/>
  <c r="O2786" i="12"/>
  <c r="M2789" i="12" l="1"/>
  <c r="N2789" i="12" s="1"/>
  <c r="O2787" i="12"/>
  <c r="M2790" i="12" l="1"/>
  <c r="N2790" i="12" s="1"/>
  <c r="O2788" i="12"/>
  <c r="M2791" i="12" l="1"/>
  <c r="N2791" i="12" s="1"/>
  <c r="O2789" i="12"/>
  <c r="M2792" i="12" l="1"/>
  <c r="N2792" i="12" s="1"/>
  <c r="O2790" i="12"/>
  <c r="M2793" i="12" l="1"/>
  <c r="N2793" i="12" s="1"/>
  <c r="O2791" i="12"/>
  <c r="M2794" i="12" l="1"/>
  <c r="N2794" i="12" s="1"/>
  <c r="O2792" i="12"/>
  <c r="M2795" i="12" l="1"/>
  <c r="N2795" i="12" s="1"/>
  <c r="O2793" i="12"/>
  <c r="M2796" i="12" l="1"/>
  <c r="N2796" i="12" s="1"/>
  <c r="O2794" i="12"/>
  <c r="M2797" i="12" l="1"/>
  <c r="N2797" i="12" s="1"/>
  <c r="O2795" i="12"/>
  <c r="M2798" i="12" l="1"/>
  <c r="N2798" i="12" s="1"/>
  <c r="O2796" i="12"/>
  <c r="M2799" i="12" l="1"/>
  <c r="N2799" i="12" s="1"/>
  <c r="O2797" i="12"/>
  <c r="M2800" i="12" l="1"/>
  <c r="N2800" i="12" s="1"/>
  <c r="O2798" i="12"/>
  <c r="M2801" i="12" l="1"/>
  <c r="N2801" i="12" s="1"/>
  <c r="O2799" i="12"/>
  <c r="M2802" i="12" l="1"/>
  <c r="N2802" i="12" s="1"/>
  <c r="O2800" i="12"/>
  <c r="M2803" i="12" l="1"/>
  <c r="N2803" i="12" s="1"/>
  <c r="O2801" i="12"/>
  <c r="M2804" i="12" l="1"/>
  <c r="N2804" i="12" s="1"/>
  <c r="O2802" i="12"/>
  <c r="M2805" i="12" l="1"/>
  <c r="N2805" i="12" s="1"/>
  <c r="O2803" i="12"/>
  <c r="M2806" i="12" l="1"/>
  <c r="N2806" i="12" s="1"/>
  <c r="O2804" i="12"/>
  <c r="M2807" i="12" l="1"/>
  <c r="N2807" i="12" s="1"/>
  <c r="O2805" i="12"/>
  <c r="M2808" i="12" l="1"/>
  <c r="N2808" i="12" s="1"/>
  <c r="O2806" i="12"/>
  <c r="M2809" i="12" l="1"/>
  <c r="N2809" i="12" s="1"/>
  <c r="O2807" i="12"/>
  <c r="M2810" i="12" l="1"/>
  <c r="N2810" i="12" s="1"/>
  <c r="O2808" i="12"/>
  <c r="M2811" i="12" l="1"/>
  <c r="N2811" i="12" s="1"/>
  <c r="O2809" i="12"/>
  <c r="M2812" i="12" l="1"/>
  <c r="N2812" i="12" s="1"/>
  <c r="O2810" i="12"/>
  <c r="M2813" i="12" l="1"/>
  <c r="N2813" i="12" s="1"/>
  <c r="O2811" i="12"/>
  <c r="M2814" i="12" l="1"/>
  <c r="N2814" i="12" s="1"/>
  <c r="O2812" i="12"/>
  <c r="M2815" i="12" l="1"/>
  <c r="N2815" i="12" s="1"/>
  <c r="O2813" i="12"/>
  <c r="M2816" i="12" l="1"/>
  <c r="N2816" i="12" s="1"/>
  <c r="O2814" i="12"/>
  <c r="M2817" i="12" l="1"/>
  <c r="N2817" i="12" s="1"/>
  <c r="O2815" i="12"/>
  <c r="M2818" i="12" l="1"/>
  <c r="N2818" i="12" s="1"/>
  <c r="O2816" i="12"/>
  <c r="M2819" i="12" l="1"/>
  <c r="N2819" i="12" s="1"/>
  <c r="O2817" i="12"/>
  <c r="M2820" i="12" l="1"/>
  <c r="N2820" i="12" s="1"/>
  <c r="O2818" i="12"/>
  <c r="M2821" i="12" l="1"/>
  <c r="N2821" i="12" s="1"/>
  <c r="O2819" i="12"/>
  <c r="M2822" i="12" l="1"/>
  <c r="N2822" i="12" s="1"/>
  <c r="O2820" i="12"/>
  <c r="M2823" i="12" l="1"/>
  <c r="N2823" i="12" s="1"/>
  <c r="O2821" i="12"/>
  <c r="M2824" i="12" l="1"/>
  <c r="N2824" i="12" s="1"/>
  <c r="O2822" i="12"/>
  <c r="M2825" i="12" l="1"/>
  <c r="N2825" i="12" s="1"/>
  <c r="O2823" i="12"/>
  <c r="M2826" i="12" l="1"/>
  <c r="N2826" i="12" s="1"/>
  <c r="O2824" i="12"/>
  <c r="M2827" i="12" l="1"/>
  <c r="N2827" i="12" s="1"/>
  <c r="O2825" i="12"/>
  <c r="M2828" i="12" l="1"/>
  <c r="N2828" i="12" s="1"/>
  <c r="O2826" i="12"/>
  <c r="M2829" i="12" l="1"/>
  <c r="N2829" i="12" s="1"/>
  <c r="O2827" i="12"/>
  <c r="M2830" i="12" l="1"/>
  <c r="N2830" i="12" s="1"/>
  <c r="O2828" i="12"/>
  <c r="M2831" i="12" l="1"/>
  <c r="N2831" i="12" s="1"/>
  <c r="O2829" i="12"/>
  <c r="M2832" i="12" l="1"/>
  <c r="N2832" i="12" s="1"/>
  <c r="O2830" i="12"/>
  <c r="M2833" i="12" l="1"/>
  <c r="N2833" i="12" s="1"/>
  <c r="O2831" i="12"/>
  <c r="M2834" i="12" l="1"/>
  <c r="N2834" i="12" s="1"/>
  <c r="O2832" i="12"/>
  <c r="M2835" i="12" l="1"/>
  <c r="N2835" i="12" s="1"/>
  <c r="O2833" i="12"/>
  <c r="M2836" i="12" l="1"/>
  <c r="N2836" i="12" s="1"/>
  <c r="O2834" i="12"/>
  <c r="M2837" i="12" l="1"/>
  <c r="N2837" i="12" s="1"/>
  <c r="O2835" i="12"/>
  <c r="M2838" i="12" l="1"/>
  <c r="N2838" i="12" s="1"/>
  <c r="O2836" i="12"/>
  <c r="M2839" i="12" l="1"/>
  <c r="N2839" i="12" s="1"/>
  <c r="O2837" i="12"/>
  <c r="M2840" i="12" l="1"/>
  <c r="N2840" i="12" s="1"/>
  <c r="O2838" i="12"/>
  <c r="M2841" i="12" l="1"/>
  <c r="N2841" i="12" s="1"/>
  <c r="O2839" i="12"/>
  <c r="M2842" i="12" l="1"/>
  <c r="N2842" i="12" s="1"/>
  <c r="O2840" i="12"/>
  <c r="M2843" i="12" l="1"/>
  <c r="N2843" i="12" s="1"/>
  <c r="O2841" i="12"/>
  <c r="M2844" i="12" l="1"/>
  <c r="N2844" i="12" s="1"/>
  <c r="O2842" i="12"/>
  <c r="M2845" i="12" l="1"/>
  <c r="N2845" i="12" s="1"/>
  <c r="O2843" i="12"/>
  <c r="M2846" i="12" l="1"/>
  <c r="N2846" i="12" s="1"/>
  <c r="O2844" i="12"/>
  <c r="M2847" i="12" l="1"/>
  <c r="N2847" i="12" s="1"/>
  <c r="O2845" i="12"/>
  <c r="M2848" i="12" l="1"/>
  <c r="N2848" i="12" s="1"/>
  <c r="O2846" i="12"/>
  <c r="M2849" i="12" l="1"/>
  <c r="N2849" i="12" s="1"/>
  <c r="O2847" i="12"/>
  <c r="M2850" i="12" l="1"/>
  <c r="N2850" i="12" s="1"/>
  <c r="O2848" i="12"/>
  <c r="M2851" i="12" l="1"/>
  <c r="N2851" i="12" s="1"/>
  <c r="O2849" i="12"/>
  <c r="M2852" i="12" l="1"/>
  <c r="N2852" i="12" s="1"/>
  <c r="O2850" i="12"/>
  <c r="M2853" i="12" l="1"/>
  <c r="N2853" i="12" s="1"/>
  <c r="O2851" i="12"/>
  <c r="M2854" i="12" l="1"/>
  <c r="N2854" i="12" s="1"/>
  <c r="O2852" i="12"/>
  <c r="M2855" i="12" l="1"/>
  <c r="N2855" i="12" s="1"/>
  <c r="O2853" i="12"/>
  <c r="M2856" i="12" l="1"/>
  <c r="N2856" i="12" s="1"/>
  <c r="O2854" i="12"/>
  <c r="M2857" i="12" l="1"/>
  <c r="N2857" i="12" s="1"/>
  <c r="O2855" i="12"/>
  <c r="M2858" i="12" l="1"/>
  <c r="N2858" i="12" s="1"/>
  <c r="O2856" i="12"/>
  <c r="M2859" i="12" l="1"/>
  <c r="N2859" i="12" s="1"/>
  <c r="O2857" i="12"/>
  <c r="M2860" i="12" l="1"/>
  <c r="N2860" i="12" s="1"/>
  <c r="O2858" i="12"/>
  <c r="M2861" i="12" l="1"/>
  <c r="N2861" i="12" s="1"/>
  <c r="O2859" i="12"/>
  <c r="M2862" i="12" l="1"/>
  <c r="N2862" i="12" s="1"/>
  <c r="O2860" i="12"/>
  <c r="M2863" i="12" l="1"/>
  <c r="N2863" i="12" s="1"/>
  <c r="O2861" i="12"/>
  <c r="M2864" i="12" l="1"/>
  <c r="N2864" i="12" s="1"/>
  <c r="O2862" i="12"/>
  <c r="M2865" i="12" l="1"/>
  <c r="N2865" i="12" s="1"/>
  <c r="O2863" i="12"/>
  <c r="M2866" i="12" l="1"/>
  <c r="N2866" i="12" s="1"/>
  <c r="O2864" i="12"/>
  <c r="M2867" i="12" l="1"/>
  <c r="N2867" i="12" s="1"/>
  <c r="O2865" i="12"/>
  <c r="M2868" i="12" l="1"/>
  <c r="N2868" i="12" s="1"/>
  <c r="O2866" i="12"/>
  <c r="M2869" i="12" l="1"/>
  <c r="N2869" i="12" s="1"/>
  <c r="O2867" i="12"/>
  <c r="M2870" i="12" l="1"/>
  <c r="N2870" i="12" s="1"/>
  <c r="O2868" i="12"/>
  <c r="M2871" i="12" l="1"/>
  <c r="N2871" i="12" s="1"/>
  <c r="O2869" i="12"/>
  <c r="M2872" i="12" l="1"/>
  <c r="N2872" i="12" s="1"/>
  <c r="O2870" i="12"/>
  <c r="M2873" i="12" l="1"/>
  <c r="N2873" i="12" s="1"/>
  <c r="O2871" i="12"/>
  <c r="M2874" i="12" l="1"/>
  <c r="N2874" i="12" s="1"/>
  <c r="O2872" i="12"/>
  <c r="M2875" i="12" l="1"/>
  <c r="N2875" i="12" s="1"/>
  <c r="O2873" i="12"/>
  <c r="M2876" i="12" l="1"/>
  <c r="N2876" i="12" s="1"/>
  <c r="O2874" i="12"/>
  <c r="M2877" i="12" l="1"/>
  <c r="N2877" i="12" s="1"/>
  <c r="O2875" i="12"/>
  <c r="M2878" i="12" l="1"/>
  <c r="N2878" i="12" s="1"/>
  <c r="O2876" i="12"/>
  <c r="M2879" i="12" l="1"/>
  <c r="N2879" i="12" s="1"/>
  <c r="O2877" i="12"/>
  <c r="M2880" i="12" l="1"/>
  <c r="N2880" i="12" s="1"/>
  <c r="O2878" i="12"/>
  <c r="M2881" i="12" l="1"/>
  <c r="N2881" i="12" s="1"/>
  <c r="O2879" i="12"/>
  <c r="M2882" i="12" l="1"/>
  <c r="N2882" i="12" s="1"/>
  <c r="O2880" i="12"/>
  <c r="M2883" i="12" l="1"/>
  <c r="N2883" i="12" s="1"/>
  <c r="O2881" i="12"/>
  <c r="M2884" i="12" l="1"/>
  <c r="N2884" i="12" s="1"/>
  <c r="O2882" i="12"/>
  <c r="M2885" i="12" l="1"/>
  <c r="N2885" i="12" s="1"/>
  <c r="O2883" i="12"/>
  <c r="M2886" i="12" l="1"/>
  <c r="N2886" i="12" s="1"/>
  <c r="O2884" i="12"/>
  <c r="M2887" i="12" l="1"/>
  <c r="N2887" i="12" s="1"/>
  <c r="O2885" i="12"/>
  <c r="M2888" i="12" l="1"/>
  <c r="N2888" i="12" s="1"/>
  <c r="O2886" i="12"/>
  <c r="M2889" i="12" l="1"/>
  <c r="N2889" i="12" s="1"/>
  <c r="O2887" i="12"/>
  <c r="M2890" i="12" l="1"/>
  <c r="N2890" i="12" s="1"/>
  <c r="O2888" i="12"/>
  <c r="M2891" i="12" l="1"/>
  <c r="N2891" i="12" s="1"/>
  <c r="O2889" i="12"/>
  <c r="M2892" i="12" l="1"/>
  <c r="N2892" i="12" s="1"/>
  <c r="O2890" i="12"/>
  <c r="M2893" i="12" l="1"/>
  <c r="N2893" i="12" s="1"/>
  <c r="O2891" i="12"/>
  <c r="M2894" i="12" l="1"/>
  <c r="N2894" i="12" s="1"/>
  <c r="O2892" i="12"/>
  <c r="M2895" i="12" l="1"/>
  <c r="N2895" i="12" s="1"/>
  <c r="O2893" i="12"/>
  <c r="M2896" i="12" l="1"/>
  <c r="N2896" i="12" s="1"/>
  <c r="O2894" i="12"/>
  <c r="M2897" i="12" l="1"/>
  <c r="N2897" i="12" s="1"/>
  <c r="O2895" i="12"/>
  <c r="M2898" i="12" l="1"/>
  <c r="N2898" i="12" s="1"/>
  <c r="O2896" i="12"/>
  <c r="M2899" i="12" l="1"/>
  <c r="N2899" i="12" s="1"/>
  <c r="O2897" i="12"/>
  <c r="M2900" i="12" l="1"/>
  <c r="N2900" i="12" s="1"/>
  <c r="O2898" i="12"/>
  <c r="M2901" i="12" l="1"/>
  <c r="N2901" i="12" s="1"/>
  <c r="O2899" i="12"/>
  <c r="M2902" i="12" l="1"/>
  <c r="N2902" i="12" s="1"/>
  <c r="O2900" i="12"/>
  <c r="M2903" i="12" l="1"/>
  <c r="N2903" i="12" s="1"/>
  <c r="O2901" i="12"/>
  <c r="M2904" i="12" l="1"/>
  <c r="N2904" i="12" s="1"/>
  <c r="O2902" i="12"/>
  <c r="M2905" i="12" l="1"/>
  <c r="N2905" i="12" s="1"/>
  <c r="O2903" i="12"/>
  <c r="M2906" i="12" l="1"/>
  <c r="N2906" i="12" s="1"/>
  <c r="O2904" i="12"/>
  <c r="M2907" i="12" l="1"/>
  <c r="N2907" i="12" s="1"/>
  <c r="O2905" i="12"/>
  <c r="M2908" i="12" l="1"/>
  <c r="N2908" i="12" s="1"/>
  <c r="O2906" i="12"/>
  <c r="M2909" i="12" l="1"/>
  <c r="N2909" i="12" s="1"/>
  <c r="O2907" i="12"/>
  <c r="M2910" i="12" l="1"/>
  <c r="N2910" i="12" s="1"/>
  <c r="O2908" i="12"/>
  <c r="M2911" i="12" l="1"/>
  <c r="N2911" i="12" s="1"/>
  <c r="O2909" i="12"/>
  <c r="M2912" i="12" l="1"/>
  <c r="N2912" i="12" s="1"/>
  <c r="O2910" i="12"/>
  <c r="M2913" i="12" l="1"/>
  <c r="N2913" i="12" s="1"/>
  <c r="O2911" i="12"/>
  <c r="M2914" i="12" l="1"/>
  <c r="N2914" i="12" s="1"/>
  <c r="O2912" i="12"/>
  <c r="M2915" i="12" l="1"/>
  <c r="N2915" i="12" s="1"/>
  <c r="O2913" i="12"/>
  <c r="M2916" i="12" l="1"/>
  <c r="N2916" i="12" s="1"/>
  <c r="O2914" i="12"/>
  <c r="M2917" i="12" l="1"/>
  <c r="N2917" i="12" s="1"/>
  <c r="O2915" i="12"/>
  <c r="M2918" i="12" l="1"/>
  <c r="N2918" i="12" s="1"/>
  <c r="O2916" i="12"/>
  <c r="M2919" i="12" l="1"/>
  <c r="N2919" i="12" s="1"/>
  <c r="O2917" i="12"/>
  <c r="M2920" i="12" l="1"/>
  <c r="N2920" i="12" s="1"/>
  <c r="O2918" i="12"/>
  <c r="M2921" i="12" l="1"/>
  <c r="N2921" i="12" s="1"/>
  <c r="O2919" i="12"/>
  <c r="M2922" i="12" l="1"/>
  <c r="N2922" i="12" s="1"/>
  <c r="O2920" i="12"/>
  <c r="M2923" i="12" l="1"/>
  <c r="N2923" i="12" s="1"/>
  <c r="O2921" i="12"/>
  <c r="M2924" i="12" l="1"/>
  <c r="N2924" i="12" s="1"/>
  <c r="O2922" i="12"/>
  <c r="M2925" i="12" l="1"/>
  <c r="N2925" i="12" s="1"/>
  <c r="O2923" i="12"/>
  <c r="M2926" i="12" l="1"/>
  <c r="N2926" i="12" s="1"/>
  <c r="O2924" i="12"/>
  <c r="M2927" i="12" l="1"/>
  <c r="N2927" i="12" s="1"/>
  <c r="O2925" i="12"/>
  <c r="M2928" i="12" l="1"/>
  <c r="N2928" i="12" s="1"/>
  <c r="O2926" i="12"/>
  <c r="M2929" i="12" l="1"/>
  <c r="N2929" i="12" s="1"/>
  <c r="O2927" i="12"/>
  <c r="M2930" i="12" l="1"/>
  <c r="N2930" i="12" s="1"/>
  <c r="O2928" i="12"/>
  <c r="M2931" i="12" l="1"/>
  <c r="N2931" i="12" s="1"/>
  <c r="O2929" i="12"/>
  <c r="M2932" i="12" l="1"/>
  <c r="N2932" i="12" s="1"/>
  <c r="O2930" i="12"/>
  <c r="M2933" i="12" l="1"/>
  <c r="N2933" i="12" s="1"/>
  <c r="O2931" i="12"/>
  <c r="M2934" i="12" l="1"/>
  <c r="N2934" i="12" s="1"/>
  <c r="O2932" i="12"/>
  <c r="M2935" i="12" l="1"/>
  <c r="N2935" i="12" s="1"/>
  <c r="O2933" i="12"/>
  <c r="M2936" i="12" l="1"/>
  <c r="N2936" i="12" s="1"/>
  <c r="O2934" i="12"/>
  <c r="M2937" i="12" l="1"/>
  <c r="N2937" i="12" s="1"/>
  <c r="O2935" i="12"/>
  <c r="M2938" i="12" l="1"/>
  <c r="N2938" i="12" s="1"/>
  <c r="O2936" i="12"/>
  <c r="M2939" i="12" l="1"/>
  <c r="N2939" i="12" s="1"/>
  <c r="O2937" i="12"/>
  <c r="M2940" i="12" l="1"/>
  <c r="N2940" i="12" s="1"/>
  <c r="O2938" i="12"/>
  <c r="M2941" i="12" l="1"/>
  <c r="N2941" i="12" s="1"/>
  <c r="O2939" i="12"/>
  <c r="M2942" i="12" l="1"/>
  <c r="N2942" i="12" s="1"/>
  <c r="O2940" i="12"/>
  <c r="M2943" i="12" l="1"/>
  <c r="N2943" i="12" s="1"/>
  <c r="O2941" i="12"/>
  <c r="M2944" i="12" l="1"/>
  <c r="N2944" i="12" s="1"/>
  <c r="O2942" i="12"/>
  <c r="M2945" i="12" l="1"/>
  <c r="N2945" i="12" s="1"/>
  <c r="O2943" i="12"/>
  <c r="M2946" i="12" l="1"/>
  <c r="N2946" i="12" s="1"/>
  <c r="O2944" i="12"/>
  <c r="M2947" i="12" l="1"/>
  <c r="N2947" i="12" s="1"/>
  <c r="O2945" i="12"/>
  <c r="M2948" i="12" l="1"/>
  <c r="N2948" i="12" s="1"/>
  <c r="O2946" i="12"/>
  <c r="M2949" i="12" l="1"/>
  <c r="N2949" i="12" s="1"/>
  <c r="O2947" i="12"/>
  <c r="M2950" i="12" l="1"/>
  <c r="N2950" i="12" s="1"/>
  <c r="O2948" i="12"/>
  <c r="M2951" i="12" l="1"/>
  <c r="N2951" i="12" s="1"/>
  <c r="O2949" i="12"/>
  <c r="M2952" i="12" l="1"/>
  <c r="N2952" i="12" s="1"/>
  <c r="O2950" i="12"/>
  <c r="M2953" i="12" l="1"/>
  <c r="N2953" i="12" s="1"/>
  <c r="O2951" i="12"/>
  <c r="M2954" i="12" l="1"/>
  <c r="N2954" i="12" s="1"/>
  <c r="O2952" i="12"/>
  <c r="M2955" i="12" l="1"/>
  <c r="N2955" i="12" s="1"/>
  <c r="O2953" i="12"/>
  <c r="M2956" i="12" l="1"/>
  <c r="N2956" i="12" s="1"/>
  <c r="O2954" i="12"/>
  <c r="M2957" i="12" l="1"/>
  <c r="N2957" i="12" s="1"/>
  <c r="O2955" i="12"/>
  <c r="M2958" i="12" l="1"/>
  <c r="N2958" i="12" s="1"/>
  <c r="O2956" i="12"/>
  <c r="M2959" i="12" l="1"/>
  <c r="N2959" i="12" s="1"/>
  <c r="O2957" i="12"/>
  <c r="M2960" i="12" l="1"/>
  <c r="N2960" i="12" s="1"/>
  <c r="O2958" i="12"/>
  <c r="M2961" i="12" l="1"/>
  <c r="N2961" i="12" s="1"/>
  <c r="O2959" i="12"/>
  <c r="M2962" i="12" l="1"/>
  <c r="N2962" i="12" s="1"/>
  <c r="O2960" i="12"/>
  <c r="M2963" i="12" l="1"/>
  <c r="N2963" i="12" s="1"/>
  <c r="O2961" i="12"/>
  <c r="M2964" i="12" l="1"/>
  <c r="N2964" i="12" s="1"/>
  <c r="O2962" i="12"/>
  <c r="M2965" i="12" l="1"/>
  <c r="N2965" i="12" s="1"/>
  <c r="O2963" i="12"/>
  <c r="M2966" i="12" l="1"/>
  <c r="N2966" i="12" s="1"/>
  <c r="O2964" i="12"/>
  <c r="M2967" i="12" l="1"/>
  <c r="N2967" i="12" s="1"/>
  <c r="O2965" i="12"/>
  <c r="M2968" i="12" l="1"/>
  <c r="N2968" i="12" s="1"/>
  <c r="O2966" i="12"/>
  <c r="M2969" i="12" l="1"/>
  <c r="N2969" i="12" s="1"/>
  <c r="O2967" i="12"/>
  <c r="M2970" i="12" l="1"/>
  <c r="N2970" i="12" s="1"/>
  <c r="O2968" i="12"/>
  <c r="M2971" i="12" l="1"/>
  <c r="N2971" i="12" s="1"/>
  <c r="O2969" i="12"/>
  <c r="M2972" i="12" l="1"/>
  <c r="N2972" i="12" s="1"/>
  <c r="O2970" i="12"/>
  <c r="M2973" i="12" l="1"/>
  <c r="N2973" i="12" s="1"/>
  <c r="O2971" i="12"/>
  <c r="M2974" i="12" l="1"/>
  <c r="N2974" i="12" s="1"/>
  <c r="O2972" i="12"/>
  <c r="M2975" i="12" l="1"/>
  <c r="N2975" i="12" s="1"/>
  <c r="O2973" i="12"/>
  <c r="M2976" i="12" l="1"/>
  <c r="N2976" i="12" s="1"/>
  <c r="O2974" i="12"/>
  <c r="M2977" i="12" l="1"/>
  <c r="N2977" i="12" s="1"/>
  <c r="O2975" i="12"/>
  <c r="M2978" i="12" l="1"/>
  <c r="N2978" i="12" s="1"/>
  <c r="O2976" i="12"/>
  <c r="M2979" i="12" l="1"/>
  <c r="N2979" i="12" s="1"/>
  <c r="O2977" i="12"/>
  <c r="M2980" i="12" l="1"/>
  <c r="N2980" i="12" s="1"/>
  <c r="O2978" i="12"/>
  <c r="M2981" i="12" l="1"/>
  <c r="N2981" i="12" s="1"/>
  <c r="O2979" i="12"/>
  <c r="M2982" i="12" l="1"/>
  <c r="N2982" i="12" s="1"/>
  <c r="O2980" i="12"/>
  <c r="M2983" i="12" l="1"/>
  <c r="N2983" i="12" s="1"/>
  <c r="O2981" i="12"/>
  <c r="M2984" i="12" l="1"/>
  <c r="N2984" i="12" s="1"/>
  <c r="O2982" i="12"/>
  <c r="M2985" i="12" l="1"/>
  <c r="N2985" i="12" s="1"/>
  <c r="O2983" i="12"/>
  <c r="M2986" i="12" l="1"/>
  <c r="N2986" i="12" s="1"/>
  <c r="O2984" i="12"/>
  <c r="M2987" i="12" l="1"/>
  <c r="N2987" i="12" s="1"/>
  <c r="O2985" i="12"/>
  <c r="M2988" i="12" l="1"/>
  <c r="N2988" i="12" s="1"/>
  <c r="O2986" i="12"/>
  <c r="M2989" i="12" l="1"/>
  <c r="N2989" i="12" s="1"/>
  <c r="O2987" i="12"/>
  <c r="M2990" i="12" l="1"/>
  <c r="N2990" i="12" s="1"/>
  <c r="O2988" i="12"/>
  <c r="M2991" i="12" l="1"/>
  <c r="N2991" i="12" s="1"/>
  <c r="O2989" i="12"/>
  <c r="M2992" i="12" l="1"/>
  <c r="N2992" i="12" s="1"/>
  <c r="O2990" i="12"/>
  <c r="M2993" i="12" l="1"/>
  <c r="N2993" i="12" s="1"/>
  <c r="O2991" i="12"/>
  <c r="M2994" i="12" l="1"/>
  <c r="N2994" i="12" s="1"/>
  <c r="O2992" i="12"/>
  <c r="M2995" i="12" l="1"/>
  <c r="N2995" i="12" s="1"/>
  <c r="O2993" i="12"/>
  <c r="M2996" i="12" l="1"/>
  <c r="N2996" i="12" s="1"/>
  <c r="O2994" i="12"/>
  <c r="M2997" i="12" l="1"/>
  <c r="N2997" i="12" s="1"/>
  <c r="O2995" i="12"/>
  <c r="M2998" i="12" l="1"/>
  <c r="N2998" i="12" s="1"/>
  <c r="O2996" i="12"/>
  <c r="M2999" i="12" l="1"/>
  <c r="N2999" i="12" s="1"/>
  <c r="O2997" i="12"/>
  <c r="M3000" i="12" l="1"/>
  <c r="N3000" i="12" s="1"/>
  <c r="O2998" i="12"/>
  <c r="M3001" i="12" l="1"/>
  <c r="N3001" i="12" s="1"/>
  <c r="O2999" i="12"/>
  <c r="M3002" i="12" l="1"/>
  <c r="N3002" i="12" s="1"/>
  <c r="O3000" i="12"/>
  <c r="M3003" i="12" l="1"/>
  <c r="N3003" i="12" s="1"/>
  <c r="O3001" i="12"/>
  <c r="M3004" i="12" l="1"/>
  <c r="N3004" i="12" s="1"/>
  <c r="O3002" i="12"/>
  <c r="M3005" i="12" l="1"/>
  <c r="N3005" i="12" s="1"/>
  <c r="O3003" i="12"/>
  <c r="M3006" i="12" l="1"/>
  <c r="N3006" i="12" s="1"/>
  <c r="O3004" i="12"/>
  <c r="M3007" i="12" l="1"/>
  <c r="N3007" i="12" s="1"/>
  <c r="O3005" i="12"/>
  <c r="M3008" i="12" l="1"/>
  <c r="N3008" i="12" s="1"/>
  <c r="O3006" i="12"/>
  <c r="M3009" i="12" l="1"/>
  <c r="N3009" i="12" s="1"/>
  <c r="O3007" i="12"/>
  <c r="M3010" i="12" l="1"/>
  <c r="N3010" i="12" s="1"/>
  <c r="O3008" i="12"/>
  <c r="M3011" i="12" l="1"/>
  <c r="N3011" i="12" s="1"/>
  <c r="O3009" i="12"/>
  <c r="M3012" i="12" l="1"/>
  <c r="N3012" i="12" s="1"/>
  <c r="O3010" i="12"/>
  <c r="M3013" i="12" l="1"/>
  <c r="N3013" i="12" s="1"/>
  <c r="O3011" i="12"/>
  <c r="M3014" i="12" l="1"/>
  <c r="N3014" i="12" s="1"/>
  <c r="O3012" i="12"/>
  <c r="M3015" i="12" l="1"/>
  <c r="N3015" i="12" s="1"/>
  <c r="O3013" i="12"/>
  <c r="M3016" i="12" l="1"/>
  <c r="N3016" i="12" s="1"/>
  <c r="O3014" i="12"/>
  <c r="M3017" i="12" l="1"/>
  <c r="N3017" i="12" s="1"/>
  <c r="O3015" i="12"/>
  <c r="M3018" i="12" l="1"/>
  <c r="N3018" i="12" s="1"/>
  <c r="O3016" i="12"/>
  <c r="M3019" i="12" l="1"/>
  <c r="N3019" i="12" s="1"/>
  <c r="O3017" i="12"/>
  <c r="M3020" i="12" l="1"/>
  <c r="N3020" i="12" s="1"/>
  <c r="O3018" i="12"/>
  <c r="M3021" i="12" l="1"/>
  <c r="N3021" i="12" s="1"/>
  <c r="O3019" i="12"/>
  <c r="M3022" i="12" l="1"/>
  <c r="N3022" i="12" s="1"/>
  <c r="O3020" i="12"/>
  <c r="M3023" i="12" l="1"/>
  <c r="N3023" i="12" s="1"/>
  <c r="O3021" i="12"/>
  <c r="M3024" i="12" l="1"/>
  <c r="N3024" i="12" s="1"/>
  <c r="O3022" i="12"/>
  <c r="M3025" i="12" l="1"/>
  <c r="N3025" i="12" s="1"/>
  <c r="O3023" i="12"/>
  <c r="M3026" i="12" l="1"/>
  <c r="N3026" i="12" s="1"/>
  <c r="O3024" i="12"/>
  <c r="M3027" i="12" l="1"/>
  <c r="N3027" i="12" s="1"/>
  <c r="O3025" i="12"/>
  <c r="M3028" i="12" l="1"/>
  <c r="N3028" i="12" s="1"/>
  <c r="O3026" i="12"/>
  <c r="M3029" i="12" l="1"/>
  <c r="N3029" i="12" s="1"/>
  <c r="O3027" i="12"/>
  <c r="M3030" i="12" l="1"/>
  <c r="N3030" i="12" s="1"/>
  <c r="O3028" i="12"/>
  <c r="M3031" i="12" l="1"/>
  <c r="N3031" i="12" s="1"/>
  <c r="O3029" i="12"/>
  <c r="M3032" i="12" l="1"/>
  <c r="N3032" i="12" s="1"/>
  <c r="O3030" i="12"/>
  <c r="M3033" i="12" l="1"/>
  <c r="N3033" i="12" s="1"/>
  <c r="O3031" i="12"/>
  <c r="M3034" i="12" l="1"/>
  <c r="N3034" i="12" s="1"/>
  <c r="O3032" i="12"/>
  <c r="M3035" i="12" l="1"/>
  <c r="N3035" i="12" s="1"/>
  <c r="O3033" i="12"/>
  <c r="M3036" i="12" l="1"/>
  <c r="N3036" i="12" s="1"/>
  <c r="O3034" i="12"/>
  <c r="M3037" i="12" l="1"/>
  <c r="N3037" i="12" s="1"/>
  <c r="O3035" i="12"/>
  <c r="M3038" i="12" l="1"/>
  <c r="N3038" i="12" s="1"/>
  <c r="O3036" i="12"/>
  <c r="M3039" i="12" l="1"/>
  <c r="N3039" i="12" s="1"/>
  <c r="O3037" i="12"/>
  <c r="M3040" i="12" l="1"/>
  <c r="N3040" i="12" s="1"/>
  <c r="O3038" i="12"/>
  <c r="M3041" i="12" l="1"/>
  <c r="N3041" i="12" s="1"/>
  <c r="O3039" i="12"/>
  <c r="M3042" i="12" l="1"/>
  <c r="N3042" i="12" s="1"/>
  <c r="O3040" i="12"/>
  <c r="M3043" i="12" l="1"/>
  <c r="N3043" i="12" s="1"/>
  <c r="O3041" i="12"/>
  <c r="M3044" i="12" l="1"/>
  <c r="N3044" i="12" s="1"/>
  <c r="O3042" i="12"/>
  <c r="M3045" i="12" l="1"/>
  <c r="N3045" i="12" s="1"/>
  <c r="O3043" i="12"/>
  <c r="M3046" i="12" l="1"/>
  <c r="N3046" i="12" s="1"/>
  <c r="O3044" i="12"/>
  <c r="M3047" i="12" l="1"/>
  <c r="N3047" i="12" s="1"/>
  <c r="O3045" i="12"/>
  <c r="M3048" i="12" l="1"/>
  <c r="N3048" i="12" s="1"/>
  <c r="O3046" i="12"/>
  <c r="M3049" i="12" l="1"/>
  <c r="N3049" i="12" s="1"/>
  <c r="O3047" i="12"/>
  <c r="M3050" i="12" l="1"/>
  <c r="N3050" i="12" s="1"/>
  <c r="O3048" i="12"/>
  <c r="M3051" i="12" l="1"/>
  <c r="N3051" i="12" s="1"/>
  <c r="O3049" i="12"/>
  <c r="M3052" i="12" l="1"/>
  <c r="N3052" i="12" s="1"/>
  <c r="O3050" i="12"/>
  <c r="M3053" i="12" l="1"/>
  <c r="N3053" i="12" s="1"/>
  <c r="O3051" i="12"/>
  <c r="M3054" i="12" l="1"/>
  <c r="N3054" i="12" s="1"/>
  <c r="O3052" i="12"/>
  <c r="M3055" i="12" l="1"/>
  <c r="N3055" i="12" s="1"/>
  <c r="O3053" i="12"/>
  <c r="M3056" i="12" l="1"/>
  <c r="N3056" i="12" s="1"/>
  <c r="O3054" i="12"/>
  <c r="M3057" i="12" l="1"/>
  <c r="N3057" i="12" s="1"/>
  <c r="O3055" i="12"/>
  <c r="M3058" i="12" l="1"/>
  <c r="N3058" i="12" s="1"/>
  <c r="O3056" i="12"/>
  <c r="M3059" i="12" l="1"/>
  <c r="N3059" i="12" s="1"/>
  <c r="O3057" i="12"/>
  <c r="M3060" i="12" l="1"/>
  <c r="N3060" i="12" s="1"/>
  <c r="O3058" i="12"/>
  <c r="M3061" i="12" l="1"/>
  <c r="N3061" i="12" s="1"/>
  <c r="O3059" i="12"/>
  <c r="M3062" i="12" l="1"/>
  <c r="N3062" i="12" s="1"/>
  <c r="O3060" i="12"/>
  <c r="M3063" i="12" l="1"/>
  <c r="N3063" i="12" s="1"/>
  <c r="O3061" i="12"/>
  <c r="M3064" i="12" l="1"/>
  <c r="N3064" i="12" s="1"/>
  <c r="O3062" i="12"/>
  <c r="M3065" i="12" l="1"/>
  <c r="N3065" i="12" s="1"/>
  <c r="O3063" i="12"/>
  <c r="M3066" i="12" l="1"/>
  <c r="N3066" i="12" s="1"/>
  <c r="O3064" i="12"/>
  <c r="M3067" i="12" l="1"/>
  <c r="N3067" i="12" s="1"/>
  <c r="O3065" i="12"/>
  <c r="M3068" i="12" l="1"/>
  <c r="N3068" i="12" s="1"/>
  <c r="O3066" i="12"/>
  <c r="M3069" i="12" l="1"/>
  <c r="N3069" i="12" s="1"/>
  <c r="O3067" i="12"/>
  <c r="M3070" i="12" l="1"/>
  <c r="N3070" i="12" s="1"/>
  <c r="O3068" i="12"/>
  <c r="M3071" i="12" l="1"/>
  <c r="N3071" i="12" s="1"/>
  <c r="O3069" i="12"/>
  <c r="M3072" i="12" l="1"/>
  <c r="N3072" i="12" s="1"/>
  <c r="O3070" i="12"/>
  <c r="M3073" i="12" l="1"/>
  <c r="N3073" i="12" s="1"/>
  <c r="O3071" i="12"/>
  <c r="M3074" i="12" l="1"/>
  <c r="N3074" i="12" s="1"/>
  <c r="O3072" i="12"/>
  <c r="M3075" i="12" l="1"/>
  <c r="N3075" i="12" s="1"/>
  <c r="O3073" i="12"/>
  <c r="M3076" i="12" l="1"/>
  <c r="N3076" i="12" s="1"/>
  <c r="O3074" i="12"/>
  <c r="M3077" i="12" l="1"/>
  <c r="N3077" i="12" s="1"/>
  <c r="O3075" i="12"/>
  <c r="M3078" i="12" l="1"/>
  <c r="N3078" i="12" s="1"/>
  <c r="O3076" i="12"/>
  <c r="M3079" i="12" l="1"/>
  <c r="N3079" i="12" s="1"/>
  <c r="O3077" i="12"/>
  <c r="M3080" i="12" l="1"/>
  <c r="N3080" i="12" s="1"/>
  <c r="O3078" i="12"/>
  <c r="M3081" i="12" l="1"/>
  <c r="N3081" i="12" s="1"/>
  <c r="O3079" i="12"/>
  <c r="M3082" i="12" l="1"/>
  <c r="N3082" i="12" s="1"/>
  <c r="O3080" i="12"/>
  <c r="M3083" i="12" l="1"/>
  <c r="N3083" i="12" s="1"/>
  <c r="O3081" i="12"/>
  <c r="M3084" i="12" l="1"/>
  <c r="N3084" i="12" s="1"/>
  <c r="O3082" i="12"/>
  <c r="M3085" i="12" l="1"/>
  <c r="N3085" i="12" s="1"/>
  <c r="O3083" i="12"/>
  <c r="M3086" i="12" l="1"/>
  <c r="N3086" i="12" s="1"/>
  <c r="O3084" i="12"/>
  <c r="M3087" i="12" l="1"/>
  <c r="N3087" i="12" s="1"/>
  <c r="O3085" i="12"/>
  <c r="M3088" i="12" l="1"/>
  <c r="N3088" i="12" s="1"/>
  <c r="O3086" i="12"/>
  <c r="M3089" i="12" l="1"/>
  <c r="N3089" i="12" s="1"/>
  <c r="O3087" i="12"/>
  <c r="M3090" i="12" l="1"/>
  <c r="N3090" i="12" s="1"/>
  <c r="O3088" i="12"/>
  <c r="M3091" i="12" l="1"/>
  <c r="N3091" i="12" s="1"/>
  <c r="O3089" i="12"/>
  <c r="M3092" i="12" l="1"/>
  <c r="N3092" i="12" s="1"/>
  <c r="O3090" i="12"/>
  <c r="M3093" i="12" l="1"/>
  <c r="N3093" i="12" s="1"/>
  <c r="O3091" i="12"/>
  <c r="M3094" i="12" l="1"/>
  <c r="N3094" i="12" s="1"/>
  <c r="O3092" i="12"/>
  <c r="M3095" i="12" l="1"/>
  <c r="N3095" i="12" s="1"/>
  <c r="O3093" i="12"/>
  <c r="M3096" i="12" l="1"/>
  <c r="N3096" i="12" s="1"/>
  <c r="O3094" i="12"/>
  <c r="M3097" i="12" l="1"/>
  <c r="N3097" i="12" s="1"/>
  <c r="O3095" i="12"/>
  <c r="M3098" i="12" l="1"/>
  <c r="N3098" i="12" s="1"/>
  <c r="O3096" i="12"/>
  <c r="M3099" i="12" l="1"/>
  <c r="N3099" i="12" s="1"/>
  <c r="O3097" i="12"/>
  <c r="M3100" i="12" l="1"/>
  <c r="N3100" i="12" s="1"/>
  <c r="O3098" i="12"/>
  <c r="M3101" i="12" l="1"/>
  <c r="N3101" i="12" s="1"/>
  <c r="O3099" i="12"/>
  <c r="M3102" i="12" l="1"/>
  <c r="N3102" i="12" s="1"/>
  <c r="O3100" i="12"/>
  <c r="M3103" i="12" l="1"/>
  <c r="N3103" i="12" s="1"/>
  <c r="O3101" i="12"/>
  <c r="M3104" i="12" l="1"/>
  <c r="N3104" i="12" s="1"/>
  <c r="O3102" i="12"/>
  <c r="M3105" i="12" l="1"/>
  <c r="N3105" i="12" s="1"/>
  <c r="O3103" i="12"/>
  <c r="M3106" i="12" l="1"/>
  <c r="N3106" i="12" s="1"/>
  <c r="O3104" i="12"/>
  <c r="M3107" i="12" l="1"/>
  <c r="N3107" i="12" s="1"/>
  <c r="O3105" i="12"/>
  <c r="M3108" i="12" l="1"/>
  <c r="N3108" i="12" s="1"/>
  <c r="O3106" i="12"/>
  <c r="M3109" i="12" l="1"/>
  <c r="N3109" i="12" s="1"/>
  <c r="O3107" i="12"/>
  <c r="M3110" i="12" l="1"/>
  <c r="N3110" i="12" s="1"/>
  <c r="O3108" i="12"/>
  <c r="M3111" i="12" l="1"/>
  <c r="N3111" i="12" s="1"/>
  <c r="O3109" i="12"/>
  <c r="M3112" i="12" l="1"/>
  <c r="N3112" i="12" s="1"/>
  <c r="O3110" i="12"/>
  <c r="M3113" i="12" l="1"/>
  <c r="N3113" i="12" s="1"/>
  <c r="O3111" i="12"/>
  <c r="M3114" i="12" l="1"/>
  <c r="N3114" i="12" s="1"/>
  <c r="O3112" i="12"/>
  <c r="M3115" i="12" l="1"/>
  <c r="N3115" i="12" s="1"/>
  <c r="O3113" i="12"/>
  <c r="M3116" i="12" l="1"/>
  <c r="N3116" i="12" s="1"/>
  <c r="O3114" i="12"/>
  <c r="M3117" i="12" l="1"/>
  <c r="N3117" i="12" s="1"/>
  <c r="O3115" i="12"/>
  <c r="M3118" i="12" l="1"/>
  <c r="N3118" i="12" s="1"/>
  <c r="O3116" i="12"/>
  <c r="M3119" i="12" l="1"/>
  <c r="N3119" i="12" s="1"/>
  <c r="O3117" i="12"/>
  <c r="M3120" i="12" l="1"/>
  <c r="N3120" i="12" s="1"/>
  <c r="O3118" i="12"/>
  <c r="M3121" i="12" l="1"/>
  <c r="N3121" i="12" s="1"/>
  <c r="O3119" i="12"/>
  <c r="M3122" i="12" l="1"/>
  <c r="N3122" i="12" s="1"/>
  <c r="O3120" i="12"/>
  <c r="M3123" i="12" l="1"/>
  <c r="N3123" i="12" s="1"/>
  <c r="O3121" i="12"/>
  <c r="M3124" i="12" l="1"/>
  <c r="N3124" i="12" s="1"/>
  <c r="O3122" i="12"/>
  <c r="M3125" i="12" l="1"/>
  <c r="N3125" i="12" s="1"/>
  <c r="O3123" i="12"/>
  <c r="M3126" i="12" l="1"/>
  <c r="N3126" i="12" s="1"/>
  <c r="O3124" i="12"/>
  <c r="M3127" i="12" l="1"/>
  <c r="N3127" i="12" s="1"/>
  <c r="O3125" i="12"/>
  <c r="M3128" i="12" l="1"/>
  <c r="N3128" i="12" s="1"/>
  <c r="O3126" i="12"/>
  <c r="M3129" i="12" l="1"/>
  <c r="N3129" i="12" s="1"/>
  <c r="O3127" i="12"/>
  <c r="M3130" i="12" l="1"/>
  <c r="N3130" i="12" s="1"/>
  <c r="O3128" i="12"/>
  <c r="M3131" i="12" l="1"/>
  <c r="N3131" i="12" s="1"/>
  <c r="O3129" i="12"/>
  <c r="M3132" i="12" l="1"/>
  <c r="N3132" i="12" s="1"/>
  <c r="O3130" i="12"/>
  <c r="M3133" i="12" l="1"/>
  <c r="N3133" i="12" s="1"/>
  <c r="O3131" i="12"/>
  <c r="M3134" i="12" l="1"/>
  <c r="N3134" i="12" s="1"/>
  <c r="O3132" i="12"/>
  <c r="M3135" i="12" l="1"/>
  <c r="N3135" i="12" s="1"/>
  <c r="O3133" i="12"/>
  <c r="M3136" i="12" l="1"/>
  <c r="N3136" i="12" s="1"/>
  <c r="O3134" i="12"/>
  <c r="M3137" i="12" l="1"/>
  <c r="N3137" i="12" s="1"/>
  <c r="O3135" i="12"/>
  <c r="M3138" i="12" l="1"/>
  <c r="N3138" i="12" s="1"/>
  <c r="O3136" i="12"/>
  <c r="M3139" i="12" l="1"/>
  <c r="N3139" i="12" s="1"/>
  <c r="O3137" i="12"/>
  <c r="M3140" i="12" l="1"/>
  <c r="N3140" i="12" s="1"/>
  <c r="O3138" i="12"/>
  <c r="M3141" i="12" l="1"/>
  <c r="N3141" i="12" s="1"/>
  <c r="O3139" i="12"/>
  <c r="M3142" i="12" l="1"/>
  <c r="N3142" i="12" s="1"/>
  <c r="O3140" i="12"/>
  <c r="M3143" i="12" l="1"/>
  <c r="N3143" i="12" s="1"/>
  <c r="O3141" i="12"/>
  <c r="M3144" i="12" l="1"/>
  <c r="N3144" i="12" s="1"/>
  <c r="O3142" i="12"/>
  <c r="M3145" i="12" l="1"/>
  <c r="N3145" i="12" s="1"/>
  <c r="O3143" i="12"/>
  <c r="M3146" i="12" l="1"/>
  <c r="N3146" i="12" s="1"/>
  <c r="O3144" i="12"/>
  <c r="M3147" i="12" l="1"/>
  <c r="N3147" i="12" s="1"/>
  <c r="O3145" i="12"/>
  <c r="M3148" i="12" l="1"/>
  <c r="N3148" i="12" s="1"/>
  <c r="O3146" i="12"/>
  <c r="M3149" i="12" l="1"/>
  <c r="N3149" i="12" s="1"/>
  <c r="O3147" i="12"/>
  <c r="M3150" i="12" l="1"/>
  <c r="N3150" i="12" s="1"/>
  <c r="O3148" i="12"/>
  <c r="M3151" i="12" l="1"/>
  <c r="N3151" i="12" s="1"/>
  <c r="O3149" i="12"/>
  <c r="M3152" i="12" l="1"/>
  <c r="N3152" i="12" s="1"/>
  <c r="O3150" i="12"/>
  <c r="M3153" i="12" l="1"/>
  <c r="N3153" i="12" s="1"/>
  <c r="O3151" i="12"/>
  <c r="M3154" i="12" l="1"/>
  <c r="N3154" i="12" s="1"/>
  <c r="O3152" i="12"/>
  <c r="M3155" i="12" l="1"/>
  <c r="N3155" i="12" s="1"/>
  <c r="O3153" i="12"/>
  <c r="M3156" i="12" l="1"/>
  <c r="N3156" i="12" s="1"/>
  <c r="O3154" i="12"/>
  <c r="M3157" i="12" l="1"/>
  <c r="N3157" i="12" s="1"/>
  <c r="O3155" i="12"/>
  <c r="M3158" i="12" l="1"/>
  <c r="N3158" i="12" s="1"/>
  <c r="O3156" i="12"/>
  <c r="M3159" i="12" l="1"/>
  <c r="N3159" i="12" s="1"/>
  <c r="O3157" i="12"/>
  <c r="M3160" i="12" l="1"/>
  <c r="N3160" i="12" s="1"/>
  <c r="O3158" i="12"/>
  <c r="M3161" i="12" l="1"/>
  <c r="N3161" i="12" s="1"/>
  <c r="O3159" i="12"/>
  <c r="M3162" i="12" l="1"/>
  <c r="N3162" i="12" s="1"/>
  <c r="O3160" i="12"/>
  <c r="M3163" i="12" l="1"/>
  <c r="N3163" i="12" s="1"/>
  <c r="O3161" i="12"/>
  <c r="M3164" i="12" l="1"/>
  <c r="N3164" i="12" s="1"/>
  <c r="O3162" i="12"/>
  <c r="M3165" i="12" l="1"/>
  <c r="N3165" i="12" s="1"/>
  <c r="O3163" i="12"/>
  <c r="M3166" i="12" l="1"/>
  <c r="N3166" i="12" s="1"/>
  <c r="O3164" i="12"/>
  <c r="M3167" i="12" l="1"/>
  <c r="N3167" i="12" s="1"/>
  <c r="O3165" i="12"/>
  <c r="M3168" i="12" l="1"/>
  <c r="N3168" i="12" s="1"/>
  <c r="O3166" i="12"/>
  <c r="M3169" i="12" l="1"/>
  <c r="N3169" i="12" s="1"/>
  <c r="O3167" i="12"/>
  <c r="M3170" i="12" l="1"/>
  <c r="N3170" i="12" s="1"/>
  <c r="O3168" i="12"/>
  <c r="M3171" i="12" l="1"/>
  <c r="N3171" i="12" s="1"/>
  <c r="O3169" i="12"/>
  <c r="M3172" i="12" l="1"/>
  <c r="N3172" i="12" s="1"/>
  <c r="O3170" i="12"/>
  <c r="M3173" i="12" l="1"/>
  <c r="N3173" i="12" s="1"/>
  <c r="O3171" i="12"/>
  <c r="M3174" i="12" l="1"/>
  <c r="N3174" i="12" s="1"/>
  <c r="O3172" i="12"/>
  <c r="M3175" i="12" l="1"/>
  <c r="N3175" i="12" s="1"/>
  <c r="O3173" i="12"/>
  <c r="M3176" i="12" l="1"/>
  <c r="N3176" i="12" s="1"/>
  <c r="O3174" i="12"/>
  <c r="M3177" i="12" l="1"/>
  <c r="N3177" i="12" s="1"/>
  <c r="O3175" i="12"/>
  <c r="M3178" i="12" l="1"/>
  <c r="N3178" i="12" s="1"/>
  <c r="O3176" i="12"/>
  <c r="M3179" i="12" l="1"/>
  <c r="N3179" i="12" s="1"/>
  <c r="O3177" i="12"/>
  <c r="M3180" i="12" l="1"/>
  <c r="N3180" i="12" s="1"/>
  <c r="O3178" i="12"/>
  <c r="M3181" i="12" l="1"/>
  <c r="N3181" i="12" s="1"/>
  <c r="O3179" i="12"/>
  <c r="M3182" i="12" l="1"/>
  <c r="N3182" i="12" s="1"/>
  <c r="O3180" i="12"/>
  <c r="M3183" i="12" l="1"/>
  <c r="N3183" i="12" s="1"/>
  <c r="O3181" i="12"/>
  <c r="M3184" i="12" l="1"/>
  <c r="N3184" i="12" s="1"/>
  <c r="O3182" i="12"/>
  <c r="M3185" i="12" l="1"/>
  <c r="N3185" i="12" s="1"/>
  <c r="O3183" i="12"/>
  <c r="M3186" i="12" l="1"/>
  <c r="N3186" i="12" s="1"/>
  <c r="O3184" i="12"/>
  <c r="M3187" i="12" l="1"/>
  <c r="N3187" i="12" s="1"/>
  <c r="O3185" i="12"/>
  <c r="M3188" i="12" l="1"/>
  <c r="N3188" i="12" s="1"/>
  <c r="O3186" i="12"/>
  <c r="M3189" i="12" l="1"/>
  <c r="N3189" i="12" s="1"/>
  <c r="O3187" i="12"/>
  <c r="M3190" i="12" l="1"/>
  <c r="N3190" i="12" s="1"/>
  <c r="O3188" i="12"/>
  <c r="M3191" i="12" l="1"/>
  <c r="N3191" i="12" s="1"/>
  <c r="O3189" i="12"/>
  <c r="M3192" i="12" l="1"/>
  <c r="N3192" i="12" s="1"/>
  <c r="O3190" i="12"/>
  <c r="M3193" i="12" l="1"/>
  <c r="N3193" i="12" s="1"/>
  <c r="O3191" i="12"/>
  <c r="M3194" i="12" l="1"/>
  <c r="N3194" i="12" s="1"/>
  <c r="O3192" i="12"/>
  <c r="M3195" i="12" l="1"/>
  <c r="N3195" i="12" s="1"/>
  <c r="O3193" i="12"/>
  <c r="M3196" i="12" l="1"/>
  <c r="N3196" i="12" s="1"/>
  <c r="O3194" i="12"/>
  <c r="M3197" i="12" l="1"/>
  <c r="N3197" i="12" s="1"/>
  <c r="O3195" i="12"/>
  <c r="M3198" i="12" l="1"/>
  <c r="N3198" i="12" s="1"/>
  <c r="O3196" i="12"/>
  <c r="M3199" i="12" l="1"/>
  <c r="N3199" i="12" s="1"/>
  <c r="O3197" i="12"/>
  <c r="M3200" i="12" l="1"/>
  <c r="N3200" i="12" s="1"/>
  <c r="O3198" i="12"/>
  <c r="M3201" i="12" l="1"/>
  <c r="N3201" i="12" s="1"/>
  <c r="O3199" i="12"/>
  <c r="M3202" i="12" l="1"/>
  <c r="N3202" i="12" s="1"/>
  <c r="O3200" i="12"/>
  <c r="M3203" i="12" l="1"/>
  <c r="N3203" i="12" s="1"/>
  <c r="O3201" i="12"/>
  <c r="M3204" i="12" l="1"/>
  <c r="N3204" i="12" s="1"/>
  <c r="O3202" i="12"/>
  <c r="M3205" i="12" l="1"/>
  <c r="N3205" i="12" s="1"/>
  <c r="O3203" i="12"/>
  <c r="M3206" i="12" l="1"/>
  <c r="N3206" i="12" s="1"/>
  <c r="O3204" i="12"/>
  <c r="M3207" i="12" l="1"/>
  <c r="N3207" i="12" s="1"/>
  <c r="O3205" i="12"/>
  <c r="M3208" i="12" l="1"/>
  <c r="N3208" i="12" s="1"/>
  <c r="O3206" i="12"/>
  <c r="M3209" i="12" l="1"/>
  <c r="N3209" i="12" s="1"/>
  <c r="O3207" i="12"/>
  <c r="M3210" i="12" l="1"/>
  <c r="N3210" i="12" s="1"/>
  <c r="O3208" i="12"/>
  <c r="M3211" i="12" l="1"/>
  <c r="N3211" i="12" s="1"/>
  <c r="O3209" i="12"/>
  <c r="M3212" i="12" l="1"/>
  <c r="N3212" i="12" s="1"/>
  <c r="O3210" i="12"/>
  <c r="M3213" i="12" l="1"/>
  <c r="N3213" i="12" s="1"/>
  <c r="O3211" i="12"/>
  <c r="M3214" i="12" l="1"/>
  <c r="N3214" i="12" s="1"/>
  <c r="O3212" i="12"/>
  <c r="M3215" i="12" l="1"/>
  <c r="N3215" i="12" s="1"/>
  <c r="O3213" i="12"/>
  <c r="M3216" i="12" l="1"/>
  <c r="N3216" i="12" s="1"/>
  <c r="O3214" i="12"/>
  <c r="M3217" i="12" l="1"/>
  <c r="N3217" i="12" s="1"/>
  <c r="O3215" i="12"/>
  <c r="M3218" i="12" l="1"/>
  <c r="N3218" i="12" s="1"/>
  <c r="O3216" i="12"/>
  <c r="M3219" i="12" l="1"/>
  <c r="N3219" i="12" s="1"/>
  <c r="O3217" i="12"/>
  <c r="M3220" i="12" l="1"/>
  <c r="N3220" i="12" s="1"/>
  <c r="O3218" i="12"/>
  <c r="M3221" i="12" l="1"/>
  <c r="N3221" i="12" s="1"/>
  <c r="O3219" i="12"/>
  <c r="M3222" i="12" l="1"/>
  <c r="N3222" i="12" s="1"/>
  <c r="O3220" i="12"/>
  <c r="M3223" i="12" l="1"/>
  <c r="N3223" i="12" s="1"/>
  <c r="O3221" i="12"/>
  <c r="M3224" i="12" l="1"/>
  <c r="N3224" i="12" s="1"/>
  <c r="O3222" i="12"/>
  <c r="M3225" i="12" l="1"/>
  <c r="N3225" i="12" s="1"/>
  <c r="O3223" i="12"/>
  <c r="M3226" i="12" l="1"/>
  <c r="N3226" i="12" s="1"/>
  <c r="O3224" i="12"/>
  <c r="M3227" i="12" l="1"/>
  <c r="N3227" i="12" s="1"/>
  <c r="O3225" i="12"/>
  <c r="M3228" i="12" l="1"/>
  <c r="N3228" i="12" s="1"/>
  <c r="O3226" i="12"/>
  <c r="M3229" i="12" l="1"/>
  <c r="N3229" i="12" s="1"/>
  <c r="O3227" i="12"/>
  <c r="M3230" i="12" l="1"/>
  <c r="N3230" i="12" s="1"/>
  <c r="O3228" i="12"/>
  <c r="M3231" i="12" l="1"/>
  <c r="N3231" i="12" s="1"/>
  <c r="O3229" i="12"/>
  <c r="M3232" i="12" l="1"/>
  <c r="N3232" i="12" s="1"/>
  <c r="O3230" i="12"/>
  <c r="M3233" i="12" l="1"/>
  <c r="N3233" i="12" s="1"/>
  <c r="O3231" i="12"/>
  <c r="M3234" i="12" l="1"/>
  <c r="N3234" i="12" s="1"/>
  <c r="O3232" i="12"/>
  <c r="M3235" i="12" l="1"/>
  <c r="N3235" i="12" s="1"/>
  <c r="O3233" i="12"/>
  <c r="M3236" i="12" l="1"/>
  <c r="N3236" i="12" s="1"/>
  <c r="O3234" i="12"/>
  <c r="M3237" i="12" l="1"/>
  <c r="N3237" i="12" s="1"/>
  <c r="O3235" i="12"/>
  <c r="M3238" i="12" l="1"/>
  <c r="N3238" i="12" s="1"/>
  <c r="O3236" i="12"/>
  <c r="M3239" i="12" l="1"/>
  <c r="N3239" i="12" s="1"/>
  <c r="O3237" i="12"/>
  <c r="M3240" i="12" l="1"/>
  <c r="N3240" i="12" s="1"/>
  <c r="O3238" i="12"/>
  <c r="M3241" i="12" l="1"/>
  <c r="N3241" i="12" s="1"/>
  <c r="O3239" i="12"/>
  <c r="M3242" i="12" l="1"/>
  <c r="N3242" i="12" s="1"/>
  <c r="O3240" i="12"/>
  <c r="M3243" i="12" l="1"/>
  <c r="N3243" i="12" s="1"/>
  <c r="O3241" i="12"/>
  <c r="M3244" i="12" l="1"/>
  <c r="N3244" i="12" s="1"/>
  <c r="O3242" i="12"/>
  <c r="M3245" i="12" l="1"/>
  <c r="N3245" i="12" s="1"/>
  <c r="O3243" i="12"/>
  <c r="M3246" i="12" l="1"/>
  <c r="N3246" i="12" s="1"/>
  <c r="O3244" i="12"/>
  <c r="M3247" i="12" l="1"/>
  <c r="N3247" i="12" s="1"/>
  <c r="O3245" i="12"/>
  <c r="M3248" i="12" l="1"/>
  <c r="N3248" i="12" s="1"/>
  <c r="O3246" i="12"/>
  <c r="M3249" i="12" l="1"/>
  <c r="N3249" i="12" s="1"/>
  <c r="O3247" i="12"/>
  <c r="M3250" i="12" l="1"/>
  <c r="N3250" i="12" s="1"/>
  <c r="O3248" i="12"/>
  <c r="M3251" i="12" l="1"/>
  <c r="N3251" i="12" s="1"/>
  <c r="O3249" i="12"/>
  <c r="M3252" i="12" l="1"/>
  <c r="N3252" i="12" s="1"/>
  <c r="O3250" i="12"/>
  <c r="M3253" i="12" l="1"/>
  <c r="N3253" i="12" s="1"/>
  <c r="O3251" i="12"/>
  <c r="M3254" i="12" l="1"/>
  <c r="N3254" i="12" s="1"/>
  <c r="O3252" i="12"/>
  <c r="M3255" i="12" l="1"/>
  <c r="N3255" i="12" s="1"/>
  <c r="O3253" i="12"/>
  <c r="M3256" i="12" l="1"/>
  <c r="N3256" i="12" s="1"/>
  <c r="O3254" i="12"/>
  <c r="M3257" i="12" l="1"/>
  <c r="N3257" i="12" s="1"/>
  <c r="O3255" i="12"/>
  <c r="M3258" i="12" l="1"/>
  <c r="N3258" i="12" s="1"/>
  <c r="O3256" i="12"/>
  <c r="M3259" i="12" l="1"/>
  <c r="N3259" i="12" s="1"/>
  <c r="O3257" i="12"/>
  <c r="M3260" i="12" l="1"/>
  <c r="N3260" i="12" s="1"/>
  <c r="O3258" i="12"/>
  <c r="M3261" i="12" l="1"/>
  <c r="N3261" i="12" s="1"/>
  <c r="O3259" i="12"/>
  <c r="M3262" i="12" l="1"/>
  <c r="N3262" i="12" s="1"/>
  <c r="O3260" i="12"/>
  <c r="M3263" i="12" l="1"/>
  <c r="N3263" i="12" s="1"/>
  <c r="O3261" i="12"/>
  <c r="M3264" i="12" l="1"/>
  <c r="N3264" i="12" s="1"/>
  <c r="O3262" i="12"/>
  <c r="M3265" i="12" l="1"/>
  <c r="N3265" i="12" s="1"/>
  <c r="O3263" i="12"/>
  <c r="M3266" i="12" l="1"/>
  <c r="N3266" i="12" s="1"/>
  <c r="O3264" i="12"/>
  <c r="M3267" i="12" l="1"/>
  <c r="N3267" i="12" s="1"/>
  <c r="O3265" i="12"/>
  <c r="M3268" i="12" l="1"/>
  <c r="N3268" i="12" s="1"/>
  <c r="O3266" i="12"/>
  <c r="M3269" i="12" l="1"/>
  <c r="N3269" i="12" s="1"/>
  <c r="O3267" i="12"/>
  <c r="M3270" i="12" l="1"/>
  <c r="N3270" i="12" s="1"/>
  <c r="O3268" i="12"/>
  <c r="M3271" i="12" l="1"/>
  <c r="N3271" i="12" s="1"/>
  <c r="O3269" i="12"/>
  <c r="M3272" i="12" l="1"/>
  <c r="N3272" i="12" s="1"/>
  <c r="O3270" i="12"/>
  <c r="M3273" i="12" l="1"/>
  <c r="N3273" i="12" s="1"/>
  <c r="O3271" i="12"/>
  <c r="M3274" i="12" l="1"/>
  <c r="N3274" i="12" s="1"/>
  <c r="O3272" i="12"/>
  <c r="M3275" i="12" l="1"/>
  <c r="N3275" i="12" s="1"/>
  <c r="O3273" i="12"/>
  <c r="M3276" i="12" l="1"/>
  <c r="N3276" i="12" s="1"/>
  <c r="O3274" i="12"/>
  <c r="M3277" i="12" l="1"/>
  <c r="N3277" i="12" s="1"/>
  <c r="O3275" i="12"/>
  <c r="M3278" i="12" l="1"/>
  <c r="N3278" i="12" s="1"/>
  <c r="O3276" i="12"/>
  <c r="M3279" i="12" l="1"/>
  <c r="N3279" i="12" s="1"/>
  <c r="O3277" i="12"/>
  <c r="M3280" i="12" l="1"/>
  <c r="N3280" i="12" s="1"/>
  <c r="O3278" i="12"/>
  <c r="M3281" i="12" l="1"/>
  <c r="N3281" i="12" s="1"/>
  <c r="O3279" i="12"/>
  <c r="M3282" i="12" l="1"/>
  <c r="N3282" i="12" s="1"/>
  <c r="O3280" i="12"/>
  <c r="M3283" i="12" l="1"/>
  <c r="N3283" i="12" s="1"/>
  <c r="O3281" i="12"/>
  <c r="M3284" i="12" l="1"/>
  <c r="N3284" i="12" s="1"/>
  <c r="O3282" i="12"/>
  <c r="M3285" i="12" l="1"/>
  <c r="N3285" i="12" s="1"/>
  <c r="O3283" i="12"/>
  <c r="M3286" i="12" l="1"/>
  <c r="N3286" i="12" s="1"/>
  <c r="O3284" i="12"/>
  <c r="M3287" i="12" l="1"/>
  <c r="N3287" i="12" s="1"/>
  <c r="O3285" i="12"/>
  <c r="M3288" i="12" l="1"/>
  <c r="N3288" i="12" s="1"/>
  <c r="O3286" i="12"/>
  <c r="M3289" i="12" l="1"/>
  <c r="N3289" i="12" s="1"/>
  <c r="O3287" i="12"/>
  <c r="M3290" i="12" l="1"/>
  <c r="N3290" i="12" s="1"/>
  <c r="O3288" i="12"/>
  <c r="M3291" i="12" l="1"/>
  <c r="N3291" i="12" s="1"/>
  <c r="O3289" i="12"/>
  <c r="M3292" i="12" l="1"/>
  <c r="N3292" i="12" s="1"/>
  <c r="O3290" i="12"/>
  <c r="M3293" i="12" l="1"/>
  <c r="N3293" i="12" s="1"/>
  <c r="O3291" i="12"/>
  <c r="M3294" i="12" l="1"/>
  <c r="N3294" i="12" s="1"/>
  <c r="O3292" i="12"/>
  <c r="M3295" i="12" l="1"/>
  <c r="N3295" i="12" s="1"/>
  <c r="O3293" i="12"/>
  <c r="M3296" i="12" l="1"/>
  <c r="N3296" i="12" s="1"/>
  <c r="O3294" i="12"/>
  <c r="M3297" i="12" l="1"/>
  <c r="N3297" i="12" s="1"/>
  <c r="O3295" i="12"/>
  <c r="M3298" i="12" l="1"/>
  <c r="N3298" i="12" s="1"/>
  <c r="O3296" i="12"/>
  <c r="M3299" i="12" l="1"/>
  <c r="N3299" i="12" s="1"/>
  <c r="O3297" i="12"/>
  <c r="M3300" i="12" l="1"/>
  <c r="N3300" i="12" s="1"/>
  <c r="O3298" i="12"/>
  <c r="M3301" i="12" l="1"/>
  <c r="N3301" i="12" s="1"/>
  <c r="O3299" i="12"/>
  <c r="M3302" i="12" l="1"/>
  <c r="N3302" i="12" s="1"/>
  <c r="O3300" i="12"/>
  <c r="M3303" i="12" l="1"/>
  <c r="N3303" i="12" s="1"/>
  <c r="O3301" i="12"/>
  <c r="M3304" i="12" l="1"/>
  <c r="N3304" i="12" s="1"/>
  <c r="O3302" i="12"/>
  <c r="M3305" i="12" l="1"/>
  <c r="N3305" i="12" s="1"/>
  <c r="O3303" i="12"/>
  <c r="M3306" i="12" l="1"/>
  <c r="N3306" i="12" s="1"/>
  <c r="O3304" i="12"/>
  <c r="M3307" i="12" l="1"/>
  <c r="N3307" i="12" s="1"/>
  <c r="O3305" i="12"/>
  <c r="M3308" i="12" l="1"/>
  <c r="N3308" i="12" s="1"/>
  <c r="O3306" i="12"/>
  <c r="M3309" i="12" l="1"/>
  <c r="N3309" i="12" s="1"/>
  <c r="O3307" i="12"/>
  <c r="M3310" i="12" l="1"/>
  <c r="N3310" i="12" s="1"/>
  <c r="O3308" i="12"/>
  <c r="M3311" i="12" l="1"/>
  <c r="N3311" i="12" s="1"/>
  <c r="O3309" i="12"/>
  <c r="M3312" i="12" l="1"/>
  <c r="N3312" i="12" s="1"/>
  <c r="O3310" i="12"/>
  <c r="M3313" i="12" l="1"/>
  <c r="N3313" i="12" s="1"/>
  <c r="O3311" i="12"/>
  <c r="M3314" i="12" l="1"/>
  <c r="N3314" i="12" s="1"/>
  <c r="O3312" i="12"/>
  <c r="M3315" i="12" l="1"/>
  <c r="N3315" i="12" s="1"/>
  <c r="O3313" i="12"/>
  <c r="M3316" i="12" l="1"/>
  <c r="N3316" i="12" s="1"/>
  <c r="O3314" i="12"/>
  <c r="M3317" i="12" l="1"/>
  <c r="N3317" i="12" s="1"/>
  <c r="O3315" i="12"/>
  <c r="M3318" i="12" l="1"/>
  <c r="N3318" i="12" s="1"/>
  <c r="O3316" i="12"/>
  <c r="M3319" i="12" l="1"/>
  <c r="N3319" i="12" s="1"/>
  <c r="O3317" i="12"/>
  <c r="M3320" i="12" l="1"/>
  <c r="N3320" i="12" s="1"/>
  <c r="O3318" i="12"/>
  <c r="M3321" i="12" l="1"/>
  <c r="N3321" i="12" s="1"/>
  <c r="O3319" i="12"/>
  <c r="M3322" i="12" l="1"/>
  <c r="N3322" i="12" s="1"/>
  <c r="O3320" i="12"/>
  <c r="M3323" i="12" l="1"/>
  <c r="N3323" i="12" s="1"/>
  <c r="O3321" i="12"/>
  <c r="M3324" i="12" l="1"/>
  <c r="N3324" i="12" s="1"/>
  <c r="O3322" i="12"/>
  <c r="M3325" i="12" l="1"/>
  <c r="N3325" i="12" s="1"/>
  <c r="O3323" i="12"/>
  <c r="M3326" i="12" l="1"/>
  <c r="N3326" i="12" s="1"/>
  <c r="O3324" i="12"/>
  <c r="M3327" i="12" l="1"/>
  <c r="N3327" i="12" s="1"/>
  <c r="O3325" i="12"/>
  <c r="M3328" i="12" l="1"/>
  <c r="N3328" i="12" s="1"/>
  <c r="O3326" i="12"/>
  <c r="M3329" i="12" l="1"/>
  <c r="N3329" i="12" s="1"/>
  <c r="O3327" i="12"/>
  <c r="M3330" i="12" l="1"/>
  <c r="N3330" i="12" s="1"/>
  <c r="O3328" i="12"/>
  <c r="M3331" i="12" l="1"/>
  <c r="N3331" i="12" s="1"/>
  <c r="O3329" i="12"/>
  <c r="M3332" i="12" l="1"/>
  <c r="N3332" i="12" s="1"/>
  <c r="O3330" i="12"/>
  <c r="M3333" i="12" l="1"/>
  <c r="N3333" i="12" s="1"/>
  <c r="O3331" i="12"/>
  <c r="M3334" i="12" l="1"/>
  <c r="N3334" i="12" s="1"/>
  <c r="O3332" i="12"/>
  <c r="M3335" i="12" l="1"/>
  <c r="N3335" i="12" s="1"/>
  <c r="O3333" i="12"/>
  <c r="M3336" i="12" l="1"/>
  <c r="N3336" i="12" s="1"/>
  <c r="O3334" i="12"/>
  <c r="M3337" i="12" l="1"/>
  <c r="N3337" i="12" s="1"/>
  <c r="O3335" i="12"/>
  <c r="M3338" i="12" l="1"/>
  <c r="N3338" i="12" s="1"/>
  <c r="O3336" i="12"/>
  <c r="M3339" i="12" l="1"/>
  <c r="N3339" i="12" s="1"/>
  <c r="O3337" i="12"/>
  <c r="M3340" i="12" l="1"/>
  <c r="N3340" i="12" s="1"/>
  <c r="O3338" i="12"/>
  <c r="M3341" i="12" l="1"/>
  <c r="N3341" i="12" s="1"/>
  <c r="O3339" i="12"/>
  <c r="M3342" i="12" l="1"/>
  <c r="N3342" i="12" s="1"/>
  <c r="O3340" i="12"/>
  <c r="M3343" i="12" l="1"/>
  <c r="N3343" i="12" s="1"/>
  <c r="O3341" i="12"/>
  <c r="M3344" i="12" l="1"/>
  <c r="N3344" i="12" s="1"/>
  <c r="O3342" i="12"/>
  <c r="M3345" i="12" l="1"/>
  <c r="N3345" i="12" s="1"/>
  <c r="O3343" i="12"/>
  <c r="M3346" i="12" l="1"/>
  <c r="N3346" i="12" s="1"/>
  <c r="O3344" i="12"/>
  <c r="M3347" i="12" l="1"/>
  <c r="N3347" i="12" s="1"/>
  <c r="O3345" i="12"/>
  <c r="M3348" i="12" l="1"/>
  <c r="N3348" i="12" s="1"/>
  <c r="O3346" i="12"/>
  <c r="M3349" i="12" l="1"/>
  <c r="N3349" i="12" s="1"/>
  <c r="O3347" i="12"/>
  <c r="M3350" i="12" l="1"/>
  <c r="N3350" i="12" s="1"/>
  <c r="O3348" i="12"/>
  <c r="M3351" i="12" l="1"/>
  <c r="N3351" i="12" s="1"/>
  <c r="O3349" i="12"/>
  <c r="M3352" i="12" l="1"/>
  <c r="N3352" i="12" s="1"/>
  <c r="O3350" i="12"/>
  <c r="M3353" i="12" l="1"/>
  <c r="N3353" i="12" s="1"/>
  <c r="O3351" i="12"/>
  <c r="M3354" i="12" l="1"/>
  <c r="N3354" i="12" s="1"/>
  <c r="O3352" i="12"/>
  <c r="M3355" i="12" l="1"/>
  <c r="N3355" i="12" s="1"/>
  <c r="O3353" i="12"/>
  <c r="M3356" i="12" l="1"/>
  <c r="N3356" i="12" s="1"/>
  <c r="O3354" i="12"/>
  <c r="M3357" i="12" l="1"/>
  <c r="N3357" i="12" s="1"/>
  <c r="O3355" i="12"/>
  <c r="M3358" i="12" l="1"/>
  <c r="N3358" i="12" s="1"/>
  <c r="O3356" i="12"/>
  <c r="M3359" i="12" l="1"/>
  <c r="N3359" i="12" s="1"/>
  <c r="O3357" i="12"/>
  <c r="M3360" i="12" l="1"/>
  <c r="N3360" i="12" s="1"/>
  <c r="O3358" i="12"/>
  <c r="M3361" i="12" l="1"/>
  <c r="N3361" i="12" s="1"/>
  <c r="O3359" i="12"/>
  <c r="M3362" i="12" l="1"/>
  <c r="N3362" i="12" s="1"/>
  <c r="O3360" i="12"/>
  <c r="M3363" i="12" l="1"/>
  <c r="N3363" i="12" s="1"/>
  <c r="O3361" i="12"/>
  <c r="M3364" i="12" l="1"/>
  <c r="N3364" i="12" s="1"/>
  <c r="O3362" i="12"/>
  <c r="M3365" i="12" l="1"/>
  <c r="N3365" i="12" s="1"/>
  <c r="O3363" i="12"/>
  <c r="M3366" i="12" l="1"/>
  <c r="N3366" i="12" s="1"/>
  <c r="O3364" i="12"/>
  <c r="M3367" i="12" l="1"/>
  <c r="N3367" i="12" s="1"/>
  <c r="O3365" i="12"/>
  <c r="M3368" i="12" l="1"/>
  <c r="N3368" i="12" s="1"/>
  <c r="O3366" i="12"/>
  <c r="M3369" i="12" l="1"/>
  <c r="N3369" i="12" s="1"/>
  <c r="O3367" i="12"/>
  <c r="M3370" i="12" l="1"/>
  <c r="N3370" i="12" s="1"/>
  <c r="O3368" i="12"/>
  <c r="M3371" i="12" l="1"/>
  <c r="N3371" i="12" s="1"/>
  <c r="O3369" i="12"/>
  <c r="M3372" i="12" l="1"/>
  <c r="N3372" i="12" s="1"/>
  <c r="O3370" i="12"/>
  <c r="M3373" i="12" l="1"/>
  <c r="N3373" i="12" s="1"/>
  <c r="O3371" i="12"/>
  <c r="M3374" i="12" l="1"/>
  <c r="N3374" i="12" s="1"/>
  <c r="O3372" i="12"/>
  <c r="M3375" i="12" l="1"/>
  <c r="N3375" i="12" s="1"/>
  <c r="O3373" i="12"/>
  <c r="M3376" i="12" l="1"/>
  <c r="N3376" i="12" s="1"/>
  <c r="O3374" i="12"/>
  <c r="M3377" i="12" l="1"/>
  <c r="N3377" i="12" s="1"/>
  <c r="O3375" i="12"/>
  <c r="M3378" i="12" l="1"/>
  <c r="N3378" i="12" s="1"/>
  <c r="O3376" i="12"/>
  <c r="M3379" i="12" l="1"/>
  <c r="N3379" i="12" s="1"/>
  <c r="O3377" i="12"/>
  <c r="M3380" i="12" l="1"/>
  <c r="N3380" i="12" s="1"/>
  <c r="O3378" i="12"/>
  <c r="M3381" i="12" l="1"/>
  <c r="N3381" i="12" s="1"/>
  <c r="O3379" i="12"/>
  <c r="M3382" i="12" l="1"/>
  <c r="N3382" i="12" s="1"/>
  <c r="O3380" i="12"/>
  <c r="M3383" i="12" l="1"/>
  <c r="N3383" i="12" s="1"/>
  <c r="O3381" i="12"/>
  <c r="M3384" i="12" l="1"/>
  <c r="N3384" i="12" s="1"/>
  <c r="O3382" i="12"/>
  <c r="M3385" i="12" l="1"/>
  <c r="N3385" i="12" s="1"/>
  <c r="O3383" i="12"/>
  <c r="M3386" i="12" l="1"/>
  <c r="N3386" i="12" s="1"/>
  <c r="O3384" i="12"/>
  <c r="M3387" i="12" l="1"/>
  <c r="N3387" i="12" s="1"/>
  <c r="O3385" i="12"/>
  <c r="M3388" i="12" l="1"/>
  <c r="N3388" i="12" s="1"/>
  <c r="O3386" i="12"/>
  <c r="M3389" i="12" l="1"/>
  <c r="N3389" i="12" s="1"/>
  <c r="O3387" i="12"/>
  <c r="M3390" i="12" l="1"/>
  <c r="N3390" i="12" s="1"/>
  <c r="O3388" i="12"/>
  <c r="M3391" i="12" l="1"/>
  <c r="N3391" i="12" s="1"/>
  <c r="O3389" i="12"/>
  <c r="M3392" i="12" l="1"/>
  <c r="N3392" i="12" s="1"/>
  <c r="O3390" i="12"/>
  <c r="M3393" i="12" l="1"/>
  <c r="N3393" i="12" s="1"/>
  <c r="O3391" i="12"/>
  <c r="M3394" i="12" l="1"/>
  <c r="N3394" i="12" s="1"/>
  <c r="O3392" i="12"/>
  <c r="M3395" i="12" l="1"/>
  <c r="N3395" i="12" s="1"/>
  <c r="O3393" i="12"/>
  <c r="M3396" i="12" l="1"/>
  <c r="N3396" i="12" s="1"/>
  <c r="O3394" i="12"/>
  <c r="M3397" i="12" l="1"/>
  <c r="N3397" i="12" s="1"/>
  <c r="O3395" i="12"/>
  <c r="M3398" i="12" l="1"/>
  <c r="N3398" i="12" s="1"/>
  <c r="O3396" i="12"/>
  <c r="M3399" i="12" l="1"/>
  <c r="N3399" i="12" s="1"/>
  <c r="O3397" i="12"/>
  <c r="M3400" i="12" l="1"/>
  <c r="N3400" i="12" s="1"/>
  <c r="O3398" i="12"/>
  <c r="M3401" i="12" l="1"/>
  <c r="N3401" i="12" s="1"/>
  <c r="O3399" i="12"/>
  <c r="M3402" i="12" l="1"/>
  <c r="N3402" i="12" s="1"/>
  <c r="O3400" i="12"/>
  <c r="M3403" i="12" l="1"/>
  <c r="N3403" i="12" s="1"/>
  <c r="O3401" i="12"/>
  <c r="M3404" i="12" l="1"/>
  <c r="N3404" i="12" s="1"/>
  <c r="O3402" i="12"/>
  <c r="M3405" i="12" l="1"/>
  <c r="N3405" i="12" s="1"/>
  <c r="O3403" i="12"/>
  <c r="M3406" i="12" l="1"/>
  <c r="N3406" i="12" s="1"/>
  <c r="O3404" i="12"/>
  <c r="M3407" i="12" l="1"/>
  <c r="N3407" i="12" s="1"/>
  <c r="O3405" i="12"/>
  <c r="M3408" i="12" l="1"/>
  <c r="N3408" i="12" s="1"/>
  <c r="O3406" i="12"/>
  <c r="M3409" i="12" l="1"/>
  <c r="N3409" i="12" s="1"/>
  <c r="O3407" i="12"/>
  <c r="M3410" i="12" l="1"/>
  <c r="N3410" i="12" s="1"/>
  <c r="O3408" i="12"/>
  <c r="M3411" i="12" l="1"/>
  <c r="N3411" i="12" s="1"/>
  <c r="O3409" i="12"/>
  <c r="M3412" i="12" l="1"/>
  <c r="N3412" i="12" s="1"/>
  <c r="O3410" i="12"/>
  <c r="M3413" i="12" l="1"/>
  <c r="N3413" i="12" s="1"/>
  <c r="O3411" i="12"/>
  <c r="M3414" i="12" l="1"/>
  <c r="N3414" i="12" s="1"/>
  <c r="O3412" i="12"/>
  <c r="M3415" i="12" l="1"/>
  <c r="N3415" i="12" s="1"/>
  <c r="O3413" i="12"/>
  <c r="M3416" i="12" l="1"/>
  <c r="N3416" i="12" s="1"/>
  <c r="O3414" i="12"/>
  <c r="M3417" i="12" l="1"/>
  <c r="N3417" i="12" s="1"/>
  <c r="O3415" i="12"/>
  <c r="M3418" i="12" l="1"/>
  <c r="N3418" i="12" s="1"/>
  <c r="O3416" i="12"/>
  <c r="M3419" i="12" l="1"/>
  <c r="N3419" i="12" s="1"/>
  <c r="O3417" i="12"/>
  <c r="M3420" i="12" l="1"/>
  <c r="N3420" i="12" s="1"/>
  <c r="O3418" i="12"/>
  <c r="M3421" i="12" l="1"/>
  <c r="N3421" i="12" s="1"/>
  <c r="O3419" i="12"/>
  <c r="M3422" i="12" l="1"/>
  <c r="N3422" i="12" s="1"/>
  <c r="O3420" i="12"/>
  <c r="M3423" i="12" l="1"/>
  <c r="N3423" i="12" s="1"/>
  <c r="O3421" i="12"/>
  <c r="M3424" i="12" l="1"/>
  <c r="N3424" i="12" s="1"/>
  <c r="O3422" i="12"/>
  <c r="M3425" i="12" l="1"/>
  <c r="N3425" i="12" s="1"/>
  <c r="O3423" i="12"/>
  <c r="M3426" i="12" l="1"/>
  <c r="N3426" i="12" s="1"/>
  <c r="O3424" i="12"/>
  <c r="M3427" i="12" l="1"/>
  <c r="N3427" i="12" s="1"/>
  <c r="O3425" i="12"/>
  <c r="M3428" i="12" l="1"/>
  <c r="N3428" i="12" s="1"/>
  <c r="O3426" i="12"/>
  <c r="M3429" i="12" l="1"/>
  <c r="N3429" i="12" s="1"/>
  <c r="O3427" i="12"/>
  <c r="M3430" i="12" l="1"/>
  <c r="N3430" i="12" s="1"/>
  <c r="O3428" i="12"/>
  <c r="M3431" i="12" l="1"/>
  <c r="N3431" i="12" s="1"/>
  <c r="O3429" i="12"/>
  <c r="M3432" i="12" l="1"/>
  <c r="N3432" i="12" s="1"/>
  <c r="O3430" i="12"/>
  <c r="M3433" i="12" l="1"/>
  <c r="N3433" i="12" s="1"/>
  <c r="O3431" i="12"/>
  <c r="M3434" i="12" l="1"/>
  <c r="N3434" i="12" s="1"/>
  <c r="O3432" i="12"/>
  <c r="M3435" i="12" l="1"/>
  <c r="N3435" i="12" s="1"/>
  <c r="O3433" i="12"/>
  <c r="M3436" i="12" l="1"/>
  <c r="N3436" i="12" s="1"/>
  <c r="O3434" i="12"/>
  <c r="M3437" i="12" l="1"/>
  <c r="N3437" i="12" s="1"/>
  <c r="O3435" i="12"/>
  <c r="M3438" i="12" l="1"/>
  <c r="N3438" i="12" s="1"/>
  <c r="O3436" i="12"/>
  <c r="M3439" i="12" l="1"/>
  <c r="N3439" i="12" s="1"/>
  <c r="O3437" i="12"/>
  <c r="M3440" i="12" l="1"/>
  <c r="N3440" i="12" s="1"/>
  <c r="O3438" i="12"/>
  <c r="M3441" i="12" l="1"/>
  <c r="N3441" i="12" s="1"/>
  <c r="O3439" i="12"/>
  <c r="M3442" i="12" l="1"/>
  <c r="N3442" i="12" s="1"/>
  <c r="O3440" i="12"/>
  <c r="M3443" i="12" l="1"/>
  <c r="N3443" i="12" s="1"/>
  <c r="O3441" i="12"/>
  <c r="M3444" i="12" l="1"/>
  <c r="N3444" i="12" s="1"/>
  <c r="O3442" i="12"/>
  <c r="M3445" i="12" l="1"/>
  <c r="N3445" i="12" s="1"/>
  <c r="O3443" i="12"/>
  <c r="M3446" i="12" l="1"/>
  <c r="N3446" i="12" s="1"/>
  <c r="O3444" i="12"/>
  <c r="M3447" i="12" l="1"/>
  <c r="N3447" i="12" s="1"/>
  <c r="O3445" i="12"/>
  <c r="M3448" i="12" l="1"/>
  <c r="N3448" i="12" s="1"/>
  <c r="O3446" i="12"/>
  <c r="M3449" i="12" l="1"/>
  <c r="N3449" i="12" s="1"/>
  <c r="O3447" i="12"/>
  <c r="M3450" i="12" l="1"/>
  <c r="N3450" i="12" s="1"/>
  <c r="O3448" i="12"/>
  <c r="M3451" i="12" l="1"/>
  <c r="N3451" i="12" s="1"/>
  <c r="O3449" i="12"/>
  <c r="M3452" i="12" l="1"/>
  <c r="N3452" i="12" s="1"/>
  <c r="O3450" i="12"/>
  <c r="M3453" i="12" l="1"/>
  <c r="N3453" i="12" s="1"/>
  <c r="O3451" i="12"/>
  <c r="M3454" i="12" l="1"/>
  <c r="N3454" i="12" s="1"/>
  <c r="O3452" i="12"/>
  <c r="M3455" i="12" l="1"/>
  <c r="N3455" i="12" s="1"/>
  <c r="O3453" i="12"/>
  <c r="M3456" i="12" l="1"/>
  <c r="N3456" i="12" s="1"/>
  <c r="O3454" i="12"/>
  <c r="M3457" i="12" l="1"/>
  <c r="N3457" i="12" s="1"/>
  <c r="O3455" i="12"/>
  <c r="M3458" i="12" l="1"/>
  <c r="N3458" i="12" s="1"/>
  <c r="O3456" i="12"/>
  <c r="M3459" i="12" l="1"/>
  <c r="N3459" i="12" s="1"/>
  <c r="O3457" i="12"/>
  <c r="M3460" i="12" l="1"/>
  <c r="N3460" i="12" s="1"/>
  <c r="O3458" i="12"/>
  <c r="M3461" i="12" l="1"/>
  <c r="N3461" i="12" s="1"/>
  <c r="O3459" i="12"/>
  <c r="M3462" i="12" l="1"/>
  <c r="N3462" i="12" s="1"/>
  <c r="O3460" i="12"/>
  <c r="M3463" i="12" l="1"/>
  <c r="N3463" i="12" s="1"/>
  <c r="O3461" i="12"/>
  <c r="M3464" i="12" l="1"/>
  <c r="N3464" i="12" s="1"/>
  <c r="O3462" i="12"/>
  <c r="M3465" i="12" l="1"/>
  <c r="N3465" i="12" s="1"/>
  <c r="O3463" i="12"/>
  <c r="M3466" i="12" l="1"/>
  <c r="N3466" i="12" s="1"/>
  <c r="O3464" i="12"/>
  <c r="M3467" i="12" l="1"/>
  <c r="N3467" i="12" s="1"/>
  <c r="O3465" i="12"/>
  <c r="M3468" i="12" l="1"/>
  <c r="N3468" i="12" s="1"/>
  <c r="O3466" i="12"/>
  <c r="M3469" i="12" l="1"/>
  <c r="N3469" i="12" s="1"/>
  <c r="O3467" i="12"/>
  <c r="M3470" i="12" l="1"/>
  <c r="N3470" i="12" s="1"/>
  <c r="O3468" i="12"/>
  <c r="M3471" i="12" l="1"/>
  <c r="N3471" i="12" s="1"/>
  <c r="O3469" i="12"/>
  <c r="M3472" i="12" l="1"/>
  <c r="N3472" i="12" s="1"/>
  <c r="O3470" i="12"/>
  <c r="M3473" i="12" l="1"/>
  <c r="N3473" i="12" s="1"/>
  <c r="O3471" i="12"/>
  <c r="M3474" i="12" l="1"/>
  <c r="N3474" i="12" s="1"/>
  <c r="O3472" i="12"/>
  <c r="M3475" i="12" l="1"/>
  <c r="N3475" i="12" s="1"/>
  <c r="O3473" i="12"/>
  <c r="M3476" i="12" l="1"/>
  <c r="N3476" i="12" s="1"/>
  <c r="O3474" i="12"/>
  <c r="M3477" i="12" l="1"/>
  <c r="N3477" i="12" s="1"/>
  <c r="O3475" i="12"/>
  <c r="M3478" i="12" l="1"/>
  <c r="N3478" i="12" s="1"/>
  <c r="O3476" i="12"/>
  <c r="M3479" i="12" l="1"/>
  <c r="N3479" i="12" s="1"/>
  <c r="O3477" i="12"/>
  <c r="M3480" i="12" l="1"/>
  <c r="N3480" i="12" s="1"/>
  <c r="O3478" i="12"/>
  <c r="M3481" i="12" l="1"/>
  <c r="N3481" i="12" s="1"/>
  <c r="O3479" i="12"/>
  <c r="M3482" i="12" l="1"/>
  <c r="N3482" i="12" s="1"/>
  <c r="O3480" i="12"/>
  <c r="M3483" i="12" l="1"/>
  <c r="N3483" i="12" s="1"/>
  <c r="O3481" i="12"/>
  <c r="M3484" i="12" l="1"/>
  <c r="N3484" i="12" s="1"/>
  <c r="O3482" i="12"/>
  <c r="M3485" i="12" l="1"/>
  <c r="N3485" i="12" s="1"/>
  <c r="O3483" i="12"/>
  <c r="M3486" i="12" l="1"/>
  <c r="N3486" i="12" s="1"/>
  <c r="O3484" i="12"/>
  <c r="M3487" i="12" l="1"/>
  <c r="N3487" i="12" s="1"/>
  <c r="O3485" i="12"/>
  <c r="M3488" i="12" l="1"/>
  <c r="N3488" i="12" s="1"/>
  <c r="O3486" i="12"/>
  <c r="M3489" i="12" l="1"/>
  <c r="N3489" i="12" s="1"/>
  <c r="O3487" i="12"/>
  <c r="M3490" i="12" l="1"/>
  <c r="N3490" i="12" s="1"/>
  <c r="O3488" i="12"/>
  <c r="M3491" i="12" l="1"/>
  <c r="N3491" i="12" s="1"/>
  <c r="O3489" i="12"/>
  <c r="M3492" i="12" l="1"/>
  <c r="N3492" i="12" s="1"/>
  <c r="O3490" i="12"/>
  <c r="M3493" i="12" l="1"/>
  <c r="N3493" i="12" s="1"/>
  <c r="O3491" i="12"/>
  <c r="M3494" i="12" l="1"/>
  <c r="N3494" i="12" s="1"/>
  <c r="O3492" i="12"/>
  <c r="M3495" i="12" l="1"/>
  <c r="N3495" i="12" s="1"/>
  <c r="O3493" i="12"/>
  <c r="M3496" i="12" l="1"/>
  <c r="N3496" i="12" s="1"/>
  <c r="O3494" i="12"/>
  <c r="M3497" i="12" l="1"/>
  <c r="N3497" i="12" s="1"/>
  <c r="O3495" i="12"/>
  <c r="M3498" i="12" l="1"/>
  <c r="N3498" i="12" s="1"/>
  <c r="O3496" i="12"/>
  <c r="M3499" i="12" l="1"/>
  <c r="N3499" i="12" s="1"/>
  <c r="O3497" i="12"/>
  <c r="M3500" i="12" l="1"/>
  <c r="N3500" i="12" s="1"/>
  <c r="O3498" i="12"/>
  <c r="M3501" i="12" l="1"/>
  <c r="N3501" i="12" s="1"/>
  <c r="O3499" i="12"/>
  <c r="M3502" i="12" l="1"/>
  <c r="N3502" i="12" s="1"/>
  <c r="O3500" i="12"/>
  <c r="M3503" i="12" l="1"/>
  <c r="N3503" i="12" s="1"/>
  <c r="O3501" i="12"/>
  <c r="M3504" i="12" l="1"/>
  <c r="N3504" i="12" s="1"/>
  <c r="O3502" i="12"/>
  <c r="M3505" i="12" l="1"/>
  <c r="N3505" i="12" s="1"/>
  <c r="O3503" i="12"/>
  <c r="M3506" i="12" l="1"/>
  <c r="N3506" i="12" s="1"/>
  <c r="O3504" i="12"/>
  <c r="M3507" i="12" l="1"/>
  <c r="N3507" i="12" s="1"/>
  <c r="O3505" i="12"/>
  <c r="M3508" i="12" l="1"/>
  <c r="N3508" i="12" s="1"/>
  <c r="O3506" i="12"/>
  <c r="M3509" i="12" l="1"/>
  <c r="N3509" i="12" s="1"/>
  <c r="O3507" i="12"/>
  <c r="M3510" i="12" l="1"/>
  <c r="N3510" i="12" s="1"/>
  <c r="O3508" i="12"/>
  <c r="M3511" i="12" l="1"/>
  <c r="N3511" i="12" s="1"/>
  <c r="O3509" i="12"/>
  <c r="M3512" i="12" l="1"/>
  <c r="N3512" i="12" s="1"/>
  <c r="O3510" i="12"/>
  <c r="M3513" i="12" l="1"/>
  <c r="N3513" i="12" s="1"/>
  <c r="O3511" i="12"/>
  <c r="M3514" i="12" l="1"/>
  <c r="N3514" i="12" s="1"/>
  <c r="O3512" i="12"/>
  <c r="M3515" i="12" l="1"/>
  <c r="N3515" i="12" s="1"/>
  <c r="O3513" i="12"/>
  <c r="M3516" i="12" l="1"/>
  <c r="N3516" i="12" s="1"/>
  <c r="O3514" i="12"/>
  <c r="M3517" i="12" l="1"/>
  <c r="N3517" i="12" s="1"/>
  <c r="O3515" i="12"/>
  <c r="M3518" i="12" l="1"/>
  <c r="N3518" i="12" s="1"/>
  <c r="O3516" i="12"/>
  <c r="M3519" i="12" l="1"/>
  <c r="N3519" i="12" s="1"/>
  <c r="O3517" i="12"/>
  <c r="M3520" i="12" l="1"/>
  <c r="N3520" i="12" s="1"/>
  <c r="O3518" i="12"/>
  <c r="M3521" i="12" l="1"/>
  <c r="N3521" i="12" s="1"/>
  <c r="O3519" i="12"/>
  <c r="M3522" i="12" l="1"/>
  <c r="N3522" i="12" s="1"/>
  <c r="O3520" i="12"/>
  <c r="M3523" i="12" l="1"/>
  <c r="N3523" i="12" s="1"/>
  <c r="O3521" i="12"/>
  <c r="M3524" i="12" l="1"/>
  <c r="N3524" i="12" s="1"/>
  <c r="O3522" i="12"/>
  <c r="M3525" i="12" l="1"/>
  <c r="N3525" i="12" s="1"/>
  <c r="O3523" i="12"/>
  <c r="M3526" i="12" l="1"/>
  <c r="N3526" i="12" s="1"/>
  <c r="O3524" i="12"/>
  <c r="M3527" i="12" l="1"/>
  <c r="N3527" i="12" s="1"/>
  <c r="O3525" i="12"/>
  <c r="M3528" i="12" l="1"/>
  <c r="N3528" i="12" s="1"/>
  <c r="O3526" i="12"/>
  <c r="M3529" i="12" l="1"/>
  <c r="N3529" i="12" s="1"/>
  <c r="O3527" i="12"/>
  <c r="M3530" i="12" l="1"/>
  <c r="N3530" i="12" s="1"/>
  <c r="O3528" i="12"/>
  <c r="M3531" i="12" l="1"/>
  <c r="N3531" i="12" s="1"/>
  <c r="O3529" i="12"/>
  <c r="M3532" i="12" l="1"/>
  <c r="N3532" i="12" s="1"/>
  <c r="O3530" i="12"/>
  <c r="M3533" i="12" l="1"/>
  <c r="N3533" i="12" s="1"/>
  <c r="O3531" i="12"/>
  <c r="M3534" i="12" l="1"/>
  <c r="N3534" i="12" s="1"/>
  <c r="O3532" i="12"/>
  <c r="M3535" i="12" l="1"/>
  <c r="N3535" i="12" s="1"/>
  <c r="O3533" i="12"/>
  <c r="M3536" i="12" l="1"/>
  <c r="N3536" i="12" s="1"/>
  <c r="O3534" i="12"/>
  <c r="M3537" i="12" l="1"/>
  <c r="N3537" i="12" s="1"/>
  <c r="O3535" i="12"/>
  <c r="M3538" i="12" l="1"/>
  <c r="N3538" i="12" s="1"/>
  <c r="O3536" i="12"/>
  <c r="M3539" i="12" l="1"/>
  <c r="N3539" i="12" s="1"/>
  <c r="O3537" i="12"/>
  <c r="M3540" i="12" l="1"/>
  <c r="N3540" i="12" s="1"/>
  <c r="O3538" i="12"/>
  <c r="M3541" i="12" l="1"/>
  <c r="N3541" i="12" s="1"/>
  <c r="O3539" i="12"/>
  <c r="M3542" i="12" l="1"/>
  <c r="N3542" i="12" s="1"/>
  <c r="O3540" i="12"/>
  <c r="M3543" i="12" l="1"/>
  <c r="N3543" i="12" s="1"/>
  <c r="O3541" i="12"/>
  <c r="M3544" i="12" l="1"/>
  <c r="N3544" i="12" s="1"/>
  <c r="O3542" i="12"/>
  <c r="M3545" i="12" l="1"/>
  <c r="N3545" i="12" s="1"/>
  <c r="O3543" i="12"/>
  <c r="M3546" i="12" l="1"/>
  <c r="N3546" i="12" s="1"/>
  <c r="O3544" i="12"/>
  <c r="M3547" i="12" l="1"/>
  <c r="N3547" i="12" s="1"/>
  <c r="O3545" i="12"/>
  <c r="M3548" i="12" l="1"/>
  <c r="N3548" i="12" s="1"/>
  <c r="O3546" i="12"/>
  <c r="M3549" i="12" l="1"/>
  <c r="N3549" i="12" s="1"/>
  <c r="O3547" i="12"/>
  <c r="M3550" i="12" l="1"/>
  <c r="N3550" i="12" s="1"/>
  <c r="O3548" i="12"/>
  <c r="M3551" i="12" l="1"/>
  <c r="N3551" i="12" s="1"/>
  <c r="O3549" i="12"/>
  <c r="M3552" i="12" l="1"/>
  <c r="N3552" i="12" s="1"/>
  <c r="O3550" i="12"/>
  <c r="M3553" i="12" l="1"/>
  <c r="N3553" i="12" s="1"/>
  <c r="O3551" i="12"/>
  <c r="M3554" i="12" l="1"/>
  <c r="N3554" i="12" s="1"/>
  <c r="O3552" i="12"/>
  <c r="M3555" i="12" l="1"/>
  <c r="N3555" i="12" s="1"/>
  <c r="O3553" i="12"/>
  <c r="M3556" i="12" l="1"/>
  <c r="N3556" i="12" s="1"/>
  <c r="O3554" i="12"/>
  <c r="M3557" i="12" l="1"/>
  <c r="N3557" i="12" s="1"/>
  <c r="O3555" i="12"/>
  <c r="M3558" i="12" l="1"/>
  <c r="N3558" i="12" s="1"/>
  <c r="O3556" i="12"/>
  <c r="M3559" i="12" l="1"/>
  <c r="N3559" i="12" s="1"/>
  <c r="O3557" i="12"/>
  <c r="M3560" i="12" l="1"/>
  <c r="N3560" i="12" s="1"/>
  <c r="O3558" i="12"/>
  <c r="M3561" i="12" l="1"/>
  <c r="N3561" i="12" s="1"/>
  <c r="O3559" i="12"/>
  <c r="M3562" i="12" l="1"/>
  <c r="N3562" i="12" s="1"/>
  <c r="O3560" i="12"/>
  <c r="M3563" i="12" l="1"/>
  <c r="N3563" i="12" s="1"/>
  <c r="O3561" i="12"/>
  <c r="M3564" i="12" l="1"/>
  <c r="N3564" i="12" s="1"/>
  <c r="O3562" i="12"/>
  <c r="M3565" i="12" l="1"/>
  <c r="N3565" i="12" s="1"/>
  <c r="O3563" i="12"/>
  <c r="M3566" i="12" l="1"/>
  <c r="N3566" i="12" s="1"/>
  <c r="O3564" i="12"/>
  <c r="M3567" i="12" l="1"/>
  <c r="N3567" i="12" s="1"/>
  <c r="O3565" i="12"/>
  <c r="M3568" i="12" l="1"/>
  <c r="N3568" i="12" s="1"/>
  <c r="O3566" i="12"/>
  <c r="M3569" i="12" l="1"/>
  <c r="N3569" i="12" s="1"/>
  <c r="O3567" i="12"/>
  <c r="M3570" i="12" l="1"/>
  <c r="N3570" i="12" s="1"/>
  <c r="O3568" i="12"/>
  <c r="M3571" i="12" l="1"/>
  <c r="N3571" i="12" s="1"/>
  <c r="O3569" i="12"/>
  <c r="M3572" i="12" l="1"/>
  <c r="N3572" i="12" s="1"/>
  <c r="O3570" i="12"/>
  <c r="M3573" i="12" l="1"/>
  <c r="N3573" i="12" s="1"/>
  <c r="O3571" i="12"/>
  <c r="M3574" i="12" l="1"/>
  <c r="N3574" i="12" s="1"/>
  <c r="O3572" i="12"/>
  <c r="M3575" i="12" l="1"/>
  <c r="N3575" i="12" s="1"/>
  <c r="O3573" i="12"/>
  <c r="M3576" i="12" l="1"/>
  <c r="N3576" i="12" s="1"/>
  <c r="O3574" i="12"/>
  <c r="M3577" i="12" l="1"/>
  <c r="N3577" i="12" s="1"/>
  <c r="O3575" i="12"/>
  <c r="M3578" i="12" l="1"/>
  <c r="N3578" i="12" s="1"/>
  <c r="O3576" i="12"/>
  <c r="M3579" i="12" l="1"/>
  <c r="N3579" i="12" s="1"/>
  <c r="O3577" i="12"/>
  <c r="M3580" i="12" l="1"/>
  <c r="N3580" i="12" s="1"/>
  <c r="O3578" i="12"/>
  <c r="M3581" i="12" l="1"/>
  <c r="N3581" i="12" s="1"/>
  <c r="O3579" i="12"/>
  <c r="M3582" i="12" l="1"/>
  <c r="N3582" i="12" s="1"/>
  <c r="O3580" i="12"/>
  <c r="M3583" i="12" l="1"/>
  <c r="N3583" i="12" s="1"/>
  <c r="O3581" i="12"/>
  <c r="M3584" i="12" l="1"/>
  <c r="N3584" i="12" s="1"/>
  <c r="O3582" i="12"/>
  <c r="M3585" i="12" l="1"/>
  <c r="N3585" i="12" s="1"/>
  <c r="O3583" i="12"/>
  <c r="M3586" i="12" l="1"/>
  <c r="N3586" i="12" s="1"/>
  <c r="O3584" i="12"/>
  <c r="M3587" i="12" l="1"/>
  <c r="N3587" i="12" s="1"/>
  <c r="O3585" i="12"/>
  <c r="M3588" i="12" l="1"/>
  <c r="N3588" i="12" s="1"/>
  <c r="O3586" i="12"/>
  <c r="M3589" i="12" l="1"/>
  <c r="N3589" i="12" s="1"/>
  <c r="O3587" i="12"/>
  <c r="M3590" i="12" l="1"/>
  <c r="N3590" i="12" s="1"/>
  <c r="O3588" i="12"/>
  <c r="M3591" i="12" l="1"/>
  <c r="N3591" i="12" s="1"/>
  <c r="O3589" i="12"/>
  <c r="M3592" i="12" l="1"/>
  <c r="N3592" i="12" s="1"/>
  <c r="O3590" i="12"/>
  <c r="M3593" i="12" l="1"/>
  <c r="N3593" i="12" s="1"/>
  <c r="O3591" i="12"/>
  <c r="M3594" i="12" l="1"/>
  <c r="N3594" i="12" s="1"/>
  <c r="O3592" i="12"/>
  <c r="M3595" i="12" l="1"/>
  <c r="N3595" i="12" s="1"/>
  <c r="O3593" i="12"/>
  <c r="M3596" i="12" l="1"/>
  <c r="N3596" i="12" s="1"/>
  <c r="O3594" i="12"/>
  <c r="M3597" i="12" l="1"/>
  <c r="N3597" i="12" s="1"/>
  <c r="O3595" i="12"/>
  <c r="M3598" i="12" l="1"/>
  <c r="N3598" i="12" s="1"/>
  <c r="O3596" i="12"/>
  <c r="M3599" i="12" l="1"/>
  <c r="N3599" i="12" s="1"/>
  <c r="O3597" i="12"/>
  <c r="M3600" i="12" l="1"/>
  <c r="N3600" i="12" s="1"/>
  <c r="O3598" i="12"/>
  <c r="M3601" i="12" l="1"/>
  <c r="N3601" i="12" s="1"/>
  <c r="O3599" i="12"/>
  <c r="M3602" i="12" l="1"/>
  <c r="N3602" i="12" s="1"/>
  <c r="O3600" i="12"/>
  <c r="M3603" i="12" l="1"/>
  <c r="N3603" i="12" s="1"/>
  <c r="O3601" i="12"/>
  <c r="M3604" i="12" l="1"/>
  <c r="N3604" i="12" s="1"/>
  <c r="O3602" i="12"/>
  <c r="M3605" i="12" l="1"/>
  <c r="N3605" i="12" s="1"/>
  <c r="O3603" i="12"/>
  <c r="M3606" i="12" l="1"/>
  <c r="N3606" i="12" s="1"/>
  <c r="O3604" i="12"/>
  <c r="M3607" i="12" l="1"/>
  <c r="N3607" i="12" s="1"/>
  <c r="O3605" i="12"/>
  <c r="M3608" i="12" l="1"/>
  <c r="N3608" i="12" s="1"/>
  <c r="O3606" i="12"/>
  <c r="M3609" i="12" l="1"/>
  <c r="N3609" i="12" s="1"/>
  <c r="O3607" i="12"/>
  <c r="M3610" i="12" l="1"/>
  <c r="N3610" i="12" s="1"/>
  <c r="O3608" i="12"/>
  <c r="M3611" i="12" l="1"/>
  <c r="N3611" i="12" s="1"/>
  <c r="O3609" i="12"/>
  <c r="M3612" i="12" l="1"/>
  <c r="N3612" i="12" s="1"/>
  <c r="O3610" i="12"/>
  <c r="M3613" i="12" l="1"/>
  <c r="N3613" i="12" s="1"/>
  <c r="O3611" i="12"/>
  <c r="M3614" i="12" l="1"/>
  <c r="N3614" i="12" s="1"/>
  <c r="O3612" i="12"/>
  <c r="M3615" i="12" l="1"/>
  <c r="N3615" i="12" s="1"/>
  <c r="O3613" i="12"/>
  <c r="M3616" i="12" l="1"/>
  <c r="N3616" i="12" s="1"/>
  <c r="O3614" i="12"/>
  <c r="M3617" i="12" l="1"/>
  <c r="N3617" i="12" s="1"/>
  <c r="O3615" i="12"/>
  <c r="M3618" i="12" l="1"/>
  <c r="N3618" i="12" s="1"/>
  <c r="O3616" i="12"/>
  <c r="M3619" i="12" l="1"/>
  <c r="N3619" i="12" s="1"/>
  <c r="O3617" i="12"/>
  <c r="M3620" i="12" l="1"/>
  <c r="N3620" i="12" s="1"/>
  <c r="O3618" i="12"/>
  <c r="M3621" i="12" l="1"/>
  <c r="N3621" i="12" s="1"/>
  <c r="O3619" i="12"/>
  <c r="M3622" i="12" l="1"/>
  <c r="N3622" i="12" s="1"/>
  <c r="O3620" i="12"/>
  <c r="M3623" i="12" l="1"/>
  <c r="N3623" i="12" s="1"/>
  <c r="O3621" i="12"/>
  <c r="M3624" i="12" l="1"/>
  <c r="N3624" i="12" s="1"/>
  <c r="O3622" i="12"/>
  <c r="M3625" i="12" l="1"/>
  <c r="N3625" i="12" s="1"/>
  <c r="O3623" i="12"/>
  <c r="M3626" i="12" l="1"/>
  <c r="N3626" i="12" s="1"/>
  <c r="O3624" i="12"/>
  <c r="M3627" i="12" l="1"/>
  <c r="N3627" i="12" s="1"/>
  <c r="O3625" i="12"/>
  <c r="M3628" i="12" l="1"/>
  <c r="N3628" i="12" s="1"/>
  <c r="O3626" i="12"/>
  <c r="M3629" i="12" l="1"/>
  <c r="N3629" i="12" s="1"/>
  <c r="O3627" i="12"/>
  <c r="M3630" i="12" l="1"/>
  <c r="N3630" i="12" s="1"/>
  <c r="O3628" i="12"/>
  <c r="M3631" i="12" l="1"/>
  <c r="N3631" i="12" s="1"/>
  <c r="O3629" i="12"/>
  <c r="M3632" i="12" l="1"/>
  <c r="N3632" i="12" s="1"/>
  <c r="O3630" i="12"/>
  <c r="M3633" i="12" l="1"/>
  <c r="N3633" i="12" s="1"/>
  <c r="O3631" i="12"/>
  <c r="M3634" i="12" l="1"/>
  <c r="N3634" i="12" s="1"/>
  <c r="O3632" i="12"/>
  <c r="M3635" i="12" l="1"/>
  <c r="N3635" i="12" s="1"/>
  <c r="O3633" i="12"/>
  <c r="M3636" i="12" l="1"/>
  <c r="N3636" i="12" s="1"/>
  <c r="O3634" i="12"/>
  <c r="M3637" i="12" l="1"/>
  <c r="N3637" i="12" s="1"/>
  <c r="O3635" i="12"/>
  <c r="M3638" i="12" l="1"/>
  <c r="N3638" i="12" s="1"/>
  <c r="O3636" i="12"/>
  <c r="M3639" i="12" l="1"/>
  <c r="N3639" i="12" s="1"/>
  <c r="O3637" i="12"/>
  <c r="M3640" i="12" l="1"/>
  <c r="N3640" i="12" s="1"/>
  <c r="O3638" i="12"/>
  <c r="M3641" i="12" l="1"/>
  <c r="N3641" i="12" s="1"/>
  <c r="O3639" i="12"/>
  <c r="M3642" i="12" l="1"/>
  <c r="N3642" i="12" s="1"/>
  <c r="O3640" i="12"/>
  <c r="M3643" i="12" l="1"/>
  <c r="N3643" i="12" s="1"/>
  <c r="O3641" i="12"/>
  <c r="M3644" i="12" l="1"/>
  <c r="N3644" i="12" s="1"/>
  <c r="O3642" i="12"/>
  <c r="M3645" i="12" l="1"/>
  <c r="N3645" i="12" s="1"/>
  <c r="O3643" i="12"/>
  <c r="M3646" i="12" l="1"/>
  <c r="N3646" i="12" s="1"/>
  <c r="O3644" i="12"/>
  <c r="M3647" i="12" l="1"/>
  <c r="N3647" i="12" s="1"/>
  <c r="O3645" i="12"/>
  <c r="M3648" i="12" l="1"/>
  <c r="N3648" i="12" s="1"/>
  <c r="O3646" i="12"/>
  <c r="M3649" i="12" l="1"/>
  <c r="N3649" i="12" s="1"/>
  <c r="O3647" i="12"/>
  <c r="M3650" i="12" l="1"/>
  <c r="N3650" i="12" s="1"/>
  <c r="O3648" i="12"/>
  <c r="M3651" i="12" l="1"/>
  <c r="N3651" i="12" s="1"/>
  <c r="O3649" i="12"/>
  <c r="M3652" i="12" l="1"/>
  <c r="N3652" i="12" s="1"/>
  <c r="O3650" i="12"/>
  <c r="M3653" i="12" l="1"/>
  <c r="N3653" i="12" s="1"/>
  <c r="O3651" i="12"/>
  <c r="M3654" i="12" l="1"/>
  <c r="N3654" i="12" s="1"/>
  <c r="O3652" i="12"/>
  <c r="M3655" i="12" l="1"/>
  <c r="N3655" i="12" s="1"/>
  <c r="O3653" i="12"/>
  <c r="M3656" i="12" l="1"/>
  <c r="N3656" i="12" s="1"/>
  <c r="O3654" i="12"/>
  <c r="M3657" i="12" l="1"/>
  <c r="N3657" i="12" s="1"/>
  <c r="O3655" i="12"/>
  <c r="M3658" i="12" l="1"/>
  <c r="N3658" i="12" s="1"/>
  <c r="O3656" i="12"/>
  <c r="M3659" i="12" l="1"/>
  <c r="N3659" i="12" s="1"/>
  <c r="O3657" i="12"/>
  <c r="M3660" i="12" l="1"/>
  <c r="N3660" i="12" s="1"/>
  <c r="O3658" i="12"/>
  <c r="M3661" i="12" l="1"/>
  <c r="N3661" i="12" s="1"/>
  <c r="O3659" i="12"/>
  <c r="M3662" i="12" l="1"/>
  <c r="N3662" i="12" s="1"/>
  <c r="O3660" i="12"/>
  <c r="M3663" i="12" l="1"/>
  <c r="N3663" i="12" s="1"/>
  <c r="O3661" i="12"/>
  <c r="M3664" i="12" l="1"/>
  <c r="N3664" i="12" s="1"/>
  <c r="O3662" i="12"/>
  <c r="M3665" i="12" l="1"/>
  <c r="N3665" i="12" s="1"/>
  <c r="O3663" i="12"/>
  <c r="M3666" i="12" l="1"/>
  <c r="N3666" i="12" s="1"/>
  <c r="O3664" i="12"/>
  <c r="M3667" i="12" l="1"/>
  <c r="N3667" i="12" s="1"/>
  <c r="O3665" i="12"/>
  <c r="M3668" i="12" l="1"/>
  <c r="N3668" i="12" s="1"/>
  <c r="O3666" i="12"/>
  <c r="M3669" i="12" l="1"/>
  <c r="N3669" i="12" s="1"/>
  <c r="O3667" i="12"/>
  <c r="M3670" i="12" l="1"/>
  <c r="N3670" i="12" s="1"/>
  <c r="O3668" i="12"/>
  <c r="M3671" i="12" l="1"/>
  <c r="N3671" i="12" s="1"/>
  <c r="O3669" i="12"/>
  <c r="M3672" i="12" l="1"/>
  <c r="N3672" i="12" s="1"/>
  <c r="O3670" i="12"/>
  <c r="M3673" i="12" l="1"/>
  <c r="N3673" i="12" s="1"/>
  <c r="O3671" i="12"/>
  <c r="M3674" i="12" l="1"/>
  <c r="N3674" i="12" s="1"/>
  <c r="O3672" i="12"/>
  <c r="M3675" i="12" l="1"/>
  <c r="N3675" i="12" s="1"/>
  <c r="O3673" i="12"/>
  <c r="M3676" i="12" l="1"/>
  <c r="N3676" i="12" s="1"/>
  <c r="O3674" i="12"/>
  <c r="M3677" i="12" l="1"/>
  <c r="N3677" i="12" s="1"/>
  <c r="O3675" i="12"/>
  <c r="M3678" i="12" l="1"/>
  <c r="N3678" i="12" s="1"/>
  <c r="O3676" i="12"/>
  <c r="M3679" i="12" l="1"/>
  <c r="N3679" i="12" s="1"/>
  <c r="O3677" i="12"/>
  <c r="M3680" i="12" l="1"/>
  <c r="N3680" i="12" s="1"/>
  <c r="O3678" i="12"/>
  <c r="M3681" i="12" l="1"/>
  <c r="N3681" i="12" s="1"/>
  <c r="O3679" i="12"/>
  <c r="M3682" i="12" l="1"/>
  <c r="N3682" i="12" s="1"/>
  <c r="O3680" i="12"/>
  <c r="M3683" i="12" l="1"/>
  <c r="N3683" i="12" s="1"/>
  <c r="O3681" i="12"/>
  <c r="M3684" i="12" l="1"/>
  <c r="N3684" i="12" s="1"/>
  <c r="O3682" i="12"/>
  <c r="M3685" i="12" l="1"/>
  <c r="N3685" i="12" s="1"/>
  <c r="O3683" i="12"/>
  <c r="M3686" i="12" l="1"/>
  <c r="N3686" i="12" s="1"/>
  <c r="O3684" i="12"/>
  <c r="M3687" i="12" l="1"/>
  <c r="N3687" i="12" s="1"/>
  <c r="O3685" i="12"/>
  <c r="M3688" i="12" l="1"/>
  <c r="N3688" i="12" s="1"/>
  <c r="O3686" i="12"/>
  <c r="M3689" i="12" l="1"/>
  <c r="N3689" i="12" s="1"/>
  <c r="O3687" i="12"/>
  <c r="M3690" i="12" l="1"/>
  <c r="N3690" i="12" s="1"/>
  <c r="O3688" i="12"/>
  <c r="M3691" i="12" l="1"/>
  <c r="N3691" i="12" s="1"/>
  <c r="O3689" i="12"/>
  <c r="M3692" i="12" l="1"/>
  <c r="N3692" i="12" s="1"/>
  <c r="O3690" i="12"/>
  <c r="M3693" i="12" l="1"/>
  <c r="N3693" i="12" s="1"/>
  <c r="O3691" i="12"/>
  <c r="M3694" i="12" l="1"/>
  <c r="N3694" i="12" s="1"/>
  <c r="O3692" i="12"/>
  <c r="M3695" i="12" l="1"/>
  <c r="N3695" i="12" s="1"/>
  <c r="O3693" i="12"/>
  <c r="M3696" i="12" l="1"/>
  <c r="N3696" i="12" s="1"/>
  <c r="O3694" i="12"/>
  <c r="M3697" i="12" l="1"/>
  <c r="N3697" i="12" s="1"/>
  <c r="O3695" i="12"/>
  <c r="M3698" i="12" l="1"/>
  <c r="N3698" i="12" s="1"/>
  <c r="O3696" i="12"/>
  <c r="M3699" i="12" l="1"/>
  <c r="N3699" i="12" s="1"/>
  <c r="O3697" i="12"/>
  <c r="M3700" i="12" l="1"/>
  <c r="N3700" i="12" s="1"/>
  <c r="O3698" i="12"/>
  <c r="M3701" i="12" l="1"/>
  <c r="N3701" i="12" s="1"/>
  <c r="O3699" i="12"/>
  <c r="M3702" i="12" l="1"/>
  <c r="N3702" i="12" s="1"/>
  <c r="O3700" i="12"/>
  <c r="M3703" i="12" l="1"/>
  <c r="N3703" i="12" s="1"/>
  <c r="O3701" i="12"/>
  <c r="M3704" i="12" l="1"/>
  <c r="N3704" i="12" s="1"/>
  <c r="O3702" i="12"/>
  <c r="M3705" i="12" l="1"/>
  <c r="N3705" i="12" s="1"/>
  <c r="O3703" i="12"/>
  <c r="M3706" i="12" l="1"/>
  <c r="N3706" i="12" s="1"/>
  <c r="O3704" i="12"/>
  <c r="M3707" i="12" l="1"/>
  <c r="N3707" i="12" s="1"/>
  <c r="O3705" i="12"/>
  <c r="M3708" i="12" l="1"/>
  <c r="N3708" i="12" s="1"/>
  <c r="O3706" i="12"/>
  <c r="M3709" i="12" l="1"/>
  <c r="N3709" i="12" s="1"/>
  <c r="O3707" i="12"/>
  <c r="M3710" i="12" l="1"/>
  <c r="N3710" i="12" s="1"/>
  <c r="O3708" i="12"/>
  <c r="M3711" i="12" l="1"/>
  <c r="N3711" i="12" s="1"/>
  <c r="O3709" i="12"/>
  <c r="M3712" i="12" l="1"/>
  <c r="N3712" i="12" s="1"/>
  <c r="O3710" i="12"/>
  <c r="M3713" i="12" l="1"/>
  <c r="N3713" i="12" s="1"/>
  <c r="O3711" i="12"/>
  <c r="M3714" i="12" l="1"/>
  <c r="N3714" i="12" s="1"/>
  <c r="O3712" i="12"/>
  <c r="M3715" i="12" l="1"/>
  <c r="N3715" i="12" s="1"/>
  <c r="O3713" i="12"/>
  <c r="M3716" i="12" l="1"/>
  <c r="N3716" i="12" s="1"/>
  <c r="O3714" i="12"/>
  <c r="M3717" i="12" l="1"/>
  <c r="N3717" i="12" s="1"/>
  <c r="O3715" i="12"/>
  <c r="M3718" i="12" l="1"/>
  <c r="N3718" i="12" s="1"/>
  <c r="O3716" i="12"/>
  <c r="M3719" i="12" l="1"/>
  <c r="N3719" i="12" s="1"/>
  <c r="O3717" i="12"/>
  <c r="M3720" i="12" l="1"/>
  <c r="N3720" i="12" s="1"/>
  <c r="O3718" i="12"/>
  <c r="M3721" i="12" l="1"/>
  <c r="N3721" i="12" s="1"/>
  <c r="O3719" i="12"/>
  <c r="M3722" i="12" l="1"/>
  <c r="N3722" i="12" s="1"/>
  <c r="O3720" i="12"/>
  <c r="M3723" i="12" l="1"/>
  <c r="N3723" i="12" s="1"/>
  <c r="O3721" i="12"/>
  <c r="M3724" i="12" l="1"/>
  <c r="N3724" i="12" s="1"/>
  <c r="O3722" i="12"/>
  <c r="M3725" i="12" l="1"/>
  <c r="N3725" i="12" s="1"/>
  <c r="O3723" i="12"/>
  <c r="M3726" i="12" l="1"/>
  <c r="N3726" i="12" s="1"/>
  <c r="O3724" i="12"/>
  <c r="M3727" i="12" l="1"/>
  <c r="N3727" i="12" s="1"/>
  <c r="O3725" i="12"/>
  <c r="M3728" i="12" l="1"/>
  <c r="N3728" i="12" s="1"/>
  <c r="O3726" i="12"/>
  <c r="M3729" i="12" l="1"/>
  <c r="N3729" i="12" s="1"/>
  <c r="O3727" i="12"/>
  <c r="M3730" i="12" l="1"/>
  <c r="N3730" i="12" s="1"/>
  <c r="O3728" i="12"/>
  <c r="M3731" i="12" l="1"/>
  <c r="N3731" i="12" s="1"/>
  <c r="O3729" i="12"/>
  <c r="M3732" i="12" l="1"/>
  <c r="N3732" i="12" s="1"/>
  <c r="O3730" i="12"/>
  <c r="M3733" i="12" l="1"/>
  <c r="N3733" i="12" s="1"/>
  <c r="O3731" i="12"/>
  <c r="M3734" i="12" l="1"/>
  <c r="N3734" i="12" s="1"/>
  <c r="O3732" i="12"/>
  <c r="M3735" i="12" l="1"/>
  <c r="N3735" i="12" s="1"/>
  <c r="O3733" i="12"/>
  <c r="M3736" i="12" l="1"/>
  <c r="N3736" i="12" s="1"/>
  <c r="O3734" i="12"/>
  <c r="M3737" i="12" l="1"/>
  <c r="N3737" i="12" s="1"/>
  <c r="O3735" i="12"/>
  <c r="M3738" i="12" l="1"/>
  <c r="N3738" i="12" s="1"/>
  <c r="O3736" i="12"/>
  <c r="M3739" i="12" l="1"/>
  <c r="N3739" i="12" s="1"/>
  <c r="O3737" i="12"/>
  <c r="M3740" i="12" l="1"/>
  <c r="N3740" i="12" s="1"/>
  <c r="O3738" i="12"/>
  <c r="M3741" i="12" l="1"/>
  <c r="N3741" i="12" s="1"/>
  <c r="O3739" i="12"/>
  <c r="M3742" i="12" l="1"/>
  <c r="N3742" i="12" s="1"/>
  <c r="O3740" i="12"/>
  <c r="M3743" i="12" l="1"/>
  <c r="N3743" i="12" s="1"/>
  <c r="O3741" i="12"/>
  <c r="M3744" i="12" l="1"/>
  <c r="N3744" i="12" s="1"/>
  <c r="O3742" i="12"/>
  <c r="M3745" i="12" l="1"/>
  <c r="N3745" i="12" s="1"/>
  <c r="O3743" i="12"/>
  <c r="M3746" i="12" l="1"/>
  <c r="N3746" i="12" s="1"/>
  <c r="O3744" i="12"/>
  <c r="M3747" i="12" l="1"/>
  <c r="N3747" i="12" s="1"/>
  <c r="O3745" i="12"/>
  <c r="M3748" i="12" l="1"/>
  <c r="N3748" i="12" s="1"/>
  <c r="O3746" i="12"/>
  <c r="M3749" i="12" l="1"/>
  <c r="N3749" i="12" s="1"/>
  <c r="O3747" i="12"/>
  <c r="M3750" i="12" l="1"/>
  <c r="N3750" i="12" s="1"/>
  <c r="O3748" i="12"/>
  <c r="M3751" i="12" l="1"/>
  <c r="N3751" i="12" s="1"/>
  <c r="O3749" i="12"/>
  <c r="M3752" i="12" l="1"/>
  <c r="N3752" i="12" s="1"/>
  <c r="O3750" i="12"/>
  <c r="M3753" i="12" l="1"/>
  <c r="N3753" i="12" s="1"/>
  <c r="O3751" i="12"/>
  <c r="M3754" i="12" l="1"/>
  <c r="N3754" i="12" s="1"/>
  <c r="O3752" i="12"/>
  <c r="M3755" i="12" l="1"/>
  <c r="N3755" i="12" s="1"/>
  <c r="O3753" i="12"/>
  <c r="M3756" i="12" l="1"/>
  <c r="N3756" i="12" s="1"/>
  <c r="O3754" i="12"/>
  <c r="M3757" i="12" l="1"/>
  <c r="N3757" i="12" s="1"/>
  <c r="O3755" i="12"/>
  <c r="M3758" i="12" l="1"/>
  <c r="N3758" i="12" s="1"/>
  <c r="O3756" i="12"/>
  <c r="M3759" i="12" l="1"/>
  <c r="N3759" i="12" s="1"/>
  <c r="O3757" i="12"/>
  <c r="M3760" i="12" l="1"/>
  <c r="N3760" i="12" s="1"/>
  <c r="O3758" i="12"/>
  <c r="M3761" i="12" l="1"/>
  <c r="N3761" i="12" s="1"/>
  <c r="O3759" i="12"/>
  <c r="M3762" i="12" l="1"/>
  <c r="N3762" i="12" s="1"/>
  <c r="O3760" i="12"/>
  <c r="M3763" i="12" l="1"/>
  <c r="N3763" i="12" s="1"/>
  <c r="O3761" i="12"/>
  <c r="M3764" i="12" l="1"/>
  <c r="N3764" i="12" s="1"/>
  <c r="O3762" i="12"/>
  <c r="M3765" i="12" l="1"/>
  <c r="N3765" i="12" s="1"/>
  <c r="O3763" i="12"/>
  <c r="M3766" i="12" l="1"/>
  <c r="N3766" i="12" s="1"/>
  <c r="O3764" i="12"/>
  <c r="M3767" i="12" l="1"/>
  <c r="N3767" i="12" s="1"/>
  <c r="O3765" i="12"/>
  <c r="M3768" i="12" l="1"/>
  <c r="N3768" i="12" s="1"/>
  <c r="O3766" i="12"/>
  <c r="M3769" i="12" l="1"/>
  <c r="N3769" i="12" s="1"/>
  <c r="O3767" i="12"/>
  <c r="M3770" i="12" l="1"/>
  <c r="N3770" i="12" s="1"/>
  <c r="O3768" i="12"/>
  <c r="M3771" i="12" l="1"/>
  <c r="N3771" i="12" s="1"/>
  <c r="O3769" i="12"/>
  <c r="M3772" i="12" l="1"/>
  <c r="N3772" i="12" s="1"/>
  <c r="O3770" i="12"/>
  <c r="M3773" i="12" l="1"/>
  <c r="N3773" i="12" s="1"/>
  <c r="O3771" i="12"/>
  <c r="M3774" i="12" l="1"/>
  <c r="N3774" i="12" s="1"/>
  <c r="O3772" i="12"/>
  <c r="M3775" i="12" l="1"/>
  <c r="N3775" i="12" s="1"/>
  <c r="O3773" i="12"/>
  <c r="M3776" i="12" l="1"/>
  <c r="N3776" i="12" s="1"/>
  <c r="O3774" i="12"/>
  <c r="M3777" i="12" l="1"/>
  <c r="N3777" i="12" s="1"/>
  <c r="O3775" i="12"/>
  <c r="M3778" i="12" l="1"/>
  <c r="N3778" i="12" s="1"/>
  <c r="O3776" i="12"/>
  <c r="M3779" i="12" l="1"/>
  <c r="N3779" i="12" s="1"/>
  <c r="O3777" i="12"/>
  <c r="M3780" i="12" l="1"/>
  <c r="N3780" i="12" s="1"/>
  <c r="O3778" i="12"/>
  <c r="M3781" i="12" l="1"/>
  <c r="N3781" i="12" s="1"/>
  <c r="O3779" i="12"/>
  <c r="M3782" i="12" l="1"/>
  <c r="N3782" i="12" s="1"/>
  <c r="O3780" i="12"/>
  <c r="M3783" i="12" l="1"/>
  <c r="N3783" i="12" s="1"/>
  <c r="O3781" i="12"/>
  <c r="M3784" i="12" l="1"/>
  <c r="N3784" i="12" s="1"/>
  <c r="O3782" i="12"/>
  <c r="M3785" i="12" l="1"/>
  <c r="N3785" i="12" s="1"/>
  <c r="O3783" i="12"/>
  <c r="M3786" i="12" l="1"/>
  <c r="N3786" i="12" s="1"/>
  <c r="O3784" i="12"/>
  <c r="M3787" i="12" l="1"/>
  <c r="N3787" i="12" s="1"/>
  <c r="O3785" i="12"/>
  <c r="M3788" i="12" l="1"/>
  <c r="N3788" i="12" s="1"/>
  <c r="O3786" i="12"/>
  <c r="M3789" i="12" l="1"/>
  <c r="N3789" i="12" s="1"/>
  <c r="O3787" i="12"/>
  <c r="M3790" i="12" l="1"/>
  <c r="N3790" i="12" s="1"/>
  <c r="O3788" i="12"/>
  <c r="M3791" i="12" l="1"/>
  <c r="N3791" i="12" s="1"/>
  <c r="O3789" i="12"/>
  <c r="M3792" i="12" l="1"/>
  <c r="N3792" i="12" s="1"/>
  <c r="O3790" i="12"/>
  <c r="M3793" i="12" l="1"/>
  <c r="N3793" i="12" s="1"/>
  <c r="O3791" i="12"/>
  <c r="M3794" i="12" l="1"/>
  <c r="N3794" i="12" s="1"/>
  <c r="O3792" i="12"/>
  <c r="M3795" i="12" l="1"/>
  <c r="N3795" i="12" s="1"/>
  <c r="O3793" i="12"/>
  <c r="M3796" i="12" l="1"/>
  <c r="N3796" i="12" s="1"/>
  <c r="O3794" i="12"/>
  <c r="M3797" i="12" l="1"/>
  <c r="N3797" i="12" s="1"/>
  <c r="O3795" i="12"/>
  <c r="M3798" i="12" l="1"/>
  <c r="N3798" i="12" s="1"/>
  <c r="O3796" i="12"/>
  <c r="M3799" i="12" l="1"/>
  <c r="N3799" i="12" s="1"/>
  <c r="O3797" i="12"/>
  <c r="M3800" i="12" l="1"/>
  <c r="N3800" i="12" s="1"/>
  <c r="O3798" i="12"/>
  <c r="M3801" i="12" l="1"/>
  <c r="N3801" i="12" s="1"/>
  <c r="O3799" i="12"/>
  <c r="M3802" i="12" l="1"/>
  <c r="N3802" i="12" s="1"/>
  <c r="O3800" i="12"/>
  <c r="M3803" i="12" l="1"/>
  <c r="N3803" i="12" s="1"/>
  <c r="O3801" i="12"/>
  <c r="M3804" i="12" l="1"/>
  <c r="N3804" i="12" s="1"/>
  <c r="O3802" i="12"/>
  <c r="M3805" i="12" l="1"/>
  <c r="N3805" i="12" s="1"/>
  <c r="O3803" i="12"/>
  <c r="M3806" i="12" l="1"/>
  <c r="N3806" i="12" s="1"/>
  <c r="O3804" i="12"/>
  <c r="M3807" i="12" l="1"/>
  <c r="N3807" i="12" s="1"/>
  <c r="O3805" i="12"/>
  <c r="M3808" i="12" l="1"/>
  <c r="N3808" i="12" s="1"/>
  <c r="O3806" i="12"/>
  <c r="M3809" i="12" l="1"/>
  <c r="N3809" i="12" s="1"/>
  <c r="O3807" i="12"/>
  <c r="M3810" i="12" l="1"/>
  <c r="N3810" i="12" s="1"/>
  <c r="O3808" i="12"/>
  <c r="M3811" i="12" l="1"/>
  <c r="N3811" i="12" s="1"/>
  <c r="O3809" i="12"/>
  <c r="M3812" i="12" l="1"/>
  <c r="N3812" i="12" s="1"/>
  <c r="O3810" i="12"/>
  <c r="M3813" i="12" l="1"/>
  <c r="N3813" i="12" s="1"/>
  <c r="O3811" i="12"/>
  <c r="M3814" i="12" l="1"/>
  <c r="N3814" i="12" s="1"/>
  <c r="O3812" i="12"/>
  <c r="M3815" i="12" l="1"/>
  <c r="N3815" i="12" s="1"/>
  <c r="O3813" i="12"/>
  <c r="M3816" i="12" l="1"/>
  <c r="N3816" i="12" s="1"/>
  <c r="O3814" i="12"/>
  <c r="M3817" i="12" l="1"/>
  <c r="N3817" i="12" s="1"/>
  <c r="O3815" i="12"/>
  <c r="M3818" i="12" l="1"/>
  <c r="N3818" i="12" s="1"/>
  <c r="O3816" i="12"/>
  <c r="M3819" i="12" l="1"/>
  <c r="N3819" i="12" s="1"/>
  <c r="O3817" i="12"/>
  <c r="M3820" i="12" l="1"/>
  <c r="N3820" i="12" s="1"/>
  <c r="O3818" i="12"/>
  <c r="M3821" i="12" l="1"/>
  <c r="N3821" i="12" s="1"/>
  <c r="O3819" i="12"/>
  <c r="M3822" i="12" l="1"/>
  <c r="N3822" i="12" s="1"/>
  <c r="O3820" i="12"/>
  <c r="M3823" i="12" l="1"/>
  <c r="N3823" i="12" s="1"/>
  <c r="O3821" i="12"/>
  <c r="M3824" i="12" l="1"/>
  <c r="N3824" i="12" s="1"/>
  <c r="O3822" i="12"/>
  <c r="M3825" i="12" l="1"/>
  <c r="N3825" i="12" s="1"/>
  <c r="O3823" i="12"/>
  <c r="M3826" i="12" l="1"/>
  <c r="N3826" i="12" s="1"/>
  <c r="O3824" i="12"/>
  <c r="M3827" i="12" l="1"/>
  <c r="N3827" i="12" s="1"/>
  <c r="O3825" i="12"/>
  <c r="M3828" i="12" l="1"/>
  <c r="N3828" i="12" s="1"/>
  <c r="O3826" i="12"/>
  <c r="M3829" i="12" l="1"/>
  <c r="N3829" i="12" s="1"/>
  <c r="O3827" i="12"/>
  <c r="M3830" i="12" l="1"/>
  <c r="N3830" i="12" s="1"/>
  <c r="O3828" i="12"/>
  <c r="M3831" i="12" l="1"/>
  <c r="N3831" i="12" s="1"/>
  <c r="O3829" i="12"/>
  <c r="M3832" i="12" l="1"/>
  <c r="N3832" i="12" s="1"/>
  <c r="O3830" i="12"/>
  <c r="M3833" i="12" l="1"/>
  <c r="N3833" i="12" s="1"/>
  <c r="O3831" i="12"/>
  <c r="M3834" i="12" l="1"/>
  <c r="N3834" i="12" s="1"/>
  <c r="O3832" i="12"/>
  <c r="M3835" i="12" l="1"/>
  <c r="N3835" i="12" s="1"/>
  <c r="O3833" i="12"/>
  <c r="M3836" i="12" l="1"/>
  <c r="N3836" i="12" s="1"/>
  <c r="O3834" i="12"/>
  <c r="M3837" i="12" l="1"/>
  <c r="N3837" i="12" s="1"/>
  <c r="O3835" i="12"/>
  <c r="M3838" i="12" l="1"/>
  <c r="N3838" i="12" s="1"/>
  <c r="O3836" i="12"/>
  <c r="M3839" i="12" l="1"/>
  <c r="N3839" i="12" s="1"/>
  <c r="O3837" i="12"/>
  <c r="M3840" i="12" l="1"/>
  <c r="N3840" i="12" s="1"/>
  <c r="O3838" i="12"/>
  <c r="M3841" i="12" l="1"/>
  <c r="N3841" i="12" s="1"/>
  <c r="O3839" i="12"/>
  <c r="M3842" i="12" l="1"/>
  <c r="N3842" i="12" s="1"/>
  <c r="O3840" i="12"/>
  <c r="M3843" i="12" l="1"/>
  <c r="N3843" i="12" s="1"/>
  <c r="O3841" i="12"/>
  <c r="M3844" i="12" l="1"/>
  <c r="N3844" i="12" s="1"/>
  <c r="O3842" i="12"/>
  <c r="M3845" i="12" l="1"/>
  <c r="N3845" i="12" s="1"/>
  <c r="O3843" i="12"/>
  <c r="M3846" i="12" l="1"/>
  <c r="N3846" i="12" s="1"/>
  <c r="O3844" i="12"/>
  <c r="M3847" i="12" l="1"/>
  <c r="N3847" i="12" s="1"/>
  <c r="O3845" i="12"/>
  <c r="M3848" i="12" l="1"/>
  <c r="N3848" i="12" s="1"/>
  <c r="O3846" i="12"/>
  <c r="M3849" i="12" l="1"/>
  <c r="N3849" i="12" s="1"/>
  <c r="O3847" i="12"/>
  <c r="M3850" i="12" l="1"/>
  <c r="N3850" i="12" s="1"/>
  <c r="O3848" i="12"/>
  <c r="M3851" i="12" l="1"/>
  <c r="N3851" i="12" s="1"/>
  <c r="O3849" i="12"/>
  <c r="M3852" i="12" l="1"/>
  <c r="N3852" i="12" s="1"/>
  <c r="O3850" i="12"/>
  <c r="M3853" i="12" l="1"/>
  <c r="N3853" i="12" s="1"/>
  <c r="O3851" i="12"/>
  <c r="M3854" i="12" l="1"/>
  <c r="N3854" i="12" s="1"/>
  <c r="O3852" i="12"/>
  <c r="M3855" i="12" l="1"/>
  <c r="N3855" i="12" s="1"/>
  <c r="O3853" i="12"/>
  <c r="M3856" i="12" l="1"/>
  <c r="N3856" i="12" s="1"/>
  <c r="O3854" i="12"/>
  <c r="M3857" i="12" l="1"/>
  <c r="N3857" i="12" s="1"/>
  <c r="O3855" i="12"/>
  <c r="M3858" i="12" l="1"/>
  <c r="N3858" i="12" s="1"/>
  <c r="O3856" i="12"/>
  <c r="M3859" i="12" l="1"/>
  <c r="N3859" i="12" s="1"/>
  <c r="O3857" i="12"/>
  <c r="M3860" i="12" l="1"/>
  <c r="N3860" i="12" s="1"/>
  <c r="O3858" i="12"/>
  <c r="M3861" i="12" l="1"/>
  <c r="N3861" i="12" s="1"/>
  <c r="O3859" i="12"/>
  <c r="M3862" i="12" l="1"/>
  <c r="N3862" i="12" s="1"/>
  <c r="O3860" i="12"/>
  <c r="M3863" i="12" l="1"/>
  <c r="N3863" i="12" s="1"/>
  <c r="O3861" i="12"/>
  <c r="M3864" i="12" l="1"/>
  <c r="N3864" i="12" s="1"/>
  <c r="O3862" i="12"/>
  <c r="M3865" i="12" l="1"/>
  <c r="N3865" i="12" s="1"/>
  <c r="O3863" i="12"/>
  <c r="M3866" i="12" l="1"/>
  <c r="N3866" i="12" s="1"/>
  <c r="O3864" i="12"/>
  <c r="M3867" i="12" l="1"/>
  <c r="N3867" i="12" s="1"/>
  <c r="O3865" i="12"/>
  <c r="M3868" i="12" l="1"/>
  <c r="N3868" i="12" s="1"/>
  <c r="O3866" i="12"/>
  <c r="M3869" i="12" l="1"/>
  <c r="N3869" i="12" s="1"/>
  <c r="O3867" i="12"/>
  <c r="M3870" i="12" l="1"/>
  <c r="N3870" i="12" s="1"/>
  <c r="O3868" i="12"/>
  <c r="M3871" i="12" l="1"/>
  <c r="N3871" i="12" s="1"/>
  <c r="O3869" i="12"/>
  <c r="M3872" i="12" l="1"/>
  <c r="N3872" i="12" s="1"/>
  <c r="O3870" i="12"/>
  <c r="M3873" i="12" l="1"/>
  <c r="N3873" i="12" s="1"/>
  <c r="O3871" i="12"/>
  <c r="M3874" i="12" l="1"/>
  <c r="N3874" i="12" s="1"/>
  <c r="O3872" i="12"/>
  <c r="M3875" i="12" l="1"/>
  <c r="N3875" i="12" s="1"/>
  <c r="O3873" i="12"/>
  <c r="M3876" i="12" l="1"/>
  <c r="N3876" i="12" s="1"/>
  <c r="O3874" i="12"/>
  <c r="M3877" i="12" l="1"/>
  <c r="N3877" i="12" s="1"/>
  <c r="O3875" i="12"/>
  <c r="M3878" i="12" l="1"/>
  <c r="N3878" i="12" s="1"/>
  <c r="O3876" i="12"/>
  <c r="M3879" i="12" l="1"/>
  <c r="N3879" i="12" s="1"/>
  <c r="O3877" i="12"/>
  <c r="M3880" i="12" l="1"/>
  <c r="N3880" i="12" s="1"/>
  <c r="O3878" i="12"/>
  <c r="M3881" i="12" l="1"/>
  <c r="N3881" i="12" s="1"/>
  <c r="O3879" i="12"/>
  <c r="M3882" i="12" l="1"/>
  <c r="N3882" i="12" s="1"/>
  <c r="O3880" i="12"/>
  <c r="M3883" i="12" l="1"/>
  <c r="N3883" i="12" s="1"/>
  <c r="O3881" i="12"/>
  <c r="M3884" i="12" l="1"/>
  <c r="N3884" i="12" s="1"/>
  <c r="O3882" i="12"/>
  <c r="M3885" i="12" l="1"/>
  <c r="N3885" i="12" s="1"/>
  <c r="O3883" i="12"/>
  <c r="M3886" i="12" l="1"/>
  <c r="N3886" i="12" s="1"/>
  <c r="O3884" i="12"/>
  <c r="M3887" i="12" l="1"/>
  <c r="N3887" i="12" s="1"/>
  <c r="O3885" i="12"/>
  <c r="M3888" i="12" l="1"/>
  <c r="N3888" i="12" s="1"/>
  <c r="O3886" i="12"/>
  <c r="M3889" i="12" l="1"/>
  <c r="N3889" i="12" s="1"/>
  <c r="O3887" i="12"/>
  <c r="M3890" i="12" l="1"/>
  <c r="N3890" i="12" s="1"/>
  <c r="O3888" i="12"/>
  <c r="M3891" i="12" l="1"/>
  <c r="N3891" i="12" s="1"/>
  <c r="O3889" i="12"/>
  <c r="M3892" i="12" l="1"/>
  <c r="N3892" i="12" s="1"/>
  <c r="O3890" i="12"/>
  <c r="M3893" i="12" l="1"/>
  <c r="N3893" i="12" s="1"/>
  <c r="O3891" i="12"/>
  <c r="M3894" i="12" l="1"/>
  <c r="N3894" i="12" s="1"/>
  <c r="O3892" i="12"/>
  <c r="M3895" i="12" l="1"/>
  <c r="N3895" i="12" s="1"/>
  <c r="O3893" i="12"/>
  <c r="M3896" i="12" l="1"/>
  <c r="N3896" i="12" s="1"/>
  <c r="O3894" i="12"/>
  <c r="M3897" i="12" l="1"/>
  <c r="N3897" i="12" s="1"/>
  <c r="O3895" i="12"/>
  <c r="M3898" i="12" l="1"/>
  <c r="N3898" i="12" s="1"/>
  <c r="O3896" i="12"/>
  <c r="M3899" i="12" l="1"/>
  <c r="N3899" i="12" s="1"/>
  <c r="O3897" i="12"/>
  <c r="M3900" i="12" l="1"/>
  <c r="N3900" i="12" s="1"/>
  <c r="O3898" i="12"/>
  <c r="M3901" i="12" l="1"/>
  <c r="N3901" i="12" s="1"/>
  <c r="O3899" i="12"/>
  <c r="M3902" i="12" l="1"/>
  <c r="N3902" i="12" s="1"/>
  <c r="O3900" i="12"/>
  <c r="M3903" i="12" l="1"/>
  <c r="N3903" i="12" s="1"/>
  <c r="O3901" i="12"/>
  <c r="M3904" i="12" l="1"/>
  <c r="N3904" i="12" s="1"/>
  <c r="O3902" i="12"/>
  <c r="M3905" i="12" l="1"/>
  <c r="N3905" i="12" s="1"/>
  <c r="O3903" i="12"/>
  <c r="M3906" i="12" l="1"/>
  <c r="N3906" i="12" s="1"/>
  <c r="O3904" i="12"/>
  <c r="M3907" i="12" l="1"/>
  <c r="N3907" i="12" s="1"/>
  <c r="O3905" i="12"/>
  <c r="M3908" i="12" l="1"/>
  <c r="N3908" i="12" s="1"/>
  <c r="O3906" i="12"/>
  <c r="M3909" i="12" l="1"/>
  <c r="N3909" i="12" s="1"/>
  <c r="O3907" i="12"/>
  <c r="M3910" i="12" l="1"/>
  <c r="N3910" i="12" s="1"/>
  <c r="O3908" i="12"/>
  <c r="M3911" i="12" l="1"/>
  <c r="N3911" i="12" s="1"/>
  <c r="O3909" i="12"/>
  <c r="M3912" i="12" l="1"/>
  <c r="N3912" i="12" s="1"/>
  <c r="O3910" i="12"/>
  <c r="M3913" i="12" l="1"/>
  <c r="N3913" i="12" s="1"/>
  <c r="O3911" i="12"/>
  <c r="M3914" i="12" l="1"/>
  <c r="N3914" i="12" s="1"/>
  <c r="O3912" i="12"/>
  <c r="M3915" i="12" l="1"/>
  <c r="N3915" i="12" s="1"/>
  <c r="O3913" i="12"/>
  <c r="M3916" i="12" l="1"/>
  <c r="N3916" i="12" s="1"/>
  <c r="O3914" i="12"/>
  <c r="M3917" i="12" l="1"/>
  <c r="N3917" i="12" s="1"/>
  <c r="O3915" i="12"/>
  <c r="M3918" i="12" l="1"/>
  <c r="N3918" i="12" s="1"/>
  <c r="O3916" i="12"/>
  <c r="M3919" i="12" l="1"/>
  <c r="N3919" i="12" s="1"/>
  <c r="O3917" i="12"/>
  <c r="M3920" i="12" l="1"/>
  <c r="N3920" i="12" s="1"/>
  <c r="O3918" i="12"/>
  <c r="M3921" i="12" l="1"/>
  <c r="N3921" i="12" s="1"/>
  <c r="O3919" i="12"/>
  <c r="M3922" i="12" l="1"/>
  <c r="N3922" i="12" s="1"/>
  <c r="O3920" i="12"/>
  <c r="M3923" i="12" l="1"/>
  <c r="N3923" i="12" s="1"/>
  <c r="O3921" i="12"/>
  <c r="M3924" i="12" l="1"/>
  <c r="N3924" i="12" s="1"/>
  <c r="O3922" i="12"/>
  <c r="M3925" i="12" l="1"/>
  <c r="N3925" i="12" s="1"/>
  <c r="O3923" i="12"/>
  <c r="M3926" i="12" l="1"/>
  <c r="N3926" i="12" s="1"/>
  <c r="O3924" i="12"/>
  <c r="M3927" i="12" l="1"/>
  <c r="N3927" i="12" s="1"/>
  <c r="O3925" i="12"/>
  <c r="M3928" i="12" l="1"/>
  <c r="N3928" i="12" s="1"/>
  <c r="O3926" i="12"/>
  <c r="M3929" i="12" l="1"/>
  <c r="N3929" i="12" s="1"/>
  <c r="O3927" i="12"/>
  <c r="M3930" i="12" l="1"/>
  <c r="N3930" i="12" s="1"/>
  <c r="O3928" i="12"/>
  <c r="M3931" i="12" l="1"/>
  <c r="N3931" i="12" s="1"/>
  <c r="O3929" i="12"/>
  <c r="M3932" i="12" l="1"/>
  <c r="N3932" i="12" s="1"/>
  <c r="O3930" i="12"/>
  <c r="M3933" i="12" l="1"/>
  <c r="N3933" i="12" s="1"/>
  <c r="O3931" i="12"/>
  <c r="M3934" i="12" l="1"/>
  <c r="N3934" i="12" s="1"/>
  <c r="O3932" i="12"/>
  <c r="M3935" i="12" l="1"/>
  <c r="N3935" i="12" s="1"/>
  <c r="O3933" i="12"/>
  <c r="M3936" i="12" l="1"/>
  <c r="N3936" i="12" s="1"/>
  <c r="O3934" i="12"/>
  <c r="M3937" i="12" l="1"/>
  <c r="N3937" i="12" s="1"/>
  <c r="O3935" i="12"/>
  <c r="M3938" i="12" l="1"/>
  <c r="N3938" i="12" s="1"/>
  <c r="O3936" i="12"/>
  <c r="M3939" i="12" l="1"/>
  <c r="N3939" i="12" s="1"/>
  <c r="O3937" i="12"/>
  <c r="M3940" i="12" l="1"/>
  <c r="N3940" i="12" s="1"/>
  <c r="O3938" i="12"/>
  <c r="M3941" i="12" l="1"/>
  <c r="N3941" i="12" s="1"/>
  <c r="O3939" i="12"/>
  <c r="M3942" i="12" l="1"/>
  <c r="N3942" i="12" s="1"/>
  <c r="O3940" i="12"/>
  <c r="M3943" i="12" l="1"/>
  <c r="N3943" i="12" s="1"/>
  <c r="O3941" i="12"/>
  <c r="M3944" i="12" l="1"/>
  <c r="N3944" i="12" s="1"/>
  <c r="O3942" i="12"/>
  <c r="M3945" i="12" l="1"/>
  <c r="N3945" i="12" s="1"/>
  <c r="O3943" i="12"/>
  <c r="M3946" i="12" l="1"/>
  <c r="N3946" i="12" s="1"/>
  <c r="O3944" i="12"/>
  <c r="M3947" i="12" l="1"/>
  <c r="N3947" i="12" s="1"/>
  <c r="O3945" i="12"/>
  <c r="M3948" i="12" l="1"/>
  <c r="N3948" i="12" s="1"/>
  <c r="O3946" i="12"/>
  <c r="M3949" i="12" l="1"/>
  <c r="N3949" i="12" s="1"/>
  <c r="O3947" i="12"/>
  <c r="M3950" i="12" l="1"/>
  <c r="N3950" i="12" s="1"/>
  <c r="O3948" i="12"/>
  <c r="M3951" i="12" l="1"/>
  <c r="N3951" i="12" s="1"/>
  <c r="O3949" i="12"/>
  <c r="M3952" i="12" l="1"/>
  <c r="N3952" i="12" s="1"/>
  <c r="O3950" i="12"/>
  <c r="M3953" i="12" l="1"/>
  <c r="N3953" i="12" s="1"/>
  <c r="O3951" i="12"/>
  <c r="M3954" i="12" l="1"/>
  <c r="N3954" i="12" s="1"/>
  <c r="O3952" i="12"/>
  <c r="M3955" i="12" l="1"/>
  <c r="N3955" i="12" s="1"/>
  <c r="O3953" i="12"/>
  <c r="M3956" i="12" l="1"/>
  <c r="N3956" i="12" s="1"/>
  <c r="O3954" i="12"/>
  <c r="M3957" i="12" l="1"/>
  <c r="N3957" i="12" s="1"/>
  <c r="O3955" i="12"/>
  <c r="M3958" i="12" l="1"/>
  <c r="N3958" i="12" s="1"/>
  <c r="O3956" i="12"/>
  <c r="M3959" i="12" l="1"/>
  <c r="N3959" i="12" s="1"/>
  <c r="O3957" i="12"/>
  <c r="M3960" i="12" l="1"/>
  <c r="N3960" i="12" s="1"/>
  <c r="O3958" i="12"/>
  <c r="M3961" i="12" l="1"/>
  <c r="N3961" i="12" s="1"/>
  <c r="O3959" i="12"/>
  <c r="M3962" i="12" l="1"/>
  <c r="N3962" i="12" s="1"/>
  <c r="O3960" i="12"/>
  <c r="M3963" i="12" l="1"/>
  <c r="N3963" i="12" s="1"/>
  <c r="O3961" i="12"/>
  <c r="M3964" i="12" l="1"/>
  <c r="N3964" i="12" s="1"/>
  <c r="O3962" i="12"/>
  <c r="M3965" i="12" l="1"/>
  <c r="N3965" i="12" s="1"/>
  <c r="O3963" i="12"/>
  <c r="M3966" i="12" l="1"/>
  <c r="N3966" i="12" s="1"/>
  <c r="O3964" i="12"/>
  <c r="M3967" i="12" l="1"/>
  <c r="N3967" i="12" s="1"/>
  <c r="O3965" i="12"/>
  <c r="M3968" i="12" l="1"/>
  <c r="N3968" i="12" s="1"/>
  <c r="O3966" i="12"/>
  <c r="M3969" i="12" l="1"/>
  <c r="N3969" i="12" s="1"/>
  <c r="O3967" i="12"/>
  <c r="M3970" i="12" l="1"/>
  <c r="N3970" i="12" s="1"/>
  <c r="O3968" i="12"/>
  <c r="M3971" i="12" l="1"/>
  <c r="N3971" i="12" s="1"/>
  <c r="O3969" i="12"/>
  <c r="M3972" i="12" l="1"/>
  <c r="N3972" i="12" s="1"/>
  <c r="O3970" i="12"/>
  <c r="M3973" i="12" l="1"/>
  <c r="N3973" i="12" s="1"/>
  <c r="O3971" i="12"/>
  <c r="M3974" i="12" l="1"/>
  <c r="N3974" i="12" s="1"/>
  <c r="O3972" i="12"/>
  <c r="M3975" i="12" l="1"/>
  <c r="N3975" i="12" s="1"/>
  <c r="O3973" i="12"/>
  <c r="M3976" i="12" l="1"/>
  <c r="N3976" i="12" s="1"/>
  <c r="O3974" i="12"/>
  <c r="M3977" i="12" l="1"/>
  <c r="N3977" i="12" s="1"/>
  <c r="O3975" i="12"/>
  <c r="M3978" i="12" l="1"/>
  <c r="N3978" i="12" s="1"/>
  <c r="O3976" i="12"/>
  <c r="M3979" i="12" l="1"/>
  <c r="N3979" i="12" s="1"/>
  <c r="O3977" i="12"/>
  <c r="M3980" i="12" l="1"/>
  <c r="N3980" i="12" s="1"/>
  <c r="O3978" i="12"/>
  <c r="M3981" i="12" l="1"/>
  <c r="N3981" i="12" s="1"/>
  <c r="O3979" i="12"/>
  <c r="M3982" i="12" l="1"/>
  <c r="N3982" i="12" s="1"/>
  <c r="O3980" i="12"/>
  <c r="M3983" i="12" l="1"/>
  <c r="N3983" i="12" s="1"/>
  <c r="O3981" i="12"/>
  <c r="M3984" i="12" l="1"/>
  <c r="N3984" i="12" s="1"/>
  <c r="O3982" i="12"/>
  <c r="M3985" i="12" l="1"/>
  <c r="N3985" i="12" s="1"/>
  <c r="O3983" i="12"/>
  <c r="M3986" i="12" l="1"/>
  <c r="N3986" i="12" s="1"/>
  <c r="O3984" i="12"/>
  <c r="M3987" i="12" l="1"/>
  <c r="N3987" i="12" s="1"/>
  <c r="O3985" i="12"/>
  <c r="M3988" i="12" l="1"/>
  <c r="N3988" i="12" s="1"/>
  <c r="O3986" i="12"/>
  <c r="M3989" i="12" l="1"/>
  <c r="N3989" i="12" s="1"/>
  <c r="O3987" i="12"/>
  <c r="M3990" i="12" l="1"/>
  <c r="N3990" i="12" s="1"/>
  <c r="O3988" i="12"/>
  <c r="M3991" i="12" l="1"/>
  <c r="N3991" i="12" s="1"/>
  <c r="O3989" i="12"/>
  <c r="M3992" i="12" l="1"/>
  <c r="N3992" i="12" s="1"/>
  <c r="O3990" i="12"/>
  <c r="M3993" i="12" l="1"/>
  <c r="N3993" i="12" s="1"/>
  <c r="O3991" i="12"/>
  <c r="M3994" i="12" l="1"/>
  <c r="N3994" i="12" s="1"/>
  <c r="O3992" i="12"/>
  <c r="M3995" i="12" l="1"/>
  <c r="N3995" i="12" s="1"/>
  <c r="O3993" i="12"/>
  <c r="M3996" i="12" l="1"/>
  <c r="N3996" i="12" s="1"/>
  <c r="O3994" i="12"/>
  <c r="M3997" i="12" l="1"/>
  <c r="N3997" i="12" s="1"/>
  <c r="O3995" i="12"/>
  <c r="M3998" i="12" l="1"/>
  <c r="N3998" i="12" s="1"/>
  <c r="O3996" i="12"/>
  <c r="M3999" i="12" l="1"/>
  <c r="N3999" i="12" s="1"/>
  <c r="O3997" i="12"/>
  <c r="M4000" i="12" l="1"/>
  <c r="N4000" i="12" s="1"/>
  <c r="O3998" i="12"/>
  <c r="M4001" i="12" l="1"/>
  <c r="N4001" i="12" s="1"/>
  <c r="O3999" i="12"/>
  <c r="M4002" i="12" l="1"/>
  <c r="N4002" i="12" s="1"/>
  <c r="O4000" i="12"/>
  <c r="M4003" i="12" l="1"/>
  <c r="N4003" i="12" s="1"/>
  <c r="O4001" i="12"/>
  <c r="M4004" i="12" l="1"/>
  <c r="N4004" i="12" s="1"/>
  <c r="O4002" i="12"/>
  <c r="M4005" i="12" l="1"/>
  <c r="N4005" i="12" s="1"/>
  <c r="O4003" i="12"/>
  <c r="M4006" i="12" l="1"/>
  <c r="N4006" i="12" s="1"/>
  <c r="O4004" i="12"/>
  <c r="M4007" i="12" l="1"/>
  <c r="N4007" i="12" s="1"/>
  <c r="O4005" i="12"/>
  <c r="M4008" i="12" l="1"/>
  <c r="N4008" i="12" s="1"/>
  <c r="O4006" i="12"/>
  <c r="M4009" i="12" l="1"/>
  <c r="N4009" i="12" s="1"/>
  <c r="O4007" i="12"/>
  <c r="M4010" i="12" l="1"/>
  <c r="N4010" i="12" s="1"/>
  <c r="O4008" i="12"/>
  <c r="M4011" i="12" l="1"/>
  <c r="N4011" i="12" s="1"/>
  <c r="O4009" i="12"/>
  <c r="M4012" i="12" l="1"/>
  <c r="N4012" i="12" s="1"/>
  <c r="O4010" i="12"/>
  <c r="M4013" i="12" l="1"/>
  <c r="N4013" i="12" s="1"/>
  <c r="O4011" i="12"/>
  <c r="M4014" i="12" l="1"/>
  <c r="N4014" i="12" s="1"/>
  <c r="O4012" i="12"/>
  <c r="M4015" i="12" l="1"/>
  <c r="N4015" i="12" s="1"/>
  <c r="O4013" i="12"/>
  <c r="M4016" i="12" l="1"/>
  <c r="N4016" i="12" s="1"/>
  <c r="O4014" i="12"/>
  <c r="M4017" i="12" l="1"/>
  <c r="N4017" i="12" s="1"/>
  <c r="O4015" i="12"/>
  <c r="M4018" i="12" l="1"/>
  <c r="N4018" i="12" s="1"/>
  <c r="O4016" i="12"/>
  <c r="M4019" i="12" l="1"/>
  <c r="N4019" i="12" s="1"/>
  <c r="O4017" i="12"/>
  <c r="M4020" i="12" l="1"/>
  <c r="N4020" i="12" s="1"/>
  <c r="O4018" i="12"/>
  <c r="M4021" i="12" l="1"/>
  <c r="N4021" i="12" s="1"/>
  <c r="O4019" i="12"/>
  <c r="M4022" i="12" l="1"/>
  <c r="N4022" i="12" s="1"/>
  <c r="O4020" i="12"/>
  <c r="M4023" i="12" l="1"/>
  <c r="N4023" i="12" s="1"/>
  <c r="O4021" i="12"/>
  <c r="M4024" i="12" l="1"/>
  <c r="N4024" i="12" s="1"/>
  <c r="O4022" i="12"/>
  <c r="M4025" i="12" l="1"/>
  <c r="N4025" i="12" s="1"/>
  <c r="O4023" i="12"/>
  <c r="M4026" i="12" l="1"/>
  <c r="N4026" i="12" s="1"/>
  <c r="O4024" i="12"/>
  <c r="M4027" i="12" l="1"/>
  <c r="N4027" i="12" s="1"/>
  <c r="O4025" i="12"/>
  <c r="M4028" i="12" l="1"/>
  <c r="N4028" i="12" s="1"/>
  <c r="O4026" i="12"/>
  <c r="M4029" i="12" l="1"/>
  <c r="N4029" i="12" s="1"/>
  <c r="O4027" i="12"/>
  <c r="M4030" i="12" l="1"/>
  <c r="N4030" i="12" s="1"/>
  <c r="O4028" i="12"/>
  <c r="M4031" i="12" l="1"/>
  <c r="N4031" i="12" s="1"/>
  <c r="O4029" i="12"/>
  <c r="M4032" i="12" l="1"/>
  <c r="N4032" i="12" s="1"/>
  <c r="O4030" i="12"/>
  <c r="M4033" i="12" l="1"/>
  <c r="N4033" i="12" s="1"/>
  <c r="O4031" i="12"/>
  <c r="M4034" i="12" l="1"/>
  <c r="N4034" i="12" s="1"/>
  <c r="O4032" i="12"/>
  <c r="M4035" i="12" l="1"/>
  <c r="N4035" i="12" s="1"/>
  <c r="O4033" i="12"/>
  <c r="M4036" i="12" l="1"/>
  <c r="N4036" i="12" s="1"/>
  <c r="O4034" i="12"/>
  <c r="M4037" i="12" l="1"/>
  <c r="N4037" i="12" s="1"/>
  <c r="O4035" i="12"/>
  <c r="M4038" i="12" l="1"/>
  <c r="N4038" i="12" s="1"/>
  <c r="O4036" i="12"/>
  <c r="M4039" i="12" l="1"/>
  <c r="N4039" i="12" s="1"/>
  <c r="O4037" i="12"/>
  <c r="M4040" i="12" l="1"/>
  <c r="N4040" i="12" s="1"/>
  <c r="O4038" i="12"/>
  <c r="M4041" i="12" l="1"/>
  <c r="N4041" i="12" s="1"/>
  <c r="O4039" i="12"/>
  <c r="M4042" i="12" l="1"/>
  <c r="N4042" i="12" s="1"/>
  <c r="O4040" i="12"/>
  <c r="M4043" i="12" l="1"/>
  <c r="N4043" i="12" s="1"/>
  <c r="O4041" i="12"/>
  <c r="M4044" i="12" l="1"/>
  <c r="N4044" i="12" s="1"/>
  <c r="O4042" i="12"/>
  <c r="M4045" i="12" l="1"/>
  <c r="N4045" i="12" s="1"/>
  <c r="O4043" i="12"/>
  <c r="M4046" i="12" l="1"/>
  <c r="N4046" i="12" s="1"/>
  <c r="O4044" i="12"/>
  <c r="M4047" i="12" l="1"/>
  <c r="N4047" i="12" s="1"/>
  <c r="O4045" i="12"/>
  <c r="M4048" i="12" l="1"/>
  <c r="N4048" i="12" s="1"/>
  <c r="O4046" i="12"/>
  <c r="M4049" i="12" l="1"/>
  <c r="N4049" i="12" s="1"/>
  <c r="O4047" i="12"/>
  <c r="M4050" i="12" l="1"/>
  <c r="N4050" i="12" s="1"/>
  <c r="O4048" i="12"/>
  <c r="M4051" i="12" l="1"/>
  <c r="N4051" i="12" s="1"/>
  <c r="O4049" i="12"/>
  <c r="M4052" i="12" l="1"/>
  <c r="N4052" i="12" s="1"/>
  <c r="O4050" i="12"/>
  <c r="M4053" i="12" l="1"/>
  <c r="N4053" i="12" s="1"/>
  <c r="O4051" i="12"/>
  <c r="M4054" i="12" l="1"/>
  <c r="N4054" i="12" s="1"/>
  <c r="O4052" i="12"/>
  <c r="M4055" i="12" l="1"/>
  <c r="N4055" i="12" s="1"/>
  <c r="O4053" i="12"/>
  <c r="M4056" i="12" l="1"/>
  <c r="N4056" i="12" s="1"/>
  <c r="O4054" i="12"/>
  <c r="M4057" i="12" l="1"/>
  <c r="N4057" i="12" s="1"/>
  <c r="O4055" i="12"/>
  <c r="M4058" i="12" l="1"/>
  <c r="N4058" i="12" s="1"/>
  <c r="O4056" i="12"/>
  <c r="M4059" i="12" l="1"/>
  <c r="N4059" i="12" s="1"/>
  <c r="O4057" i="12"/>
  <c r="M4060" i="12" l="1"/>
  <c r="N4060" i="12" s="1"/>
  <c r="O4058" i="12"/>
  <c r="M4061" i="12" l="1"/>
  <c r="N4061" i="12" s="1"/>
  <c r="O4059" i="12"/>
  <c r="M4062" i="12" l="1"/>
  <c r="N4062" i="12" s="1"/>
  <c r="O4060" i="12"/>
  <c r="M4063" i="12" l="1"/>
  <c r="N4063" i="12" s="1"/>
  <c r="O4061" i="12"/>
  <c r="M4064" i="12" l="1"/>
  <c r="N4064" i="12" s="1"/>
  <c r="O4062" i="12"/>
  <c r="M4065" i="12" l="1"/>
  <c r="N4065" i="12" s="1"/>
  <c r="O4063" i="12"/>
  <c r="M4066" i="12" l="1"/>
  <c r="N4066" i="12" s="1"/>
  <c r="O4064" i="12"/>
  <c r="M4067" i="12" l="1"/>
  <c r="N4067" i="12" s="1"/>
  <c r="O4065" i="12"/>
  <c r="M4068" i="12" l="1"/>
  <c r="N4068" i="12" s="1"/>
  <c r="O4066" i="12"/>
  <c r="M4069" i="12" l="1"/>
  <c r="N4069" i="12" s="1"/>
  <c r="O4067" i="12"/>
  <c r="M4070" i="12" l="1"/>
  <c r="N4070" i="12" s="1"/>
  <c r="O4068" i="12"/>
  <c r="M4071" i="12" l="1"/>
  <c r="N4071" i="12" s="1"/>
  <c r="O4069" i="12"/>
  <c r="M4072" i="12" l="1"/>
  <c r="N4072" i="12" s="1"/>
  <c r="O4070" i="12"/>
  <c r="M4073" i="12" l="1"/>
  <c r="N4073" i="12" s="1"/>
  <c r="O4071" i="12"/>
  <c r="M4074" i="12" l="1"/>
  <c r="N4074" i="12" s="1"/>
  <c r="O4072" i="12"/>
  <c r="M4075" i="12" l="1"/>
  <c r="N4075" i="12" s="1"/>
  <c r="O4073" i="12"/>
  <c r="M4076" i="12" l="1"/>
  <c r="N4076" i="12" s="1"/>
  <c r="O4074" i="12"/>
  <c r="M4077" i="12" l="1"/>
  <c r="N4077" i="12" s="1"/>
  <c r="O4075" i="12"/>
  <c r="M4078" i="12" l="1"/>
  <c r="N4078" i="12" s="1"/>
  <c r="O4076" i="12"/>
  <c r="M4079" i="12" l="1"/>
  <c r="N4079" i="12" s="1"/>
  <c r="O4077" i="12"/>
  <c r="M4080" i="12" l="1"/>
  <c r="N4080" i="12" s="1"/>
  <c r="O4078" i="12"/>
  <c r="M4081" i="12" l="1"/>
  <c r="N4081" i="12" s="1"/>
  <c r="O4079" i="12"/>
  <c r="M4082" i="12" l="1"/>
  <c r="N4082" i="12" s="1"/>
  <c r="O4080" i="12"/>
  <c r="M4083" i="12" l="1"/>
  <c r="N4083" i="12" s="1"/>
  <c r="O4081" i="12"/>
  <c r="M4084" i="12" l="1"/>
  <c r="N4084" i="12" s="1"/>
  <c r="O4082" i="12"/>
  <c r="M4085" i="12" l="1"/>
  <c r="N4085" i="12" s="1"/>
  <c r="O4083" i="12"/>
  <c r="M4086" i="12" l="1"/>
  <c r="N4086" i="12" s="1"/>
  <c r="O4084" i="12"/>
  <c r="M4087" i="12" l="1"/>
  <c r="N4087" i="12" s="1"/>
  <c r="O4085" i="12"/>
  <c r="M4088" i="12" l="1"/>
  <c r="N4088" i="12" s="1"/>
  <c r="O4086" i="12"/>
  <c r="M4089" i="12" l="1"/>
  <c r="N4089" i="12" s="1"/>
  <c r="O4087" i="12"/>
  <c r="M4090" i="12" l="1"/>
  <c r="N4090" i="12" s="1"/>
  <c r="O4088" i="12"/>
  <c r="M4091" i="12" l="1"/>
  <c r="N4091" i="12" s="1"/>
  <c r="O4089" i="12"/>
  <c r="M4092" i="12" l="1"/>
  <c r="N4092" i="12" s="1"/>
  <c r="O4090" i="12"/>
  <c r="M4093" i="12" l="1"/>
  <c r="N4093" i="12" s="1"/>
  <c r="O4091" i="12"/>
  <c r="M4094" i="12" l="1"/>
  <c r="N4094" i="12" s="1"/>
  <c r="O4092" i="12"/>
  <c r="M4095" i="12" l="1"/>
  <c r="N4095" i="12" s="1"/>
  <c r="O4093" i="12"/>
  <c r="M4096" i="12" l="1"/>
  <c r="N4096" i="12" s="1"/>
  <c r="O4094" i="12"/>
  <c r="M4097" i="12" l="1"/>
  <c r="N4097" i="12" s="1"/>
  <c r="O4095" i="12"/>
  <c r="M4098" i="12" l="1"/>
  <c r="N4098" i="12" s="1"/>
  <c r="O4096" i="12"/>
  <c r="M4099" i="12" l="1"/>
  <c r="N4099" i="12" s="1"/>
  <c r="O4097" i="12"/>
  <c r="M4100" i="12" l="1"/>
  <c r="N4100" i="12" s="1"/>
  <c r="O4098" i="12"/>
  <c r="M4101" i="12" l="1"/>
  <c r="N4101" i="12" s="1"/>
  <c r="O4099" i="12"/>
  <c r="M4102" i="12" l="1"/>
  <c r="N4102" i="12" s="1"/>
  <c r="O4100" i="12"/>
  <c r="M4103" i="12" l="1"/>
  <c r="N4103" i="12" s="1"/>
  <c r="O4101" i="12"/>
  <c r="M4104" i="12" l="1"/>
  <c r="N4104" i="12" s="1"/>
  <c r="O4102" i="12"/>
  <c r="M4105" i="12" l="1"/>
  <c r="N4105" i="12" s="1"/>
  <c r="O4103" i="12"/>
  <c r="M4106" i="12" l="1"/>
  <c r="N4106" i="12" s="1"/>
  <c r="O4104" i="12"/>
  <c r="M4107" i="12" l="1"/>
  <c r="N4107" i="12" s="1"/>
  <c r="O4105" i="12"/>
  <c r="M4108" i="12" l="1"/>
  <c r="N4108" i="12" s="1"/>
  <c r="O4106" i="12"/>
  <c r="M4109" i="12" l="1"/>
  <c r="N4109" i="12" s="1"/>
  <c r="O4107" i="12"/>
  <c r="M4110" i="12" l="1"/>
  <c r="N4110" i="12" s="1"/>
  <c r="O4108" i="12"/>
  <c r="M4111" i="12" l="1"/>
  <c r="N4111" i="12" s="1"/>
  <c r="O4109" i="12"/>
  <c r="M4112" i="12" l="1"/>
  <c r="N4112" i="12" s="1"/>
  <c r="O4110" i="12"/>
  <c r="M4113" i="12" l="1"/>
  <c r="N4113" i="12" s="1"/>
  <c r="O4111" i="12"/>
  <c r="M4114" i="12" l="1"/>
  <c r="N4114" i="12" s="1"/>
  <c r="O4112" i="12"/>
  <c r="M4115" i="12" l="1"/>
  <c r="N4115" i="12" s="1"/>
  <c r="O4113" i="12"/>
  <c r="M4116" i="12" l="1"/>
  <c r="N4116" i="12" s="1"/>
  <c r="O4114" i="12"/>
  <c r="M4117" i="12" l="1"/>
  <c r="N4117" i="12" s="1"/>
  <c r="O4115" i="12"/>
  <c r="M4118" i="12" l="1"/>
  <c r="N4118" i="12" s="1"/>
  <c r="O4116" i="12"/>
  <c r="M4119" i="12" l="1"/>
  <c r="N4119" i="12" s="1"/>
  <c r="O4117" i="12"/>
  <c r="M4120" i="12" l="1"/>
  <c r="N4120" i="12" s="1"/>
  <c r="O4118" i="12"/>
  <c r="M4121" i="12" l="1"/>
  <c r="N4121" i="12" s="1"/>
  <c r="O4119" i="12"/>
  <c r="M4122" i="12" l="1"/>
  <c r="N4122" i="12" s="1"/>
  <c r="O4120" i="12"/>
  <c r="M4123" i="12" l="1"/>
  <c r="N4123" i="12" s="1"/>
  <c r="O4121" i="12"/>
  <c r="M4124" i="12" l="1"/>
  <c r="N4124" i="12" s="1"/>
  <c r="O4122" i="12"/>
  <c r="M4125" i="12" l="1"/>
  <c r="N4125" i="12" s="1"/>
  <c r="O4123" i="12"/>
  <c r="M4126" i="12" l="1"/>
  <c r="N4126" i="12" s="1"/>
  <c r="O4124" i="12"/>
  <c r="M4127" i="12" l="1"/>
  <c r="N4127" i="12" s="1"/>
  <c r="O4125" i="12"/>
  <c r="M4128" i="12" l="1"/>
  <c r="N4128" i="12" s="1"/>
  <c r="O4126" i="12"/>
  <c r="M4129" i="12" l="1"/>
  <c r="N4129" i="12" s="1"/>
  <c r="O4127" i="12"/>
  <c r="M4130" i="12" l="1"/>
  <c r="N4130" i="12" s="1"/>
  <c r="O4128" i="12"/>
  <c r="M4131" i="12" l="1"/>
  <c r="N4131" i="12" s="1"/>
  <c r="O4129" i="12"/>
  <c r="M4132" i="12" l="1"/>
  <c r="N4132" i="12" s="1"/>
  <c r="O4130" i="12"/>
  <c r="M4133" i="12" l="1"/>
  <c r="N4133" i="12" s="1"/>
  <c r="O4131" i="12"/>
  <c r="M4134" i="12" l="1"/>
  <c r="N4134" i="12" s="1"/>
  <c r="O4132" i="12"/>
  <c r="M4135" i="12" l="1"/>
  <c r="N4135" i="12" s="1"/>
  <c r="O4133" i="12"/>
  <c r="M4136" i="12" l="1"/>
  <c r="N4136" i="12" s="1"/>
  <c r="O4134" i="12"/>
  <c r="M4137" i="12" l="1"/>
  <c r="N4137" i="12" s="1"/>
  <c r="O4135" i="12"/>
  <c r="M4138" i="12" l="1"/>
  <c r="N4138" i="12" s="1"/>
  <c r="O4136" i="12"/>
  <c r="M4139" i="12" l="1"/>
  <c r="N4139" i="12" s="1"/>
  <c r="O4137" i="12"/>
  <c r="M4140" i="12" l="1"/>
  <c r="N4140" i="12" s="1"/>
  <c r="O4138" i="12"/>
  <c r="M4141" i="12" l="1"/>
  <c r="N4141" i="12" s="1"/>
  <c r="O4139" i="12"/>
  <c r="M4142" i="12" l="1"/>
  <c r="N4142" i="12" s="1"/>
  <c r="O4140" i="12"/>
  <c r="M4143" i="12" l="1"/>
  <c r="N4143" i="12" s="1"/>
  <c r="O4141" i="12"/>
  <c r="M4144" i="12" l="1"/>
  <c r="N4144" i="12" s="1"/>
  <c r="O4142" i="12"/>
  <c r="M4145" i="12" l="1"/>
  <c r="N4145" i="12" s="1"/>
  <c r="O4143" i="12"/>
  <c r="M4146" i="12" l="1"/>
  <c r="N4146" i="12" s="1"/>
  <c r="O4144" i="12"/>
  <c r="M4147" i="12" l="1"/>
  <c r="N4147" i="12" s="1"/>
  <c r="O4145" i="12"/>
  <c r="M4148" i="12" l="1"/>
  <c r="N4148" i="12" s="1"/>
  <c r="O4146" i="12"/>
  <c r="M4149" i="12" l="1"/>
  <c r="N4149" i="12" s="1"/>
  <c r="O4147" i="12"/>
  <c r="M4150" i="12" l="1"/>
  <c r="N4150" i="12" s="1"/>
  <c r="O4148" i="12"/>
  <c r="M4151" i="12" l="1"/>
  <c r="N4151" i="12" s="1"/>
  <c r="O4149" i="12"/>
  <c r="M4152" i="12" l="1"/>
  <c r="N4152" i="12" s="1"/>
  <c r="O4150" i="12"/>
  <c r="M4153" i="12" l="1"/>
  <c r="N4153" i="12" s="1"/>
  <c r="O4151" i="12"/>
  <c r="M4154" i="12" l="1"/>
  <c r="N4154" i="12" s="1"/>
  <c r="O4152" i="12"/>
  <c r="M4155" i="12" l="1"/>
  <c r="N4155" i="12" s="1"/>
  <c r="O4153" i="12"/>
  <c r="M4156" i="12" l="1"/>
  <c r="N4156" i="12" s="1"/>
  <c r="O4154" i="12"/>
  <c r="M4157" i="12" l="1"/>
  <c r="N4157" i="12" s="1"/>
  <c r="O4155" i="12"/>
  <c r="M4158" i="12" l="1"/>
  <c r="N4158" i="12" s="1"/>
  <c r="O4156" i="12"/>
  <c r="M4159" i="12" l="1"/>
  <c r="N4159" i="12" s="1"/>
  <c r="O4157" i="12"/>
  <c r="M4160" i="12" l="1"/>
  <c r="N4160" i="12" s="1"/>
  <c r="O4158" i="12"/>
  <c r="M4161" i="12" l="1"/>
  <c r="N4161" i="12" s="1"/>
  <c r="O4159" i="12"/>
  <c r="M4162" i="12" l="1"/>
  <c r="N4162" i="12" s="1"/>
  <c r="O4160" i="12"/>
  <c r="M4163" i="12" l="1"/>
  <c r="N4163" i="12" s="1"/>
  <c r="O4161" i="12"/>
  <c r="M4164" i="12" l="1"/>
  <c r="N4164" i="12" s="1"/>
  <c r="O4162" i="12"/>
  <c r="M4165" i="12" l="1"/>
  <c r="N4165" i="12" s="1"/>
  <c r="O4163" i="12"/>
  <c r="M4166" i="12" l="1"/>
  <c r="N4166" i="12" s="1"/>
  <c r="O4164" i="12"/>
  <c r="M4167" i="12" l="1"/>
  <c r="N4167" i="12" s="1"/>
  <c r="O4165" i="12"/>
  <c r="M4168" i="12" l="1"/>
  <c r="N4168" i="12" s="1"/>
  <c r="O4166" i="12"/>
  <c r="M4169" i="12" l="1"/>
  <c r="N4169" i="12" s="1"/>
  <c r="O4167" i="12"/>
  <c r="M4170" i="12" l="1"/>
  <c r="N4170" i="12" s="1"/>
  <c r="O4168" i="12"/>
  <c r="M4171" i="12" l="1"/>
  <c r="N4171" i="12" s="1"/>
  <c r="O4169" i="12"/>
  <c r="M4172" i="12" l="1"/>
  <c r="N4172" i="12" s="1"/>
  <c r="O4170" i="12"/>
  <c r="M4173" i="12" l="1"/>
  <c r="N4173" i="12" s="1"/>
  <c r="O4171" i="12"/>
  <c r="M4174" i="12" l="1"/>
  <c r="N4174" i="12" s="1"/>
  <c r="O4172" i="12"/>
  <c r="M4175" i="12" l="1"/>
  <c r="N4175" i="12" s="1"/>
  <c r="O4173" i="12"/>
  <c r="M4176" i="12" l="1"/>
  <c r="N4176" i="12" s="1"/>
  <c r="O4174" i="12"/>
  <c r="M4177" i="12" l="1"/>
  <c r="N4177" i="12" s="1"/>
  <c r="O4175" i="12"/>
  <c r="M4178" i="12" l="1"/>
  <c r="N4178" i="12" s="1"/>
  <c r="O4176" i="12"/>
  <c r="M4179" i="12" l="1"/>
  <c r="N4179" i="12" s="1"/>
  <c r="O4177" i="12"/>
  <c r="M4180" i="12" l="1"/>
  <c r="N4180" i="12" s="1"/>
  <c r="O4178" i="12"/>
  <c r="M4181" i="12" l="1"/>
  <c r="N4181" i="12" s="1"/>
  <c r="O4179" i="12"/>
  <c r="M4182" i="12" l="1"/>
  <c r="N4182" i="12" s="1"/>
  <c r="O4180" i="12"/>
  <c r="M4183" i="12" l="1"/>
  <c r="N4183" i="12" s="1"/>
  <c r="O4181" i="12"/>
  <c r="M4184" i="12" l="1"/>
  <c r="N4184" i="12" s="1"/>
  <c r="O4182" i="12"/>
  <c r="M4185" i="12" l="1"/>
  <c r="N4185" i="12" s="1"/>
  <c r="O4183" i="12"/>
  <c r="M4186" i="12" l="1"/>
  <c r="N4186" i="12" s="1"/>
  <c r="O4184" i="12"/>
  <c r="M4187" i="12" l="1"/>
  <c r="N4187" i="12" s="1"/>
  <c r="O4185" i="12"/>
  <c r="M4188" i="12" l="1"/>
  <c r="N4188" i="12" s="1"/>
  <c r="O4186" i="12"/>
  <c r="M4189" i="12" l="1"/>
  <c r="N4189" i="12" s="1"/>
  <c r="O4187" i="12"/>
  <c r="M4190" i="12" l="1"/>
  <c r="N4190" i="12" s="1"/>
  <c r="O4188" i="12"/>
  <c r="M4191" i="12" l="1"/>
  <c r="N4191" i="12" s="1"/>
  <c r="O4189" i="12"/>
  <c r="M4192" i="12" l="1"/>
  <c r="N4192" i="12" s="1"/>
  <c r="O4190" i="12"/>
  <c r="M4193" i="12" l="1"/>
  <c r="N4193" i="12" s="1"/>
  <c r="O4191" i="12"/>
  <c r="M4194" i="12" l="1"/>
  <c r="N4194" i="12" s="1"/>
  <c r="O4192" i="12"/>
  <c r="M4195" i="12" l="1"/>
  <c r="N4195" i="12" s="1"/>
  <c r="O4193" i="12"/>
  <c r="M4196" i="12" l="1"/>
  <c r="N4196" i="12" s="1"/>
  <c r="O4194" i="12"/>
  <c r="M4197" i="12" l="1"/>
  <c r="N4197" i="12" s="1"/>
  <c r="O4195" i="12"/>
  <c r="M4198" i="12" l="1"/>
  <c r="N4198" i="12" s="1"/>
  <c r="O4196" i="12"/>
  <c r="M4199" i="12" l="1"/>
  <c r="N4199" i="12" s="1"/>
  <c r="O4197" i="12"/>
  <c r="M4200" i="12" l="1"/>
  <c r="N4200" i="12" s="1"/>
  <c r="O4198" i="12"/>
  <c r="M4201" i="12" l="1"/>
  <c r="N4201" i="12" s="1"/>
  <c r="O4199" i="12"/>
  <c r="M4202" i="12" l="1"/>
  <c r="N4202" i="12" s="1"/>
  <c r="O4200" i="12"/>
  <c r="M4203" i="12" l="1"/>
  <c r="N4203" i="12" s="1"/>
  <c r="O4201" i="12"/>
  <c r="M4204" i="12" l="1"/>
  <c r="N4204" i="12" s="1"/>
  <c r="O4202" i="12"/>
  <c r="M4205" i="12" l="1"/>
  <c r="N4205" i="12" s="1"/>
  <c r="O4203" i="12"/>
  <c r="M4206" i="12" l="1"/>
  <c r="N4206" i="12" s="1"/>
  <c r="O4204" i="12"/>
  <c r="M4207" i="12" l="1"/>
  <c r="N4207" i="12" s="1"/>
  <c r="O4205" i="12"/>
  <c r="M4208" i="12" l="1"/>
  <c r="N4208" i="12" s="1"/>
  <c r="O4206" i="12"/>
  <c r="M4209" i="12" l="1"/>
  <c r="N4209" i="12" s="1"/>
  <c r="O4207" i="12"/>
  <c r="M4210" i="12" l="1"/>
  <c r="N4210" i="12" s="1"/>
  <c r="O4208" i="12"/>
  <c r="M4211" i="12" l="1"/>
  <c r="N4211" i="12" s="1"/>
  <c r="O4209" i="12"/>
  <c r="M4212" i="12" l="1"/>
  <c r="N4212" i="12" s="1"/>
  <c r="O4210" i="12"/>
  <c r="M4213" i="12" l="1"/>
  <c r="N4213" i="12" s="1"/>
  <c r="O4211" i="12"/>
  <c r="M4214" i="12" l="1"/>
  <c r="N4214" i="12" s="1"/>
  <c r="O4212" i="12"/>
  <c r="M4215" i="12" l="1"/>
  <c r="N4215" i="12" s="1"/>
  <c r="O4213" i="12"/>
  <c r="M4216" i="12" l="1"/>
  <c r="N4216" i="12" s="1"/>
  <c r="O4214" i="12"/>
  <c r="M4217" i="12" l="1"/>
  <c r="N4217" i="12" s="1"/>
  <c r="O4215" i="12"/>
  <c r="M4218" i="12" l="1"/>
  <c r="N4218" i="12" s="1"/>
  <c r="O4216" i="12"/>
  <c r="M4219" i="12" l="1"/>
  <c r="N4219" i="12" s="1"/>
  <c r="O4217" i="12"/>
  <c r="M4220" i="12" l="1"/>
  <c r="N4220" i="12" s="1"/>
  <c r="O4218" i="12"/>
  <c r="M4221" i="12" l="1"/>
  <c r="N4221" i="12" s="1"/>
  <c r="O4219" i="12"/>
  <c r="M4222" i="12" l="1"/>
  <c r="N4222" i="12" s="1"/>
  <c r="O4220" i="12"/>
  <c r="M4223" i="12" l="1"/>
  <c r="N4223" i="12" s="1"/>
  <c r="O4221" i="12"/>
  <c r="M4224" i="12" l="1"/>
  <c r="N4224" i="12" s="1"/>
  <c r="O4222" i="12"/>
  <c r="M4225" i="12" l="1"/>
  <c r="N4225" i="12" s="1"/>
  <c r="O4223" i="12"/>
  <c r="M4226" i="12" l="1"/>
  <c r="N4226" i="12" s="1"/>
  <c r="O4224" i="12"/>
  <c r="M4227" i="12" l="1"/>
  <c r="N4227" i="12" s="1"/>
  <c r="O4225" i="12"/>
  <c r="M4228" i="12" l="1"/>
  <c r="N4228" i="12" s="1"/>
  <c r="O4226" i="12"/>
  <c r="M4229" i="12" l="1"/>
  <c r="N4229" i="12" s="1"/>
  <c r="O4227" i="12"/>
  <c r="M4230" i="12" l="1"/>
  <c r="N4230" i="12" s="1"/>
  <c r="O4228" i="12"/>
  <c r="M4231" i="12" l="1"/>
  <c r="N4231" i="12" s="1"/>
  <c r="O4229" i="12"/>
  <c r="M4232" i="12" l="1"/>
  <c r="N4232" i="12" s="1"/>
  <c r="O4230" i="12"/>
  <c r="M4233" i="12" l="1"/>
  <c r="N4233" i="12" s="1"/>
  <c r="O4231" i="12"/>
  <c r="M4234" i="12" l="1"/>
  <c r="N4234" i="12" s="1"/>
  <c r="O4232" i="12"/>
  <c r="M4235" i="12" l="1"/>
  <c r="N4235" i="12" s="1"/>
  <c r="O4233" i="12"/>
  <c r="M4236" i="12" l="1"/>
  <c r="N4236" i="12" s="1"/>
  <c r="O4234" i="12"/>
  <c r="M4237" i="12" l="1"/>
  <c r="N4237" i="12" s="1"/>
  <c r="O4235" i="12"/>
  <c r="M4238" i="12" l="1"/>
  <c r="N4238" i="12" s="1"/>
  <c r="O4236" i="12"/>
  <c r="M4239" i="12" l="1"/>
  <c r="N4239" i="12" s="1"/>
  <c r="O4237" i="12"/>
  <c r="M4240" i="12" l="1"/>
  <c r="N4240" i="12" s="1"/>
  <c r="O4238" i="12"/>
  <c r="M4241" i="12" l="1"/>
  <c r="N4241" i="12" s="1"/>
  <c r="O4239" i="12"/>
  <c r="M4242" i="12" l="1"/>
  <c r="N4242" i="12" s="1"/>
  <c r="O4240" i="12"/>
  <c r="M4243" i="12" l="1"/>
  <c r="N4243" i="12" s="1"/>
  <c r="O4241" i="12"/>
  <c r="M4244" i="12" l="1"/>
  <c r="N4244" i="12" s="1"/>
  <c r="O4242" i="12"/>
  <c r="M4245" i="12" l="1"/>
  <c r="N4245" i="12" s="1"/>
  <c r="O4243" i="12"/>
  <c r="M4246" i="12" l="1"/>
  <c r="N4246" i="12" s="1"/>
  <c r="O4244" i="12"/>
  <c r="M4247" i="12" l="1"/>
  <c r="N4247" i="12" s="1"/>
  <c r="O4245" i="12"/>
  <c r="M4248" i="12" l="1"/>
  <c r="N4248" i="12" s="1"/>
  <c r="O4246" i="12"/>
  <c r="M4249" i="12" l="1"/>
  <c r="N4249" i="12" s="1"/>
  <c r="O4247" i="12"/>
  <c r="M4250" i="12" l="1"/>
  <c r="N4250" i="12" s="1"/>
  <c r="O4248" i="12"/>
  <c r="M4251" i="12" l="1"/>
  <c r="N4251" i="12" s="1"/>
  <c r="O4249" i="12"/>
  <c r="M4252" i="12" l="1"/>
  <c r="N4252" i="12" s="1"/>
  <c r="O4250" i="12"/>
  <c r="M4253" i="12" l="1"/>
  <c r="N4253" i="12" s="1"/>
  <c r="O4251" i="12"/>
  <c r="M4254" i="12" l="1"/>
  <c r="N4254" i="12" s="1"/>
  <c r="O4252" i="12"/>
  <c r="M4255" i="12" l="1"/>
  <c r="N4255" i="12" s="1"/>
  <c r="O4253" i="12"/>
  <c r="M4256" i="12" l="1"/>
  <c r="N4256" i="12" s="1"/>
  <c r="O4254" i="12"/>
  <c r="M4257" i="12" l="1"/>
  <c r="N4257" i="12" s="1"/>
  <c r="O4255" i="12"/>
  <c r="M4258" i="12" l="1"/>
  <c r="N4258" i="12" s="1"/>
  <c r="O4256" i="12"/>
  <c r="M4259" i="12" l="1"/>
  <c r="N4259" i="12" s="1"/>
  <c r="O4257" i="12"/>
  <c r="M4260" i="12" l="1"/>
  <c r="N4260" i="12" s="1"/>
  <c r="O4258" i="12"/>
  <c r="M4261" i="12" l="1"/>
  <c r="N4261" i="12" s="1"/>
  <c r="O4259" i="12"/>
  <c r="M4262" i="12" l="1"/>
  <c r="N4262" i="12" s="1"/>
  <c r="O4260" i="12"/>
  <c r="M4263" i="12" l="1"/>
  <c r="N4263" i="12" s="1"/>
  <c r="O4261" i="12"/>
  <c r="M4264" i="12" l="1"/>
  <c r="N4264" i="12" s="1"/>
  <c r="O4262" i="12"/>
  <c r="M4265" i="12" l="1"/>
  <c r="N4265" i="12" s="1"/>
  <c r="O4263" i="12"/>
  <c r="M4266" i="12" l="1"/>
  <c r="N4266" i="12" s="1"/>
  <c r="O4264" i="12"/>
  <c r="M4267" i="12" l="1"/>
  <c r="N4267" i="12" s="1"/>
  <c r="O4265" i="12"/>
  <c r="M4268" i="12" l="1"/>
  <c r="N4268" i="12" s="1"/>
  <c r="O4266" i="12"/>
  <c r="M4269" i="12" l="1"/>
  <c r="N4269" i="12" s="1"/>
  <c r="O4267" i="12"/>
  <c r="M4270" i="12" l="1"/>
  <c r="N4270" i="12" s="1"/>
  <c r="O4268" i="12"/>
  <c r="M4271" i="12" l="1"/>
  <c r="N4271" i="12" s="1"/>
  <c r="O4269" i="12"/>
  <c r="M4272" i="12" l="1"/>
  <c r="N4272" i="12" s="1"/>
  <c r="O4270" i="12"/>
  <c r="M4273" i="12" l="1"/>
  <c r="N4273" i="12" s="1"/>
  <c r="O4271" i="12"/>
  <c r="M4274" i="12" l="1"/>
  <c r="N4274" i="12" s="1"/>
  <c r="O4272" i="12"/>
  <c r="M4275" i="12" l="1"/>
  <c r="N4275" i="12" s="1"/>
  <c r="O4273" i="12"/>
  <c r="M4276" i="12" l="1"/>
  <c r="N4276" i="12" s="1"/>
  <c r="O4274" i="12"/>
  <c r="M4277" i="12" l="1"/>
  <c r="N4277" i="12" s="1"/>
  <c r="O4275" i="12"/>
  <c r="M4278" i="12" l="1"/>
  <c r="N4278" i="12" s="1"/>
  <c r="O4276" i="12"/>
  <c r="M4279" i="12" l="1"/>
  <c r="N4279" i="12" s="1"/>
  <c r="O4277" i="12"/>
  <c r="M4280" i="12" l="1"/>
  <c r="N4280" i="12" s="1"/>
  <c r="O4278" i="12"/>
  <c r="M4281" i="12" l="1"/>
  <c r="N4281" i="12" s="1"/>
  <c r="O4279" i="12"/>
  <c r="M4282" i="12" l="1"/>
  <c r="N4282" i="12" s="1"/>
  <c r="O4280" i="12"/>
  <c r="M4283" i="12" l="1"/>
  <c r="N4283" i="12" s="1"/>
  <c r="O4281" i="12"/>
  <c r="M4284" i="12" l="1"/>
  <c r="N4284" i="12" s="1"/>
  <c r="O4282" i="12"/>
  <c r="M4285" i="12" l="1"/>
  <c r="N4285" i="12" s="1"/>
  <c r="O4283" i="12"/>
  <c r="M4286" i="12" l="1"/>
  <c r="N4286" i="12" s="1"/>
  <c r="O4284" i="12"/>
  <c r="M4287" i="12" l="1"/>
  <c r="N4287" i="12" s="1"/>
  <c r="O4285" i="12"/>
  <c r="M4288" i="12" l="1"/>
  <c r="N4288" i="12" s="1"/>
  <c r="O4286" i="12"/>
  <c r="M4289" i="12" l="1"/>
  <c r="N4289" i="12" s="1"/>
  <c r="O4287" i="12"/>
  <c r="M4290" i="12" l="1"/>
  <c r="N4290" i="12" s="1"/>
  <c r="O4288" i="12"/>
  <c r="M4291" i="12" l="1"/>
  <c r="N4291" i="12" s="1"/>
  <c r="O4289" i="12"/>
  <c r="M4292" i="12" l="1"/>
  <c r="N4292" i="12" s="1"/>
  <c r="O4290" i="12"/>
  <c r="M4293" i="12" l="1"/>
  <c r="N4293" i="12" s="1"/>
  <c r="O4291" i="12"/>
  <c r="M4294" i="12" l="1"/>
  <c r="N4294" i="12" s="1"/>
  <c r="O4292" i="12"/>
  <c r="M4295" i="12" l="1"/>
  <c r="N4295" i="12" s="1"/>
  <c r="O4293" i="12"/>
  <c r="M4296" i="12" l="1"/>
  <c r="N4296" i="12" s="1"/>
  <c r="O4294" i="12"/>
  <c r="M4297" i="12" l="1"/>
  <c r="N4297" i="12" s="1"/>
  <c r="O4295" i="12"/>
  <c r="M4298" i="12" l="1"/>
  <c r="N4298" i="12" s="1"/>
  <c r="O4296" i="12"/>
  <c r="M4299" i="12" l="1"/>
  <c r="N4299" i="12" s="1"/>
  <c r="O4297" i="12"/>
  <c r="M4300" i="12" l="1"/>
  <c r="N4300" i="12" s="1"/>
  <c r="O4298" i="12"/>
  <c r="M4301" i="12" l="1"/>
  <c r="N4301" i="12" s="1"/>
  <c r="O4299" i="12"/>
  <c r="M4302" i="12" l="1"/>
  <c r="N4302" i="12" s="1"/>
  <c r="O4300" i="12"/>
  <c r="M4303" i="12" l="1"/>
  <c r="N4303" i="12" s="1"/>
  <c r="O4301" i="12"/>
  <c r="M4304" i="12" l="1"/>
  <c r="N4304" i="12" s="1"/>
  <c r="O4302" i="12"/>
  <c r="M4305" i="12" l="1"/>
  <c r="N4305" i="12" s="1"/>
  <c r="O4303" i="12"/>
  <c r="M4306" i="12" l="1"/>
  <c r="N4306" i="12" s="1"/>
  <c r="O4304" i="12"/>
  <c r="M4307" i="12" l="1"/>
  <c r="N4307" i="12" s="1"/>
  <c r="O4305" i="12"/>
  <c r="M4308" i="12" l="1"/>
  <c r="N4308" i="12" s="1"/>
  <c r="O4306" i="12"/>
  <c r="M4309" i="12" l="1"/>
  <c r="N4309" i="12" s="1"/>
  <c r="O4307" i="12"/>
  <c r="M4310" i="12" l="1"/>
  <c r="N4310" i="12" s="1"/>
  <c r="O4308" i="12"/>
  <c r="M4311" i="12" l="1"/>
  <c r="N4311" i="12" s="1"/>
  <c r="O4309" i="12"/>
  <c r="M4312" i="12" l="1"/>
  <c r="N4312" i="12" s="1"/>
  <c r="O4310" i="12"/>
  <c r="M4313" i="12" l="1"/>
  <c r="N4313" i="12" s="1"/>
  <c r="O4311" i="12"/>
  <c r="M4314" i="12" l="1"/>
  <c r="N4314" i="12" s="1"/>
  <c r="O4312" i="12"/>
  <c r="M4315" i="12" l="1"/>
  <c r="N4315" i="12" s="1"/>
  <c r="O4313" i="12"/>
  <c r="M4316" i="12" l="1"/>
  <c r="N4316" i="12" s="1"/>
  <c r="O4314" i="12"/>
  <c r="M4317" i="12" l="1"/>
  <c r="N4317" i="12" s="1"/>
  <c r="O4315" i="12"/>
  <c r="M4318" i="12" l="1"/>
  <c r="N4318" i="12" s="1"/>
  <c r="O4316" i="12"/>
  <c r="M4319" i="12" l="1"/>
  <c r="N4319" i="12" s="1"/>
  <c r="O4317" i="12"/>
  <c r="M4320" i="12" l="1"/>
  <c r="N4320" i="12" s="1"/>
  <c r="O4318" i="12"/>
  <c r="M4321" i="12" l="1"/>
  <c r="N4321" i="12" s="1"/>
  <c r="O4319" i="12"/>
  <c r="M4322" i="12" l="1"/>
  <c r="N4322" i="12" s="1"/>
  <c r="O4320" i="12"/>
  <c r="M4323" i="12" l="1"/>
  <c r="N4323" i="12" s="1"/>
  <c r="O4321" i="12"/>
  <c r="M4324" i="12" l="1"/>
  <c r="N4324" i="12" s="1"/>
  <c r="O4322" i="12"/>
  <c r="M4325" i="12" l="1"/>
  <c r="N4325" i="12" s="1"/>
  <c r="O4323" i="12"/>
  <c r="M4326" i="12" l="1"/>
  <c r="N4326" i="12" s="1"/>
  <c r="O4324" i="12"/>
  <c r="M4327" i="12" l="1"/>
  <c r="N4327" i="12" s="1"/>
  <c r="O4325" i="12"/>
  <c r="M4328" i="12" l="1"/>
  <c r="N4328" i="12" s="1"/>
  <c r="O4326" i="12"/>
  <c r="M4329" i="12" l="1"/>
  <c r="N4329" i="12" s="1"/>
  <c r="O4327" i="12"/>
  <c r="M4330" i="12" l="1"/>
  <c r="N4330" i="12" s="1"/>
  <c r="O4328" i="12"/>
  <c r="M4331" i="12" l="1"/>
  <c r="N4331" i="12" s="1"/>
  <c r="O4329" i="12"/>
  <c r="M4332" i="12" l="1"/>
  <c r="N4332" i="12" s="1"/>
  <c r="O4330" i="12"/>
  <c r="M4333" i="12" l="1"/>
  <c r="N4333" i="12" s="1"/>
  <c r="O4331" i="12"/>
  <c r="M4334" i="12" l="1"/>
  <c r="N4334" i="12" s="1"/>
  <c r="O4332" i="12"/>
  <c r="M4335" i="12" l="1"/>
  <c r="N4335" i="12" s="1"/>
  <c r="O4333" i="12"/>
  <c r="M4336" i="12" l="1"/>
  <c r="N4336" i="12" s="1"/>
  <c r="O4334" i="12"/>
  <c r="M4337" i="12" l="1"/>
  <c r="N4337" i="12" s="1"/>
  <c r="O4335" i="12"/>
  <c r="M4338" i="12" l="1"/>
  <c r="N4338" i="12" s="1"/>
  <c r="O4336" i="12"/>
  <c r="M4339" i="12" l="1"/>
  <c r="N4339" i="12" s="1"/>
  <c r="O4337" i="12"/>
  <c r="M4340" i="12" l="1"/>
  <c r="N4340" i="12" s="1"/>
  <c r="O4338" i="12"/>
  <c r="M4341" i="12" l="1"/>
  <c r="N4341" i="12" s="1"/>
  <c r="O4339" i="12"/>
  <c r="M4342" i="12" l="1"/>
  <c r="N4342" i="12" s="1"/>
  <c r="O4340" i="12"/>
  <c r="M4343" i="12" l="1"/>
  <c r="N4343" i="12" s="1"/>
  <c r="O4341" i="12"/>
  <c r="M4344" i="12" l="1"/>
  <c r="N4344" i="12" s="1"/>
  <c r="O4342" i="12"/>
  <c r="M4345" i="12" l="1"/>
  <c r="N4345" i="12" s="1"/>
  <c r="O4343" i="12"/>
  <c r="M4346" i="12" l="1"/>
  <c r="N4346" i="12" s="1"/>
  <c r="O4344" i="12"/>
  <c r="M4347" i="12" l="1"/>
  <c r="N4347" i="12" s="1"/>
  <c r="O4345" i="12"/>
  <c r="M4348" i="12" l="1"/>
  <c r="N4348" i="12" s="1"/>
  <c r="O4346" i="12"/>
  <c r="M4349" i="12" l="1"/>
  <c r="N4349" i="12" s="1"/>
  <c r="O4347" i="12"/>
  <c r="M4350" i="12" l="1"/>
  <c r="N4350" i="12" s="1"/>
  <c r="O4348" i="12"/>
  <c r="M4351" i="12" l="1"/>
  <c r="N4351" i="12" s="1"/>
  <c r="O4349" i="12"/>
  <c r="M4352" i="12" l="1"/>
  <c r="N4352" i="12" s="1"/>
  <c r="O4350" i="12"/>
  <c r="M4353" i="12" l="1"/>
  <c r="N4353" i="12" s="1"/>
  <c r="O4351" i="12"/>
  <c r="M4354" i="12" l="1"/>
  <c r="N4354" i="12" s="1"/>
  <c r="O4352" i="12"/>
  <c r="M4355" i="12" l="1"/>
  <c r="N4355" i="12" s="1"/>
  <c r="O4353" i="12"/>
  <c r="M4356" i="12" l="1"/>
  <c r="N4356" i="12" s="1"/>
  <c r="O4354" i="12"/>
  <c r="M4357" i="12" l="1"/>
  <c r="N4357" i="12" s="1"/>
  <c r="O4355" i="12"/>
  <c r="M4358" i="12" l="1"/>
  <c r="N4358" i="12" s="1"/>
  <c r="O4356" i="12"/>
  <c r="M4359" i="12" l="1"/>
  <c r="N4359" i="12" s="1"/>
  <c r="O4357" i="12"/>
  <c r="M4360" i="12" l="1"/>
  <c r="N4360" i="12" s="1"/>
  <c r="O4358" i="12"/>
  <c r="M4361" i="12" l="1"/>
  <c r="N4361" i="12" s="1"/>
  <c r="O4359" i="12"/>
  <c r="M4362" i="12" l="1"/>
  <c r="N4362" i="12" s="1"/>
  <c r="O4360" i="12"/>
  <c r="M4363" i="12" l="1"/>
  <c r="N4363" i="12" s="1"/>
  <c r="O4361" i="12"/>
  <c r="M4364" i="12" l="1"/>
  <c r="N4364" i="12" s="1"/>
  <c r="O4362" i="12"/>
  <c r="M4365" i="12" l="1"/>
  <c r="N4365" i="12" s="1"/>
  <c r="O4363" i="12"/>
  <c r="M4366" i="12" l="1"/>
  <c r="N4366" i="12" s="1"/>
  <c r="O4364" i="12"/>
  <c r="M4367" i="12" l="1"/>
  <c r="N4367" i="12" s="1"/>
  <c r="O4365" i="12"/>
  <c r="M4368" i="12" l="1"/>
  <c r="N4368" i="12" s="1"/>
  <c r="O4366" i="12"/>
  <c r="M4369" i="12" l="1"/>
  <c r="N4369" i="12" s="1"/>
  <c r="O4367" i="12"/>
  <c r="M4370" i="12" l="1"/>
  <c r="N4370" i="12" s="1"/>
  <c r="O4368" i="12"/>
  <c r="M4371" i="12" l="1"/>
  <c r="N4371" i="12" s="1"/>
  <c r="O4369" i="12"/>
  <c r="M4372" i="12" l="1"/>
  <c r="N4372" i="12" s="1"/>
  <c r="O4370" i="12"/>
  <c r="M4373" i="12" l="1"/>
  <c r="N4373" i="12" s="1"/>
  <c r="O4371" i="12"/>
  <c r="M4374" i="12" l="1"/>
  <c r="N4374" i="12" s="1"/>
  <c r="O4372" i="12"/>
  <c r="M4375" i="12" l="1"/>
  <c r="N4375" i="12" s="1"/>
  <c r="O4373" i="12"/>
  <c r="M4376" i="12" l="1"/>
  <c r="N4376" i="12" s="1"/>
  <c r="O4374" i="12"/>
  <c r="M4377" i="12" l="1"/>
  <c r="N4377" i="12" s="1"/>
  <c r="O4375" i="12"/>
  <c r="M4378" i="12" l="1"/>
  <c r="N4378" i="12" s="1"/>
  <c r="O4376" i="12"/>
  <c r="M4379" i="12" l="1"/>
  <c r="N4379" i="12" s="1"/>
  <c r="O4377" i="12"/>
  <c r="M4380" i="12" l="1"/>
  <c r="N4380" i="12" s="1"/>
  <c r="O4378" i="12"/>
  <c r="M4381" i="12" l="1"/>
  <c r="N4381" i="12" s="1"/>
  <c r="O4379" i="12"/>
  <c r="M4382" i="12" l="1"/>
  <c r="N4382" i="12" s="1"/>
  <c r="O4380" i="12"/>
  <c r="M4383" i="12" l="1"/>
  <c r="N4383" i="12" s="1"/>
  <c r="O4381" i="12"/>
  <c r="M4384" i="12" l="1"/>
  <c r="N4384" i="12" s="1"/>
  <c r="O4382" i="12"/>
  <c r="M4385" i="12" l="1"/>
  <c r="N4385" i="12" s="1"/>
  <c r="O4383" i="12"/>
  <c r="M4386" i="12" l="1"/>
  <c r="N4386" i="12" s="1"/>
  <c r="O4384" i="12"/>
  <c r="M4387" i="12" l="1"/>
  <c r="N4387" i="12" s="1"/>
  <c r="O4385" i="12"/>
  <c r="M4388" i="12" l="1"/>
  <c r="N4388" i="12" s="1"/>
  <c r="O4386" i="12"/>
  <c r="M4389" i="12" l="1"/>
  <c r="N4389" i="12" s="1"/>
  <c r="O4387" i="12"/>
  <c r="M4390" i="12" l="1"/>
  <c r="N4390" i="12" s="1"/>
  <c r="O4388" i="12"/>
  <c r="M4391" i="12" l="1"/>
  <c r="N4391" i="12" s="1"/>
  <c r="O4389" i="12"/>
  <c r="M4392" i="12" l="1"/>
  <c r="N4392" i="12" s="1"/>
  <c r="O4390" i="12"/>
  <c r="M4393" i="12" l="1"/>
  <c r="N4393" i="12" s="1"/>
  <c r="O4391" i="12"/>
  <c r="M4394" i="12" l="1"/>
  <c r="N4394" i="12" s="1"/>
  <c r="O4392" i="12"/>
  <c r="M4395" i="12" l="1"/>
  <c r="N4395" i="12" s="1"/>
  <c r="O4393" i="12"/>
  <c r="M4396" i="12" l="1"/>
  <c r="N4396" i="12" s="1"/>
  <c r="O4394" i="12"/>
  <c r="M4397" i="12" l="1"/>
  <c r="N4397" i="12" s="1"/>
  <c r="O4395" i="12"/>
  <c r="M4398" i="12" l="1"/>
  <c r="N4398" i="12" s="1"/>
  <c r="O4396" i="12"/>
  <c r="M4399" i="12" l="1"/>
  <c r="N4399" i="12" s="1"/>
  <c r="O4397" i="12"/>
  <c r="M4400" i="12" l="1"/>
  <c r="N4400" i="12" s="1"/>
  <c r="O4398" i="12"/>
  <c r="M4401" i="12" l="1"/>
  <c r="N4401" i="12" s="1"/>
  <c r="O4399" i="12"/>
  <c r="M4402" i="12" l="1"/>
  <c r="N4402" i="12" s="1"/>
  <c r="O4400" i="12"/>
  <c r="M4403" i="12" l="1"/>
  <c r="N4403" i="12" s="1"/>
  <c r="O4401" i="12"/>
  <c r="M4404" i="12" l="1"/>
  <c r="N4404" i="12" s="1"/>
  <c r="O4402" i="12"/>
  <c r="M4405" i="12" l="1"/>
  <c r="N4405" i="12" s="1"/>
  <c r="O4403" i="12"/>
  <c r="M4406" i="12" l="1"/>
  <c r="N4406" i="12" s="1"/>
  <c r="O4404" i="12"/>
  <c r="M4407" i="12" l="1"/>
  <c r="N4407" i="12" s="1"/>
  <c r="O4405" i="12"/>
  <c r="M4408" i="12" l="1"/>
  <c r="N4408" i="12" s="1"/>
  <c r="O4406" i="12"/>
  <c r="M4409" i="12" l="1"/>
  <c r="N4409" i="12" s="1"/>
  <c r="O4407" i="12"/>
  <c r="M4410" i="12" l="1"/>
  <c r="N4410" i="12" s="1"/>
  <c r="O4408" i="12"/>
  <c r="M4411" i="12" l="1"/>
  <c r="N4411" i="12" s="1"/>
  <c r="O4409" i="12"/>
  <c r="M4412" i="12" l="1"/>
  <c r="N4412" i="12" s="1"/>
  <c r="O4410" i="12"/>
  <c r="M4413" i="12" l="1"/>
  <c r="N4413" i="12" s="1"/>
  <c r="O4411" i="12"/>
  <c r="M4414" i="12" l="1"/>
  <c r="N4414" i="12" s="1"/>
  <c r="O4412" i="12"/>
  <c r="M4415" i="12" l="1"/>
  <c r="N4415" i="12" s="1"/>
  <c r="O4413" i="12"/>
  <c r="M4416" i="12" l="1"/>
  <c r="N4416" i="12" s="1"/>
  <c r="O4414" i="12"/>
  <c r="M4417" i="12" l="1"/>
  <c r="N4417" i="12" s="1"/>
  <c r="O4415" i="12"/>
  <c r="M4418" i="12" l="1"/>
  <c r="N4418" i="12" s="1"/>
  <c r="O4416" i="12"/>
  <c r="M4419" i="12" l="1"/>
  <c r="N4419" i="12" s="1"/>
  <c r="O4417" i="12"/>
  <c r="M4420" i="12" l="1"/>
  <c r="N4420" i="12" s="1"/>
  <c r="O4418" i="12"/>
  <c r="M4421" i="12" l="1"/>
  <c r="N4421" i="12" s="1"/>
  <c r="O4419" i="12"/>
  <c r="M4422" i="12" l="1"/>
  <c r="N4422" i="12" s="1"/>
  <c r="O4420" i="12"/>
  <c r="M4423" i="12" l="1"/>
  <c r="N4423" i="12" s="1"/>
  <c r="O4421" i="12"/>
  <c r="M4424" i="12" l="1"/>
  <c r="N4424" i="12" s="1"/>
  <c r="O4422" i="12"/>
  <c r="M4425" i="12" l="1"/>
  <c r="N4425" i="12" s="1"/>
  <c r="O4423" i="12"/>
  <c r="M4426" i="12" l="1"/>
  <c r="N4426" i="12" s="1"/>
  <c r="O4424" i="12"/>
  <c r="M4427" i="12" l="1"/>
  <c r="N4427" i="12" s="1"/>
  <c r="O4425" i="12"/>
  <c r="M4428" i="12" l="1"/>
  <c r="N4428" i="12" s="1"/>
  <c r="O4426" i="12"/>
  <c r="M4429" i="12" l="1"/>
  <c r="N4429" i="12" s="1"/>
  <c r="O4427" i="12"/>
  <c r="M4430" i="12" l="1"/>
  <c r="N4430" i="12" s="1"/>
  <c r="O4428" i="12"/>
  <c r="M4431" i="12" l="1"/>
  <c r="N4431" i="12" s="1"/>
  <c r="O4429" i="12"/>
  <c r="M4432" i="12" l="1"/>
  <c r="N4432" i="12" s="1"/>
  <c r="O4430" i="12"/>
  <c r="M4433" i="12" l="1"/>
  <c r="N4433" i="12" s="1"/>
  <c r="O4431" i="12"/>
  <c r="M4434" i="12" l="1"/>
  <c r="N4434" i="12" s="1"/>
  <c r="O4432" i="12"/>
  <c r="M4435" i="12" l="1"/>
  <c r="N4435" i="12" s="1"/>
  <c r="O4433" i="12"/>
  <c r="M4436" i="12" l="1"/>
  <c r="N4436" i="12" s="1"/>
  <c r="O4434" i="12"/>
  <c r="M4437" i="12" l="1"/>
  <c r="N4437" i="12" s="1"/>
  <c r="O4435" i="12"/>
  <c r="M4438" i="12" l="1"/>
  <c r="N4438" i="12" s="1"/>
  <c r="O4436" i="12"/>
  <c r="M4439" i="12" l="1"/>
  <c r="N4439" i="12" s="1"/>
  <c r="O4437" i="12"/>
  <c r="M4440" i="12" l="1"/>
  <c r="N4440" i="12" s="1"/>
  <c r="O4438" i="12"/>
  <c r="M4441" i="12" l="1"/>
  <c r="N4441" i="12" s="1"/>
  <c r="O4439" i="12"/>
  <c r="M4442" i="12" l="1"/>
  <c r="N4442" i="12" s="1"/>
  <c r="O4440" i="12"/>
  <c r="M4443" i="12" l="1"/>
  <c r="N4443" i="12" s="1"/>
  <c r="O4441" i="12"/>
  <c r="M4444" i="12" l="1"/>
  <c r="N4444" i="12" s="1"/>
  <c r="O4442" i="12"/>
  <c r="M4445" i="12" l="1"/>
  <c r="N4445" i="12" s="1"/>
  <c r="O4443" i="12"/>
  <c r="M4446" i="12" l="1"/>
  <c r="N4446" i="12" s="1"/>
  <c r="O4444" i="12"/>
  <c r="M4447" i="12" l="1"/>
  <c r="N4447" i="12" s="1"/>
  <c r="O4445" i="12"/>
  <c r="M4448" i="12" l="1"/>
  <c r="N4448" i="12" s="1"/>
  <c r="O4446" i="12"/>
  <c r="M4449" i="12" l="1"/>
  <c r="N4449" i="12" s="1"/>
  <c r="O4447" i="12"/>
  <c r="M4450" i="12" l="1"/>
  <c r="N4450" i="12" s="1"/>
  <c r="O4448" i="12"/>
  <c r="M4451" i="12" l="1"/>
  <c r="N4451" i="12" s="1"/>
  <c r="O4449" i="12"/>
  <c r="M4452" i="12" l="1"/>
  <c r="N4452" i="12" s="1"/>
  <c r="O4450" i="12"/>
  <c r="M4453" i="12" l="1"/>
  <c r="N4453" i="12" s="1"/>
  <c r="O4451" i="12"/>
  <c r="M4454" i="12" l="1"/>
  <c r="N4454" i="12" s="1"/>
  <c r="O4452" i="12"/>
  <c r="M4455" i="12" l="1"/>
  <c r="N4455" i="12" s="1"/>
  <c r="O4453" i="12"/>
  <c r="M4456" i="12" l="1"/>
  <c r="N4456" i="12" s="1"/>
  <c r="O4454" i="12"/>
  <c r="M4457" i="12" l="1"/>
  <c r="N4457" i="12" s="1"/>
  <c r="O4455" i="12"/>
  <c r="M4458" i="12" l="1"/>
  <c r="N4458" i="12" s="1"/>
  <c r="O4456" i="12"/>
  <c r="M4459" i="12" l="1"/>
  <c r="N4459" i="12" s="1"/>
  <c r="O4457" i="12"/>
  <c r="M4460" i="12" l="1"/>
  <c r="N4460" i="12" s="1"/>
  <c r="O4458" i="12"/>
  <c r="M4461" i="12" l="1"/>
  <c r="N4461" i="12" s="1"/>
  <c r="O4459" i="12"/>
  <c r="M4462" i="12" l="1"/>
  <c r="N4462" i="12" s="1"/>
  <c r="O4460" i="12"/>
  <c r="M4463" i="12" l="1"/>
  <c r="N4463" i="12" s="1"/>
  <c r="O4461" i="12"/>
  <c r="M4464" i="12" l="1"/>
  <c r="N4464" i="12" s="1"/>
  <c r="O4462" i="12"/>
  <c r="M4465" i="12" l="1"/>
  <c r="N4465" i="12" s="1"/>
  <c r="O4463" i="12"/>
  <c r="M4466" i="12" l="1"/>
  <c r="N4466" i="12" s="1"/>
  <c r="O4464" i="12"/>
  <c r="M4467" i="12" l="1"/>
  <c r="N4467" i="12" s="1"/>
  <c r="O4465" i="12"/>
  <c r="M4468" i="12" l="1"/>
  <c r="N4468" i="12" s="1"/>
  <c r="O4466" i="12"/>
  <c r="M4469" i="12" l="1"/>
  <c r="N4469" i="12" s="1"/>
  <c r="O4467" i="12"/>
  <c r="M4470" i="12" l="1"/>
  <c r="N4470" i="12" s="1"/>
  <c r="O4468" i="12"/>
  <c r="M4471" i="12" l="1"/>
  <c r="N4471" i="12" s="1"/>
  <c r="O4469" i="12"/>
  <c r="M4472" i="12" l="1"/>
  <c r="N4472" i="12" s="1"/>
  <c r="O4470" i="12"/>
  <c r="M4473" i="12" l="1"/>
  <c r="N4473" i="12" s="1"/>
  <c r="O4471" i="12"/>
  <c r="M4474" i="12" l="1"/>
  <c r="N4474" i="12" s="1"/>
  <c r="O4472" i="12"/>
  <c r="M4475" i="12" l="1"/>
  <c r="N4475" i="12" s="1"/>
  <c r="O4473" i="12"/>
  <c r="M4476" i="12" l="1"/>
  <c r="N4476" i="12" s="1"/>
  <c r="O4474" i="12"/>
  <c r="M4477" i="12" l="1"/>
  <c r="N4477" i="12" s="1"/>
  <c r="O4475" i="12"/>
  <c r="M4478" i="12" l="1"/>
  <c r="N4478" i="12" s="1"/>
  <c r="O4476" i="12"/>
  <c r="M4479" i="12" l="1"/>
  <c r="N4479" i="12" s="1"/>
  <c r="O4477" i="12"/>
  <c r="M4480" i="12" l="1"/>
  <c r="N4480" i="12" s="1"/>
  <c r="O4478" i="12"/>
  <c r="M4481" i="12" l="1"/>
  <c r="N4481" i="12" s="1"/>
  <c r="O4479" i="12"/>
  <c r="M4482" i="12" l="1"/>
  <c r="N4482" i="12" s="1"/>
  <c r="O4480" i="12"/>
  <c r="M4483" i="12" l="1"/>
  <c r="N4483" i="12" s="1"/>
  <c r="O4481" i="12"/>
  <c r="M4484" i="12" l="1"/>
  <c r="N4484" i="12" s="1"/>
  <c r="O4482" i="12"/>
  <c r="M4485" i="12" l="1"/>
  <c r="N4485" i="12" s="1"/>
  <c r="O4483" i="12"/>
  <c r="M4486" i="12" l="1"/>
  <c r="N4486" i="12" s="1"/>
  <c r="O4484" i="12"/>
  <c r="M4487" i="12" l="1"/>
  <c r="N4487" i="12" s="1"/>
  <c r="O4485" i="12"/>
  <c r="M4488" i="12" l="1"/>
  <c r="N4488" i="12" s="1"/>
  <c r="O4486" i="12"/>
  <c r="M4489" i="12" l="1"/>
  <c r="N4489" i="12" s="1"/>
  <c r="O4487" i="12"/>
  <c r="M4490" i="12" l="1"/>
  <c r="N4490" i="12" s="1"/>
  <c r="O4488" i="12"/>
  <c r="M4491" i="12" l="1"/>
  <c r="N4491" i="12" s="1"/>
  <c r="O4489" i="12"/>
  <c r="M4492" i="12" l="1"/>
  <c r="N4492" i="12" s="1"/>
  <c r="O4490" i="12"/>
  <c r="M4493" i="12" l="1"/>
  <c r="N4493" i="12" s="1"/>
  <c r="O4491" i="12"/>
  <c r="M4494" i="12" l="1"/>
  <c r="N4494" i="12" s="1"/>
  <c r="O4492" i="12"/>
  <c r="M4495" i="12" l="1"/>
  <c r="N4495" i="12" s="1"/>
  <c r="O4493" i="12"/>
  <c r="M4496" i="12" l="1"/>
  <c r="N4496" i="12" s="1"/>
  <c r="O4494" i="12"/>
  <c r="M4497" i="12" l="1"/>
  <c r="N4497" i="12" s="1"/>
  <c r="O4495" i="12"/>
  <c r="M4498" i="12" l="1"/>
  <c r="N4498" i="12" s="1"/>
  <c r="O4496" i="12"/>
  <c r="M4499" i="12" l="1"/>
  <c r="N4499" i="12" s="1"/>
  <c r="O4497" i="12"/>
  <c r="M4500" i="12" l="1"/>
  <c r="N4500" i="12" s="1"/>
  <c r="O4498" i="12"/>
  <c r="M4501" i="12" l="1"/>
  <c r="N4501" i="12" s="1"/>
  <c r="O4499" i="12"/>
  <c r="M4502" i="12" l="1"/>
  <c r="N4502" i="12" s="1"/>
  <c r="O4500" i="12"/>
  <c r="M4503" i="12" l="1"/>
  <c r="N4503" i="12" s="1"/>
  <c r="O4501" i="12"/>
  <c r="M4504" i="12" l="1"/>
  <c r="N4504" i="12" s="1"/>
  <c r="O4502" i="12"/>
  <c r="M4505" i="12" l="1"/>
  <c r="N4505" i="12" s="1"/>
  <c r="O4503" i="12"/>
  <c r="M4506" i="12" l="1"/>
  <c r="N4506" i="12" s="1"/>
  <c r="O4504" i="12"/>
  <c r="M4507" i="12" l="1"/>
  <c r="N4507" i="12" s="1"/>
  <c r="O4505" i="12"/>
  <c r="M4508" i="12" l="1"/>
  <c r="N4508" i="12" s="1"/>
  <c r="O4506" i="12"/>
  <c r="M4509" i="12" l="1"/>
  <c r="N4509" i="12" s="1"/>
  <c r="O4507" i="12"/>
  <c r="M4510" i="12" l="1"/>
  <c r="N4510" i="12" s="1"/>
  <c r="O4508" i="12"/>
  <c r="M4511" i="12" l="1"/>
  <c r="N4511" i="12" s="1"/>
  <c r="O4509" i="12"/>
  <c r="M4512" i="12" l="1"/>
  <c r="N4512" i="12" s="1"/>
  <c r="O4510" i="12"/>
  <c r="M4513" i="12" l="1"/>
  <c r="N4513" i="12" s="1"/>
  <c r="O4511" i="12"/>
  <c r="M4514" i="12" l="1"/>
  <c r="N4514" i="12" s="1"/>
  <c r="O4512" i="12"/>
  <c r="M4515" i="12" l="1"/>
  <c r="N4515" i="12" s="1"/>
  <c r="O4513" i="12"/>
  <c r="M4516" i="12" l="1"/>
  <c r="N4516" i="12" s="1"/>
  <c r="O4514" i="12"/>
  <c r="M4517" i="12" l="1"/>
  <c r="N4517" i="12" s="1"/>
  <c r="O4515" i="12"/>
  <c r="M4518" i="12" l="1"/>
  <c r="N4518" i="12" s="1"/>
  <c r="O4516" i="12"/>
  <c r="M4519" i="12" l="1"/>
  <c r="N4519" i="12" s="1"/>
  <c r="O4517" i="12"/>
  <c r="M4520" i="12" l="1"/>
  <c r="N4520" i="12" s="1"/>
  <c r="O4518" i="12"/>
  <c r="M4521" i="12" l="1"/>
  <c r="N4521" i="12" s="1"/>
  <c r="O4519" i="12"/>
  <c r="M4522" i="12" l="1"/>
  <c r="N4522" i="12" s="1"/>
  <c r="O4520" i="12"/>
  <c r="M4523" i="12" l="1"/>
  <c r="N4523" i="12" s="1"/>
  <c r="O4521" i="12"/>
  <c r="M4524" i="12" l="1"/>
  <c r="N4524" i="12" s="1"/>
  <c r="O4522" i="12"/>
  <c r="M4525" i="12" l="1"/>
  <c r="N4525" i="12" s="1"/>
  <c r="O4523" i="12"/>
  <c r="M4526" i="12" l="1"/>
  <c r="N4526" i="12" s="1"/>
  <c r="O4524" i="12"/>
  <c r="M4527" i="12" l="1"/>
  <c r="N4527" i="12" s="1"/>
  <c r="O4525" i="12"/>
  <c r="M4528" i="12" l="1"/>
  <c r="N4528" i="12" s="1"/>
  <c r="O4526" i="12"/>
  <c r="M4529" i="12" l="1"/>
  <c r="N4529" i="12" s="1"/>
  <c r="O4527" i="12"/>
  <c r="M4530" i="12" l="1"/>
  <c r="N4530" i="12" s="1"/>
  <c r="O4528" i="12"/>
  <c r="M4531" i="12" l="1"/>
  <c r="N4531" i="12" s="1"/>
  <c r="O4529" i="12"/>
  <c r="M4532" i="12" l="1"/>
  <c r="N4532" i="12" s="1"/>
  <c r="O4530" i="12"/>
  <c r="M4533" i="12" l="1"/>
  <c r="N4533" i="12" s="1"/>
  <c r="O4531" i="12"/>
  <c r="M4534" i="12" l="1"/>
  <c r="N4534" i="12" s="1"/>
  <c r="O4532" i="12"/>
  <c r="M4535" i="12" l="1"/>
  <c r="N4535" i="12" s="1"/>
  <c r="O4533" i="12"/>
  <c r="M4536" i="12" l="1"/>
  <c r="N4536" i="12" s="1"/>
  <c r="O4534" i="12"/>
  <c r="M4537" i="12" l="1"/>
  <c r="N4537" i="12" s="1"/>
  <c r="O4535" i="12"/>
  <c r="M4538" i="12" l="1"/>
  <c r="N4538" i="12" s="1"/>
  <c r="O4536" i="12"/>
  <c r="M4539" i="12" l="1"/>
  <c r="N4539" i="12" s="1"/>
  <c r="O4537" i="12"/>
  <c r="M4540" i="12" l="1"/>
  <c r="N4540" i="12" s="1"/>
  <c r="O4538" i="12"/>
  <c r="M4541" i="12" l="1"/>
  <c r="N4541" i="12" s="1"/>
  <c r="O4539" i="12"/>
  <c r="M4542" i="12" l="1"/>
  <c r="N4542" i="12" s="1"/>
  <c r="O4540" i="12"/>
  <c r="M4543" i="12" l="1"/>
  <c r="N4543" i="12" s="1"/>
  <c r="O4541" i="12"/>
  <c r="M4544" i="12" l="1"/>
  <c r="N4544" i="12" s="1"/>
  <c r="O4542" i="12"/>
  <c r="M4545" i="12" l="1"/>
  <c r="N4545" i="12" s="1"/>
  <c r="O4543" i="12"/>
  <c r="M4546" i="12" l="1"/>
  <c r="N4546" i="12" s="1"/>
  <c r="O4544" i="12"/>
  <c r="M4547" i="12" l="1"/>
  <c r="N4547" i="12" s="1"/>
  <c r="O4545" i="12"/>
  <c r="M4548" i="12" l="1"/>
  <c r="N4548" i="12" s="1"/>
  <c r="O4546" i="12"/>
  <c r="M4549" i="12" l="1"/>
  <c r="N4549" i="12" s="1"/>
  <c r="O4547" i="12"/>
  <c r="M4550" i="12" l="1"/>
  <c r="N4550" i="12" s="1"/>
  <c r="O4548" i="12"/>
  <c r="M4551" i="12" l="1"/>
  <c r="N4551" i="12" s="1"/>
  <c r="O4549" i="12"/>
  <c r="M4552" i="12" l="1"/>
  <c r="N4552" i="12" s="1"/>
  <c r="O4550" i="12"/>
  <c r="M4553" i="12" l="1"/>
  <c r="N4553" i="12" s="1"/>
  <c r="O4551" i="12"/>
  <c r="M4554" i="12" l="1"/>
  <c r="N4554" i="12" s="1"/>
  <c r="O4552" i="12"/>
  <c r="M4555" i="12" l="1"/>
  <c r="N4555" i="12" s="1"/>
  <c r="O4553" i="12"/>
  <c r="M4556" i="12" l="1"/>
  <c r="N4556" i="12" s="1"/>
  <c r="O4554" i="12"/>
  <c r="M4557" i="12" l="1"/>
  <c r="N4557" i="12" s="1"/>
  <c r="O4555" i="12"/>
  <c r="M4558" i="12" l="1"/>
  <c r="N4558" i="12" s="1"/>
  <c r="O4556" i="12"/>
  <c r="M4559" i="12" l="1"/>
  <c r="N4559" i="12" s="1"/>
  <c r="O4557" i="12"/>
  <c r="M4560" i="12" l="1"/>
  <c r="N4560" i="12" s="1"/>
  <c r="O4558" i="12"/>
  <c r="M4561" i="12" l="1"/>
  <c r="N4561" i="12" s="1"/>
  <c r="O4559" i="12"/>
  <c r="M4562" i="12" l="1"/>
  <c r="N4562" i="12" s="1"/>
  <c r="O4560" i="12"/>
  <c r="M4563" i="12" l="1"/>
  <c r="N4563" i="12" s="1"/>
  <c r="O4561" i="12"/>
  <c r="M4564" i="12" l="1"/>
  <c r="N4564" i="12" s="1"/>
  <c r="O4562" i="12"/>
  <c r="M4565" i="12" l="1"/>
  <c r="N4565" i="12" s="1"/>
  <c r="O4563" i="12"/>
  <c r="M4566" i="12" l="1"/>
  <c r="N4566" i="12" s="1"/>
  <c r="O4564" i="12"/>
  <c r="M4567" i="12" l="1"/>
  <c r="N4567" i="12" s="1"/>
  <c r="O4565" i="12"/>
  <c r="M4568" i="12" l="1"/>
  <c r="N4568" i="12" s="1"/>
  <c r="O4566" i="12"/>
  <c r="M4569" i="12" l="1"/>
  <c r="N4569" i="12" s="1"/>
  <c r="O4567" i="12"/>
  <c r="M4570" i="12" l="1"/>
  <c r="N4570" i="12" s="1"/>
  <c r="O4568" i="12"/>
  <c r="M4571" i="12" l="1"/>
  <c r="N4571" i="12" s="1"/>
  <c r="O4569" i="12"/>
  <c r="M4572" i="12" l="1"/>
  <c r="N4572" i="12" s="1"/>
  <c r="O4570" i="12"/>
  <c r="M4573" i="12" l="1"/>
  <c r="N4573" i="12" s="1"/>
  <c r="O4571" i="12"/>
  <c r="M4574" i="12" l="1"/>
  <c r="N4574" i="12" s="1"/>
  <c r="O4572" i="12"/>
  <c r="M4575" i="12" l="1"/>
  <c r="N4575" i="12" s="1"/>
  <c r="O4573" i="12"/>
  <c r="M4576" i="12" l="1"/>
  <c r="N4576" i="12" s="1"/>
  <c r="O4574" i="12"/>
  <c r="M4577" i="12" l="1"/>
  <c r="N4577" i="12" s="1"/>
  <c r="O4575" i="12"/>
  <c r="M4578" i="12" l="1"/>
  <c r="N4578" i="12" s="1"/>
  <c r="O4576" i="12"/>
  <c r="M4579" i="12" l="1"/>
  <c r="N4579" i="12" s="1"/>
  <c r="O4577" i="12"/>
  <c r="M4580" i="12" l="1"/>
  <c r="N4580" i="12" s="1"/>
  <c r="O4578" i="12"/>
  <c r="M4581" i="12" l="1"/>
  <c r="N4581" i="12" s="1"/>
  <c r="O4579" i="12"/>
  <c r="M4582" i="12" l="1"/>
  <c r="N4582" i="12" s="1"/>
  <c r="O4580" i="12"/>
  <c r="M4583" i="12" l="1"/>
  <c r="N4583" i="12" s="1"/>
  <c r="O4581" i="12"/>
  <c r="M4584" i="12" l="1"/>
  <c r="N4584" i="12" s="1"/>
  <c r="O4582" i="12"/>
  <c r="M4585" i="12" l="1"/>
  <c r="N4585" i="12" s="1"/>
  <c r="O4583" i="12"/>
  <c r="M4586" i="12" l="1"/>
  <c r="N4586" i="12" s="1"/>
  <c r="O4584" i="12"/>
  <c r="M4587" i="12" l="1"/>
  <c r="N4587" i="12" s="1"/>
  <c r="O4585" i="12"/>
  <c r="M4588" i="12" l="1"/>
  <c r="N4588" i="12" s="1"/>
  <c r="O4586" i="12"/>
  <c r="M4589" i="12" l="1"/>
  <c r="N4589" i="12" s="1"/>
  <c r="O4587" i="12"/>
  <c r="M4590" i="12" l="1"/>
  <c r="N4590" i="12" s="1"/>
  <c r="O4588" i="12"/>
  <c r="M4591" i="12" l="1"/>
  <c r="N4591" i="12" s="1"/>
  <c r="O4589" i="12"/>
  <c r="M4592" i="12" l="1"/>
  <c r="N4592" i="12" s="1"/>
  <c r="O4590" i="12"/>
  <c r="M4593" i="12" l="1"/>
  <c r="N4593" i="12" s="1"/>
  <c r="O4591" i="12"/>
  <c r="M4594" i="12" l="1"/>
  <c r="N4594" i="12" s="1"/>
  <c r="O4592" i="12"/>
  <c r="M4595" i="12" l="1"/>
  <c r="N4595" i="12" s="1"/>
  <c r="O4593" i="12"/>
  <c r="M4596" i="12" l="1"/>
  <c r="N4596" i="12" s="1"/>
  <c r="O4594" i="12"/>
  <c r="M4597" i="12" l="1"/>
  <c r="N4597" i="12" s="1"/>
  <c r="O4595" i="12"/>
  <c r="M4598" i="12" l="1"/>
  <c r="N4598" i="12" s="1"/>
  <c r="O4596" i="12"/>
  <c r="M4599" i="12" l="1"/>
  <c r="N4599" i="12" s="1"/>
  <c r="O4597" i="12"/>
  <c r="M4600" i="12" l="1"/>
  <c r="N4600" i="12" s="1"/>
  <c r="O4598" i="12"/>
  <c r="M4601" i="12" l="1"/>
  <c r="N4601" i="12" s="1"/>
  <c r="O4599" i="12"/>
  <c r="M4602" i="12" l="1"/>
  <c r="N4602" i="12" s="1"/>
  <c r="O4600" i="12"/>
  <c r="M4603" i="12" l="1"/>
  <c r="N4603" i="12" s="1"/>
  <c r="O4601" i="12"/>
  <c r="M4604" i="12" l="1"/>
  <c r="N4604" i="12" s="1"/>
  <c r="O4602" i="12"/>
  <c r="M4605" i="12" l="1"/>
  <c r="N4605" i="12" s="1"/>
  <c r="O4603" i="12"/>
  <c r="M4606" i="12" l="1"/>
  <c r="N4606" i="12" s="1"/>
  <c r="O4604" i="12"/>
  <c r="M4607" i="12" l="1"/>
  <c r="N4607" i="12" s="1"/>
  <c r="O4605" i="12"/>
  <c r="M4608" i="12" l="1"/>
  <c r="N4608" i="12" s="1"/>
  <c r="O4606" i="12"/>
  <c r="M4609" i="12" l="1"/>
  <c r="N4609" i="12" s="1"/>
  <c r="O4607" i="12"/>
  <c r="M4610" i="12" l="1"/>
  <c r="N4610" i="12" s="1"/>
  <c r="O4608" i="12"/>
  <c r="M4611" i="12" l="1"/>
  <c r="N4611" i="12" s="1"/>
  <c r="O4609" i="12"/>
  <c r="M4612" i="12" l="1"/>
  <c r="N4612" i="12" s="1"/>
  <c r="O4610" i="12"/>
  <c r="M4613" i="12" l="1"/>
  <c r="N4613" i="12" s="1"/>
  <c r="O4611" i="12"/>
  <c r="M4614" i="12" l="1"/>
  <c r="N4614" i="12" s="1"/>
  <c r="O4612" i="12"/>
  <c r="M4615" i="12" l="1"/>
  <c r="N4615" i="12" s="1"/>
  <c r="O4613" i="12"/>
  <c r="M4616" i="12" l="1"/>
  <c r="N4616" i="12" s="1"/>
  <c r="O4614" i="12"/>
  <c r="M4617" i="12" l="1"/>
  <c r="N4617" i="12" s="1"/>
  <c r="O4615" i="12"/>
  <c r="M4618" i="12" l="1"/>
  <c r="N4618" i="12" s="1"/>
  <c r="O4616" i="12"/>
  <c r="M4619" i="12" l="1"/>
  <c r="N4619" i="12" s="1"/>
  <c r="O4617" i="12"/>
  <c r="M4620" i="12" l="1"/>
  <c r="N4620" i="12" s="1"/>
  <c r="O4618" i="12"/>
  <c r="M4621" i="12" l="1"/>
  <c r="N4621" i="12" s="1"/>
  <c r="O4619" i="12"/>
  <c r="M4622" i="12" l="1"/>
  <c r="N4622" i="12" s="1"/>
  <c r="O4620" i="12"/>
  <c r="M4623" i="12" l="1"/>
  <c r="N4623" i="12" s="1"/>
  <c r="O4621" i="12"/>
  <c r="M4624" i="12" l="1"/>
  <c r="N4624" i="12" s="1"/>
  <c r="O4622" i="12"/>
  <c r="M4625" i="12" l="1"/>
  <c r="N4625" i="12" s="1"/>
  <c r="O4623" i="12"/>
  <c r="M4626" i="12" l="1"/>
  <c r="N4626" i="12" s="1"/>
  <c r="O4624" i="12"/>
  <c r="M4627" i="12" l="1"/>
  <c r="N4627" i="12" s="1"/>
  <c r="O4625" i="12"/>
  <c r="M4628" i="12" l="1"/>
  <c r="N4628" i="12" s="1"/>
  <c r="O4626" i="12"/>
  <c r="M4629" i="12" l="1"/>
  <c r="N4629" i="12" s="1"/>
  <c r="O4627" i="12"/>
  <c r="M4630" i="12" l="1"/>
  <c r="N4630" i="12" s="1"/>
  <c r="O4628" i="12"/>
  <c r="M4631" i="12" l="1"/>
  <c r="N4631" i="12" s="1"/>
  <c r="O4629" i="12"/>
  <c r="M4632" i="12" l="1"/>
  <c r="N4632" i="12" s="1"/>
  <c r="O4630" i="12"/>
  <c r="M4633" i="12" l="1"/>
  <c r="N4633" i="12" s="1"/>
  <c r="O4631" i="12"/>
  <c r="M4634" i="12" l="1"/>
  <c r="N4634" i="12" s="1"/>
  <c r="O4632" i="12"/>
  <c r="M4635" i="12" l="1"/>
  <c r="N4635" i="12" s="1"/>
  <c r="O4633" i="12"/>
  <c r="M4636" i="12" l="1"/>
  <c r="N4636" i="12" s="1"/>
  <c r="O4634" i="12"/>
  <c r="M4637" i="12" l="1"/>
  <c r="N4637" i="12" s="1"/>
  <c r="O4635" i="12"/>
  <c r="M4638" i="12" l="1"/>
  <c r="N4638" i="12" s="1"/>
  <c r="O4636" i="12"/>
  <c r="M4639" i="12" l="1"/>
  <c r="N4639" i="12" s="1"/>
  <c r="O4637" i="12"/>
  <c r="M4640" i="12" l="1"/>
  <c r="N4640" i="12" s="1"/>
  <c r="O4638" i="12"/>
  <c r="M4641" i="12" l="1"/>
  <c r="N4641" i="12" s="1"/>
  <c r="O4639" i="12"/>
  <c r="M4642" i="12" l="1"/>
  <c r="N4642" i="12" s="1"/>
  <c r="O4640" i="12"/>
  <c r="M4643" i="12" l="1"/>
  <c r="N4643" i="12" s="1"/>
  <c r="O4641" i="12"/>
  <c r="M4644" i="12" l="1"/>
  <c r="N4644" i="12" s="1"/>
  <c r="O4642" i="12"/>
  <c r="M4645" i="12" l="1"/>
  <c r="N4645" i="12" s="1"/>
  <c r="O4643" i="12"/>
  <c r="M4646" i="12" l="1"/>
  <c r="N4646" i="12" s="1"/>
  <c r="O4644" i="12"/>
  <c r="M4647" i="12" l="1"/>
  <c r="N4647" i="12" s="1"/>
  <c r="O4645" i="12"/>
  <c r="M4648" i="12" l="1"/>
  <c r="N4648" i="12" s="1"/>
  <c r="O4646" i="12"/>
  <c r="M4649" i="12" l="1"/>
  <c r="N4649" i="12" s="1"/>
  <c r="O4647" i="12"/>
  <c r="M4650" i="12" l="1"/>
  <c r="N4650" i="12" s="1"/>
  <c r="O4648" i="12"/>
  <c r="M4651" i="12" l="1"/>
  <c r="N4651" i="12" s="1"/>
  <c r="O4649" i="12"/>
  <c r="M4652" i="12" l="1"/>
  <c r="N4652" i="12" s="1"/>
  <c r="O4650" i="12"/>
  <c r="M4653" i="12" l="1"/>
  <c r="N4653" i="12" s="1"/>
  <c r="O4651" i="12"/>
  <c r="M4654" i="12" l="1"/>
  <c r="N4654" i="12" s="1"/>
  <c r="O4652" i="12"/>
  <c r="M4655" i="12" l="1"/>
  <c r="N4655" i="12" s="1"/>
  <c r="O4653" i="12"/>
  <c r="M4656" i="12" l="1"/>
  <c r="N4656" i="12" s="1"/>
  <c r="O4654" i="12"/>
  <c r="M4657" i="12" l="1"/>
  <c r="N4657" i="12" s="1"/>
  <c r="O4655" i="12"/>
  <c r="M4658" i="12" l="1"/>
  <c r="N4658" i="12" s="1"/>
  <c r="O4656" i="12"/>
  <c r="M4659" i="12" l="1"/>
  <c r="N4659" i="12" s="1"/>
  <c r="O4657" i="12"/>
  <c r="M4660" i="12" l="1"/>
  <c r="N4660" i="12" s="1"/>
  <c r="O4658" i="12"/>
  <c r="M4661" i="12" l="1"/>
  <c r="N4661" i="12" s="1"/>
  <c r="O4659" i="12"/>
  <c r="M4662" i="12" l="1"/>
  <c r="N4662" i="12" s="1"/>
  <c r="O4660" i="12"/>
  <c r="M4663" i="12" l="1"/>
  <c r="N4663" i="12" s="1"/>
  <c r="O4661" i="12"/>
  <c r="M4664" i="12" l="1"/>
  <c r="N4664" i="12" s="1"/>
  <c r="O4662" i="12"/>
  <c r="M4665" i="12" l="1"/>
  <c r="N4665" i="12" s="1"/>
  <c r="O4663" i="12"/>
  <c r="M4666" i="12" l="1"/>
  <c r="N4666" i="12" s="1"/>
  <c r="O4664" i="12"/>
  <c r="M4667" i="12" l="1"/>
  <c r="N4667" i="12" s="1"/>
  <c r="O4665" i="12"/>
  <c r="M4668" i="12" l="1"/>
  <c r="N4668" i="12" s="1"/>
  <c r="O4666" i="12"/>
  <c r="M4669" i="12" l="1"/>
  <c r="N4669" i="12" s="1"/>
  <c r="O4667" i="12"/>
  <c r="M4670" i="12" l="1"/>
  <c r="N4670" i="12" s="1"/>
  <c r="O4668" i="12"/>
  <c r="M4671" i="12" l="1"/>
  <c r="N4671" i="12" s="1"/>
  <c r="O4669" i="12"/>
  <c r="M4672" i="12" l="1"/>
  <c r="N4672" i="12" s="1"/>
  <c r="O4670" i="12"/>
  <c r="M4673" i="12" l="1"/>
  <c r="N4673" i="12" s="1"/>
  <c r="O4671" i="12"/>
  <c r="M4674" i="12" l="1"/>
  <c r="N4674" i="12" s="1"/>
  <c r="O4672" i="12"/>
  <c r="M4675" i="12" l="1"/>
  <c r="N4675" i="12" s="1"/>
  <c r="O4673" i="12"/>
  <c r="M4676" i="12" l="1"/>
  <c r="N4676" i="12" s="1"/>
  <c r="O4674" i="12"/>
  <c r="M4677" i="12" l="1"/>
  <c r="N4677" i="12" s="1"/>
  <c r="O4675" i="12"/>
  <c r="M4678" i="12" l="1"/>
  <c r="N4678" i="12" s="1"/>
  <c r="O4676" i="12"/>
  <c r="M4679" i="12" l="1"/>
  <c r="N4679" i="12" s="1"/>
  <c r="O4677" i="12"/>
  <c r="M4680" i="12" l="1"/>
  <c r="N4680" i="12" s="1"/>
  <c r="O4678" i="12"/>
  <c r="M4681" i="12" l="1"/>
  <c r="N4681" i="12" s="1"/>
  <c r="O4679" i="12"/>
  <c r="M4682" i="12" l="1"/>
  <c r="N4682" i="12" s="1"/>
  <c r="O4680" i="12"/>
  <c r="M4683" i="12" l="1"/>
  <c r="N4683" i="12" s="1"/>
  <c r="O4681" i="12"/>
  <c r="M4684" i="12" l="1"/>
  <c r="N4684" i="12" s="1"/>
  <c r="O4682" i="12"/>
  <c r="M4685" i="12" l="1"/>
  <c r="N4685" i="12" s="1"/>
  <c r="O4683" i="12"/>
  <c r="M4686" i="12" l="1"/>
  <c r="N4686" i="12" s="1"/>
  <c r="O4684" i="12"/>
  <c r="M4687" i="12" l="1"/>
  <c r="N4687" i="12" s="1"/>
  <c r="O4685" i="12"/>
  <c r="M4688" i="12" l="1"/>
  <c r="N4688" i="12" s="1"/>
  <c r="O4686" i="12"/>
  <c r="M4689" i="12" l="1"/>
  <c r="N4689" i="12" s="1"/>
  <c r="O4687" i="12"/>
  <c r="M4690" i="12" l="1"/>
  <c r="N4690" i="12" s="1"/>
  <c r="O4688" i="12"/>
  <c r="M4691" i="12" l="1"/>
  <c r="N4691" i="12" s="1"/>
  <c r="O4689" i="12"/>
  <c r="M4692" i="12" l="1"/>
  <c r="N4692" i="12" s="1"/>
  <c r="O4690" i="12"/>
  <c r="M4693" i="12" l="1"/>
  <c r="N4693" i="12" s="1"/>
  <c r="O4691" i="12"/>
  <c r="M4694" i="12" l="1"/>
  <c r="N4694" i="12" s="1"/>
  <c r="O4692" i="12"/>
  <c r="M4695" i="12" l="1"/>
  <c r="N4695" i="12" s="1"/>
  <c r="O4693" i="12"/>
  <c r="M4696" i="12" l="1"/>
  <c r="N4696" i="12" s="1"/>
  <c r="O4694" i="12"/>
  <c r="M4697" i="12" l="1"/>
  <c r="N4697" i="12" s="1"/>
  <c r="O4695" i="12"/>
  <c r="M4698" i="12" l="1"/>
  <c r="N4698" i="12" s="1"/>
  <c r="O4696" i="12"/>
  <c r="M4699" i="12" l="1"/>
  <c r="N4699" i="12" s="1"/>
  <c r="O4697" i="12"/>
  <c r="M4700" i="12" l="1"/>
  <c r="N4700" i="12" s="1"/>
  <c r="O4698" i="12"/>
  <c r="M4701" i="12" l="1"/>
  <c r="N4701" i="12" s="1"/>
  <c r="O4699" i="12"/>
  <c r="M4702" i="12" l="1"/>
  <c r="N4702" i="12" s="1"/>
  <c r="O4700" i="12"/>
  <c r="M4703" i="12" l="1"/>
  <c r="N4703" i="12" s="1"/>
  <c r="O4701" i="12"/>
  <c r="M4704" i="12" l="1"/>
  <c r="N4704" i="12" s="1"/>
  <c r="O4702" i="12"/>
  <c r="M4705" i="12" l="1"/>
  <c r="N4705" i="12" s="1"/>
  <c r="O4703" i="12"/>
  <c r="M4706" i="12" l="1"/>
  <c r="N4706" i="12" s="1"/>
  <c r="O4704" i="12"/>
  <c r="M4707" i="12" l="1"/>
  <c r="N4707" i="12" s="1"/>
  <c r="O4705" i="12"/>
  <c r="M4708" i="12" l="1"/>
  <c r="N4708" i="12" s="1"/>
  <c r="O4706" i="12"/>
  <c r="M4709" i="12" l="1"/>
  <c r="N4709" i="12" s="1"/>
  <c r="O4707" i="12"/>
  <c r="M4710" i="12" l="1"/>
  <c r="N4710" i="12" s="1"/>
  <c r="O4708" i="12"/>
  <c r="M4711" i="12" l="1"/>
  <c r="N4711" i="12" s="1"/>
  <c r="O4709" i="12"/>
  <c r="M4712" i="12" l="1"/>
  <c r="N4712" i="12" s="1"/>
  <c r="O4710" i="12"/>
  <c r="M4713" i="12" l="1"/>
  <c r="N4713" i="12" s="1"/>
  <c r="O4711" i="12"/>
  <c r="M4714" i="12" l="1"/>
  <c r="N4714" i="12" s="1"/>
  <c r="O4712" i="12"/>
  <c r="M4715" i="12" l="1"/>
  <c r="N4715" i="12" s="1"/>
  <c r="O4713" i="12"/>
  <c r="M4716" i="12" l="1"/>
  <c r="N4716" i="12" s="1"/>
  <c r="O4714" i="12"/>
  <c r="M4717" i="12" l="1"/>
  <c r="N4717" i="12" s="1"/>
  <c r="O4715" i="12"/>
  <c r="M4718" i="12" l="1"/>
  <c r="N4718" i="12" s="1"/>
  <c r="O4716" i="12"/>
  <c r="M4719" i="12" l="1"/>
  <c r="N4719" i="12" s="1"/>
  <c r="O4717" i="12"/>
  <c r="M4720" i="12" l="1"/>
  <c r="N4720" i="12" s="1"/>
  <c r="O4718" i="12"/>
  <c r="M4721" i="12" l="1"/>
  <c r="N4721" i="12" s="1"/>
  <c r="O4719" i="12"/>
  <c r="M4722" i="12" l="1"/>
  <c r="N4722" i="12" s="1"/>
  <c r="O4720" i="12"/>
  <c r="M4723" i="12" l="1"/>
  <c r="N4723" i="12" s="1"/>
  <c r="O4721" i="12"/>
  <c r="M4724" i="12" l="1"/>
  <c r="N4724" i="12" s="1"/>
  <c r="O4722" i="12"/>
  <c r="M4725" i="12" l="1"/>
  <c r="N4725" i="12" s="1"/>
  <c r="O4723" i="12"/>
  <c r="M4726" i="12" l="1"/>
  <c r="N4726" i="12" s="1"/>
  <c r="O4724" i="12"/>
  <c r="M4727" i="12" l="1"/>
  <c r="N4727" i="12" s="1"/>
  <c r="O4725" i="12"/>
  <c r="M4728" i="12" l="1"/>
  <c r="N4728" i="12" s="1"/>
  <c r="O4726" i="12"/>
  <c r="M4729" i="12" l="1"/>
  <c r="N4729" i="12" s="1"/>
  <c r="O4727" i="12"/>
  <c r="M4730" i="12" l="1"/>
  <c r="N4730" i="12" s="1"/>
  <c r="O4728" i="12"/>
  <c r="M4731" i="12" l="1"/>
  <c r="N4731" i="12" s="1"/>
  <c r="O4729" i="12"/>
  <c r="M4732" i="12" l="1"/>
  <c r="N4732" i="12" s="1"/>
  <c r="O4730" i="12"/>
  <c r="M4733" i="12" l="1"/>
  <c r="N4733" i="12" s="1"/>
  <c r="O4731" i="12"/>
  <c r="M4734" i="12" l="1"/>
  <c r="N4734" i="12" s="1"/>
  <c r="O4732" i="12"/>
  <c r="M4735" i="12" l="1"/>
  <c r="N4735" i="12" s="1"/>
  <c r="O4733" i="12"/>
  <c r="M4736" i="12" l="1"/>
  <c r="N4736" i="12" s="1"/>
  <c r="O4734" i="12"/>
  <c r="M4737" i="12" l="1"/>
  <c r="N4737" i="12" s="1"/>
  <c r="O4735" i="12"/>
  <c r="M4738" i="12" l="1"/>
  <c r="N4738" i="12" s="1"/>
  <c r="O4736" i="12"/>
  <c r="M4739" i="12" l="1"/>
  <c r="N4739" i="12" s="1"/>
  <c r="O4737" i="12"/>
  <c r="M4740" i="12" l="1"/>
  <c r="N4740" i="12" s="1"/>
  <c r="O4738" i="12"/>
  <c r="M4741" i="12" l="1"/>
  <c r="N4741" i="12" s="1"/>
  <c r="O4739" i="12"/>
  <c r="M4742" i="12" l="1"/>
  <c r="N4742" i="12" s="1"/>
  <c r="O4740" i="12"/>
  <c r="M4743" i="12" l="1"/>
  <c r="N4743" i="12" s="1"/>
  <c r="O4741" i="12"/>
  <c r="M4744" i="12" l="1"/>
  <c r="N4744" i="12" s="1"/>
  <c r="O4742" i="12"/>
  <c r="M4745" i="12" l="1"/>
  <c r="N4745" i="12" s="1"/>
  <c r="O4743" i="12"/>
  <c r="M4746" i="12" l="1"/>
  <c r="N4746" i="12" s="1"/>
  <c r="O4744" i="12"/>
  <c r="M4747" i="12" l="1"/>
  <c r="N4747" i="12" s="1"/>
  <c r="O4745" i="12"/>
  <c r="M4748" i="12" l="1"/>
  <c r="N4748" i="12" s="1"/>
  <c r="O4746" i="12"/>
  <c r="M4749" i="12" l="1"/>
  <c r="N4749" i="12" s="1"/>
  <c r="O4747" i="12"/>
  <c r="M4750" i="12" l="1"/>
  <c r="N4750" i="12" s="1"/>
  <c r="O4748" i="12"/>
  <c r="M4751" i="12" l="1"/>
  <c r="N4751" i="12" s="1"/>
  <c r="O4749" i="12"/>
  <c r="M4752" i="12" l="1"/>
  <c r="N4752" i="12" s="1"/>
  <c r="O4750" i="12"/>
  <c r="M4753" i="12" l="1"/>
  <c r="N4753" i="12" s="1"/>
  <c r="O4751" i="12"/>
  <c r="M4754" i="12" l="1"/>
  <c r="N4754" i="12" s="1"/>
  <c r="O4752" i="12"/>
  <c r="M4755" i="12" l="1"/>
  <c r="N4755" i="12" s="1"/>
  <c r="O4753" i="12"/>
  <c r="M4756" i="12" l="1"/>
  <c r="N4756" i="12" s="1"/>
  <c r="O4754" i="12"/>
  <c r="M4757" i="12" l="1"/>
  <c r="N4757" i="12" s="1"/>
  <c r="O4755" i="12"/>
  <c r="M4758" i="12" l="1"/>
  <c r="N4758" i="12" s="1"/>
  <c r="O4756" i="12"/>
  <c r="M4759" i="12" l="1"/>
  <c r="N4759" i="12" s="1"/>
  <c r="O4757" i="12"/>
  <c r="M4760" i="12" l="1"/>
  <c r="N4760" i="12" s="1"/>
  <c r="O4758" i="12"/>
  <c r="M4761" i="12" l="1"/>
  <c r="N4761" i="12" s="1"/>
  <c r="O4759" i="12"/>
  <c r="M4762" i="12" l="1"/>
  <c r="N4762" i="12" s="1"/>
  <c r="O4760" i="12"/>
  <c r="M4763" i="12" l="1"/>
  <c r="N4763" i="12" s="1"/>
  <c r="O4761" i="12"/>
  <c r="M4764" i="12" l="1"/>
  <c r="N4764" i="12" s="1"/>
  <c r="O4762" i="12"/>
  <c r="M4765" i="12" l="1"/>
  <c r="N4765" i="12" s="1"/>
  <c r="O4763" i="12"/>
  <c r="M4766" i="12" l="1"/>
  <c r="N4766" i="12" s="1"/>
  <c r="O4764" i="12"/>
  <c r="M4767" i="12" l="1"/>
  <c r="N4767" i="12" s="1"/>
  <c r="O4765" i="12"/>
  <c r="M4768" i="12" l="1"/>
  <c r="N4768" i="12" s="1"/>
  <c r="O4766" i="12"/>
  <c r="M4769" i="12" l="1"/>
  <c r="N4769" i="12" s="1"/>
  <c r="O4767" i="12"/>
  <c r="M4770" i="12" l="1"/>
  <c r="N4770" i="12" s="1"/>
  <c r="O4768" i="12"/>
  <c r="M4771" i="12" l="1"/>
  <c r="N4771" i="12" s="1"/>
  <c r="O4769" i="12"/>
  <c r="M4772" i="12" l="1"/>
  <c r="N4772" i="12" s="1"/>
  <c r="O4770" i="12"/>
  <c r="M4773" i="12" l="1"/>
  <c r="N4773" i="12" s="1"/>
  <c r="O4771" i="12"/>
  <c r="M4774" i="12" l="1"/>
  <c r="N4774" i="12" s="1"/>
  <c r="O4772" i="12"/>
  <c r="M4775" i="12" l="1"/>
  <c r="N4775" i="12" s="1"/>
  <c r="O4773" i="12"/>
  <c r="M4776" i="12" l="1"/>
  <c r="N4776" i="12" s="1"/>
  <c r="O4774" i="12"/>
  <c r="M4777" i="12" l="1"/>
  <c r="N4777" i="12" s="1"/>
  <c r="O4775" i="12"/>
  <c r="M4778" i="12" l="1"/>
  <c r="N4778" i="12" s="1"/>
  <c r="O4776" i="12"/>
  <c r="M4779" i="12" l="1"/>
  <c r="N4779" i="12" s="1"/>
  <c r="O4777" i="12"/>
  <c r="M4780" i="12" l="1"/>
  <c r="N4780" i="12" s="1"/>
  <c r="O4778" i="12"/>
  <c r="M4781" i="12" l="1"/>
  <c r="N4781" i="12" s="1"/>
  <c r="O4779" i="12"/>
  <c r="M4782" i="12" l="1"/>
  <c r="N4782" i="12" s="1"/>
  <c r="O4780" i="12"/>
  <c r="M4783" i="12" l="1"/>
  <c r="N4783" i="12" s="1"/>
  <c r="O4781" i="12"/>
  <c r="M4784" i="12" l="1"/>
  <c r="N4784" i="12" s="1"/>
  <c r="O4782" i="12"/>
  <c r="M4785" i="12" l="1"/>
  <c r="N4785" i="12" s="1"/>
  <c r="O4783" i="12"/>
  <c r="M4786" i="12" l="1"/>
  <c r="N4786" i="12" s="1"/>
  <c r="O4784" i="12"/>
  <c r="M4787" i="12" l="1"/>
  <c r="N4787" i="12" s="1"/>
  <c r="O4785" i="12"/>
  <c r="M4788" i="12" l="1"/>
  <c r="N4788" i="12" s="1"/>
  <c r="O4786" i="12"/>
  <c r="M4789" i="12" l="1"/>
  <c r="N4789" i="12" s="1"/>
  <c r="O4787" i="12"/>
  <c r="M4790" i="12" l="1"/>
  <c r="N4790" i="12" s="1"/>
  <c r="O4788" i="12"/>
  <c r="M4791" i="12" l="1"/>
  <c r="N4791" i="12" s="1"/>
  <c r="O4789" i="12"/>
  <c r="M4792" i="12" l="1"/>
  <c r="N4792" i="12" s="1"/>
  <c r="O4790" i="12"/>
  <c r="M4793" i="12" l="1"/>
  <c r="N4793" i="12" s="1"/>
  <c r="O4791" i="12"/>
  <c r="M4794" i="12" l="1"/>
  <c r="N4794" i="12" s="1"/>
  <c r="O4792" i="12"/>
  <c r="M4795" i="12" l="1"/>
  <c r="N4795" i="12" s="1"/>
  <c r="O4793" i="12"/>
  <c r="M4796" i="12" l="1"/>
  <c r="N4796" i="12" s="1"/>
  <c r="O4794" i="12"/>
  <c r="M4797" i="12" l="1"/>
  <c r="N4797" i="12" s="1"/>
  <c r="O4795" i="12"/>
  <c r="M4798" i="12" l="1"/>
  <c r="N4798" i="12" s="1"/>
  <c r="O4796" i="12"/>
  <c r="M4799" i="12" l="1"/>
  <c r="N4799" i="12" s="1"/>
  <c r="O4797" i="12"/>
  <c r="M4800" i="12" l="1"/>
  <c r="N4800" i="12" s="1"/>
  <c r="O4798" i="12"/>
  <c r="M4801" i="12" l="1"/>
  <c r="N4801" i="12" s="1"/>
  <c r="O4799" i="12"/>
  <c r="M4802" i="12" l="1"/>
  <c r="N4802" i="12" s="1"/>
  <c r="O4800" i="12"/>
  <c r="M4803" i="12" l="1"/>
  <c r="N4803" i="12" s="1"/>
  <c r="O4801" i="12"/>
  <c r="M4804" i="12" l="1"/>
  <c r="N4804" i="12" s="1"/>
  <c r="O4802" i="12"/>
  <c r="M4805" i="12" l="1"/>
  <c r="N4805" i="12" s="1"/>
  <c r="O4803" i="12"/>
  <c r="M4806" i="12" l="1"/>
  <c r="N4806" i="12" s="1"/>
  <c r="O4804" i="12"/>
  <c r="M4807" i="12" l="1"/>
  <c r="N4807" i="12" s="1"/>
  <c r="O4805" i="12"/>
  <c r="M4808" i="12" l="1"/>
  <c r="N4808" i="12" s="1"/>
  <c r="O4806" i="12"/>
  <c r="M4809" i="12" l="1"/>
  <c r="N4809" i="12" s="1"/>
  <c r="O4807" i="12"/>
  <c r="M4810" i="12" l="1"/>
  <c r="N4810" i="12" s="1"/>
  <c r="O4808" i="12"/>
  <c r="M4811" i="12" l="1"/>
  <c r="N4811" i="12" s="1"/>
  <c r="O4809" i="12"/>
  <c r="M4812" i="12" l="1"/>
  <c r="N4812" i="12" s="1"/>
  <c r="O4810" i="12"/>
  <c r="M4813" i="12" l="1"/>
  <c r="N4813" i="12" s="1"/>
  <c r="O4811" i="12"/>
  <c r="M4814" i="12" l="1"/>
  <c r="N4814" i="12" s="1"/>
  <c r="O4812" i="12"/>
  <c r="M4815" i="12" l="1"/>
  <c r="N4815" i="12" s="1"/>
  <c r="O4813" i="12"/>
  <c r="M4816" i="12" l="1"/>
  <c r="N4816" i="12" s="1"/>
  <c r="O4814" i="12"/>
  <c r="M4817" i="12" l="1"/>
  <c r="N4817" i="12" s="1"/>
  <c r="O4815" i="12"/>
  <c r="M4818" i="12" l="1"/>
  <c r="N4818" i="12" s="1"/>
  <c r="O4816" i="12"/>
  <c r="M4819" i="12" l="1"/>
  <c r="N4819" i="12" s="1"/>
  <c r="O4817" i="12"/>
  <c r="M4820" i="12" l="1"/>
  <c r="N4820" i="12" s="1"/>
  <c r="O4818" i="12"/>
  <c r="M4821" i="12" l="1"/>
  <c r="N4821" i="12" s="1"/>
  <c r="O4819" i="12"/>
  <c r="M4822" i="12" l="1"/>
  <c r="N4822" i="12" s="1"/>
  <c r="O4820" i="12"/>
  <c r="M4823" i="12" l="1"/>
  <c r="N4823" i="12" s="1"/>
  <c r="O4821" i="12"/>
  <c r="M4824" i="12" l="1"/>
  <c r="N4824" i="12" s="1"/>
  <c r="O4822" i="12"/>
  <c r="M4825" i="12" l="1"/>
  <c r="N4825" i="12" s="1"/>
  <c r="O4823" i="12"/>
  <c r="M4826" i="12" l="1"/>
  <c r="N4826" i="12" s="1"/>
  <c r="O4824" i="12"/>
  <c r="M4827" i="12" l="1"/>
  <c r="N4827" i="12" s="1"/>
  <c r="O4825" i="12"/>
  <c r="M4828" i="12" l="1"/>
  <c r="N4828" i="12" s="1"/>
  <c r="O4826" i="12"/>
  <c r="M4829" i="12" l="1"/>
  <c r="N4829" i="12" s="1"/>
  <c r="O4827" i="12"/>
  <c r="M4830" i="12" l="1"/>
  <c r="N4830" i="12" s="1"/>
  <c r="O4828" i="12"/>
  <c r="M4831" i="12" l="1"/>
  <c r="N4831" i="12" s="1"/>
  <c r="O4829" i="12"/>
  <c r="M4832" i="12" l="1"/>
  <c r="N4832" i="12" s="1"/>
  <c r="O4830" i="12"/>
  <c r="M4833" i="12" l="1"/>
  <c r="N4833" i="12" s="1"/>
  <c r="O4831" i="12"/>
  <c r="M4834" i="12" l="1"/>
  <c r="N4834" i="12" s="1"/>
  <c r="O4832" i="12"/>
  <c r="M4835" i="12" l="1"/>
  <c r="N4835" i="12" s="1"/>
  <c r="O4833" i="12"/>
  <c r="M4836" i="12" l="1"/>
  <c r="N4836" i="12" s="1"/>
  <c r="O4834" i="12"/>
  <c r="M4837" i="12" l="1"/>
  <c r="N4837" i="12" s="1"/>
  <c r="O4835" i="12"/>
  <c r="M4838" i="12" l="1"/>
  <c r="N4838" i="12" s="1"/>
  <c r="O4836" i="12"/>
  <c r="M4839" i="12" l="1"/>
  <c r="N4839" i="12" s="1"/>
  <c r="O4837" i="12"/>
  <c r="M4840" i="12" l="1"/>
  <c r="N4840" i="12" s="1"/>
  <c r="O4838" i="12"/>
  <c r="M4841" i="12" l="1"/>
  <c r="N4841" i="12" s="1"/>
  <c r="O4839" i="12"/>
  <c r="M4842" i="12" l="1"/>
  <c r="N4842" i="12" s="1"/>
  <c r="O4840" i="12"/>
  <c r="M4843" i="12" l="1"/>
  <c r="N4843" i="12" s="1"/>
  <c r="O4841" i="12"/>
  <c r="M4844" i="12" l="1"/>
  <c r="N4844" i="12" s="1"/>
  <c r="O4842" i="12"/>
  <c r="M4845" i="12" l="1"/>
  <c r="N4845" i="12" s="1"/>
  <c r="O4843" i="12"/>
  <c r="M4846" i="12" l="1"/>
  <c r="N4846" i="12" s="1"/>
  <c r="O4844" i="12"/>
  <c r="M4847" i="12" l="1"/>
  <c r="N4847" i="12" s="1"/>
  <c r="O4845" i="12"/>
  <c r="M4848" i="12" l="1"/>
  <c r="N4848" i="12" s="1"/>
  <c r="O4846" i="12"/>
  <c r="M4849" i="12" l="1"/>
  <c r="N4849" i="12" s="1"/>
  <c r="O4847" i="12"/>
  <c r="M4850" i="12" l="1"/>
  <c r="N4850" i="12" s="1"/>
  <c r="O4848" i="12"/>
  <c r="M4851" i="12" l="1"/>
  <c r="N4851" i="12" s="1"/>
  <c r="O4849" i="12"/>
  <c r="M4852" i="12" l="1"/>
  <c r="N4852" i="12" s="1"/>
  <c r="O4850" i="12"/>
  <c r="M4853" i="12" l="1"/>
  <c r="N4853" i="12" s="1"/>
  <c r="O4851" i="12"/>
  <c r="M4854" i="12" l="1"/>
  <c r="N4854" i="12" s="1"/>
  <c r="O4852" i="12"/>
  <c r="M4855" i="12" l="1"/>
  <c r="N4855" i="12" s="1"/>
  <c r="O4853" i="12"/>
  <c r="M4856" i="12" l="1"/>
  <c r="N4856" i="12" s="1"/>
  <c r="O4854" i="12"/>
  <c r="M4857" i="12" l="1"/>
  <c r="N4857" i="12" s="1"/>
  <c r="O4855" i="12"/>
  <c r="M4858" i="12" l="1"/>
  <c r="N4858" i="12" s="1"/>
  <c r="O4856" i="12"/>
  <c r="M4859" i="12" l="1"/>
  <c r="N4859" i="12" s="1"/>
  <c r="O4857" i="12"/>
  <c r="M4860" i="12" l="1"/>
  <c r="N4860" i="12" s="1"/>
  <c r="O4858" i="12"/>
  <c r="M4861" i="12" l="1"/>
  <c r="N4861" i="12" s="1"/>
  <c r="O4859" i="12"/>
  <c r="M4862" i="12" l="1"/>
  <c r="N4862" i="12" s="1"/>
  <c r="O4860" i="12"/>
  <c r="M4863" i="12" l="1"/>
  <c r="N4863" i="12" s="1"/>
  <c r="O4861" i="12"/>
  <c r="M4864" i="12" l="1"/>
  <c r="N4864" i="12" s="1"/>
  <c r="O4862" i="12"/>
  <c r="M4865" i="12" l="1"/>
  <c r="N4865" i="12" s="1"/>
  <c r="O4863" i="12"/>
  <c r="M4866" i="12" l="1"/>
  <c r="N4866" i="12" s="1"/>
  <c r="O4864" i="12"/>
  <c r="M4867" i="12" l="1"/>
  <c r="N4867" i="12" s="1"/>
  <c r="O4865" i="12"/>
  <c r="M4868" i="12" l="1"/>
  <c r="N4868" i="12" s="1"/>
  <c r="O4866" i="12"/>
  <c r="M4869" i="12" l="1"/>
  <c r="N4869" i="12" s="1"/>
  <c r="O4867" i="12"/>
  <c r="M4870" i="12" l="1"/>
  <c r="N4870" i="12" s="1"/>
  <c r="O4868" i="12"/>
  <c r="M4871" i="12" l="1"/>
  <c r="N4871" i="12" s="1"/>
  <c r="O4869" i="12"/>
  <c r="M4872" i="12" l="1"/>
  <c r="N4872" i="12" s="1"/>
  <c r="O4870" i="12"/>
  <c r="M4873" i="12" l="1"/>
  <c r="N4873" i="12" s="1"/>
  <c r="O4871" i="12"/>
  <c r="M4874" i="12" l="1"/>
  <c r="N4874" i="12" s="1"/>
  <c r="O4872" i="12"/>
  <c r="M4875" i="12" l="1"/>
  <c r="N4875" i="12" s="1"/>
  <c r="O4873" i="12"/>
  <c r="M4876" i="12" l="1"/>
  <c r="N4876" i="12" s="1"/>
  <c r="O4874" i="12"/>
  <c r="M4877" i="12" l="1"/>
  <c r="N4877" i="12" s="1"/>
  <c r="O4875" i="12"/>
  <c r="M4878" i="12" l="1"/>
  <c r="N4878" i="12" s="1"/>
  <c r="O4876" i="12"/>
  <c r="M4879" i="12" l="1"/>
  <c r="N4879" i="12" s="1"/>
  <c r="O4877" i="12"/>
  <c r="M4880" i="12" l="1"/>
  <c r="N4880" i="12" s="1"/>
  <c r="O4878" i="12"/>
  <c r="M4881" i="12" l="1"/>
  <c r="N4881" i="12" s="1"/>
  <c r="O4879" i="12"/>
  <c r="M4882" i="12" l="1"/>
  <c r="N4882" i="12" s="1"/>
  <c r="O4880" i="12"/>
  <c r="M4883" i="12" l="1"/>
  <c r="N4883" i="12" s="1"/>
  <c r="O4881" i="12"/>
  <c r="M4884" i="12" l="1"/>
  <c r="N4884" i="12" s="1"/>
  <c r="O4882" i="12"/>
  <c r="M4885" i="12" l="1"/>
  <c r="N4885" i="12" s="1"/>
  <c r="O4883" i="12"/>
  <c r="M4886" i="12" l="1"/>
  <c r="N4886" i="12" s="1"/>
  <c r="O4884" i="12"/>
  <c r="M4887" i="12" l="1"/>
  <c r="N4887" i="12" s="1"/>
  <c r="O4885" i="12"/>
  <c r="M4888" i="12" l="1"/>
  <c r="N4888" i="12" s="1"/>
  <c r="O4886" i="12"/>
  <c r="M4889" i="12" l="1"/>
  <c r="N4889" i="12" s="1"/>
  <c r="O4887" i="12"/>
  <c r="M4890" i="12" l="1"/>
  <c r="N4890" i="12" s="1"/>
  <c r="O4888" i="12"/>
  <c r="M4891" i="12" l="1"/>
  <c r="N4891" i="12" s="1"/>
  <c r="O4889" i="12"/>
  <c r="M4892" i="12" l="1"/>
  <c r="N4892" i="12" s="1"/>
  <c r="O4890" i="12"/>
  <c r="M4893" i="12" l="1"/>
  <c r="N4893" i="12" s="1"/>
  <c r="O4891" i="12"/>
  <c r="M4894" i="12" l="1"/>
  <c r="N4894" i="12" s="1"/>
  <c r="O4892" i="12"/>
  <c r="M4895" i="12" l="1"/>
  <c r="N4895" i="12" s="1"/>
  <c r="O4893" i="12"/>
  <c r="M4896" i="12" l="1"/>
  <c r="N4896" i="12" s="1"/>
  <c r="O4894" i="12"/>
  <c r="M4897" i="12" l="1"/>
  <c r="N4897" i="12" s="1"/>
  <c r="O4895" i="12"/>
  <c r="M4898" i="12" l="1"/>
  <c r="N4898" i="12" s="1"/>
  <c r="O4896" i="12"/>
  <c r="M4899" i="12" l="1"/>
  <c r="N4899" i="12" s="1"/>
  <c r="O4897" i="12"/>
  <c r="M4900" i="12" l="1"/>
  <c r="N4900" i="12" s="1"/>
  <c r="O4898" i="12"/>
  <c r="M4901" i="12" l="1"/>
  <c r="N4901" i="12" s="1"/>
  <c r="O4899" i="12"/>
  <c r="M4902" i="12" l="1"/>
  <c r="N4902" i="12" s="1"/>
  <c r="O4900" i="12"/>
  <c r="M4903" i="12" l="1"/>
  <c r="N4903" i="12" s="1"/>
  <c r="O4901" i="12"/>
  <c r="M4904" i="12" l="1"/>
  <c r="N4904" i="12" s="1"/>
  <c r="O4902" i="12"/>
  <c r="M4905" i="12" l="1"/>
  <c r="N4905" i="12" s="1"/>
  <c r="O4903" i="12"/>
  <c r="M4906" i="12" l="1"/>
  <c r="N4906" i="12" s="1"/>
  <c r="O4904" i="12"/>
  <c r="M4907" i="12" l="1"/>
  <c r="N4907" i="12" s="1"/>
  <c r="O4905" i="12"/>
  <c r="M4908" i="12" l="1"/>
  <c r="N4908" i="12" s="1"/>
  <c r="O4906" i="12"/>
  <c r="M4909" i="12" l="1"/>
  <c r="N4909" i="12" s="1"/>
  <c r="O4907" i="12"/>
  <c r="M4910" i="12" l="1"/>
  <c r="N4910" i="12" s="1"/>
  <c r="O4908" i="12"/>
  <c r="M4911" i="12" l="1"/>
  <c r="N4911" i="12" s="1"/>
  <c r="O4909" i="12"/>
  <c r="M4912" i="12" l="1"/>
  <c r="N4912" i="12" s="1"/>
  <c r="O4910" i="12"/>
  <c r="M4913" i="12" l="1"/>
  <c r="N4913" i="12" s="1"/>
  <c r="O4911" i="12"/>
  <c r="M4914" i="12" l="1"/>
  <c r="N4914" i="12" s="1"/>
  <c r="O4912" i="12"/>
  <c r="M4915" i="12" l="1"/>
  <c r="N4915" i="12" s="1"/>
  <c r="O4913" i="12"/>
  <c r="M4916" i="12" l="1"/>
  <c r="N4916" i="12" s="1"/>
  <c r="O4914" i="12"/>
  <c r="M4917" i="12" l="1"/>
  <c r="N4917" i="12" s="1"/>
  <c r="O4915" i="12"/>
  <c r="M4918" i="12" l="1"/>
  <c r="N4918" i="12" s="1"/>
  <c r="O4916" i="12"/>
  <c r="M4919" i="12" l="1"/>
  <c r="N4919" i="12" s="1"/>
  <c r="O4917" i="12"/>
  <c r="M4920" i="12" l="1"/>
  <c r="N4920" i="12" s="1"/>
  <c r="O4918" i="12"/>
  <c r="M4921" i="12" l="1"/>
  <c r="N4921" i="12" s="1"/>
  <c r="O4919" i="12"/>
  <c r="M4922" i="12" l="1"/>
  <c r="N4922" i="12" s="1"/>
  <c r="O4920" i="12"/>
  <c r="M4923" i="12" l="1"/>
  <c r="N4923" i="12" s="1"/>
  <c r="O4921" i="12"/>
  <c r="M4924" i="12" l="1"/>
  <c r="N4924" i="12" s="1"/>
  <c r="O4922" i="12"/>
  <c r="M4925" i="12" l="1"/>
  <c r="N4925" i="12" s="1"/>
  <c r="O4923" i="12"/>
  <c r="M4926" i="12" l="1"/>
  <c r="N4926" i="12" s="1"/>
  <c r="O4924" i="12"/>
  <c r="M4927" i="12" l="1"/>
  <c r="N4927" i="12" s="1"/>
  <c r="O4925" i="12"/>
  <c r="M4928" i="12" l="1"/>
  <c r="N4928" i="12" s="1"/>
  <c r="O4926" i="12"/>
  <c r="M4929" i="12" l="1"/>
  <c r="N4929" i="12" s="1"/>
  <c r="O4927" i="12"/>
  <c r="M4930" i="12" l="1"/>
  <c r="N4930" i="12" s="1"/>
  <c r="O4928" i="12"/>
  <c r="M4931" i="12" l="1"/>
  <c r="N4931" i="12" s="1"/>
  <c r="O4929" i="12"/>
  <c r="M4932" i="12" l="1"/>
  <c r="N4932" i="12" s="1"/>
  <c r="O4930" i="12"/>
  <c r="M4933" i="12" l="1"/>
  <c r="N4933" i="12" s="1"/>
  <c r="O4931" i="12"/>
  <c r="M4934" i="12" l="1"/>
  <c r="N4934" i="12" s="1"/>
  <c r="O4932" i="12"/>
  <c r="M4935" i="12" l="1"/>
  <c r="N4935" i="12" s="1"/>
  <c r="O4933" i="12"/>
  <c r="M4936" i="12" l="1"/>
  <c r="N4936" i="12" s="1"/>
  <c r="O4934" i="12"/>
  <c r="M4937" i="12" l="1"/>
  <c r="N4937" i="12" s="1"/>
  <c r="O4935" i="12"/>
  <c r="M4938" i="12" l="1"/>
  <c r="N4938" i="12" s="1"/>
  <c r="O4936" i="12"/>
  <c r="M4939" i="12" l="1"/>
  <c r="N4939" i="12" s="1"/>
  <c r="O4937" i="12"/>
  <c r="M4940" i="12" l="1"/>
  <c r="N4940" i="12" s="1"/>
  <c r="O4938" i="12"/>
  <c r="M4941" i="12" l="1"/>
  <c r="N4941" i="12" s="1"/>
  <c r="O4939" i="12"/>
  <c r="M4942" i="12" l="1"/>
  <c r="N4942" i="12" s="1"/>
  <c r="O4940" i="12"/>
  <c r="M4943" i="12" l="1"/>
  <c r="N4943" i="12" s="1"/>
  <c r="O4941" i="12"/>
  <c r="M4944" i="12" l="1"/>
  <c r="N4944" i="12" s="1"/>
  <c r="O4942" i="12"/>
  <c r="M4945" i="12" l="1"/>
  <c r="N4945" i="12" s="1"/>
  <c r="O4943" i="12"/>
  <c r="M4946" i="12" l="1"/>
  <c r="N4946" i="12" s="1"/>
  <c r="O4944" i="12"/>
  <c r="M4947" i="12" l="1"/>
  <c r="N4947" i="12" s="1"/>
  <c r="O4945" i="12"/>
  <c r="M4948" i="12" l="1"/>
  <c r="N4948" i="12" s="1"/>
  <c r="O4946" i="12"/>
  <c r="M4949" i="12" l="1"/>
  <c r="N4949" i="12" s="1"/>
  <c r="O4947" i="12"/>
  <c r="M4950" i="12" l="1"/>
  <c r="N4950" i="12" s="1"/>
  <c r="O4948" i="12"/>
  <c r="M4951" i="12" l="1"/>
  <c r="N4951" i="12" s="1"/>
  <c r="O4949" i="12"/>
  <c r="M4952" i="12" l="1"/>
  <c r="N4952" i="12" s="1"/>
  <c r="O4950" i="12"/>
  <c r="M4953" i="12" l="1"/>
  <c r="N4953" i="12" s="1"/>
  <c r="O4951" i="12"/>
  <c r="M4954" i="12" l="1"/>
  <c r="N4954" i="12" s="1"/>
  <c r="O4952" i="12"/>
  <c r="M4955" i="12" l="1"/>
  <c r="N4955" i="12" s="1"/>
  <c r="O4953" i="12"/>
  <c r="M4956" i="12" l="1"/>
  <c r="N4956" i="12" s="1"/>
  <c r="O4954" i="12"/>
  <c r="M4957" i="12" l="1"/>
  <c r="N4957" i="12" s="1"/>
  <c r="O4955" i="12"/>
  <c r="M4958" i="12" l="1"/>
  <c r="N4958" i="12" s="1"/>
  <c r="O4956" i="12"/>
  <c r="M4959" i="12" l="1"/>
  <c r="N4959" i="12" s="1"/>
  <c r="O4957" i="12"/>
  <c r="M4960" i="12" l="1"/>
  <c r="N4960" i="12" s="1"/>
  <c r="O4958" i="12"/>
  <c r="M4961" i="12" l="1"/>
  <c r="N4961" i="12" s="1"/>
  <c r="O4959" i="12"/>
  <c r="M4962" i="12" l="1"/>
  <c r="N4962" i="12" s="1"/>
  <c r="O4960" i="12"/>
  <c r="M4963" i="12" l="1"/>
  <c r="N4963" i="12" s="1"/>
  <c r="O4961" i="12"/>
  <c r="M4964" i="12" l="1"/>
  <c r="N4964" i="12" s="1"/>
  <c r="O4962" i="12"/>
  <c r="M4965" i="12" l="1"/>
  <c r="N4965" i="12" s="1"/>
  <c r="O4963" i="12"/>
  <c r="M4966" i="12" l="1"/>
  <c r="N4966" i="12" s="1"/>
  <c r="O4964" i="12"/>
  <c r="M4967" i="12" l="1"/>
  <c r="N4967" i="12" s="1"/>
  <c r="O4965" i="12"/>
  <c r="M4968" i="12" l="1"/>
  <c r="N4968" i="12" s="1"/>
  <c r="O4966" i="12"/>
  <c r="M4969" i="12" l="1"/>
  <c r="N4969" i="12" s="1"/>
  <c r="O4967" i="12"/>
  <c r="M4970" i="12" l="1"/>
  <c r="N4970" i="12" s="1"/>
  <c r="O4968" i="12"/>
  <c r="M4971" i="12" l="1"/>
  <c r="N4971" i="12" s="1"/>
  <c r="O4969" i="12"/>
  <c r="M4972" i="12" l="1"/>
  <c r="N4972" i="12" s="1"/>
  <c r="O4970" i="12"/>
  <c r="M4973" i="12" l="1"/>
  <c r="N4973" i="12" s="1"/>
  <c r="O4971" i="12"/>
  <c r="M4974" i="12" l="1"/>
  <c r="N4974" i="12" s="1"/>
  <c r="O4972" i="12"/>
  <c r="M4975" i="12" l="1"/>
  <c r="N4975" i="12" s="1"/>
  <c r="O4973" i="12"/>
  <c r="M4976" i="12" l="1"/>
  <c r="N4976" i="12" s="1"/>
  <c r="O4974" i="12"/>
  <c r="M4977" i="12" l="1"/>
  <c r="N4977" i="12" s="1"/>
  <c r="O4975" i="12"/>
  <c r="M4978" i="12" l="1"/>
  <c r="N4978" i="12" s="1"/>
  <c r="O4976" i="12"/>
  <c r="M4979" i="12" l="1"/>
  <c r="N4979" i="12" s="1"/>
  <c r="O4977" i="12"/>
  <c r="M4980" i="12" l="1"/>
  <c r="N4980" i="12" s="1"/>
  <c r="O4978" i="12"/>
  <c r="M4981" i="12" l="1"/>
  <c r="N4981" i="12" s="1"/>
  <c r="O4979" i="12"/>
  <c r="M4982" i="12" l="1"/>
  <c r="N4982" i="12" s="1"/>
  <c r="O4980" i="12"/>
  <c r="M4983" i="12" l="1"/>
  <c r="N4983" i="12" s="1"/>
  <c r="O4981" i="12"/>
  <c r="M4984" i="12" l="1"/>
  <c r="N4984" i="12" s="1"/>
  <c r="O4982" i="12"/>
  <c r="M4985" i="12" l="1"/>
  <c r="N4985" i="12" s="1"/>
  <c r="O4983" i="12"/>
  <c r="M4986" i="12" l="1"/>
  <c r="N4986" i="12" s="1"/>
  <c r="O4984" i="12"/>
  <c r="M4987" i="12" l="1"/>
  <c r="N4987" i="12" s="1"/>
  <c r="O4985" i="12"/>
  <c r="M4988" i="12" l="1"/>
  <c r="N4988" i="12" s="1"/>
  <c r="O4986" i="12"/>
  <c r="M4989" i="12" l="1"/>
  <c r="N4989" i="12" s="1"/>
  <c r="O4987" i="12"/>
  <c r="M4990" i="12" l="1"/>
  <c r="N4990" i="12" s="1"/>
  <c r="O4988" i="12"/>
  <c r="M4991" i="12" l="1"/>
  <c r="N4991" i="12" s="1"/>
  <c r="O4989" i="12"/>
  <c r="M4992" i="12" l="1"/>
  <c r="N4992" i="12" s="1"/>
  <c r="O4990" i="12"/>
  <c r="M4993" i="12" l="1"/>
  <c r="N4993" i="12" s="1"/>
  <c r="O4991" i="12"/>
  <c r="M4994" i="12" l="1"/>
  <c r="N4994" i="12" s="1"/>
  <c r="O4992" i="12"/>
  <c r="M4995" i="12" l="1"/>
  <c r="N4995" i="12" s="1"/>
  <c r="O4993" i="12"/>
  <c r="M4996" i="12" l="1"/>
  <c r="N4996" i="12" s="1"/>
  <c r="O4994" i="12"/>
  <c r="M4997" i="12" l="1"/>
  <c r="N4997" i="12" s="1"/>
  <c r="O4995" i="12"/>
  <c r="M4998" i="12" l="1"/>
  <c r="N4998" i="12" s="1"/>
  <c r="O4996" i="12"/>
  <c r="M4999" i="12" l="1"/>
  <c r="N4999" i="12" s="1"/>
  <c r="O4997" i="12"/>
  <c r="M5000" i="12" l="1"/>
  <c r="N5000" i="12" s="1"/>
  <c r="O4998" i="12"/>
  <c r="M5001" i="12" l="1"/>
  <c r="N5001" i="12" s="1"/>
  <c r="O4999" i="12"/>
  <c r="M5002" i="12" l="1"/>
  <c r="N5002" i="12" s="1"/>
  <c r="O5000" i="12"/>
  <c r="M5003" i="12" l="1"/>
  <c r="N5003" i="12" s="1"/>
  <c r="O5001" i="12"/>
  <c r="M5004" i="12" l="1"/>
  <c r="N5004" i="12" s="1"/>
  <c r="O5002" i="12"/>
  <c r="M5005" i="12" l="1"/>
  <c r="N5005" i="12" s="1"/>
  <c r="O5003" i="12"/>
  <c r="M5006" i="12" l="1"/>
  <c r="N5006" i="12" s="1"/>
  <c r="O5004" i="12"/>
  <c r="M5007" i="12" l="1"/>
  <c r="N5007" i="12" s="1"/>
  <c r="O5005" i="12"/>
  <c r="M5008" i="12" l="1"/>
  <c r="N5008" i="12" s="1"/>
  <c r="O5006" i="12"/>
  <c r="M5009" i="12" l="1"/>
  <c r="N5009" i="12" s="1"/>
  <c r="O5007" i="12"/>
  <c r="M5010" i="12" l="1"/>
  <c r="N5010" i="12" s="1"/>
  <c r="O5008" i="12"/>
  <c r="M5011" i="12" l="1"/>
  <c r="N5011" i="12" s="1"/>
  <c r="O5009" i="12"/>
  <c r="M5012" i="12" l="1"/>
  <c r="N5012" i="12" s="1"/>
  <c r="O5010" i="12"/>
  <c r="M5013" i="12" l="1"/>
  <c r="N5013" i="12" s="1"/>
  <c r="O5011" i="12"/>
  <c r="M5014" i="12" l="1"/>
  <c r="N5014" i="12" s="1"/>
  <c r="O5012" i="12"/>
  <c r="M5015" i="12" l="1"/>
  <c r="N5015" i="12" s="1"/>
  <c r="O5013" i="12"/>
  <c r="M5016" i="12" l="1"/>
  <c r="N5016" i="12" s="1"/>
  <c r="O5014" i="12"/>
  <c r="M5017" i="12" l="1"/>
  <c r="N5017" i="12" s="1"/>
  <c r="O5015" i="12"/>
  <c r="M5018" i="12" l="1"/>
  <c r="N5018" i="12" s="1"/>
  <c r="O5016" i="12"/>
  <c r="M5019" i="12" l="1"/>
  <c r="N5019" i="12" s="1"/>
  <c r="O5017" i="12"/>
  <c r="M5020" i="12" l="1"/>
  <c r="N5020" i="12" s="1"/>
  <c r="O5018" i="12"/>
  <c r="M5021" i="12" l="1"/>
  <c r="N5021" i="12" s="1"/>
  <c r="O5019" i="12"/>
  <c r="M5022" i="12" l="1"/>
  <c r="N5022" i="12" s="1"/>
  <c r="O5020" i="12"/>
  <c r="M5023" i="12" l="1"/>
  <c r="N5023" i="12" s="1"/>
  <c r="O5021" i="12"/>
  <c r="M5024" i="12" l="1"/>
  <c r="N5024" i="12" s="1"/>
  <c r="O5022" i="12"/>
  <c r="M5025" i="12" l="1"/>
  <c r="N5025" i="12" s="1"/>
  <c r="O5023" i="12"/>
  <c r="M5026" i="12" l="1"/>
  <c r="N5026" i="12" s="1"/>
  <c r="O5024" i="12"/>
  <c r="M5027" i="12" l="1"/>
  <c r="N5027" i="12" s="1"/>
  <c r="O5025" i="12"/>
  <c r="M5028" i="12" l="1"/>
  <c r="N5028" i="12" s="1"/>
  <c r="O5026" i="12"/>
  <c r="M5029" i="12" l="1"/>
  <c r="N5029" i="12" s="1"/>
  <c r="O5027" i="12"/>
  <c r="M5030" i="12" l="1"/>
  <c r="N5030" i="12" s="1"/>
  <c r="O5028" i="12"/>
  <c r="M5031" i="12" l="1"/>
  <c r="N5031" i="12" s="1"/>
  <c r="O5029" i="12"/>
  <c r="M5032" i="12" l="1"/>
  <c r="N5032" i="12" s="1"/>
  <c r="O5030" i="12"/>
  <c r="M5033" i="12" l="1"/>
  <c r="N5033" i="12" s="1"/>
  <c r="O5031" i="12"/>
  <c r="M5034" i="12" l="1"/>
  <c r="N5034" i="12" s="1"/>
  <c r="O5032" i="12"/>
  <c r="M5035" i="12" l="1"/>
  <c r="N5035" i="12" s="1"/>
  <c r="O5033" i="12"/>
  <c r="M5036" i="12" l="1"/>
  <c r="N5036" i="12" s="1"/>
  <c r="O5034" i="12"/>
  <c r="M5037" i="12" l="1"/>
  <c r="N5037" i="12" s="1"/>
  <c r="O5035" i="12"/>
  <c r="M5038" i="12" l="1"/>
  <c r="N5038" i="12" s="1"/>
  <c r="O5036" i="12"/>
  <c r="M5039" i="12" l="1"/>
  <c r="N5039" i="12" s="1"/>
  <c r="O5037" i="12"/>
  <c r="M5040" i="12" l="1"/>
  <c r="N5040" i="12" s="1"/>
  <c r="O5038" i="12"/>
  <c r="M5041" i="12" l="1"/>
  <c r="N5041" i="12" s="1"/>
  <c r="O5039" i="12"/>
  <c r="M5042" i="12" l="1"/>
  <c r="N5042" i="12" s="1"/>
  <c r="O5040" i="12"/>
  <c r="M5043" i="12" l="1"/>
  <c r="N5043" i="12" s="1"/>
  <c r="O5041" i="12"/>
  <c r="M5044" i="12" l="1"/>
  <c r="N5044" i="12" s="1"/>
  <c r="O5042" i="12"/>
  <c r="M5045" i="12" l="1"/>
  <c r="N5045" i="12" s="1"/>
  <c r="O5043" i="12"/>
  <c r="M5046" i="12" l="1"/>
  <c r="N5046" i="12" s="1"/>
  <c r="O5044" i="12"/>
  <c r="M5047" i="12" l="1"/>
  <c r="N5047" i="12" s="1"/>
  <c r="O5045" i="12"/>
  <c r="M5048" i="12" l="1"/>
  <c r="N5048" i="12" s="1"/>
  <c r="O5046" i="12"/>
  <c r="M5049" i="12" l="1"/>
  <c r="N5049" i="12" s="1"/>
  <c r="O5047" i="12"/>
  <c r="M5050" i="12" l="1"/>
  <c r="N5050" i="12" s="1"/>
  <c r="O5048" i="12"/>
  <c r="M5051" i="12" l="1"/>
  <c r="N5051" i="12" s="1"/>
  <c r="O5049" i="12"/>
  <c r="M5052" i="12" l="1"/>
  <c r="N5052" i="12" s="1"/>
  <c r="O5050" i="12"/>
  <c r="M5053" i="12" l="1"/>
  <c r="N5053" i="12" s="1"/>
  <c r="O5051" i="12"/>
  <c r="M5054" i="12" l="1"/>
  <c r="N5054" i="12" s="1"/>
  <c r="O5052" i="12"/>
  <c r="M5055" i="12" l="1"/>
  <c r="N5055" i="12" s="1"/>
  <c r="O5053" i="12"/>
  <c r="M5056" i="12" l="1"/>
  <c r="N5056" i="12" s="1"/>
  <c r="O5054" i="12"/>
  <c r="M5057" i="12" l="1"/>
  <c r="N5057" i="12" s="1"/>
  <c r="O5055" i="12"/>
  <c r="M5058" i="12" l="1"/>
  <c r="N5058" i="12" s="1"/>
  <c r="O5056" i="12"/>
  <c r="M5059" i="12" l="1"/>
  <c r="N5059" i="12" s="1"/>
  <c r="O5057" i="12"/>
  <c r="M5060" i="12" l="1"/>
  <c r="N5060" i="12" s="1"/>
  <c r="O5058" i="12"/>
  <c r="M5061" i="12" l="1"/>
  <c r="N5061" i="12" s="1"/>
  <c r="O5059" i="12"/>
  <c r="M5062" i="12" l="1"/>
  <c r="N5062" i="12" s="1"/>
  <c r="O5060" i="12"/>
  <c r="M5063" i="12" l="1"/>
  <c r="N5063" i="12" s="1"/>
  <c r="O5061" i="12"/>
  <c r="M5064" i="12" l="1"/>
  <c r="N5064" i="12" s="1"/>
  <c r="O5062" i="12"/>
  <c r="M5065" i="12" l="1"/>
  <c r="N5065" i="12" s="1"/>
  <c r="O5063" i="12"/>
  <c r="M5066" i="12" l="1"/>
  <c r="N5066" i="12" s="1"/>
  <c r="O5064" i="12"/>
  <c r="M5067" i="12" l="1"/>
  <c r="N5067" i="12" s="1"/>
  <c r="O5065" i="12"/>
  <c r="M5068" i="12" l="1"/>
  <c r="N5068" i="12" s="1"/>
  <c r="O5066" i="12"/>
  <c r="M5069" i="12" l="1"/>
  <c r="N5069" i="12" s="1"/>
  <c r="O5067" i="12"/>
  <c r="M5070" i="12" l="1"/>
  <c r="N5070" i="12" s="1"/>
  <c r="O5068" i="12"/>
  <c r="M5071" i="12" l="1"/>
  <c r="N5071" i="12" s="1"/>
  <c r="O5069" i="12"/>
  <c r="M5072" i="12" l="1"/>
  <c r="N5072" i="12" s="1"/>
  <c r="O5070" i="12"/>
  <c r="M5073" i="12" l="1"/>
  <c r="N5073" i="12" s="1"/>
  <c r="O5071" i="12"/>
  <c r="M5074" i="12" l="1"/>
  <c r="N5074" i="12" s="1"/>
  <c r="O5072" i="12"/>
  <c r="M5075" i="12" l="1"/>
  <c r="N5075" i="12" s="1"/>
  <c r="O5073" i="12"/>
  <c r="M5076" i="12" l="1"/>
  <c r="N5076" i="12" s="1"/>
  <c r="O5074" i="12"/>
  <c r="M5077" i="12" l="1"/>
  <c r="N5077" i="12" s="1"/>
  <c r="O5075" i="12"/>
  <c r="M5078" i="12" l="1"/>
  <c r="N5078" i="12" s="1"/>
  <c r="O5076" i="12"/>
  <c r="M5079" i="12" l="1"/>
  <c r="N5079" i="12" s="1"/>
  <c r="O5077" i="12"/>
  <c r="M5080" i="12" l="1"/>
  <c r="N5080" i="12" s="1"/>
  <c r="O5078" i="12"/>
  <c r="M5081" i="12" l="1"/>
  <c r="N5081" i="12" s="1"/>
  <c r="O5079" i="12"/>
  <c r="M5082" i="12" l="1"/>
  <c r="N5082" i="12" s="1"/>
  <c r="O5080" i="12"/>
  <c r="M5083" i="12" l="1"/>
  <c r="N5083" i="12" s="1"/>
  <c r="O5081" i="12"/>
  <c r="M5084" i="12" l="1"/>
  <c r="N5084" i="12" s="1"/>
  <c r="O5082" i="12"/>
  <c r="M5085" i="12" l="1"/>
  <c r="N5085" i="12" s="1"/>
  <c r="O5083" i="12"/>
  <c r="M5086" i="12" l="1"/>
  <c r="N5086" i="12" s="1"/>
  <c r="O5084" i="12"/>
  <c r="M5087" i="12" l="1"/>
  <c r="N5087" i="12" s="1"/>
  <c r="O5085" i="12"/>
  <c r="M5088" i="12" l="1"/>
  <c r="N5088" i="12" s="1"/>
  <c r="O5086" i="12"/>
  <c r="M5089" i="12" l="1"/>
  <c r="N5089" i="12" s="1"/>
  <c r="O5087" i="12"/>
  <c r="M5090" i="12" l="1"/>
  <c r="N5090" i="12" s="1"/>
  <c r="O5088" i="12"/>
  <c r="M5091" i="12" l="1"/>
  <c r="N5091" i="12" s="1"/>
  <c r="O5089" i="12"/>
  <c r="M5092" i="12" l="1"/>
  <c r="N5092" i="12" s="1"/>
  <c r="O5090" i="12"/>
  <c r="M5093" i="12" l="1"/>
  <c r="N5093" i="12" s="1"/>
  <c r="O5091" i="12"/>
  <c r="M5094" i="12" l="1"/>
  <c r="N5094" i="12" s="1"/>
  <c r="O5092" i="12"/>
  <c r="M5095" i="12" l="1"/>
  <c r="N5095" i="12" s="1"/>
  <c r="O5093" i="12"/>
  <c r="M5096" i="12" l="1"/>
  <c r="N5096" i="12" s="1"/>
  <c r="O5094" i="12"/>
  <c r="M5097" i="12" l="1"/>
  <c r="N5097" i="12" s="1"/>
  <c r="O5095" i="12"/>
  <c r="M5098" i="12" l="1"/>
  <c r="N5098" i="12" s="1"/>
  <c r="O5096" i="12"/>
  <c r="M5099" i="12" l="1"/>
  <c r="N5099" i="12" s="1"/>
  <c r="O5097" i="12"/>
  <c r="M5100" i="12" l="1"/>
  <c r="N5100" i="12" s="1"/>
  <c r="O5098" i="12"/>
  <c r="M5101" i="12" l="1"/>
  <c r="N5101" i="12" s="1"/>
  <c r="O5099" i="12"/>
  <c r="M5102" i="12" l="1"/>
  <c r="N5102" i="12" s="1"/>
  <c r="O5100" i="12"/>
  <c r="M5103" i="12" l="1"/>
  <c r="N5103" i="12" s="1"/>
  <c r="O5101" i="12"/>
  <c r="M5104" i="12" l="1"/>
  <c r="N5104" i="12" s="1"/>
  <c r="O5102" i="12"/>
  <c r="M5105" i="12" l="1"/>
  <c r="N5105" i="12" s="1"/>
  <c r="O5103" i="12"/>
  <c r="M5106" i="12" l="1"/>
  <c r="N5106" i="12" s="1"/>
  <c r="O5104" i="12"/>
  <c r="M5107" i="12" l="1"/>
  <c r="N5107" i="12" s="1"/>
  <c r="O5105" i="12"/>
  <c r="M5108" i="12" l="1"/>
  <c r="N5108" i="12" s="1"/>
  <c r="O5106" i="12"/>
  <c r="M5109" i="12" l="1"/>
  <c r="N5109" i="12" s="1"/>
  <c r="O5107" i="12"/>
  <c r="M5110" i="12" l="1"/>
  <c r="N5110" i="12" s="1"/>
  <c r="O5108" i="12"/>
  <c r="M5111" i="12" l="1"/>
  <c r="N5111" i="12" s="1"/>
  <c r="O5109" i="12"/>
  <c r="M5112" i="12" l="1"/>
  <c r="N5112" i="12" s="1"/>
  <c r="O5110" i="12"/>
  <c r="M5113" i="12" l="1"/>
  <c r="N5113" i="12" s="1"/>
  <c r="O5111" i="12"/>
  <c r="M5114" i="12" l="1"/>
  <c r="N5114" i="12" s="1"/>
  <c r="O5112" i="12"/>
  <c r="M5115" i="12" l="1"/>
  <c r="N5115" i="12" s="1"/>
  <c r="O5113" i="12"/>
  <c r="M5116" i="12" l="1"/>
  <c r="N5116" i="12" s="1"/>
  <c r="O5114" i="12"/>
  <c r="M5117" i="12" l="1"/>
  <c r="N5117" i="12" s="1"/>
  <c r="O5115" i="12"/>
  <c r="M5118" i="12" l="1"/>
  <c r="N5118" i="12" s="1"/>
  <c r="O5116" i="12"/>
  <c r="M5119" i="12" l="1"/>
  <c r="N5119" i="12" s="1"/>
  <c r="O5117" i="12"/>
  <c r="M5120" i="12" l="1"/>
  <c r="N5120" i="12" s="1"/>
  <c r="O5118" i="12"/>
  <c r="M5121" i="12" l="1"/>
  <c r="N5121" i="12" s="1"/>
  <c r="O5119" i="12"/>
  <c r="M5122" i="12" l="1"/>
  <c r="N5122" i="12" s="1"/>
  <c r="O5120" i="12"/>
  <c r="M5123" i="12" l="1"/>
  <c r="N5123" i="12" s="1"/>
  <c r="O5121" i="12"/>
  <c r="M5124" i="12" l="1"/>
  <c r="N5124" i="12" s="1"/>
  <c r="O5122" i="12"/>
  <c r="M5125" i="12" l="1"/>
  <c r="N5125" i="12" s="1"/>
  <c r="O5123" i="12"/>
  <c r="M5126" i="12" l="1"/>
  <c r="N5126" i="12" s="1"/>
  <c r="O5124" i="12"/>
  <c r="M5127" i="12" l="1"/>
  <c r="N5127" i="12" s="1"/>
  <c r="O5125" i="12"/>
  <c r="M5128" i="12" l="1"/>
  <c r="N5128" i="12" s="1"/>
  <c r="O5126" i="12"/>
  <c r="M5129" i="12" l="1"/>
  <c r="N5129" i="12" s="1"/>
  <c r="O5127" i="12"/>
  <c r="M5130" i="12" l="1"/>
  <c r="N5130" i="12" s="1"/>
  <c r="O5128" i="12"/>
  <c r="M5131" i="12" l="1"/>
  <c r="N5131" i="12" s="1"/>
  <c r="O5129" i="12"/>
  <c r="M5132" i="12" l="1"/>
  <c r="N5132" i="12" s="1"/>
  <c r="O5130" i="12"/>
  <c r="M5133" i="12" l="1"/>
  <c r="N5133" i="12" s="1"/>
  <c r="O5131" i="12"/>
  <c r="M5134" i="12" l="1"/>
  <c r="N5134" i="12" s="1"/>
  <c r="O5132" i="12"/>
  <c r="M5135" i="12" l="1"/>
  <c r="N5135" i="12" s="1"/>
  <c r="O5133" i="12"/>
  <c r="M5136" i="12" l="1"/>
  <c r="N5136" i="12" s="1"/>
  <c r="O5134" i="12"/>
  <c r="M5137" i="12" l="1"/>
  <c r="N5137" i="12" s="1"/>
  <c r="O5135" i="12"/>
  <c r="M5138" i="12" l="1"/>
  <c r="N5138" i="12" s="1"/>
  <c r="O5136" i="12"/>
  <c r="M5139" i="12" l="1"/>
  <c r="N5139" i="12" s="1"/>
  <c r="O5137" i="12"/>
  <c r="M5140" i="12" l="1"/>
  <c r="N5140" i="12" s="1"/>
  <c r="O5138" i="12"/>
  <c r="M5141" i="12" l="1"/>
  <c r="N5141" i="12" s="1"/>
  <c r="O5139" i="12"/>
  <c r="M5142" i="12" l="1"/>
  <c r="N5142" i="12" s="1"/>
  <c r="O5140" i="12"/>
  <c r="M5143" i="12" l="1"/>
  <c r="N5143" i="12" s="1"/>
  <c r="O5141" i="12"/>
  <c r="M5144" i="12" l="1"/>
  <c r="N5144" i="12" s="1"/>
  <c r="O5142" i="12"/>
  <c r="M5145" i="12" l="1"/>
  <c r="N5145" i="12" s="1"/>
  <c r="O5143" i="12"/>
  <c r="M5146" i="12" l="1"/>
  <c r="N5146" i="12" s="1"/>
  <c r="O5144" i="12"/>
  <c r="M5147" i="12" l="1"/>
  <c r="N5147" i="12" s="1"/>
  <c r="O5145" i="12"/>
  <c r="M5148" i="12" l="1"/>
  <c r="N5148" i="12" s="1"/>
  <c r="O5146" i="12"/>
  <c r="M5149" i="12" l="1"/>
  <c r="N5149" i="12" s="1"/>
  <c r="O5147" i="12"/>
  <c r="M5150" i="12" l="1"/>
  <c r="N5150" i="12" s="1"/>
  <c r="O5148" i="12"/>
  <c r="M5151" i="12" l="1"/>
  <c r="N5151" i="12" s="1"/>
  <c r="O5149" i="12"/>
  <c r="M5152" i="12" l="1"/>
  <c r="N5152" i="12" s="1"/>
  <c r="O5150" i="12"/>
  <c r="M5153" i="12" l="1"/>
  <c r="N5153" i="12" s="1"/>
  <c r="O5151" i="12"/>
  <c r="M5154" i="12" l="1"/>
  <c r="N5154" i="12" s="1"/>
  <c r="O5152" i="12"/>
  <c r="M5155" i="12" l="1"/>
  <c r="N5155" i="12" s="1"/>
  <c r="O5153" i="12"/>
  <c r="M5156" i="12" l="1"/>
  <c r="N5156" i="12" s="1"/>
  <c r="O5154" i="12"/>
  <c r="M5157" i="12" l="1"/>
  <c r="N5157" i="12" s="1"/>
  <c r="O5155" i="12"/>
  <c r="M5158" i="12" l="1"/>
  <c r="N5158" i="12" s="1"/>
  <c r="O5156" i="12"/>
  <c r="M5159" i="12" l="1"/>
  <c r="N5159" i="12" s="1"/>
  <c r="O5157" i="12"/>
  <c r="M5160" i="12" l="1"/>
  <c r="N5160" i="12" s="1"/>
  <c r="O5158" i="12"/>
  <c r="M5161" i="12" l="1"/>
  <c r="N5161" i="12" s="1"/>
  <c r="O5159" i="12"/>
  <c r="M5162" i="12" l="1"/>
  <c r="N5162" i="12" s="1"/>
  <c r="O5160" i="12"/>
  <c r="M5163" i="12" l="1"/>
  <c r="N5163" i="12" s="1"/>
  <c r="O5161" i="12"/>
  <c r="M5164" i="12" l="1"/>
  <c r="N5164" i="12" s="1"/>
  <c r="O5162" i="12"/>
  <c r="M5165" i="12" l="1"/>
  <c r="N5165" i="12" s="1"/>
  <c r="O5163" i="12"/>
  <c r="M5166" i="12" l="1"/>
  <c r="N5166" i="12" s="1"/>
  <c r="O5164" i="12"/>
  <c r="M5167" i="12" l="1"/>
  <c r="N5167" i="12" s="1"/>
  <c r="O5165" i="12"/>
  <c r="M5168" i="12" l="1"/>
  <c r="N5168" i="12" s="1"/>
  <c r="O5166" i="12"/>
  <c r="M5169" i="12" l="1"/>
  <c r="N5169" i="12" s="1"/>
  <c r="O5167" i="12"/>
  <c r="M5170" i="12" l="1"/>
  <c r="N5170" i="12" s="1"/>
  <c r="O5168" i="12"/>
  <c r="M5171" i="12" l="1"/>
  <c r="N5171" i="12" s="1"/>
  <c r="O5169" i="12"/>
  <c r="M5172" i="12" l="1"/>
  <c r="N5172" i="12" s="1"/>
  <c r="O5170" i="12"/>
  <c r="M5173" i="12" l="1"/>
  <c r="N5173" i="12" s="1"/>
  <c r="O5171" i="12"/>
  <c r="M5174" i="12" l="1"/>
  <c r="N5174" i="12" s="1"/>
  <c r="O5172" i="12"/>
  <c r="M5175" i="12" l="1"/>
  <c r="N5175" i="12" s="1"/>
  <c r="O5173" i="12"/>
  <c r="M5176" i="12" l="1"/>
  <c r="N5176" i="12" s="1"/>
  <c r="O5174" i="12"/>
  <c r="M5177" i="12" l="1"/>
  <c r="N5177" i="12" s="1"/>
  <c r="O5175" i="12"/>
  <c r="M5178" i="12" l="1"/>
  <c r="N5178" i="12" s="1"/>
  <c r="O5176" i="12"/>
  <c r="M5179" i="12" l="1"/>
  <c r="N5179" i="12" s="1"/>
  <c r="O5177" i="12"/>
  <c r="M5180" i="12" l="1"/>
  <c r="N5180" i="12" s="1"/>
  <c r="O5178" i="12"/>
  <c r="M5181" i="12" l="1"/>
  <c r="N5181" i="12" s="1"/>
  <c r="O5179" i="12"/>
  <c r="M5182" i="12" l="1"/>
  <c r="N5182" i="12" s="1"/>
  <c r="O5180" i="12"/>
  <c r="M5183" i="12" l="1"/>
  <c r="N5183" i="12" s="1"/>
  <c r="O5181" i="12"/>
  <c r="M5184" i="12" l="1"/>
  <c r="N5184" i="12" s="1"/>
  <c r="O5182" i="12"/>
  <c r="M5185" i="12" l="1"/>
  <c r="N5185" i="12" s="1"/>
  <c r="O5183" i="12"/>
  <c r="M5186" i="12" l="1"/>
  <c r="N5186" i="12" s="1"/>
  <c r="O5184" i="12"/>
  <c r="M5187" i="12" l="1"/>
  <c r="N5187" i="12" s="1"/>
  <c r="O5185" i="12"/>
  <c r="M5188" i="12" l="1"/>
  <c r="N5188" i="12" s="1"/>
  <c r="O5186" i="12"/>
  <c r="M5189" i="12" l="1"/>
  <c r="N5189" i="12" s="1"/>
  <c r="O5187" i="12"/>
  <c r="M5190" i="12" l="1"/>
  <c r="N5190" i="12" s="1"/>
  <c r="O5188" i="12"/>
  <c r="M5191" i="12" l="1"/>
  <c r="N5191" i="12" s="1"/>
  <c r="O5189" i="12"/>
  <c r="M5192" i="12" l="1"/>
  <c r="N5192" i="12" s="1"/>
  <c r="O5190" i="12"/>
  <c r="M5193" i="12" l="1"/>
  <c r="N5193" i="12" s="1"/>
  <c r="O5191" i="12"/>
  <c r="M5194" i="12" l="1"/>
  <c r="N5194" i="12" s="1"/>
  <c r="O5192" i="12"/>
  <c r="M5195" i="12" l="1"/>
  <c r="N5195" i="12" s="1"/>
  <c r="O5193" i="12"/>
  <c r="M5196" i="12" l="1"/>
  <c r="N5196" i="12" s="1"/>
  <c r="O5194" i="12"/>
  <c r="M5197" i="12" l="1"/>
  <c r="N5197" i="12" s="1"/>
  <c r="O5195" i="12"/>
  <c r="M5198" i="12" l="1"/>
  <c r="N5198" i="12" s="1"/>
  <c r="O5196" i="12"/>
  <c r="M5199" i="12" l="1"/>
  <c r="N5199" i="12" s="1"/>
  <c r="O5197" i="12"/>
  <c r="M5200" i="12" l="1"/>
  <c r="N5200" i="12" s="1"/>
  <c r="O5198" i="12"/>
  <c r="M5201" i="12" l="1"/>
  <c r="N5201" i="12" s="1"/>
  <c r="O5199" i="12"/>
  <c r="M5202" i="12" l="1"/>
  <c r="N5202" i="12" s="1"/>
  <c r="O5200" i="12"/>
  <c r="M5203" i="12" l="1"/>
  <c r="N5203" i="12" s="1"/>
  <c r="O5201" i="12"/>
  <c r="M5204" i="12" l="1"/>
  <c r="N5204" i="12" s="1"/>
  <c r="O5202" i="12"/>
  <c r="M5205" i="12" l="1"/>
  <c r="N5205" i="12" s="1"/>
  <c r="O5203" i="12"/>
  <c r="M5206" i="12" l="1"/>
  <c r="N5206" i="12" s="1"/>
  <c r="O5204" i="12"/>
  <c r="M5207" i="12" l="1"/>
  <c r="N5207" i="12" s="1"/>
  <c r="O5205" i="12"/>
  <c r="M5208" i="12" l="1"/>
  <c r="N5208" i="12" s="1"/>
  <c r="O5206" i="12"/>
  <c r="M5209" i="12" l="1"/>
  <c r="N5209" i="12" s="1"/>
  <c r="O5207" i="12"/>
  <c r="M5210" i="12" l="1"/>
  <c r="N5210" i="12" s="1"/>
  <c r="O5208" i="12"/>
  <c r="M5211" i="12" l="1"/>
  <c r="N5211" i="12" s="1"/>
  <c r="O5209" i="12"/>
  <c r="M5212" i="12" l="1"/>
  <c r="N5212" i="12" s="1"/>
  <c r="O5210" i="12"/>
  <c r="M5213" i="12" l="1"/>
  <c r="N5213" i="12" s="1"/>
  <c r="O5211" i="12"/>
  <c r="M5214" i="12" l="1"/>
  <c r="N5214" i="12" s="1"/>
  <c r="O5212" i="12"/>
  <c r="M5215" i="12" l="1"/>
  <c r="N5215" i="12" s="1"/>
  <c r="O5213" i="12"/>
  <c r="M5216" i="12" l="1"/>
  <c r="N5216" i="12" s="1"/>
  <c r="O5214" i="12"/>
  <c r="M5217" i="12" l="1"/>
  <c r="N5217" i="12" s="1"/>
  <c r="O5215" i="12"/>
  <c r="M5218" i="12" l="1"/>
  <c r="N5218" i="12" s="1"/>
  <c r="O5216" i="12"/>
  <c r="M5219" i="12" l="1"/>
  <c r="N5219" i="12" s="1"/>
  <c r="O5217" i="12"/>
  <c r="M5220" i="12" l="1"/>
  <c r="N5220" i="12" s="1"/>
  <c r="O5218" i="12"/>
  <c r="M5221" i="12" l="1"/>
  <c r="N5221" i="12" s="1"/>
  <c r="O5219" i="12"/>
  <c r="M5222" i="12" l="1"/>
  <c r="N5222" i="12" s="1"/>
  <c r="O5220" i="12"/>
  <c r="M5223" i="12" l="1"/>
  <c r="N5223" i="12" s="1"/>
  <c r="O5221" i="12"/>
  <c r="M5224" i="12" l="1"/>
  <c r="N5224" i="12" s="1"/>
  <c r="O5222" i="12"/>
  <c r="M5225" i="12" l="1"/>
  <c r="N5225" i="12" s="1"/>
  <c r="O5223" i="12"/>
  <c r="M5226" i="12" l="1"/>
  <c r="N5226" i="12" s="1"/>
  <c r="O5224" i="12"/>
  <c r="M5227" i="12" l="1"/>
  <c r="N5227" i="12" s="1"/>
  <c r="O5225" i="12"/>
  <c r="M5228" i="12" l="1"/>
  <c r="N5228" i="12" s="1"/>
  <c r="O5226" i="12"/>
  <c r="M5229" i="12" l="1"/>
  <c r="N5229" i="12" s="1"/>
  <c r="O5227" i="12"/>
  <c r="M5230" i="12" l="1"/>
  <c r="N5230" i="12" s="1"/>
  <c r="O5228" i="12"/>
  <c r="M5231" i="12" l="1"/>
  <c r="N5231" i="12" s="1"/>
  <c r="O5229" i="12"/>
  <c r="M5232" i="12" l="1"/>
  <c r="N5232" i="12" s="1"/>
  <c r="O5230" i="12"/>
  <c r="M5233" i="12" l="1"/>
  <c r="N5233" i="12" s="1"/>
  <c r="O5231" i="12"/>
  <c r="M5234" i="12" l="1"/>
  <c r="N5234" i="12" s="1"/>
  <c r="O5232" i="12"/>
  <c r="M5235" i="12" l="1"/>
  <c r="N5235" i="12" s="1"/>
  <c r="O5233" i="12"/>
  <c r="M5236" i="12" l="1"/>
  <c r="N5236" i="12" s="1"/>
  <c r="O5234" i="12"/>
  <c r="M5237" i="12" l="1"/>
  <c r="N5237" i="12" s="1"/>
  <c r="O5235" i="12"/>
  <c r="M5238" i="12" l="1"/>
  <c r="N5238" i="12" s="1"/>
  <c r="O5236" i="12"/>
  <c r="M5239" i="12" l="1"/>
  <c r="N5239" i="12" s="1"/>
  <c r="O5237" i="12"/>
  <c r="M5240" i="12" l="1"/>
  <c r="N5240" i="12" s="1"/>
  <c r="O5238" i="12"/>
  <c r="M5241" i="12" l="1"/>
  <c r="N5241" i="12" s="1"/>
  <c r="O5239" i="12"/>
  <c r="M5242" i="12" l="1"/>
  <c r="N5242" i="12" s="1"/>
  <c r="O5240" i="12"/>
  <c r="M5243" i="12" l="1"/>
  <c r="N5243" i="12" s="1"/>
  <c r="O5241" i="12"/>
  <c r="M5244" i="12" l="1"/>
  <c r="N5244" i="12" s="1"/>
  <c r="O5242" i="12"/>
  <c r="M5245" i="12" l="1"/>
  <c r="N5245" i="12" s="1"/>
  <c r="O5243" i="12"/>
  <c r="M5246" i="12" l="1"/>
  <c r="N5246" i="12" s="1"/>
  <c r="O5244" i="12"/>
  <c r="M5247" i="12" l="1"/>
  <c r="N5247" i="12" s="1"/>
  <c r="O5245" i="12"/>
  <c r="M5248" i="12" l="1"/>
  <c r="N5248" i="12" s="1"/>
  <c r="O5246" i="12"/>
  <c r="M5249" i="12" l="1"/>
  <c r="N5249" i="12" s="1"/>
  <c r="O5247" i="12"/>
  <c r="M5250" i="12" l="1"/>
  <c r="N5250" i="12" s="1"/>
  <c r="O5248" i="12"/>
  <c r="M5251" i="12" l="1"/>
  <c r="N5251" i="12" s="1"/>
  <c r="O5249" i="12"/>
  <c r="M5252" i="12" l="1"/>
  <c r="N5252" i="12" s="1"/>
  <c r="O5250" i="12"/>
  <c r="M5253" i="12" l="1"/>
  <c r="N5253" i="12" s="1"/>
  <c r="O5251" i="12"/>
  <c r="M5254" i="12" l="1"/>
  <c r="N5254" i="12" s="1"/>
  <c r="O5252" i="12"/>
  <c r="M5255" i="12" l="1"/>
  <c r="N5255" i="12" s="1"/>
  <c r="O5253" i="12"/>
  <c r="M5256" i="12" l="1"/>
  <c r="N5256" i="12" s="1"/>
  <c r="O5254" i="12"/>
  <c r="M5257" i="12" l="1"/>
  <c r="N5257" i="12" s="1"/>
  <c r="O5255" i="12"/>
  <c r="M5258" i="12" l="1"/>
  <c r="N5258" i="12" s="1"/>
  <c r="O5256" i="12"/>
  <c r="M5259" i="12" l="1"/>
  <c r="N5259" i="12" s="1"/>
  <c r="O5257" i="12"/>
  <c r="M5260" i="12" l="1"/>
  <c r="N5260" i="12" s="1"/>
  <c r="O5258" i="12"/>
  <c r="M5261" i="12" l="1"/>
  <c r="N5261" i="12" s="1"/>
  <c r="O5259" i="12"/>
  <c r="M5262" i="12" l="1"/>
  <c r="N5262" i="12" s="1"/>
  <c r="O5260" i="12"/>
  <c r="M5263" i="12" l="1"/>
  <c r="N5263" i="12" s="1"/>
  <c r="O5261" i="12"/>
  <c r="M5264" i="12" l="1"/>
  <c r="N5264" i="12" s="1"/>
  <c r="O5262" i="12"/>
  <c r="M5265" i="12" l="1"/>
  <c r="N5265" i="12" s="1"/>
  <c r="O5263" i="12"/>
  <c r="M5266" i="12" l="1"/>
  <c r="N5266" i="12" s="1"/>
  <c r="O5264" i="12"/>
  <c r="M5267" i="12" l="1"/>
  <c r="N5267" i="12" s="1"/>
  <c r="O5265" i="12"/>
  <c r="M5268" i="12" l="1"/>
  <c r="N5268" i="12" s="1"/>
  <c r="O5266" i="12"/>
  <c r="M5269" i="12" l="1"/>
  <c r="N5269" i="12" s="1"/>
  <c r="O5267" i="12"/>
  <c r="M5270" i="12" l="1"/>
  <c r="N5270" i="12" s="1"/>
  <c r="O5268" i="12"/>
  <c r="M5271" i="12" l="1"/>
  <c r="N5271" i="12" s="1"/>
  <c r="O5269" i="12"/>
  <c r="M5272" i="12" l="1"/>
  <c r="N5272" i="12" s="1"/>
  <c r="O5270" i="12"/>
  <c r="M5273" i="12" l="1"/>
  <c r="N5273" i="12" s="1"/>
  <c r="O5271" i="12"/>
  <c r="M5274" i="12" l="1"/>
  <c r="N5274" i="12" s="1"/>
  <c r="O5272" i="12"/>
  <c r="M5275" i="12" l="1"/>
  <c r="N5275" i="12" s="1"/>
  <c r="O5273" i="12"/>
  <c r="M5276" i="12" l="1"/>
  <c r="N5276" i="12" s="1"/>
  <c r="O5274" i="12"/>
  <c r="M5277" i="12" l="1"/>
  <c r="N5277" i="12" s="1"/>
  <c r="O5275" i="12"/>
  <c r="M5278" i="12" l="1"/>
  <c r="N5278" i="12" s="1"/>
  <c r="O5276" i="12"/>
  <c r="M5279" i="12" l="1"/>
  <c r="N5279" i="12" s="1"/>
  <c r="O5277" i="12"/>
  <c r="M5280" i="12" l="1"/>
  <c r="N5280" i="12" s="1"/>
  <c r="O5278" i="12"/>
  <c r="M5281" i="12" l="1"/>
  <c r="N5281" i="12" s="1"/>
  <c r="O5279" i="12"/>
  <c r="M5282" i="12" l="1"/>
  <c r="N5282" i="12" s="1"/>
  <c r="O5280" i="12"/>
  <c r="M5283" i="12" l="1"/>
  <c r="N5283" i="12" s="1"/>
  <c r="O5281" i="12"/>
  <c r="M5284" i="12" l="1"/>
  <c r="N5284" i="12" s="1"/>
  <c r="O5282" i="12"/>
  <c r="M5285" i="12" l="1"/>
  <c r="N5285" i="12" s="1"/>
  <c r="O5283" i="12"/>
  <c r="M5286" i="12" l="1"/>
  <c r="N5286" i="12" s="1"/>
  <c r="O5284" i="12"/>
  <c r="M5287" i="12" l="1"/>
  <c r="N5287" i="12" s="1"/>
  <c r="O5285" i="12"/>
  <c r="M5288" i="12" l="1"/>
  <c r="N5288" i="12" s="1"/>
  <c r="O5286" i="12"/>
  <c r="M5289" i="12" l="1"/>
  <c r="N5289" i="12" s="1"/>
  <c r="O5287" i="12"/>
  <c r="M5290" i="12" l="1"/>
  <c r="N5290" i="12" s="1"/>
  <c r="O5288" i="12"/>
  <c r="M5291" i="12" l="1"/>
  <c r="N5291" i="12" s="1"/>
  <c r="O5289" i="12"/>
  <c r="M5292" i="12" l="1"/>
  <c r="N5292" i="12" s="1"/>
  <c r="O5290" i="12"/>
  <c r="M5293" i="12" l="1"/>
  <c r="N5293" i="12" s="1"/>
  <c r="O5291" i="12"/>
  <c r="M5294" i="12" l="1"/>
  <c r="N5294" i="12" s="1"/>
  <c r="O5292" i="12"/>
  <c r="M5295" i="12" l="1"/>
  <c r="N5295" i="12" s="1"/>
  <c r="O5293" i="12"/>
  <c r="M5296" i="12" l="1"/>
  <c r="N5296" i="12" s="1"/>
  <c r="O5294" i="12"/>
  <c r="M5297" i="12" l="1"/>
  <c r="N5297" i="12" s="1"/>
  <c r="O5295" i="12"/>
  <c r="M5298" i="12" l="1"/>
  <c r="N5298" i="12" s="1"/>
  <c r="O5296" i="12"/>
  <c r="M5299" i="12" l="1"/>
  <c r="N5299" i="12" s="1"/>
  <c r="O5297" i="12"/>
  <c r="M5300" i="12" l="1"/>
  <c r="N5300" i="12" s="1"/>
  <c r="O5298" i="12"/>
  <c r="M5301" i="12" l="1"/>
  <c r="N5301" i="12" s="1"/>
  <c r="O5299" i="12"/>
  <c r="M5302" i="12" l="1"/>
  <c r="N5302" i="12" s="1"/>
  <c r="O5300" i="12"/>
  <c r="M5303" i="12" l="1"/>
  <c r="N5303" i="12" s="1"/>
  <c r="O5301" i="12"/>
  <c r="M5304" i="12" l="1"/>
  <c r="N5304" i="12" s="1"/>
  <c r="O5302" i="12"/>
  <c r="M5305" i="12" l="1"/>
  <c r="N5305" i="12" s="1"/>
  <c r="O5303" i="12"/>
  <c r="M5306" i="12" l="1"/>
  <c r="N5306" i="12" s="1"/>
  <c r="O5304" i="12"/>
  <c r="M5307" i="12" l="1"/>
  <c r="N5307" i="12" s="1"/>
  <c r="O5305" i="12"/>
  <c r="M5308" i="12" l="1"/>
  <c r="N5308" i="12" s="1"/>
  <c r="O5306" i="12"/>
  <c r="M5309" i="12" l="1"/>
  <c r="N5309" i="12" s="1"/>
  <c r="O5307" i="12"/>
  <c r="M5310" i="12" l="1"/>
  <c r="N5310" i="12" s="1"/>
  <c r="O5308" i="12"/>
  <c r="M5311" i="12" l="1"/>
  <c r="N5311" i="12" s="1"/>
  <c r="O5309" i="12"/>
  <c r="M5312" i="12" l="1"/>
  <c r="N5312" i="12" s="1"/>
  <c r="O5310" i="12"/>
  <c r="M5313" i="12" l="1"/>
  <c r="N5313" i="12" s="1"/>
  <c r="O5311" i="12"/>
  <c r="M5314" i="12" l="1"/>
  <c r="N5314" i="12" s="1"/>
  <c r="O5312" i="12"/>
  <c r="M5315" i="12" l="1"/>
  <c r="N5315" i="12" s="1"/>
  <c r="O5313" i="12"/>
  <c r="M5316" i="12" l="1"/>
  <c r="N5316" i="12" s="1"/>
  <c r="O5314" i="12"/>
  <c r="M5317" i="12" l="1"/>
  <c r="N5317" i="12" s="1"/>
  <c r="O5315" i="12"/>
  <c r="M5318" i="12" l="1"/>
  <c r="N5318" i="12" s="1"/>
  <c r="O5316" i="12"/>
  <c r="M5319" i="12" l="1"/>
  <c r="N5319" i="12" s="1"/>
  <c r="O5317" i="12"/>
  <c r="M5320" i="12" l="1"/>
  <c r="N5320" i="12" s="1"/>
  <c r="O5318" i="12"/>
  <c r="M5321" i="12" l="1"/>
  <c r="N5321" i="12" s="1"/>
  <c r="O5319" i="12"/>
  <c r="M5322" i="12" l="1"/>
  <c r="N5322" i="12" s="1"/>
  <c r="O5320" i="12"/>
  <c r="M5323" i="12" l="1"/>
  <c r="N5323" i="12" s="1"/>
  <c r="O5321" i="12"/>
  <c r="M5324" i="12" l="1"/>
  <c r="N5324" i="12" s="1"/>
  <c r="O5322" i="12"/>
  <c r="M5325" i="12" l="1"/>
  <c r="N5325" i="12" s="1"/>
  <c r="O5323" i="12"/>
  <c r="M5326" i="12" l="1"/>
  <c r="N5326" i="12" s="1"/>
  <c r="O5324" i="12"/>
  <c r="M5327" i="12" l="1"/>
  <c r="N5327" i="12" s="1"/>
  <c r="O5325" i="12"/>
  <c r="M5328" i="12" l="1"/>
  <c r="N5328" i="12" s="1"/>
  <c r="O5326" i="12"/>
  <c r="M5329" i="12" l="1"/>
  <c r="N5329" i="12" s="1"/>
  <c r="O5327" i="12"/>
  <c r="M5330" i="12" l="1"/>
  <c r="N5330" i="12" s="1"/>
  <c r="O5328" i="12"/>
  <c r="M5331" i="12" l="1"/>
  <c r="N5331" i="12" s="1"/>
  <c r="O5329" i="12"/>
  <c r="M5332" i="12" l="1"/>
  <c r="N5332" i="12" s="1"/>
  <c r="O5330" i="12"/>
  <c r="M5333" i="12" l="1"/>
  <c r="N5333" i="12" s="1"/>
  <c r="O5331" i="12"/>
  <c r="M5334" i="12" l="1"/>
  <c r="N5334" i="12" s="1"/>
  <c r="O5332" i="12"/>
  <c r="M5335" i="12" l="1"/>
  <c r="N5335" i="12" s="1"/>
  <c r="O5333" i="12"/>
  <c r="M5336" i="12" l="1"/>
  <c r="N5336" i="12" s="1"/>
  <c r="O5334" i="12"/>
  <c r="M5337" i="12" l="1"/>
  <c r="N5337" i="12" s="1"/>
  <c r="O5335" i="12"/>
  <c r="M5338" i="12" l="1"/>
  <c r="N5338" i="12" s="1"/>
  <c r="O5336" i="12"/>
  <c r="M5339" i="12" l="1"/>
  <c r="N5339" i="12" s="1"/>
  <c r="O5337" i="12"/>
  <c r="M5340" i="12" l="1"/>
  <c r="N5340" i="12" s="1"/>
  <c r="O5338" i="12"/>
  <c r="M5341" i="12" l="1"/>
  <c r="N5341" i="12" s="1"/>
  <c r="O5339" i="12"/>
  <c r="M5342" i="12" l="1"/>
  <c r="N5342" i="12" s="1"/>
  <c r="O5340" i="12"/>
  <c r="M5343" i="12" l="1"/>
  <c r="N5343" i="12" s="1"/>
  <c r="O5341" i="12"/>
  <c r="M5344" i="12" l="1"/>
  <c r="N5344" i="12" s="1"/>
  <c r="O5342" i="12"/>
  <c r="M5345" i="12" l="1"/>
  <c r="N5345" i="12" s="1"/>
  <c r="O5343" i="12"/>
  <c r="M5346" i="12" l="1"/>
  <c r="N5346" i="12" s="1"/>
  <c r="O5344" i="12"/>
  <c r="M5347" i="12" l="1"/>
  <c r="N5347" i="12" s="1"/>
  <c r="O5345" i="12"/>
  <c r="M5348" i="12" l="1"/>
  <c r="N5348" i="12" s="1"/>
  <c r="O5346" i="12"/>
  <c r="M5349" i="12" l="1"/>
  <c r="N5349" i="12" s="1"/>
  <c r="O5347" i="12"/>
  <c r="M5350" i="12" l="1"/>
  <c r="N5350" i="12" s="1"/>
  <c r="O5348" i="12"/>
  <c r="M5351" i="12" l="1"/>
  <c r="N5351" i="12" s="1"/>
  <c r="O5349" i="12"/>
  <c r="M5352" i="12" l="1"/>
  <c r="N5352" i="12" s="1"/>
  <c r="O5350" i="12"/>
  <c r="M5353" i="12" l="1"/>
  <c r="N5353" i="12" s="1"/>
  <c r="O5351" i="12"/>
  <c r="M5354" i="12" l="1"/>
  <c r="N5354" i="12" s="1"/>
  <c r="O5352" i="12"/>
  <c r="M5355" i="12" l="1"/>
  <c r="N5355" i="12" s="1"/>
  <c r="O5353" i="12"/>
  <c r="M5356" i="12" l="1"/>
  <c r="N5356" i="12" s="1"/>
  <c r="O5354" i="12"/>
  <c r="M5357" i="12" l="1"/>
  <c r="N5357" i="12" s="1"/>
  <c r="O5355" i="12"/>
  <c r="M5358" i="12" l="1"/>
  <c r="N5358" i="12" s="1"/>
  <c r="O5356" i="12"/>
  <c r="M5359" i="12" l="1"/>
  <c r="N5359" i="12" s="1"/>
  <c r="O5357" i="12"/>
  <c r="M5360" i="12" l="1"/>
  <c r="N5360" i="12" s="1"/>
  <c r="O5358" i="12"/>
  <c r="M5361" i="12" l="1"/>
  <c r="N5361" i="12" s="1"/>
  <c r="O5359" i="12"/>
  <c r="M5362" i="12" l="1"/>
  <c r="N5362" i="12" s="1"/>
  <c r="O5360" i="12"/>
  <c r="M5363" i="12" l="1"/>
  <c r="N5363" i="12" s="1"/>
  <c r="O5361" i="12"/>
  <c r="M5364" i="12" l="1"/>
  <c r="N5364" i="12" s="1"/>
  <c r="O5362" i="12"/>
  <c r="M5365" i="12" l="1"/>
  <c r="N5365" i="12" s="1"/>
  <c r="O5363" i="12"/>
  <c r="M5366" i="12" l="1"/>
  <c r="N5366" i="12" s="1"/>
  <c r="O5364" i="12"/>
  <c r="M5367" i="12" l="1"/>
  <c r="N5367" i="12" s="1"/>
  <c r="O5365" i="12"/>
  <c r="M5368" i="12" l="1"/>
  <c r="N5368" i="12" s="1"/>
  <c r="O5366" i="12"/>
  <c r="M5369" i="12" l="1"/>
  <c r="N5369" i="12" s="1"/>
  <c r="O5367" i="12"/>
  <c r="M5370" i="12" l="1"/>
  <c r="N5370" i="12" s="1"/>
  <c r="O5368" i="12"/>
  <c r="M5371" i="12" l="1"/>
  <c r="N5371" i="12" s="1"/>
  <c r="O5369" i="12"/>
  <c r="M5372" i="12" l="1"/>
  <c r="N5372" i="12" s="1"/>
  <c r="O5370" i="12"/>
  <c r="M5373" i="12" l="1"/>
  <c r="N5373" i="12" s="1"/>
  <c r="O5371" i="12"/>
  <c r="M5374" i="12" l="1"/>
  <c r="N5374" i="12" s="1"/>
  <c r="O5372" i="12"/>
  <c r="M5375" i="12" l="1"/>
  <c r="N5375" i="12" s="1"/>
  <c r="O5373" i="12"/>
  <c r="M5376" i="12" l="1"/>
  <c r="N5376" i="12" s="1"/>
  <c r="O5374" i="12"/>
  <c r="M5377" i="12" l="1"/>
  <c r="N5377" i="12" s="1"/>
  <c r="O5375" i="12"/>
  <c r="M5378" i="12" l="1"/>
  <c r="N5378" i="12" s="1"/>
  <c r="O5376" i="12"/>
  <c r="M5379" i="12" l="1"/>
  <c r="N5379" i="12" s="1"/>
  <c r="O5377" i="12"/>
  <c r="M5380" i="12" l="1"/>
  <c r="N5380" i="12" s="1"/>
  <c r="O5378" i="12"/>
  <c r="M5381" i="12" l="1"/>
  <c r="N5381" i="12" s="1"/>
  <c r="O5379" i="12"/>
  <c r="M5382" i="12" l="1"/>
  <c r="N5382" i="12" s="1"/>
  <c r="O5380" i="12"/>
  <c r="M5383" i="12" l="1"/>
  <c r="N5383" i="12" s="1"/>
  <c r="O5381" i="12"/>
  <c r="M5384" i="12" l="1"/>
  <c r="N5384" i="12" s="1"/>
  <c r="O5382" i="12"/>
  <c r="M5385" i="12" l="1"/>
  <c r="N5385" i="12" s="1"/>
  <c r="O5383" i="12"/>
  <c r="M5386" i="12" l="1"/>
  <c r="N5386" i="12" s="1"/>
  <c r="O5384" i="12"/>
  <c r="M5387" i="12" l="1"/>
  <c r="N5387" i="12" s="1"/>
  <c r="O5385" i="12"/>
  <c r="M5388" i="12" l="1"/>
  <c r="N5388" i="12" s="1"/>
  <c r="O5386" i="12"/>
  <c r="M5389" i="12" l="1"/>
  <c r="N5389" i="12" s="1"/>
  <c r="O5387" i="12"/>
  <c r="M5390" i="12" l="1"/>
  <c r="N5390" i="12" s="1"/>
  <c r="O5388" i="12"/>
  <c r="M5391" i="12" l="1"/>
  <c r="N5391" i="12" s="1"/>
  <c r="O5389" i="12"/>
  <c r="M5392" i="12" l="1"/>
  <c r="N5392" i="12" s="1"/>
  <c r="O5390" i="12"/>
  <c r="M5393" i="12" l="1"/>
  <c r="N5393" i="12" s="1"/>
  <c r="O5391" i="12"/>
  <c r="M5394" i="12" l="1"/>
  <c r="N5394" i="12" s="1"/>
  <c r="O5392" i="12"/>
  <c r="M5395" i="12" l="1"/>
  <c r="N5395" i="12" s="1"/>
  <c r="O5393" i="12"/>
  <c r="M5396" i="12" l="1"/>
  <c r="N5396" i="12" s="1"/>
  <c r="O5394" i="12"/>
  <c r="M5397" i="12" l="1"/>
  <c r="N5397" i="12" s="1"/>
  <c r="O5395" i="12"/>
  <c r="M5398" i="12" l="1"/>
  <c r="N5398" i="12" s="1"/>
  <c r="O5396" i="12"/>
  <c r="M5399" i="12" l="1"/>
  <c r="N5399" i="12" s="1"/>
  <c r="O5397" i="12"/>
  <c r="M5400" i="12" l="1"/>
  <c r="N5400" i="12" s="1"/>
  <c r="O5398" i="12"/>
  <c r="M5401" i="12" l="1"/>
  <c r="N5401" i="12" s="1"/>
  <c r="O5399" i="12"/>
  <c r="M5402" i="12" l="1"/>
  <c r="N5402" i="12" s="1"/>
  <c r="O5400" i="12"/>
  <c r="M5403" i="12" l="1"/>
  <c r="N5403" i="12" s="1"/>
  <c r="O5401" i="12"/>
  <c r="M5404" i="12" l="1"/>
  <c r="N5404" i="12" s="1"/>
  <c r="O5402" i="12"/>
  <c r="M5405" i="12" l="1"/>
  <c r="N5405" i="12" s="1"/>
  <c r="O5403" i="12"/>
  <c r="M5406" i="12" l="1"/>
  <c r="N5406" i="12" s="1"/>
  <c r="O5404" i="12"/>
  <c r="M5407" i="12" l="1"/>
  <c r="N5407" i="12" s="1"/>
  <c r="O5405" i="12"/>
  <c r="M5408" i="12" l="1"/>
  <c r="N5408" i="12" s="1"/>
  <c r="O5406" i="12"/>
  <c r="M5409" i="12" l="1"/>
  <c r="N5409" i="12" s="1"/>
  <c r="O5407" i="12"/>
  <c r="M5410" i="12" l="1"/>
  <c r="N5410" i="12" s="1"/>
  <c r="O5408" i="12"/>
  <c r="M5411" i="12" l="1"/>
  <c r="N5411" i="12" s="1"/>
  <c r="O5409" i="12"/>
  <c r="M5412" i="12" l="1"/>
  <c r="N5412" i="12" s="1"/>
  <c r="O5410" i="12"/>
  <c r="M5413" i="12" l="1"/>
  <c r="N5413" i="12" s="1"/>
  <c r="O5411" i="12"/>
  <c r="M5414" i="12" l="1"/>
  <c r="N5414" i="12" s="1"/>
  <c r="O5412" i="12"/>
  <c r="M5415" i="12" l="1"/>
  <c r="N5415" i="12" s="1"/>
  <c r="O5413" i="12"/>
  <c r="M5416" i="12" l="1"/>
  <c r="N5416" i="12" s="1"/>
  <c r="O5414" i="12"/>
  <c r="M5417" i="12" l="1"/>
  <c r="N5417" i="12" s="1"/>
  <c r="O5415" i="12"/>
  <c r="M5418" i="12" l="1"/>
  <c r="N5418" i="12" s="1"/>
  <c r="O5416" i="12"/>
  <c r="M5419" i="12" l="1"/>
  <c r="N5419" i="12" s="1"/>
  <c r="O5417" i="12"/>
  <c r="M5420" i="12" l="1"/>
  <c r="N5420" i="12" s="1"/>
  <c r="O5418" i="12"/>
  <c r="M5421" i="12" l="1"/>
  <c r="N5421" i="12" s="1"/>
  <c r="O5419" i="12"/>
  <c r="M5422" i="12" l="1"/>
  <c r="N5422" i="12" s="1"/>
  <c r="O5420" i="12"/>
  <c r="M5423" i="12" l="1"/>
  <c r="N5423" i="12" s="1"/>
  <c r="O5421" i="12"/>
  <c r="M5424" i="12" l="1"/>
  <c r="N5424" i="12" s="1"/>
  <c r="O5422" i="12"/>
  <c r="M5425" i="12" l="1"/>
  <c r="N5425" i="12" s="1"/>
  <c r="O5423" i="12"/>
  <c r="M5426" i="12" l="1"/>
  <c r="N5426" i="12" s="1"/>
  <c r="O5424" i="12"/>
  <c r="M5427" i="12" l="1"/>
  <c r="N5427" i="12" s="1"/>
  <c r="O5425" i="12"/>
  <c r="M5428" i="12" l="1"/>
  <c r="N5428" i="12" s="1"/>
  <c r="O5426" i="12"/>
  <c r="M5429" i="12" l="1"/>
  <c r="N5429" i="12" s="1"/>
  <c r="O5427" i="12"/>
  <c r="M5430" i="12" l="1"/>
  <c r="N5430" i="12" s="1"/>
  <c r="O5428" i="12"/>
  <c r="M5431" i="12" l="1"/>
  <c r="N5431" i="12" s="1"/>
  <c r="O5429" i="12"/>
  <c r="M5432" i="12" l="1"/>
  <c r="N5432" i="12" s="1"/>
  <c r="O5430" i="12"/>
  <c r="M5433" i="12" l="1"/>
  <c r="N5433" i="12" s="1"/>
  <c r="O5431" i="12"/>
  <c r="M5434" i="12" l="1"/>
  <c r="N5434" i="12" s="1"/>
  <c r="O5432" i="12"/>
  <c r="M5435" i="12" l="1"/>
  <c r="N5435" i="12" s="1"/>
  <c r="O5433" i="12"/>
  <c r="M5436" i="12" l="1"/>
  <c r="N5436" i="12" s="1"/>
  <c r="O5434" i="12"/>
  <c r="M5437" i="12" l="1"/>
  <c r="N5437" i="12" s="1"/>
  <c r="O5435" i="12"/>
  <c r="M5438" i="12" l="1"/>
  <c r="N5438" i="12" s="1"/>
  <c r="O5436" i="12"/>
  <c r="M5439" i="12" l="1"/>
  <c r="N5439" i="12" s="1"/>
  <c r="O5437" i="12"/>
  <c r="M5440" i="12" l="1"/>
  <c r="N5440" i="12" s="1"/>
  <c r="O5438" i="12"/>
  <c r="M5441" i="12" l="1"/>
  <c r="N5441" i="12" s="1"/>
  <c r="O5439" i="12"/>
  <c r="M5442" i="12" l="1"/>
  <c r="N5442" i="12" s="1"/>
  <c r="O5440" i="12"/>
  <c r="M5443" i="12" l="1"/>
  <c r="N5443" i="12" s="1"/>
  <c r="O5441" i="12"/>
  <c r="M5444" i="12" l="1"/>
  <c r="N5444" i="12" s="1"/>
  <c r="O5442" i="12"/>
  <c r="M5445" i="12" l="1"/>
  <c r="N5445" i="12" s="1"/>
  <c r="O5443" i="12"/>
  <c r="M5446" i="12" l="1"/>
  <c r="N5446" i="12" s="1"/>
  <c r="O5444" i="12"/>
  <c r="M5447" i="12" l="1"/>
  <c r="N5447" i="12" s="1"/>
  <c r="O5445" i="12"/>
  <c r="M5448" i="12" l="1"/>
  <c r="N5448" i="12" s="1"/>
  <c r="O5446" i="12"/>
  <c r="M5449" i="12" l="1"/>
  <c r="N5449" i="12" s="1"/>
  <c r="O5447" i="12"/>
  <c r="M5450" i="12" l="1"/>
  <c r="N5450" i="12" s="1"/>
  <c r="O5448" i="12"/>
  <c r="M5451" i="12" l="1"/>
  <c r="N5451" i="12" s="1"/>
  <c r="O5449" i="12"/>
  <c r="M5452" i="12" l="1"/>
  <c r="N5452" i="12" s="1"/>
  <c r="O5450" i="12"/>
  <c r="M5453" i="12" l="1"/>
  <c r="N5453" i="12" s="1"/>
  <c r="O5451" i="12"/>
  <c r="M5454" i="12" l="1"/>
  <c r="N5454" i="12" s="1"/>
  <c r="O5452" i="12"/>
  <c r="M5455" i="12" l="1"/>
  <c r="N5455" i="12" s="1"/>
  <c r="O5453" i="12"/>
  <c r="M5456" i="12" l="1"/>
  <c r="N5456" i="12" s="1"/>
  <c r="O5454" i="12"/>
  <c r="M5457" i="12" l="1"/>
  <c r="N5457" i="12" s="1"/>
  <c r="O5455" i="12"/>
  <c r="M5458" i="12" l="1"/>
  <c r="N5458" i="12" s="1"/>
  <c r="O5456" i="12"/>
  <c r="M5459" i="12" l="1"/>
  <c r="N5459" i="12" s="1"/>
  <c r="O5457" i="12"/>
  <c r="M5460" i="12" l="1"/>
  <c r="N5460" i="12" s="1"/>
  <c r="O5458" i="12"/>
  <c r="M5461" i="12" l="1"/>
  <c r="N5461" i="12" s="1"/>
  <c r="O5459" i="12"/>
  <c r="M5462" i="12" l="1"/>
  <c r="N5462" i="12" s="1"/>
  <c r="O5460" i="12"/>
  <c r="M5463" i="12" l="1"/>
  <c r="N5463" i="12" s="1"/>
  <c r="O5461" i="12"/>
  <c r="M5464" i="12" l="1"/>
  <c r="N5464" i="12" s="1"/>
  <c r="O5462" i="12"/>
  <c r="M5465" i="12" l="1"/>
  <c r="N5465" i="12" s="1"/>
  <c r="O5463" i="12"/>
  <c r="M5466" i="12" l="1"/>
  <c r="N5466" i="12" s="1"/>
  <c r="O5464" i="12"/>
  <c r="M5467" i="12" l="1"/>
  <c r="N5467" i="12" s="1"/>
  <c r="O5465" i="12"/>
  <c r="M5468" i="12" l="1"/>
  <c r="N5468" i="12" s="1"/>
  <c r="O5466" i="12"/>
  <c r="M5469" i="12" l="1"/>
  <c r="N5469" i="12" s="1"/>
  <c r="O5467" i="12"/>
  <c r="M5470" i="12" l="1"/>
  <c r="N5470" i="12" s="1"/>
  <c r="O5468" i="12"/>
  <c r="M5471" i="12" l="1"/>
  <c r="N5471" i="12" s="1"/>
  <c r="O5469" i="12"/>
  <c r="M5472" i="12" l="1"/>
  <c r="N5472" i="12" s="1"/>
  <c r="O5470" i="12"/>
  <c r="M5473" i="12" l="1"/>
  <c r="N5473" i="12" s="1"/>
  <c r="O5471" i="12"/>
  <c r="M5474" i="12" l="1"/>
  <c r="N5474" i="12" s="1"/>
  <c r="O5472" i="12"/>
  <c r="M5475" i="12" l="1"/>
  <c r="N5475" i="12" s="1"/>
  <c r="O5473" i="12"/>
  <c r="M5476" i="12" l="1"/>
  <c r="N5476" i="12" s="1"/>
  <c r="O5474" i="12"/>
  <c r="M5477" i="12" l="1"/>
  <c r="N5477" i="12" s="1"/>
  <c r="O5475" i="12"/>
  <c r="M5478" i="12" l="1"/>
  <c r="N5478" i="12" s="1"/>
  <c r="O5476" i="12"/>
  <c r="M5479" i="12" l="1"/>
  <c r="N5479" i="12" s="1"/>
  <c r="O5477" i="12"/>
  <c r="M5480" i="12" l="1"/>
  <c r="N5480" i="12" s="1"/>
  <c r="O5478" i="12"/>
  <c r="M5481" i="12" l="1"/>
  <c r="N5481" i="12" s="1"/>
  <c r="O5479" i="12"/>
  <c r="M5482" i="12" l="1"/>
  <c r="N5482" i="12" s="1"/>
  <c r="O5480" i="12"/>
  <c r="M5483" i="12" l="1"/>
  <c r="N5483" i="12" s="1"/>
  <c r="O5481" i="12"/>
  <c r="M5484" i="12" l="1"/>
  <c r="N5484" i="12" s="1"/>
  <c r="O5482" i="12"/>
  <c r="M5485" i="12" l="1"/>
  <c r="N5485" i="12" s="1"/>
  <c r="O5483" i="12"/>
  <c r="M5486" i="12" l="1"/>
  <c r="N5486" i="12" s="1"/>
  <c r="O5484" i="12"/>
  <c r="M5487" i="12" l="1"/>
  <c r="N5487" i="12" s="1"/>
  <c r="O5485" i="12"/>
  <c r="M5488" i="12" l="1"/>
  <c r="N5488" i="12" s="1"/>
  <c r="O5486" i="12"/>
  <c r="M5489" i="12" l="1"/>
  <c r="N5489" i="12" s="1"/>
  <c r="O5487" i="12"/>
  <c r="M5490" i="12" l="1"/>
  <c r="N5490" i="12" s="1"/>
  <c r="O5488" i="12"/>
  <c r="M5491" i="12" l="1"/>
  <c r="N5491" i="12" s="1"/>
  <c r="O5489" i="12"/>
  <c r="M5492" i="12" l="1"/>
  <c r="N5492" i="12" s="1"/>
  <c r="O5490" i="12"/>
  <c r="M5493" i="12" l="1"/>
  <c r="N5493" i="12" s="1"/>
  <c r="O5491" i="12"/>
  <c r="M5494" i="12" l="1"/>
  <c r="N5494" i="12" s="1"/>
  <c r="O5492" i="12"/>
  <c r="M5495" i="12" l="1"/>
  <c r="N5495" i="12" s="1"/>
  <c r="O5493" i="12"/>
  <c r="M5496" i="12" l="1"/>
  <c r="N5496" i="12" s="1"/>
  <c r="O5494" i="12"/>
  <c r="M5497" i="12" l="1"/>
  <c r="N5497" i="12" s="1"/>
  <c r="O5495" i="12"/>
  <c r="M5498" i="12" l="1"/>
  <c r="N5498" i="12" s="1"/>
  <c r="O5496" i="12"/>
  <c r="M5499" i="12" l="1"/>
  <c r="N5499" i="12" s="1"/>
  <c r="O5497" i="12"/>
  <c r="M5500" i="12" l="1"/>
  <c r="N5500" i="12" s="1"/>
  <c r="O5498" i="12"/>
  <c r="M5501" i="12" l="1"/>
  <c r="N5501" i="12" s="1"/>
  <c r="O5499" i="12"/>
  <c r="M5502" i="12" l="1"/>
  <c r="N5502" i="12" s="1"/>
  <c r="O5500" i="12"/>
  <c r="M5503" i="12" l="1"/>
  <c r="N5503" i="12" s="1"/>
  <c r="O5501" i="12"/>
  <c r="M5504" i="12" l="1"/>
  <c r="N5504" i="12" s="1"/>
  <c r="O5502" i="12"/>
  <c r="M5505" i="12" l="1"/>
  <c r="N5505" i="12" s="1"/>
  <c r="O5503" i="12"/>
  <c r="M5506" i="12" l="1"/>
  <c r="N5506" i="12" s="1"/>
  <c r="O5504" i="12"/>
  <c r="M5507" i="12" l="1"/>
  <c r="N5507" i="12" s="1"/>
  <c r="O5505" i="12"/>
  <c r="M5508" i="12" l="1"/>
  <c r="N5508" i="12" s="1"/>
  <c r="O5506" i="12"/>
  <c r="M5509" i="12" l="1"/>
  <c r="N5509" i="12" s="1"/>
  <c r="O5507" i="12"/>
  <c r="M5510" i="12" l="1"/>
  <c r="N5510" i="12" s="1"/>
  <c r="O5508" i="12"/>
  <c r="M5511" i="12" l="1"/>
  <c r="N5511" i="12" s="1"/>
  <c r="O5509" i="12"/>
  <c r="M5512" i="12" l="1"/>
  <c r="N5512" i="12" s="1"/>
  <c r="O5510" i="12"/>
  <c r="M5513" i="12" l="1"/>
  <c r="N5513" i="12" s="1"/>
  <c r="O5511" i="12"/>
  <c r="M5514" i="12" l="1"/>
  <c r="N5514" i="12" s="1"/>
  <c r="O5512" i="12"/>
  <c r="M5515" i="12" l="1"/>
  <c r="N5515" i="12" s="1"/>
  <c r="O5513" i="12"/>
  <c r="M5516" i="12" l="1"/>
  <c r="N5516" i="12" s="1"/>
  <c r="O5514" i="12"/>
  <c r="M5517" i="12" l="1"/>
  <c r="N5517" i="12" s="1"/>
  <c r="O5515" i="12"/>
  <c r="M5518" i="12" l="1"/>
  <c r="N5518" i="12" s="1"/>
  <c r="O5516" i="12"/>
  <c r="M5519" i="12" l="1"/>
  <c r="N5519" i="12" s="1"/>
  <c r="O5517" i="12"/>
  <c r="M5520" i="12" l="1"/>
  <c r="N5520" i="12" s="1"/>
  <c r="O5518" i="12"/>
  <c r="M5521" i="12" l="1"/>
  <c r="N5521" i="12" s="1"/>
  <c r="O5519" i="12"/>
  <c r="M5522" i="12" l="1"/>
  <c r="N5522" i="12" s="1"/>
  <c r="O5520" i="12"/>
  <c r="M5523" i="12" l="1"/>
  <c r="N5523" i="12" s="1"/>
  <c r="O5521" i="12"/>
  <c r="M5524" i="12" l="1"/>
  <c r="N5524" i="12" s="1"/>
  <c r="O5522" i="12"/>
  <c r="M5525" i="12" l="1"/>
  <c r="N5525" i="12" s="1"/>
  <c r="O5523" i="12"/>
  <c r="M5526" i="12" l="1"/>
  <c r="N5526" i="12" s="1"/>
  <c r="O5524" i="12"/>
  <c r="M5527" i="12" l="1"/>
  <c r="N5527" i="12" s="1"/>
  <c r="O5525" i="12"/>
  <c r="M5528" i="12" l="1"/>
  <c r="N5528" i="12" s="1"/>
  <c r="O5526" i="12"/>
  <c r="M5529" i="12" l="1"/>
  <c r="N5529" i="12" s="1"/>
  <c r="O5527" i="12"/>
  <c r="M5530" i="12" l="1"/>
  <c r="N5530" i="12" s="1"/>
  <c r="O5528" i="12"/>
  <c r="M5531" i="12" l="1"/>
  <c r="N5531" i="12" s="1"/>
  <c r="O5529" i="12"/>
  <c r="M5532" i="12" l="1"/>
  <c r="N5532" i="12" s="1"/>
  <c r="O5530" i="12"/>
  <c r="M5533" i="12" l="1"/>
  <c r="N5533" i="12" s="1"/>
  <c r="O5531" i="12"/>
  <c r="M5534" i="12" l="1"/>
  <c r="N5534" i="12" s="1"/>
  <c r="O5532" i="12"/>
  <c r="M5535" i="12" l="1"/>
  <c r="N5535" i="12" s="1"/>
  <c r="O5533" i="12"/>
  <c r="M5536" i="12" l="1"/>
  <c r="N5536" i="12" s="1"/>
  <c r="O5534" i="12"/>
  <c r="M5537" i="12" l="1"/>
  <c r="N5537" i="12" s="1"/>
  <c r="O5535" i="12"/>
  <c r="M5538" i="12" l="1"/>
  <c r="N5538" i="12" s="1"/>
  <c r="O5536" i="12"/>
  <c r="M5539" i="12" l="1"/>
  <c r="N5539" i="12" s="1"/>
  <c r="O5537" i="12"/>
  <c r="M5540" i="12" l="1"/>
  <c r="N5540" i="12" s="1"/>
  <c r="O5538" i="12"/>
  <c r="M5541" i="12" l="1"/>
  <c r="N5541" i="12" s="1"/>
  <c r="O5539" i="12"/>
  <c r="M5542" i="12" l="1"/>
  <c r="N5542" i="12" s="1"/>
  <c r="O5540" i="12"/>
  <c r="M5543" i="12" l="1"/>
  <c r="N5543" i="12" s="1"/>
  <c r="O5541" i="12"/>
  <c r="M5544" i="12" l="1"/>
  <c r="N5544" i="12" s="1"/>
  <c r="O5542" i="12"/>
  <c r="M5545" i="12" l="1"/>
  <c r="N5545" i="12" s="1"/>
  <c r="O5543" i="12"/>
  <c r="M5546" i="12" l="1"/>
  <c r="N5546" i="12" s="1"/>
  <c r="O5544" i="12"/>
  <c r="M5547" i="12" l="1"/>
  <c r="N5547" i="12" s="1"/>
  <c r="O5545" i="12"/>
  <c r="M5548" i="12" l="1"/>
  <c r="N5548" i="12" s="1"/>
  <c r="O5546" i="12"/>
  <c r="M5549" i="12" l="1"/>
  <c r="N5549" i="12" s="1"/>
  <c r="O5547" i="12"/>
  <c r="M5550" i="12" l="1"/>
  <c r="N5550" i="12" s="1"/>
  <c r="O5548" i="12"/>
  <c r="M5551" i="12" l="1"/>
  <c r="N5551" i="12" s="1"/>
  <c r="O5549" i="12"/>
  <c r="M5552" i="12" l="1"/>
  <c r="N5552" i="12" s="1"/>
  <c r="O5550" i="12"/>
  <c r="M5553" i="12" l="1"/>
  <c r="N5553" i="12" s="1"/>
  <c r="O5551" i="12"/>
  <c r="M5554" i="12" l="1"/>
  <c r="N5554" i="12" s="1"/>
  <c r="O5552" i="12"/>
  <c r="M5555" i="12" l="1"/>
  <c r="N5555" i="12" s="1"/>
  <c r="O5553" i="12"/>
  <c r="M5556" i="12" l="1"/>
  <c r="N5556" i="12" s="1"/>
  <c r="O5554" i="12"/>
  <c r="M5557" i="12" l="1"/>
  <c r="N5557" i="12" s="1"/>
  <c r="O5555" i="12"/>
  <c r="M5558" i="12" l="1"/>
  <c r="N5558" i="12" s="1"/>
  <c r="O5556" i="12"/>
  <c r="M5559" i="12" l="1"/>
  <c r="N5559" i="12" s="1"/>
  <c r="O5557" i="12"/>
  <c r="M5560" i="12" l="1"/>
  <c r="N5560" i="12" s="1"/>
  <c r="O5558" i="12"/>
  <c r="M5561" i="12" l="1"/>
  <c r="N5561" i="12" s="1"/>
  <c r="O5559" i="12"/>
  <c r="M5562" i="12" l="1"/>
  <c r="N5562" i="12" s="1"/>
  <c r="O5560" i="12"/>
  <c r="M5563" i="12" l="1"/>
  <c r="N5563" i="12" s="1"/>
  <c r="O5561" i="12"/>
  <c r="M5564" i="12" l="1"/>
  <c r="N5564" i="12" s="1"/>
  <c r="O5562" i="12"/>
  <c r="M5565" i="12" l="1"/>
  <c r="N5565" i="12" s="1"/>
  <c r="O5563" i="12"/>
  <c r="M5566" i="12" l="1"/>
  <c r="N5566" i="12" s="1"/>
  <c r="O5564" i="12"/>
  <c r="M5567" i="12" l="1"/>
  <c r="N5567" i="12" s="1"/>
  <c r="O5565" i="12"/>
  <c r="M5568" i="12" l="1"/>
  <c r="N5568" i="12" s="1"/>
  <c r="O5566" i="12"/>
  <c r="M5569" i="12" l="1"/>
  <c r="N5569" i="12" s="1"/>
  <c r="O5567" i="12"/>
  <c r="M5570" i="12" l="1"/>
  <c r="N5570" i="12" s="1"/>
  <c r="O5568" i="12"/>
  <c r="M5571" i="12" l="1"/>
  <c r="N5571" i="12" s="1"/>
  <c r="O5569" i="12"/>
  <c r="M5572" i="12" l="1"/>
  <c r="N5572" i="12" s="1"/>
  <c r="O5570" i="12"/>
  <c r="M5573" i="12" l="1"/>
  <c r="N5573" i="12" s="1"/>
  <c r="O5571" i="12"/>
  <c r="M5574" i="12" l="1"/>
  <c r="N5574" i="12" s="1"/>
  <c r="O5572" i="12"/>
  <c r="M5575" i="12" l="1"/>
  <c r="N5575" i="12" s="1"/>
  <c r="O5573" i="12"/>
  <c r="M5576" i="12" l="1"/>
  <c r="N5576" i="12" s="1"/>
  <c r="O5574" i="12"/>
  <c r="M5577" i="12" l="1"/>
  <c r="N5577" i="12" s="1"/>
  <c r="O5575" i="12"/>
  <c r="M5578" i="12" l="1"/>
  <c r="N5578" i="12" s="1"/>
  <c r="O5576" i="12"/>
  <c r="M5579" i="12" l="1"/>
  <c r="N5579" i="12" s="1"/>
  <c r="O5577" i="12"/>
  <c r="M5580" i="12" l="1"/>
  <c r="N5580" i="12" s="1"/>
  <c r="O5578" i="12"/>
  <c r="M5581" i="12" l="1"/>
  <c r="N5581" i="12" s="1"/>
  <c r="O5579" i="12"/>
  <c r="M5582" i="12" l="1"/>
  <c r="N5582" i="12" s="1"/>
  <c r="O5580" i="12"/>
  <c r="M5583" i="12" l="1"/>
  <c r="N5583" i="12" s="1"/>
  <c r="O5581" i="12"/>
  <c r="M5584" i="12" l="1"/>
  <c r="N5584" i="12" s="1"/>
  <c r="O5582" i="12"/>
  <c r="M5585" i="12" l="1"/>
  <c r="N5585" i="12" s="1"/>
  <c r="O5583" i="12"/>
  <c r="M5586" i="12" l="1"/>
  <c r="N5586" i="12" s="1"/>
  <c r="O5584" i="12"/>
  <c r="M5587" i="12" l="1"/>
  <c r="N5587" i="12" s="1"/>
  <c r="O5585" i="12"/>
  <c r="M5588" i="12" l="1"/>
  <c r="N5588" i="12" s="1"/>
  <c r="O5586" i="12"/>
  <c r="M5589" i="12" l="1"/>
  <c r="N5589" i="12" s="1"/>
  <c r="O5587" i="12"/>
  <c r="M5590" i="12" l="1"/>
  <c r="N5590" i="12" s="1"/>
  <c r="O5588" i="12"/>
  <c r="M5591" i="12" l="1"/>
  <c r="N5591" i="12" s="1"/>
  <c r="O5589" i="12"/>
  <c r="M5592" i="12" l="1"/>
  <c r="N5592" i="12" s="1"/>
  <c r="O5590" i="12"/>
  <c r="M5593" i="12" l="1"/>
  <c r="N5593" i="12" s="1"/>
  <c r="O5591" i="12"/>
  <c r="M5594" i="12" l="1"/>
  <c r="N5594" i="12" s="1"/>
  <c r="O5592" i="12"/>
  <c r="M5595" i="12" l="1"/>
  <c r="N5595" i="12" s="1"/>
  <c r="O5593" i="12"/>
  <c r="M5596" i="12" l="1"/>
  <c r="N5596" i="12" s="1"/>
  <c r="O5594" i="12"/>
  <c r="M5597" i="12" l="1"/>
  <c r="N5597" i="12" s="1"/>
  <c r="O5595" i="12"/>
  <c r="M5598" i="12" l="1"/>
  <c r="N5598" i="12" s="1"/>
  <c r="O5596" i="12"/>
  <c r="M5599" i="12" l="1"/>
  <c r="N5599" i="12" s="1"/>
  <c r="O5597" i="12"/>
  <c r="M5600" i="12" l="1"/>
  <c r="N5600" i="12" s="1"/>
  <c r="O5598" i="12"/>
  <c r="M5601" i="12" l="1"/>
  <c r="N5601" i="12" s="1"/>
  <c r="O5599" i="12"/>
  <c r="M5602" i="12" l="1"/>
  <c r="N5602" i="12" s="1"/>
  <c r="O5600" i="12"/>
  <c r="M5603" i="12" l="1"/>
  <c r="N5603" i="12" s="1"/>
  <c r="O5601" i="12"/>
  <c r="M5604" i="12" l="1"/>
  <c r="N5604" i="12" s="1"/>
  <c r="O5602" i="12"/>
  <c r="M5605" i="12" l="1"/>
  <c r="N5605" i="12" s="1"/>
  <c r="O5603" i="12"/>
  <c r="M5606" i="12" l="1"/>
  <c r="N5606" i="12" s="1"/>
  <c r="O5604" i="12"/>
  <c r="M5607" i="12" l="1"/>
  <c r="N5607" i="12" s="1"/>
  <c r="O5605" i="12"/>
  <c r="M5608" i="12" l="1"/>
  <c r="N5608" i="12" s="1"/>
  <c r="O5606" i="12"/>
  <c r="M5609" i="12" l="1"/>
  <c r="N5609" i="12" s="1"/>
  <c r="O5607" i="12"/>
  <c r="M5610" i="12" l="1"/>
  <c r="N5610" i="12" s="1"/>
  <c r="O5608" i="12"/>
  <c r="M5611" i="12" l="1"/>
  <c r="N5611" i="12" s="1"/>
  <c r="O5609" i="12"/>
  <c r="M5612" i="12" l="1"/>
  <c r="N5612" i="12" s="1"/>
  <c r="O5610" i="12"/>
  <c r="M5613" i="12" l="1"/>
  <c r="N5613" i="12" s="1"/>
  <c r="O5611" i="12"/>
  <c r="M5614" i="12" l="1"/>
  <c r="N5614" i="12" s="1"/>
  <c r="O5612" i="12"/>
  <c r="M5615" i="12" l="1"/>
  <c r="N5615" i="12" s="1"/>
  <c r="O5613" i="12"/>
  <c r="M5616" i="12" l="1"/>
  <c r="N5616" i="12" s="1"/>
  <c r="O5614" i="12"/>
  <c r="M5617" i="12" l="1"/>
  <c r="N5617" i="12" s="1"/>
  <c r="O5615" i="12"/>
  <c r="M5618" i="12" l="1"/>
  <c r="N5618" i="12" s="1"/>
  <c r="O5616" i="12"/>
  <c r="M5619" i="12" l="1"/>
  <c r="N5619" i="12" s="1"/>
  <c r="O5617" i="12"/>
  <c r="M5620" i="12" l="1"/>
  <c r="N5620" i="12" s="1"/>
  <c r="O5618" i="12"/>
  <c r="M5621" i="12" l="1"/>
  <c r="N5621" i="12" s="1"/>
  <c r="O5619" i="12"/>
  <c r="M5622" i="12" l="1"/>
  <c r="N5622" i="12" s="1"/>
  <c r="O5620" i="12"/>
  <c r="M5623" i="12" l="1"/>
  <c r="N5623" i="12" s="1"/>
  <c r="O5621" i="12"/>
  <c r="M5624" i="12" l="1"/>
  <c r="N5624" i="12" s="1"/>
  <c r="O5622" i="12"/>
  <c r="M5625" i="12" l="1"/>
  <c r="N5625" i="12" s="1"/>
  <c r="O5623" i="12"/>
  <c r="M5626" i="12" l="1"/>
  <c r="N5626" i="12" s="1"/>
  <c r="O5624" i="12"/>
  <c r="M5627" i="12" l="1"/>
  <c r="N5627" i="12" s="1"/>
  <c r="O5625" i="12"/>
  <c r="M5628" i="12" l="1"/>
  <c r="N5628" i="12" s="1"/>
  <c r="O5626" i="12"/>
  <c r="M5629" i="12" l="1"/>
  <c r="N5629" i="12" s="1"/>
  <c r="O5627" i="12"/>
  <c r="M5630" i="12" l="1"/>
  <c r="N5630" i="12" s="1"/>
  <c r="O5628" i="12"/>
  <c r="M5631" i="12" l="1"/>
  <c r="N5631" i="12" s="1"/>
  <c r="O5629" i="12"/>
  <c r="M5632" i="12" l="1"/>
  <c r="N5632" i="12" s="1"/>
  <c r="O5630" i="12"/>
  <c r="M5633" i="12" l="1"/>
  <c r="N5633" i="12" s="1"/>
  <c r="O5631" i="12"/>
  <c r="M5634" i="12" l="1"/>
  <c r="N5634" i="12" s="1"/>
  <c r="O5632" i="12"/>
  <c r="M5635" i="12" l="1"/>
  <c r="N5635" i="12" s="1"/>
  <c r="O5633" i="12"/>
  <c r="M5636" i="12" l="1"/>
  <c r="N5636" i="12" s="1"/>
  <c r="O5634" i="12"/>
  <c r="M5637" i="12" l="1"/>
  <c r="N5637" i="12" s="1"/>
  <c r="O5635" i="12"/>
  <c r="M5638" i="12" l="1"/>
  <c r="N5638" i="12" s="1"/>
  <c r="O5636" i="12"/>
  <c r="M5639" i="12" l="1"/>
  <c r="N5639" i="12" s="1"/>
  <c r="O5637" i="12"/>
  <c r="M5640" i="12" l="1"/>
  <c r="N5640" i="12" s="1"/>
  <c r="O5638" i="12"/>
  <c r="M5641" i="12" l="1"/>
  <c r="N5641" i="12" s="1"/>
  <c r="O5639" i="12"/>
  <c r="M5642" i="12" l="1"/>
  <c r="N5642" i="12" s="1"/>
  <c r="O5640" i="12"/>
  <c r="M5643" i="12" l="1"/>
  <c r="N5643" i="12" s="1"/>
  <c r="O5641" i="12"/>
  <c r="M5644" i="12" l="1"/>
  <c r="N5644" i="12" s="1"/>
  <c r="O5642" i="12"/>
  <c r="M5645" i="12" l="1"/>
  <c r="N5645" i="12" s="1"/>
  <c r="O5643" i="12"/>
  <c r="M5646" i="12" l="1"/>
  <c r="N5646" i="12" s="1"/>
  <c r="O5644" i="12"/>
  <c r="M5647" i="12" l="1"/>
  <c r="N5647" i="12" s="1"/>
  <c r="O5645" i="12"/>
  <c r="M5648" i="12" l="1"/>
  <c r="N5648" i="12" s="1"/>
  <c r="O5646" i="12"/>
  <c r="M5649" i="12" l="1"/>
  <c r="N5649" i="12" s="1"/>
  <c r="O5647" i="12"/>
  <c r="M5650" i="12" l="1"/>
  <c r="N5650" i="12" s="1"/>
  <c r="O5648" i="12"/>
  <c r="M5651" i="12" l="1"/>
  <c r="N5651" i="12" s="1"/>
  <c r="O5649" i="12"/>
  <c r="M5652" i="12" l="1"/>
  <c r="N5652" i="12" s="1"/>
  <c r="O5650" i="12"/>
  <c r="M5653" i="12" l="1"/>
  <c r="N5653" i="12" s="1"/>
  <c r="O5651" i="12"/>
  <c r="M5654" i="12" l="1"/>
  <c r="N5654" i="12" s="1"/>
  <c r="O5652" i="12"/>
  <c r="M5655" i="12" l="1"/>
  <c r="N5655" i="12" s="1"/>
  <c r="O5653" i="12"/>
  <c r="M5656" i="12" l="1"/>
  <c r="N5656" i="12" s="1"/>
  <c r="O5654" i="12"/>
  <c r="M5657" i="12" l="1"/>
  <c r="N5657" i="12" s="1"/>
  <c r="O5655" i="12"/>
  <c r="M5658" i="12" l="1"/>
  <c r="N5658" i="12" s="1"/>
  <c r="O5656" i="12"/>
  <c r="M5659" i="12" l="1"/>
  <c r="N5659" i="12" s="1"/>
  <c r="O5657" i="12"/>
  <c r="M5660" i="12" l="1"/>
  <c r="N5660" i="12" s="1"/>
  <c r="O5658" i="12"/>
  <c r="M5661" i="12" l="1"/>
  <c r="N5661" i="12" s="1"/>
  <c r="O5659" i="12"/>
  <c r="M5662" i="12" l="1"/>
  <c r="N5662" i="12" s="1"/>
  <c r="O5660" i="12"/>
  <c r="M5663" i="12" l="1"/>
  <c r="N5663" i="12" s="1"/>
  <c r="O5661" i="12"/>
  <c r="M5664" i="12" l="1"/>
  <c r="N5664" i="12" s="1"/>
  <c r="O5662" i="12"/>
  <c r="M5665" i="12" l="1"/>
  <c r="N5665" i="12" s="1"/>
  <c r="O5663" i="12"/>
  <c r="M5666" i="12" l="1"/>
  <c r="N5666" i="12" s="1"/>
  <c r="O5664" i="12"/>
  <c r="M5667" i="12" l="1"/>
  <c r="N5667" i="12" s="1"/>
  <c r="O5665" i="12"/>
  <c r="M5668" i="12" l="1"/>
  <c r="N5668" i="12" s="1"/>
  <c r="O5666" i="12"/>
  <c r="M5669" i="12" l="1"/>
  <c r="N5669" i="12" s="1"/>
  <c r="O5667" i="12"/>
  <c r="M5670" i="12" l="1"/>
  <c r="N5670" i="12" s="1"/>
  <c r="O5668" i="12"/>
  <c r="M5671" i="12" l="1"/>
  <c r="N5671" i="12" s="1"/>
  <c r="O5669" i="12"/>
  <c r="M5672" i="12" l="1"/>
  <c r="N5672" i="12" s="1"/>
  <c r="O5670" i="12"/>
  <c r="M5673" i="12" l="1"/>
  <c r="N5673" i="12" s="1"/>
  <c r="O5671" i="12"/>
  <c r="M5674" i="12" l="1"/>
  <c r="N5674" i="12" s="1"/>
  <c r="O5672" i="12"/>
  <c r="M5675" i="12" l="1"/>
  <c r="N5675" i="12" s="1"/>
  <c r="O5673" i="12"/>
  <c r="M5676" i="12" l="1"/>
  <c r="N5676" i="12" s="1"/>
  <c r="O5674" i="12"/>
  <c r="M5677" i="12" l="1"/>
  <c r="N5677" i="12" s="1"/>
  <c r="O5675" i="12"/>
  <c r="M5678" i="12" l="1"/>
  <c r="N5678" i="12" s="1"/>
  <c r="O5676" i="12"/>
  <c r="M5679" i="12" l="1"/>
  <c r="N5679" i="12" s="1"/>
  <c r="O5677" i="12"/>
  <c r="M5680" i="12" l="1"/>
  <c r="N5680" i="12" s="1"/>
  <c r="O5678" i="12"/>
  <c r="M5681" i="12" l="1"/>
  <c r="N5681" i="12" s="1"/>
  <c r="O5679" i="12"/>
  <c r="M5682" i="12" l="1"/>
  <c r="N5682" i="12" s="1"/>
  <c r="O5680" i="12"/>
  <c r="M5683" i="12" l="1"/>
  <c r="N5683" i="12" s="1"/>
  <c r="O5681" i="12"/>
  <c r="M5684" i="12" l="1"/>
  <c r="N5684" i="12" s="1"/>
  <c r="O5682" i="12"/>
  <c r="M5685" i="12" l="1"/>
  <c r="N5685" i="12" s="1"/>
  <c r="O5683" i="12"/>
  <c r="M5686" i="12" l="1"/>
  <c r="N5686" i="12" s="1"/>
  <c r="O5684" i="12"/>
  <c r="M5687" i="12" l="1"/>
  <c r="N5687" i="12" s="1"/>
  <c r="O5685" i="12"/>
  <c r="M5688" i="12" l="1"/>
  <c r="N5688" i="12" s="1"/>
  <c r="O5686" i="12"/>
  <c r="M5689" i="12" l="1"/>
  <c r="N5689" i="12" s="1"/>
  <c r="O5687" i="12"/>
  <c r="M5690" i="12" l="1"/>
  <c r="N5690" i="12" s="1"/>
  <c r="O5688" i="12"/>
  <c r="M5691" i="12" l="1"/>
  <c r="N5691" i="12" s="1"/>
  <c r="O5689" i="12"/>
  <c r="M5692" i="12" l="1"/>
  <c r="N5692" i="12" s="1"/>
  <c r="O5690" i="12"/>
  <c r="M5693" i="12" l="1"/>
  <c r="N5693" i="12" s="1"/>
  <c r="O5691" i="12"/>
  <c r="M5694" i="12" l="1"/>
  <c r="N5694" i="12" s="1"/>
  <c r="O5692" i="12"/>
  <c r="M5695" i="12" l="1"/>
  <c r="N5695" i="12" s="1"/>
  <c r="O5693" i="12"/>
  <c r="M5696" i="12" l="1"/>
  <c r="N5696" i="12" s="1"/>
  <c r="O5694" i="12"/>
  <c r="M5697" i="12" l="1"/>
  <c r="N5697" i="12" s="1"/>
  <c r="O5695" i="12"/>
  <c r="M5698" i="12" l="1"/>
  <c r="N5698" i="12" s="1"/>
  <c r="O5696" i="12"/>
  <c r="M5699" i="12" l="1"/>
  <c r="N5699" i="12" s="1"/>
  <c r="O5697" i="12"/>
  <c r="M5700" i="12" l="1"/>
  <c r="N5700" i="12" s="1"/>
  <c r="O5698" i="12"/>
  <c r="M5701" i="12" l="1"/>
  <c r="N5701" i="12" s="1"/>
  <c r="O5699" i="12"/>
  <c r="M5702" i="12" l="1"/>
  <c r="N5702" i="12" s="1"/>
  <c r="O5700" i="12"/>
  <c r="M5703" i="12" l="1"/>
  <c r="N5703" i="12" s="1"/>
  <c r="O5701" i="12"/>
  <c r="M5704" i="12" l="1"/>
  <c r="N5704" i="12" s="1"/>
  <c r="O5702" i="12"/>
  <c r="M5705" i="12" l="1"/>
  <c r="N5705" i="12" s="1"/>
  <c r="O5703" i="12"/>
  <c r="M5706" i="12" l="1"/>
  <c r="N5706" i="12" s="1"/>
  <c r="O5704" i="12"/>
  <c r="M5707" i="12" l="1"/>
  <c r="N5707" i="12" s="1"/>
  <c r="O5705" i="12"/>
  <c r="M5708" i="12" l="1"/>
  <c r="N5708" i="12" s="1"/>
  <c r="O5706" i="12"/>
  <c r="M5709" i="12" l="1"/>
  <c r="N5709" i="12" s="1"/>
  <c r="O5707" i="12"/>
  <c r="M5710" i="12" l="1"/>
  <c r="N5710" i="12" s="1"/>
  <c r="O5708" i="12"/>
  <c r="M5711" i="12" l="1"/>
  <c r="N5711" i="12" s="1"/>
  <c r="O5709" i="12"/>
  <c r="M5712" i="12" l="1"/>
  <c r="N5712" i="12" s="1"/>
  <c r="O5710" i="12"/>
  <c r="M5713" i="12" l="1"/>
  <c r="N5713" i="12" s="1"/>
  <c r="O5711" i="12"/>
  <c r="M5714" i="12" l="1"/>
  <c r="N5714" i="12" s="1"/>
  <c r="O5712" i="12"/>
  <c r="M5715" i="12" l="1"/>
  <c r="N5715" i="12" s="1"/>
  <c r="O5713" i="12"/>
  <c r="M5716" i="12" l="1"/>
  <c r="N5716" i="12" s="1"/>
  <c r="O5714" i="12"/>
  <c r="M5717" i="12" l="1"/>
  <c r="N5717" i="12" s="1"/>
  <c r="O5715" i="12"/>
  <c r="M5718" i="12" l="1"/>
  <c r="N5718" i="12" s="1"/>
  <c r="O5716" i="12"/>
  <c r="M5719" i="12" l="1"/>
  <c r="N5719" i="12" s="1"/>
  <c r="O5717" i="12"/>
  <c r="M5720" i="12" l="1"/>
  <c r="N5720" i="12" s="1"/>
  <c r="O5718" i="12"/>
  <c r="M5721" i="12" l="1"/>
  <c r="N5721" i="12" s="1"/>
  <c r="O5719" i="12"/>
  <c r="M5722" i="12" l="1"/>
  <c r="N5722" i="12" s="1"/>
  <c r="O5720" i="12"/>
  <c r="M5723" i="12" l="1"/>
  <c r="N5723" i="12" s="1"/>
  <c r="O5721" i="12"/>
  <c r="M5724" i="12" l="1"/>
  <c r="N5724" i="12" s="1"/>
  <c r="O5722" i="12"/>
  <c r="M5725" i="12" l="1"/>
  <c r="N5725" i="12" s="1"/>
  <c r="O5723" i="12"/>
  <c r="M5726" i="12" l="1"/>
  <c r="N5726" i="12" s="1"/>
  <c r="O5724" i="12"/>
  <c r="M5727" i="12" l="1"/>
  <c r="N5727" i="12" s="1"/>
  <c r="O5725" i="12"/>
  <c r="M5728" i="12" l="1"/>
  <c r="N5728" i="12" s="1"/>
  <c r="O5726" i="12"/>
  <c r="M5729" i="12" l="1"/>
  <c r="N5729" i="12" s="1"/>
  <c r="O5727" i="12"/>
  <c r="M5730" i="12" l="1"/>
  <c r="N5730" i="12" s="1"/>
  <c r="O5728" i="12"/>
  <c r="M5731" i="12" l="1"/>
  <c r="N5731" i="12" s="1"/>
  <c r="O5729" i="12"/>
  <c r="M5732" i="12" l="1"/>
  <c r="N5732" i="12" s="1"/>
  <c r="O5730" i="12"/>
  <c r="M5733" i="12" l="1"/>
  <c r="N5733" i="12" s="1"/>
  <c r="O5731" i="12"/>
  <c r="M5734" i="12" l="1"/>
  <c r="N5734" i="12" s="1"/>
  <c r="O5732" i="12"/>
  <c r="M5735" i="12" l="1"/>
  <c r="N5735" i="12" s="1"/>
  <c r="O5733" i="12"/>
  <c r="M5736" i="12" l="1"/>
  <c r="N5736" i="12" s="1"/>
  <c r="O5734" i="12"/>
  <c r="M5737" i="12" l="1"/>
  <c r="N5737" i="12" s="1"/>
  <c r="O5735" i="12"/>
  <c r="M5738" i="12" l="1"/>
  <c r="N5738" i="12" s="1"/>
  <c r="O5736" i="12"/>
  <c r="M5739" i="12" l="1"/>
  <c r="N5739" i="12" s="1"/>
  <c r="O5737" i="12"/>
  <c r="M5740" i="12" l="1"/>
  <c r="N5740" i="12" s="1"/>
  <c r="O5738" i="12"/>
  <c r="M5741" i="12" l="1"/>
  <c r="N5741" i="12" s="1"/>
  <c r="O5739" i="12"/>
  <c r="M5742" i="12" l="1"/>
  <c r="N5742" i="12" s="1"/>
  <c r="O5740" i="12"/>
  <c r="M5743" i="12" l="1"/>
  <c r="N5743" i="12" s="1"/>
  <c r="O5741" i="12"/>
  <c r="M5744" i="12" l="1"/>
  <c r="N5744" i="12" s="1"/>
  <c r="O5742" i="12"/>
  <c r="M5745" i="12" l="1"/>
  <c r="N5745" i="12" s="1"/>
  <c r="O5743" i="12"/>
  <c r="M5746" i="12" l="1"/>
  <c r="N5746" i="12" s="1"/>
  <c r="O5744" i="12"/>
  <c r="M5747" i="12" l="1"/>
  <c r="N5747" i="12" s="1"/>
  <c r="O5745" i="12"/>
  <c r="M5748" i="12" l="1"/>
  <c r="N5748" i="12" s="1"/>
  <c r="O5746" i="12"/>
  <c r="M5749" i="12" l="1"/>
  <c r="N5749" i="12" s="1"/>
  <c r="O5747" i="12"/>
  <c r="M5750" i="12" l="1"/>
  <c r="N5750" i="12" s="1"/>
  <c r="O5748" i="12"/>
  <c r="M5751" i="12" l="1"/>
  <c r="N5751" i="12" s="1"/>
  <c r="O5749" i="12"/>
  <c r="M5752" i="12" l="1"/>
  <c r="N5752" i="12" s="1"/>
  <c r="O5750" i="12"/>
  <c r="M5753" i="12" l="1"/>
  <c r="N5753" i="12" s="1"/>
  <c r="O5751" i="12"/>
  <c r="M5754" i="12" l="1"/>
  <c r="N5754" i="12" s="1"/>
  <c r="O5752" i="12"/>
  <c r="M5755" i="12" l="1"/>
  <c r="N5755" i="12" s="1"/>
  <c r="O5753" i="12"/>
  <c r="M5756" i="12" l="1"/>
  <c r="N5756" i="12" s="1"/>
  <c r="O5754" i="12"/>
  <c r="M5757" i="12" l="1"/>
  <c r="N5757" i="12" s="1"/>
  <c r="O5755" i="12"/>
  <c r="M5758" i="12" l="1"/>
  <c r="N5758" i="12" s="1"/>
  <c r="O5756" i="12"/>
  <c r="M5759" i="12" l="1"/>
  <c r="N5759" i="12" s="1"/>
  <c r="O5757" i="12"/>
  <c r="M5760" i="12" l="1"/>
  <c r="N5760" i="12" s="1"/>
  <c r="O5758" i="12"/>
  <c r="M5761" i="12" l="1"/>
  <c r="N5761" i="12" s="1"/>
  <c r="O5759" i="12"/>
  <c r="M5762" i="12" l="1"/>
  <c r="N5762" i="12" s="1"/>
  <c r="O5760" i="12"/>
  <c r="M5763" i="12" l="1"/>
  <c r="N5763" i="12" s="1"/>
  <c r="O5761" i="12"/>
  <c r="M5764" i="12" l="1"/>
  <c r="N5764" i="12" s="1"/>
  <c r="O5762" i="12"/>
  <c r="M5765" i="12" l="1"/>
  <c r="N5765" i="12" s="1"/>
  <c r="O5763" i="12"/>
  <c r="M5766" i="12" l="1"/>
  <c r="N5766" i="12" s="1"/>
  <c r="O5764" i="12"/>
  <c r="M5767" i="12" l="1"/>
  <c r="N5767" i="12" s="1"/>
  <c r="O5765" i="12"/>
  <c r="M5768" i="12" l="1"/>
  <c r="N5768" i="12" s="1"/>
  <c r="O5766" i="12"/>
  <c r="M5769" i="12" l="1"/>
  <c r="N5769" i="12" s="1"/>
  <c r="O5767" i="12"/>
  <c r="M5770" i="12" l="1"/>
  <c r="N5770" i="12" s="1"/>
  <c r="O5768" i="12"/>
  <c r="M5771" i="12" l="1"/>
  <c r="N5771" i="12" s="1"/>
  <c r="O5769" i="12"/>
  <c r="M5772" i="12" l="1"/>
  <c r="N5772" i="12" s="1"/>
  <c r="O5770" i="12"/>
  <c r="M5773" i="12" l="1"/>
  <c r="N5773" i="12" s="1"/>
  <c r="O5771" i="12"/>
  <c r="M5774" i="12" l="1"/>
  <c r="N5774" i="12" s="1"/>
  <c r="O5772" i="12"/>
  <c r="M5775" i="12" l="1"/>
  <c r="N5775" i="12" s="1"/>
  <c r="O5773" i="12"/>
  <c r="M5776" i="12" l="1"/>
  <c r="N5776" i="12" s="1"/>
  <c r="O5774" i="12"/>
  <c r="M5777" i="12" l="1"/>
  <c r="N5777" i="12" s="1"/>
  <c r="O5775" i="12"/>
  <c r="M5778" i="12" l="1"/>
  <c r="N5778" i="12" s="1"/>
  <c r="O5776" i="12"/>
  <c r="M5779" i="12" l="1"/>
  <c r="N5779" i="12" s="1"/>
  <c r="O5777" i="12"/>
  <c r="M5780" i="12" l="1"/>
  <c r="N5780" i="12" s="1"/>
  <c r="O5778" i="12"/>
  <c r="M5781" i="12" l="1"/>
  <c r="N5781" i="12" s="1"/>
  <c r="O5779" i="12"/>
  <c r="M5782" i="12" l="1"/>
  <c r="N5782" i="12" s="1"/>
  <c r="O5780" i="12"/>
  <c r="M5783" i="12" l="1"/>
  <c r="N5783" i="12" s="1"/>
  <c r="O5781" i="12"/>
  <c r="M5784" i="12" l="1"/>
  <c r="N5784" i="12" s="1"/>
  <c r="O5782" i="12"/>
  <c r="M5785" i="12" l="1"/>
  <c r="N5785" i="12" s="1"/>
  <c r="O5783" i="12"/>
  <c r="M5786" i="12" l="1"/>
  <c r="N5786" i="12" s="1"/>
  <c r="O5784" i="12"/>
  <c r="M5787" i="12" l="1"/>
  <c r="N5787" i="12" s="1"/>
  <c r="O5785" i="12"/>
  <c r="M5788" i="12" l="1"/>
  <c r="N5788" i="12" s="1"/>
  <c r="O5786" i="12"/>
  <c r="M5789" i="12" l="1"/>
  <c r="N5789" i="12" s="1"/>
  <c r="O5787" i="12"/>
  <c r="M5790" i="12" l="1"/>
  <c r="N5790" i="12" s="1"/>
  <c r="O5788" i="12"/>
  <c r="M5791" i="12" l="1"/>
  <c r="N5791" i="12" s="1"/>
  <c r="O5789" i="12"/>
  <c r="M5792" i="12" l="1"/>
  <c r="N5792" i="12" s="1"/>
  <c r="O5790" i="12"/>
  <c r="M5793" i="12" l="1"/>
  <c r="N5793" i="12" s="1"/>
  <c r="O5791" i="12"/>
  <c r="M5794" i="12" l="1"/>
  <c r="N5794" i="12" s="1"/>
  <c r="O5792" i="12"/>
  <c r="M5795" i="12" l="1"/>
  <c r="N5795" i="12" s="1"/>
  <c r="O5793" i="12"/>
  <c r="M5796" i="12" l="1"/>
  <c r="N5796" i="12" s="1"/>
  <c r="O5794" i="12"/>
  <c r="M5797" i="12" l="1"/>
  <c r="N5797" i="12" s="1"/>
  <c r="O5795" i="12"/>
  <c r="M5798" i="12" l="1"/>
  <c r="N5798" i="12" s="1"/>
  <c r="O5796" i="12"/>
  <c r="M5799" i="12" l="1"/>
  <c r="N5799" i="12" s="1"/>
  <c r="O5797" i="12"/>
  <c r="M5800" i="12" l="1"/>
  <c r="N5800" i="12" s="1"/>
  <c r="O5798" i="12"/>
  <c r="M5801" i="12" l="1"/>
  <c r="N5801" i="12" s="1"/>
  <c r="O5799" i="12"/>
  <c r="M5802" i="12" l="1"/>
  <c r="N5802" i="12" s="1"/>
  <c r="O5800" i="12"/>
  <c r="M5803" i="12" l="1"/>
  <c r="N5803" i="12" s="1"/>
  <c r="O5801" i="12"/>
  <c r="M5804" i="12" l="1"/>
  <c r="N5804" i="12" s="1"/>
  <c r="O5802" i="12"/>
  <c r="M5805" i="12" l="1"/>
  <c r="N5805" i="12" s="1"/>
  <c r="O5803" i="12"/>
  <c r="M5806" i="12" l="1"/>
  <c r="N5806" i="12" s="1"/>
  <c r="O5804" i="12"/>
  <c r="M5807" i="12" l="1"/>
  <c r="N5807" i="12" s="1"/>
  <c r="O5805" i="12"/>
  <c r="M5808" i="12" l="1"/>
  <c r="N5808" i="12" s="1"/>
  <c r="O5806" i="12"/>
  <c r="M5809" i="12" l="1"/>
  <c r="N5809" i="12" s="1"/>
  <c r="O5807" i="12"/>
  <c r="M5810" i="12" l="1"/>
  <c r="N5810" i="12" s="1"/>
  <c r="O5808" i="12"/>
  <c r="M5811" i="12" l="1"/>
  <c r="N5811" i="12" s="1"/>
  <c r="O5809" i="12"/>
  <c r="M5812" i="12" l="1"/>
  <c r="N5812" i="12" s="1"/>
  <c r="O5810" i="12"/>
  <c r="M5813" i="12" l="1"/>
  <c r="N5813" i="12" s="1"/>
  <c r="O5811" i="12"/>
  <c r="M5814" i="12" l="1"/>
  <c r="N5814" i="12" s="1"/>
  <c r="O5812" i="12"/>
  <c r="M5815" i="12" l="1"/>
  <c r="N5815" i="12" s="1"/>
  <c r="O5813" i="12"/>
  <c r="M5816" i="12" l="1"/>
  <c r="N5816" i="12" s="1"/>
  <c r="O5814" i="12"/>
  <c r="M5817" i="12" l="1"/>
  <c r="N5817" i="12" s="1"/>
  <c r="O5815" i="12"/>
  <c r="M5818" i="12" l="1"/>
  <c r="N5818" i="12" s="1"/>
  <c r="O5816" i="12"/>
  <c r="M5819" i="12" l="1"/>
  <c r="N5819" i="12" s="1"/>
  <c r="O5817" i="12"/>
  <c r="M5820" i="12" l="1"/>
  <c r="N5820" i="12" s="1"/>
  <c r="O5818" i="12"/>
  <c r="M5821" i="12" l="1"/>
  <c r="N5821" i="12" s="1"/>
  <c r="O5819" i="12"/>
  <c r="M5822" i="12" l="1"/>
  <c r="N5822" i="12" s="1"/>
  <c r="O5820" i="12"/>
  <c r="M5823" i="12" l="1"/>
  <c r="N5823" i="12" s="1"/>
  <c r="O5821" i="12"/>
  <c r="M5824" i="12" l="1"/>
  <c r="N5824" i="12" s="1"/>
  <c r="O5822" i="12"/>
  <c r="M5825" i="12" l="1"/>
  <c r="N5825" i="12" s="1"/>
  <c r="O5823" i="12"/>
  <c r="M5826" i="12" l="1"/>
  <c r="N5826" i="12" s="1"/>
  <c r="O5824" i="12"/>
  <c r="M5827" i="12" l="1"/>
  <c r="N5827" i="12" s="1"/>
  <c r="O5825" i="12"/>
  <c r="M5828" i="12" l="1"/>
  <c r="N5828" i="12" s="1"/>
  <c r="O5826" i="12"/>
  <c r="M5829" i="12" l="1"/>
  <c r="N5829" i="12" s="1"/>
  <c r="O5827" i="12"/>
  <c r="M5830" i="12" l="1"/>
  <c r="N5830" i="12" s="1"/>
  <c r="O5828" i="12"/>
  <c r="M5831" i="12" l="1"/>
  <c r="N5831" i="12" s="1"/>
  <c r="O5829" i="12"/>
  <c r="M5832" i="12" l="1"/>
  <c r="N5832" i="12" s="1"/>
  <c r="O5830" i="12"/>
  <c r="M5833" i="12" l="1"/>
  <c r="N5833" i="12" s="1"/>
  <c r="O5831" i="12"/>
  <c r="M5834" i="12" l="1"/>
  <c r="N5834" i="12" s="1"/>
  <c r="O5832" i="12"/>
  <c r="M5835" i="12" l="1"/>
  <c r="N5835" i="12" s="1"/>
  <c r="O5833" i="12"/>
  <c r="M5836" i="12" l="1"/>
  <c r="N5836" i="12" s="1"/>
  <c r="O5834" i="12"/>
  <c r="M5837" i="12" l="1"/>
  <c r="N5837" i="12" s="1"/>
  <c r="O5835" i="12"/>
  <c r="M5838" i="12" l="1"/>
  <c r="N5838" i="12" s="1"/>
  <c r="O5836" i="12"/>
  <c r="M5839" i="12" l="1"/>
  <c r="N5839" i="12" s="1"/>
  <c r="O5837" i="12"/>
  <c r="M5840" i="12" l="1"/>
  <c r="N5840" i="12" s="1"/>
  <c r="O5838" i="12"/>
  <c r="M5841" i="12" l="1"/>
  <c r="N5841" i="12" s="1"/>
  <c r="O5839" i="12"/>
  <c r="M5842" i="12" l="1"/>
  <c r="N5842" i="12" s="1"/>
  <c r="O5840" i="12"/>
  <c r="M5843" i="12" l="1"/>
  <c r="N5843" i="12" s="1"/>
  <c r="O5841" i="12"/>
  <c r="M5844" i="12" l="1"/>
  <c r="N5844" i="12" s="1"/>
  <c r="O5842" i="12"/>
  <c r="M5845" i="12" l="1"/>
  <c r="N5845" i="12" s="1"/>
  <c r="O5843" i="12"/>
  <c r="M5846" i="12" l="1"/>
  <c r="N5846" i="12" s="1"/>
  <c r="O5844" i="12"/>
  <c r="M5847" i="12" l="1"/>
  <c r="N5847" i="12" s="1"/>
  <c r="O5845" i="12"/>
  <c r="M5848" i="12" l="1"/>
  <c r="N5848" i="12" s="1"/>
  <c r="O5846" i="12"/>
  <c r="M5849" i="12" l="1"/>
  <c r="N5849" i="12" s="1"/>
  <c r="O5847" i="12"/>
  <c r="M5850" i="12" l="1"/>
  <c r="N5850" i="12" s="1"/>
  <c r="O5848" i="12"/>
  <c r="M5851" i="12" l="1"/>
  <c r="N5851" i="12" s="1"/>
  <c r="O5849" i="12"/>
  <c r="M5852" i="12" l="1"/>
  <c r="N5852" i="12" s="1"/>
  <c r="O5850" i="12"/>
  <c r="M5853" i="12" l="1"/>
  <c r="N5853" i="12" s="1"/>
  <c r="O5851" i="12"/>
  <c r="M5854" i="12" l="1"/>
  <c r="N5854" i="12" s="1"/>
  <c r="O5852" i="12"/>
  <c r="M5855" i="12" l="1"/>
  <c r="N5855" i="12" s="1"/>
  <c r="O5853" i="12"/>
  <c r="M5856" i="12" l="1"/>
  <c r="N5856" i="12" s="1"/>
  <c r="O5854" i="12"/>
  <c r="M5857" i="12" l="1"/>
  <c r="N5857" i="12" s="1"/>
  <c r="O5855" i="12"/>
  <c r="M5858" i="12" l="1"/>
  <c r="N5858" i="12" s="1"/>
  <c r="O5856" i="12"/>
  <c r="M5859" i="12" l="1"/>
  <c r="N5859" i="12" s="1"/>
  <c r="O5857" i="12"/>
  <c r="M5860" i="12" l="1"/>
  <c r="N5860" i="12" s="1"/>
  <c r="O5858" i="12"/>
  <c r="M5861" i="12" l="1"/>
  <c r="N5861" i="12" s="1"/>
  <c r="O5859" i="12"/>
  <c r="M5862" i="12" l="1"/>
  <c r="N5862" i="12" s="1"/>
  <c r="O5860" i="12"/>
  <c r="M5863" i="12" l="1"/>
  <c r="N5863" i="12" s="1"/>
  <c r="O5861" i="12"/>
  <c r="M5864" i="12" l="1"/>
  <c r="N5864" i="12" s="1"/>
  <c r="O5862" i="12"/>
  <c r="M5865" i="12" l="1"/>
  <c r="N5865" i="12" s="1"/>
  <c r="O5863" i="12"/>
  <c r="M5866" i="12" l="1"/>
  <c r="N5866" i="12" s="1"/>
  <c r="O5864" i="12"/>
  <c r="M5867" i="12" l="1"/>
  <c r="N5867" i="12" s="1"/>
  <c r="O5865" i="12"/>
  <c r="M5868" i="12" l="1"/>
  <c r="N5868" i="12" s="1"/>
  <c r="O5866" i="12"/>
  <c r="M5869" i="12" l="1"/>
  <c r="N5869" i="12" s="1"/>
  <c r="O5867" i="12"/>
  <c r="M5870" i="12" l="1"/>
  <c r="N5870" i="12" s="1"/>
  <c r="O5868" i="12"/>
  <c r="M5871" i="12" l="1"/>
  <c r="N5871" i="12" s="1"/>
  <c r="O5869" i="12"/>
  <c r="M5872" i="12" l="1"/>
  <c r="N5872" i="12" s="1"/>
  <c r="O5870" i="12"/>
  <c r="M5873" i="12" l="1"/>
  <c r="N5873" i="12" s="1"/>
  <c r="O5871" i="12"/>
  <c r="M5874" i="12" l="1"/>
  <c r="N5874" i="12" s="1"/>
  <c r="O5872" i="12"/>
  <c r="M5875" i="12" l="1"/>
  <c r="N5875" i="12" s="1"/>
  <c r="O5873" i="12"/>
  <c r="M5876" i="12" l="1"/>
  <c r="N5876" i="12" s="1"/>
  <c r="O5874" i="12"/>
  <c r="M5877" i="12" l="1"/>
  <c r="N5877" i="12" s="1"/>
  <c r="O5875" i="12"/>
  <c r="M5878" i="12" l="1"/>
  <c r="N5878" i="12" s="1"/>
  <c r="O5876" i="12"/>
  <c r="M5879" i="12" l="1"/>
  <c r="N5879" i="12" s="1"/>
  <c r="O5877" i="12"/>
  <c r="M5880" i="12" l="1"/>
  <c r="N5880" i="12" s="1"/>
  <c r="O5878" i="12"/>
  <c r="M5881" i="12" l="1"/>
  <c r="N5881" i="12" s="1"/>
  <c r="O5879" i="12"/>
  <c r="M5882" i="12" l="1"/>
  <c r="N5882" i="12" s="1"/>
  <c r="O5880" i="12"/>
  <c r="M5883" i="12" l="1"/>
  <c r="N5883" i="12" s="1"/>
  <c r="O5881" i="12"/>
  <c r="M5884" i="12" l="1"/>
  <c r="N5884" i="12" s="1"/>
  <c r="O5882" i="12"/>
  <c r="M5885" i="12" l="1"/>
  <c r="N5885" i="12" s="1"/>
  <c r="O5883" i="12"/>
  <c r="M5886" i="12" l="1"/>
  <c r="N5886" i="12" s="1"/>
  <c r="O5884" i="12"/>
  <c r="M5887" i="12" l="1"/>
  <c r="N5887" i="12" s="1"/>
  <c r="O5885" i="12"/>
  <c r="M5888" i="12" l="1"/>
  <c r="N5888" i="12" s="1"/>
  <c r="O5886" i="12"/>
  <c r="M5889" i="12" l="1"/>
  <c r="N5889" i="12" s="1"/>
  <c r="O5887" i="12"/>
  <c r="M5890" i="12" l="1"/>
  <c r="N5890" i="12" s="1"/>
  <c r="O5888" i="12"/>
  <c r="M5891" i="12" l="1"/>
  <c r="N5891" i="12" s="1"/>
  <c r="O5889" i="12"/>
  <c r="M5892" i="12" l="1"/>
  <c r="N5892" i="12" s="1"/>
  <c r="O5890" i="12"/>
  <c r="M5893" i="12" l="1"/>
  <c r="N5893" i="12" s="1"/>
  <c r="O5891" i="12"/>
  <c r="M5894" i="12" l="1"/>
  <c r="N5894" i="12" s="1"/>
  <c r="O5892" i="12"/>
  <c r="M5895" i="12" l="1"/>
  <c r="N5895" i="12" s="1"/>
  <c r="O5893" i="12"/>
  <c r="M5896" i="12" l="1"/>
  <c r="N5896" i="12" s="1"/>
  <c r="O5894" i="12"/>
  <c r="M5897" i="12" l="1"/>
  <c r="N5897" i="12" s="1"/>
  <c r="O5895" i="12"/>
  <c r="M5898" i="12" l="1"/>
  <c r="N5898" i="12" s="1"/>
  <c r="O5896" i="12"/>
  <c r="M5899" i="12" l="1"/>
  <c r="N5899" i="12" s="1"/>
  <c r="O5897" i="12"/>
  <c r="M5900" i="12" l="1"/>
  <c r="N5900" i="12" s="1"/>
  <c r="O5898" i="12"/>
  <c r="M5901" i="12" l="1"/>
  <c r="N5901" i="12" s="1"/>
  <c r="O5899" i="12"/>
  <c r="M5902" i="12" l="1"/>
  <c r="N5902" i="12" s="1"/>
  <c r="O5900" i="12"/>
  <c r="M5903" i="12" l="1"/>
  <c r="N5903" i="12" s="1"/>
  <c r="O5901" i="12"/>
  <c r="M5904" i="12" l="1"/>
  <c r="N5904" i="12" s="1"/>
  <c r="O5902" i="12"/>
  <c r="M5905" i="12" l="1"/>
  <c r="N5905" i="12" s="1"/>
  <c r="O5903" i="12"/>
  <c r="M5906" i="12" l="1"/>
  <c r="N5906" i="12" s="1"/>
  <c r="O5904" i="12"/>
  <c r="M5907" i="12" l="1"/>
  <c r="N5907" i="12" s="1"/>
  <c r="O5905" i="12"/>
  <c r="M5908" i="12" l="1"/>
  <c r="N5908" i="12" s="1"/>
  <c r="O5906" i="12"/>
  <c r="M5909" i="12" l="1"/>
  <c r="N5909" i="12" s="1"/>
  <c r="O5907" i="12"/>
  <c r="M5910" i="12" l="1"/>
  <c r="N5910" i="12" s="1"/>
  <c r="O5908" i="12"/>
  <c r="M5911" i="12" l="1"/>
  <c r="N5911" i="12" s="1"/>
  <c r="O5909" i="12"/>
  <c r="M5912" i="12" l="1"/>
  <c r="N5912" i="12" s="1"/>
  <c r="O5910" i="12"/>
  <c r="M5913" i="12" l="1"/>
  <c r="N5913" i="12" s="1"/>
  <c r="O5911" i="12"/>
  <c r="M5914" i="12" l="1"/>
  <c r="N5914" i="12" s="1"/>
  <c r="O5912" i="12"/>
  <c r="M5915" i="12" l="1"/>
  <c r="N5915" i="12" s="1"/>
  <c r="O5913" i="12"/>
  <c r="M5916" i="12" l="1"/>
  <c r="N5916" i="12" s="1"/>
  <c r="O5914" i="12"/>
  <c r="M5917" i="12" l="1"/>
  <c r="N5917" i="12" s="1"/>
  <c r="O5915" i="12"/>
  <c r="M5918" i="12" l="1"/>
  <c r="N5918" i="12" s="1"/>
  <c r="O5916" i="12"/>
  <c r="M5919" i="12" l="1"/>
  <c r="N5919" i="12" s="1"/>
  <c r="O5917" i="12"/>
  <c r="M5920" i="12" l="1"/>
  <c r="N5920" i="12" s="1"/>
  <c r="O5918" i="12"/>
  <c r="M5921" i="12" l="1"/>
  <c r="N5921" i="12" s="1"/>
  <c r="O5919" i="12"/>
  <c r="M5922" i="12" l="1"/>
  <c r="N5922" i="12" s="1"/>
  <c r="O5920" i="12"/>
  <c r="M5923" i="12" l="1"/>
  <c r="N5923" i="12" s="1"/>
  <c r="O5921" i="12"/>
  <c r="M5924" i="12" l="1"/>
  <c r="N5924" i="12" s="1"/>
  <c r="O5922" i="12"/>
  <c r="M5925" i="12" l="1"/>
  <c r="N5925" i="12" s="1"/>
  <c r="O5923" i="12"/>
  <c r="M5926" i="12" l="1"/>
  <c r="N5926" i="12" s="1"/>
  <c r="O5924" i="12"/>
  <c r="M5927" i="12" l="1"/>
  <c r="N5927" i="12" s="1"/>
  <c r="O5925" i="12"/>
  <c r="M5928" i="12" l="1"/>
  <c r="N5928" i="12" s="1"/>
  <c r="O5926" i="12"/>
  <c r="M5929" i="12" l="1"/>
  <c r="N5929" i="12" s="1"/>
  <c r="O5927" i="12"/>
  <c r="M5930" i="12" l="1"/>
  <c r="N5930" i="12" s="1"/>
  <c r="O5928" i="12"/>
  <c r="M5931" i="12" l="1"/>
  <c r="N5931" i="12" s="1"/>
  <c r="O5929" i="12"/>
  <c r="M5932" i="12" l="1"/>
  <c r="N5932" i="12" s="1"/>
  <c r="O5930" i="12"/>
  <c r="M5933" i="12" l="1"/>
  <c r="N5933" i="12" s="1"/>
  <c r="O5931" i="12"/>
  <c r="M5934" i="12" l="1"/>
  <c r="N5934" i="12" s="1"/>
  <c r="O5932" i="12"/>
  <c r="M5935" i="12" l="1"/>
  <c r="N5935" i="12" s="1"/>
  <c r="O5933" i="12"/>
  <c r="M5936" i="12" l="1"/>
  <c r="N5936" i="12" s="1"/>
  <c r="O5934" i="12"/>
  <c r="M5937" i="12" l="1"/>
  <c r="N5937" i="12" s="1"/>
  <c r="O5935" i="12"/>
  <c r="M5938" i="12" l="1"/>
  <c r="N5938" i="12" s="1"/>
  <c r="O5936" i="12"/>
  <c r="M5939" i="12" l="1"/>
  <c r="N5939" i="12" s="1"/>
  <c r="O5937" i="12"/>
  <c r="M5940" i="12" l="1"/>
  <c r="N5940" i="12" s="1"/>
  <c r="O5938" i="12"/>
  <c r="M5941" i="12" l="1"/>
  <c r="N5941" i="12" s="1"/>
  <c r="O5939" i="12"/>
  <c r="M5942" i="12" l="1"/>
  <c r="N5942" i="12" s="1"/>
  <c r="O5940" i="12"/>
  <c r="M5943" i="12" l="1"/>
  <c r="N5943" i="12" s="1"/>
  <c r="O5941" i="12"/>
  <c r="M5944" i="12" l="1"/>
  <c r="N5944" i="12" s="1"/>
  <c r="O5942" i="12"/>
  <c r="M5945" i="12" l="1"/>
  <c r="N5945" i="12" s="1"/>
  <c r="O5943" i="12"/>
  <c r="M5946" i="12" l="1"/>
  <c r="N5946" i="12" s="1"/>
  <c r="O5944" i="12"/>
  <c r="M5947" i="12" l="1"/>
  <c r="N5947" i="12" s="1"/>
  <c r="O5945" i="12"/>
  <c r="M5948" i="12" l="1"/>
  <c r="N5948" i="12" s="1"/>
  <c r="O5946" i="12"/>
  <c r="M5949" i="12" l="1"/>
  <c r="N5949" i="12" s="1"/>
  <c r="O5947" i="12"/>
  <c r="M5950" i="12" l="1"/>
  <c r="N5950" i="12" s="1"/>
  <c r="O5948" i="12"/>
  <c r="M5951" i="12" l="1"/>
  <c r="N5951" i="12" s="1"/>
  <c r="O5949" i="12"/>
  <c r="M5952" i="12" l="1"/>
  <c r="N5952" i="12" s="1"/>
  <c r="O5950" i="12"/>
  <c r="M5953" i="12" l="1"/>
  <c r="N5953" i="12" s="1"/>
  <c r="O5951" i="12"/>
  <c r="M5954" i="12" l="1"/>
  <c r="N5954" i="12" s="1"/>
  <c r="O5952" i="12"/>
  <c r="M5955" i="12" l="1"/>
  <c r="N5955" i="12" s="1"/>
  <c r="O5953" i="12"/>
  <c r="M5956" i="12" l="1"/>
  <c r="N5956" i="12" s="1"/>
  <c r="O5954" i="12"/>
  <c r="M5957" i="12" l="1"/>
  <c r="N5957" i="12" s="1"/>
  <c r="O5955" i="12"/>
  <c r="M5958" i="12" l="1"/>
  <c r="N5958" i="12" s="1"/>
  <c r="O5956" i="12"/>
  <c r="M5959" i="12" l="1"/>
  <c r="N5959" i="12" s="1"/>
  <c r="O5957" i="12"/>
  <c r="M5960" i="12" l="1"/>
  <c r="N5960" i="12" s="1"/>
  <c r="O5958" i="12"/>
  <c r="M5961" i="12" l="1"/>
  <c r="N5961" i="12" s="1"/>
  <c r="O5959" i="12"/>
  <c r="M5962" i="12" l="1"/>
  <c r="N5962" i="12" s="1"/>
  <c r="O5960" i="12"/>
  <c r="M5963" i="12" l="1"/>
  <c r="N5963" i="12" s="1"/>
  <c r="O5961" i="12"/>
  <c r="M5964" i="12" l="1"/>
  <c r="N5964" i="12" s="1"/>
  <c r="O5962" i="12"/>
  <c r="M5965" i="12" l="1"/>
  <c r="N5965" i="12" s="1"/>
  <c r="O5963" i="12"/>
  <c r="M5966" i="12" l="1"/>
  <c r="N5966" i="12" s="1"/>
  <c r="O5964" i="12"/>
  <c r="M5967" i="12" l="1"/>
  <c r="N5967" i="12" s="1"/>
  <c r="O5965" i="12"/>
  <c r="M5968" i="12" l="1"/>
  <c r="N5968" i="12" s="1"/>
  <c r="O5966" i="12"/>
  <c r="M5969" i="12" l="1"/>
  <c r="N5969" i="12" s="1"/>
  <c r="O5967" i="12"/>
  <c r="M5970" i="12" l="1"/>
  <c r="N5970" i="12" s="1"/>
  <c r="O5968" i="12"/>
  <c r="M5971" i="12" l="1"/>
  <c r="N5971" i="12" s="1"/>
  <c r="O5969" i="12"/>
  <c r="M5972" i="12" l="1"/>
  <c r="N5972" i="12" s="1"/>
  <c r="O5970" i="12"/>
  <c r="M5973" i="12" l="1"/>
  <c r="N5973" i="12" s="1"/>
  <c r="O5971" i="12"/>
  <c r="M5974" i="12" l="1"/>
  <c r="N5974" i="12" s="1"/>
  <c r="O5972" i="12"/>
  <c r="M5975" i="12" l="1"/>
  <c r="N5975" i="12" s="1"/>
  <c r="O5973" i="12"/>
  <c r="M5976" i="12" l="1"/>
  <c r="N5976" i="12" s="1"/>
  <c r="O5974" i="12"/>
  <c r="M5977" i="12" l="1"/>
  <c r="N5977" i="12" s="1"/>
  <c r="O5975" i="12"/>
  <c r="M5978" i="12" l="1"/>
  <c r="N5978" i="12" s="1"/>
  <c r="O5976" i="12"/>
  <c r="M5979" i="12" l="1"/>
  <c r="N5979" i="12" s="1"/>
  <c r="O5977" i="12"/>
  <c r="M5980" i="12" l="1"/>
  <c r="N5980" i="12" s="1"/>
  <c r="O5978" i="12"/>
  <c r="M5981" i="12" l="1"/>
  <c r="N5981" i="12" s="1"/>
  <c r="O5979" i="12"/>
  <c r="M5982" i="12" l="1"/>
  <c r="N5982" i="12" s="1"/>
  <c r="O5980" i="12"/>
  <c r="M5983" i="12" l="1"/>
  <c r="N5983" i="12" s="1"/>
  <c r="O5981" i="12"/>
  <c r="M5984" i="12" l="1"/>
  <c r="N5984" i="12" s="1"/>
  <c r="O5982" i="12"/>
  <c r="M5985" i="12" l="1"/>
  <c r="N5985" i="12" s="1"/>
  <c r="O5983" i="12"/>
  <c r="M5986" i="12" l="1"/>
  <c r="N5986" i="12" s="1"/>
  <c r="O5984" i="12"/>
  <c r="M5987" i="12" l="1"/>
  <c r="N5987" i="12" s="1"/>
  <c r="O5985" i="12"/>
  <c r="M5988" i="12" l="1"/>
  <c r="N5988" i="12" s="1"/>
  <c r="O5986" i="12"/>
  <c r="M5989" i="12" l="1"/>
  <c r="N5989" i="12" s="1"/>
  <c r="O5987" i="12"/>
  <c r="M5990" i="12" l="1"/>
  <c r="N5990" i="12" s="1"/>
  <c r="O5988" i="12"/>
  <c r="M5991" i="12" l="1"/>
  <c r="N5991" i="12" s="1"/>
  <c r="O5989" i="12"/>
  <c r="M5992" i="12" l="1"/>
  <c r="N5992" i="12" s="1"/>
  <c r="O5990" i="12"/>
  <c r="M5993" i="12" l="1"/>
  <c r="N5993" i="12" s="1"/>
  <c r="O5991" i="12"/>
  <c r="M5994" i="12" l="1"/>
  <c r="N5994" i="12" s="1"/>
  <c r="O5992" i="12"/>
  <c r="M5995" i="12" l="1"/>
  <c r="N5995" i="12" s="1"/>
  <c r="O5993" i="12"/>
  <c r="M5996" i="12" l="1"/>
  <c r="N5996" i="12" s="1"/>
  <c r="O5994" i="12"/>
  <c r="M5997" i="12" l="1"/>
  <c r="N5997" i="12" s="1"/>
  <c r="O5995" i="12"/>
  <c r="M5998" i="12" l="1"/>
  <c r="N5998" i="12" s="1"/>
  <c r="O5996" i="12"/>
  <c r="M5999" i="12" l="1"/>
  <c r="N5999" i="12" s="1"/>
  <c r="O5997" i="12"/>
  <c r="M6000" i="12" l="1"/>
  <c r="N6000" i="12" s="1"/>
  <c r="O5998" i="12"/>
  <c r="M6001" i="12" l="1"/>
  <c r="N6001" i="12" s="1"/>
  <c r="O5999" i="12"/>
  <c r="M6002" i="12" l="1"/>
  <c r="N6002" i="12" s="1"/>
  <c r="O6000" i="12"/>
  <c r="M6003" i="12" l="1"/>
  <c r="N6003" i="12" s="1"/>
  <c r="O6001" i="12"/>
  <c r="M6004" i="12" l="1"/>
  <c r="N6004" i="12" s="1"/>
  <c r="O6002" i="12"/>
  <c r="M6005" i="12" l="1"/>
  <c r="N6005" i="12" s="1"/>
  <c r="O6003" i="12"/>
  <c r="M6006" i="12" l="1"/>
  <c r="N6006" i="12" s="1"/>
  <c r="O6004" i="12"/>
  <c r="M6007" i="12" l="1"/>
  <c r="N6007" i="12" s="1"/>
  <c r="O6005" i="12"/>
  <c r="M6008" i="12" l="1"/>
  <c r="N6008" i="12" s="1"/>
  <c r="O6006" i="12"/>
  <c r="M6009" i="12" l="1"/>
  <c r="N6009" i="12" s="1"/>
  <c r="O6007" i="12"/>
  <c r="M6010" i="12" l="1"/>
  <c r="N6010" i="12" s="1"/>
  <c r="O6008" i="12"/>
  <c r="M6011" i="12" l="1"/>
  <c r="N6011" i="12" s="1"/>
  <c r="O6009" i="12"/>
  <c r="M6012" i="12" l="1"/>
  <c r="N6012" i="12" s="1"/>
  <c r="O6010" i="12"/>
  <c r="M6013" i="12" l="1"/>
  <c r="N6013" i="12" s="1"/>
  <c r="O6011" i="12"/>
  <c r="M6014" i="12" l="1"/>
  <c r="N6014" i="12" s="1"/>
  <c r="O6012" i="12"/>
  <c r="M6015" i="12" l="1"/>
  <c r="N6015" i="12" s="1"/>
  <c r="O6013" i="12"/>
  <c r="M6016" i="12" l="1"/>
  <c r="N6016" i="12" s="1"/>
  <c r="O6014" i="12"/>
  <c r="M6017" i="12" l="1"/>
  <c r="N6017" i="12" s="1"/>
  <c r="O6015" i="12"/>
  <c r="M6018" i="12" l="1"/>
  <c r="N6018" i="12" s="1"/>
  <c r="O6016" i="12"/>
  <c r="M6019" i="12" l="1"/>
  <c r="N6019" i="12" s="1"/>
  <c r="O6017" i="12"/>
  <c r="M6020" i="12" l="1"/>
  <c r="N6020" i="12" s="1"/>
  <c r="O6018" i="12"/>
  <c r="M6021" i="12" l="1"/>
  <c r="N6021" i="12" s="1"/>
  <c r="O6019" i="12"/>
  <c r="M6022" i="12" l="1"/>
  <c r="N6022" i="12" s="1"/>
  <c r="O6020" i="12"/>
  <c r="M6023" i="12" l="1"/>
  <c r="N6023" i="12" s="1"/>
  <c r="O6021" i="12"/>
  <c r="M6024" i="12" l="1"/>
  <c r="N6024" i="12" s="1"/>
  <c r="O6022" i="12"/>
  <c r="M6025" i="12" l="1"/>
  <c r="N6025" i="12" s="1"/>
  <c r="O6023" i="12"/>
  <c r="M6026" i="12" l="1"/>
  <c r="N6026" i="12" s="1"/>
  <c r="O6024" i="12"/>
  <c r="M6027" i="12" l="1"/>
  <c r="N6027" i="12" s="1"/>
  <c r="O6025" i="12"/>
  <c r="M6028" i="12" l="1"/>
  <c r="N6028" i="12" s="1"/>
  <c r="O6026" i="12"/>
  <c r="M6029" i="12" l="1"/>
  <c r="N6029" i="12" s="1"/>
  <c r="O6027" i="12"/>
  <c r="M6030" i="12" l="1"/>
  <c r="N6030" i="12" s="1"/>
  <c r="O6028" i="12"/>
  <c r="M6031" i="12" l="1"/>
  <c r="N6031" i="12" s="1"/>
  <c r="O6029" i="12"/>
  <c r="M6032" i="12" l="1"/>
  <c r="N6032" i="12" s="1"/>
  <c r="O6030" i="12"/>
  <c r="M6033" i="12" l="1"/>
  <c r="N6033" i="12" s="1"/>
  <c r="O6031" i="12"/>
  <c r="M6034" i="12" l="1"/>
  <c r="N6034" i="12" s="1"/>
  <c r="O6032" i="12"/>
  <c r="M6035" i="12" l="1"/>
  <c r="N6035" i="12" s="1"/>
  <c r="O6033" i="12"/>
  <c r="M6036" i="12" l="1"/>
  <c r="N6036" i="12" s="1"/>
  <c r="O6034" i="12"/>
  <c r="M6037" i="12" l="1"/>
  <c r="N6037" i="12" s="1"/>
  <c r="O6035" i="12"/>
  <c r="M6038" i="12" l="1"/>
  <c r="N6038" i="12" s="1"/>
  <c r="O6036" i="12"/>
  <c r="M6039" i="12" l="1"/>
  <c r="N6039" i="12" s="1"/>
  <c r="O6037" i="12"/>
  <c r="M6040" i="12" l="1"/>
  <c r="N6040" i="12" s="1"/>
  <c r="O6038" i="12"/>
  <c r="M6041" i="12" l="1"/>
  <c r="N6041" i="12" s="1"/>
  <c r="O6039" i="12"/>
  <c r="M6042" i="12" l="1"/>
  <c r="N6042" i="12" s="1"/>
  <c r="O6040" i="12"/>
  <c r="M6043" i="12" l="1"/>
  <c r="N6043" i="12" s="1"/>
  <c r="O6041" i="12"/>
  <c r="M6044" i="12" l="1"/>
  <c r="N6044" i="12" s="1"/>
  <c r="O6042" i="12"/>
  <c r="M6045" i="12" l="1"/>
  <c r="N6045" i="12" s="1"/>
  <c r="O6043" i="12"/>
  <c r="M6046" i="12" l="1"/>
  <c r="N6046" i="12" s="1"/>
  <c r="O6044" i="12"/>
  <c r="M6047" i="12" l="1"/>
  <c r="N6047" i="12" s="1"/>
  <c r="O6045" i="12"/>
  <c r="M6048" i="12" l="1"/>
  <c r="N6048" i="12" s="1"/>
  <c r="O6046" i="12"/>
  <c r="M6049" i="12" l="1"/>
  <c r="N6049" i="12" s="1"/>
  <c r="O6047" i="12"/>
  <c r="M6050" i="12" l="1"/>
  <c r="N6050" i="12" s="1"/>
  <c r="O6048" i="12"/>
  <c r="M6051" i="12" l="1"/>
  <c r="N6051" i="12" s="1"/>
  <c r="O6049" i="12"/>
  <c r="M6052" i="12" l="1"/>
  <c r="N6052" i="12" s="1"/>
  <c r="O6050" i="12"/>
  <c r="M6053" i="12" l="1"/>
  <c r="N6053" i="12" s="1"/>
  <c r="O6051" i="12"/>
  <c r="M6054" i="12" l="1"/>
  <c r="N6054" i="12" s="1"/>
  <c r="O6052" i="12"/>
  <c r="M6055" i="12" l="1"/>
  <c r="N6055" i="12" s="1"/>
  <c r="O6053" i="12"/>
  <c r="M6056" i="12" l="1"/>
  <c r="N6056" i="12" s="1"/>
  <c r="O6054" i="12"/>
  <c r="M6057" i="12" l="1"/>
  <c r="N6057" i="12" s="1"/>
  <c r="O6055" i="12"/>
  <c r="M6058" i="12" l="1"/>
  <c r="N6058" i="12" s="1"/>
  <c r="O6056" i="12"/>
  <c r="M6059" i="12" l="1"/>
  <c r="N6059" i="12" s="1"/>
  <c r="O6057" i="12"/>
  <c r="M6060" i="12" l="1"/>
  <c r="N6060" i="12" s="1"/>
  <c r="O6058" i="12"/>
  <c r="M6061" i="12" l="1"/>
  <c r="N6061" i="12" s="1"/>
  <c r="O6059" i="12"/>
  <c r="M6062" i="12" l="1"/>
  <c r="N6062" i="12" s="1"/>
  <c r="O6060" i="12"/>
  <c r="M6063" i="12" l="1"/>
  <c r="N6063" i="12" s="1"/>
  <c r="O6061" i="12"/>
  <c r="M6064" i="12" l="1"/>
  <c r="N6064" i="12" s="1"/>
  <c r="O6062" i="12"/>
  <c r="M6065" i="12" l="1"/>
  <c r="N6065" i="12" s="1"/>
  <c r="O6063" i="12"/>
  <c r="M6066" i="12" l="1"/>
  <c r="N6066" i="12" s="1"/>
  <c r="O6064" i="12"/>
  <c r="M6067" i="12" l="1"/>
  <c r="N6067" i="12" s="1"/>
  <c r="O6065" i="12"/>
  <c r="M6068" i="12" l="1"/>
  <c r="N6068" i="12" s="1"/>
  <c r="O6066" i="12"/>
  <c r="M6069" i="12" l="1"/>
  <c r="N6069" i="12" s="1"/>
  <c r="O6067" i="12"/>
  <c r="M6070" i="12" l="1"/>
  <c r="N6070" i="12" s="1"/>
  <c r="O6068" i="12"/>
  <c r="M6071" i="12" l="1"/>
  <c r="N6071" i="12" s="1"/>
  <c r="O6069" i="12"/>
  <c r="M6072" i="12" l="1"/>
  <c r="N6072" i="12" s="1"/>
  <c r="O6070" i="12"/>
  <c r="M6073" i="12" l="1"/>
  <c r="N6073" i="12" s="1"/>
  <c r="O6071" i="12"/>
  <c r="M6074" i="12" l="1"/>
  <c r="N6074" i="12" s="1"/>
  <c r="O6072" i="12"/>
  <c r="M6075" i="12" l="1"/>
  <c r="N6075" i="12" s="1"/>
  <c r="O6073" i="12"/>
  <c r="M6076" i="12" l="1"/>
  <c r="N6076" i="12" s="1"/>
  <c r="O6074" i="12"/>
  <c r="M6077" i="12" l="1"/>
  <c r="N6077" i="12" s="1"/>
  <c r="O6075" i="12"/>
  <c r="M6078" i="12" l="1"/>
  <c r="N6078" i="12" s="1"/>
  <c r="O6076" i="12"/>
  <c r="M6079" i="12" l="1"/>
  <c r="N6079" i="12" s="1"/>
  <c r="O6077" i="12"/>
  <c r="M6080" i="12" l="1"/>
  <c r="N6080" i="12" s="1"/>
  <c r="O6078" i="12"/>
  <c r="M6081" i="12" l="1"/>
  <c r="N6081" i="12" s="1"/>
  <c r="O6079" i="12"/>
  <c r="M6082" i="12" l="1"/>
  <c r="N6082" i="12" s="1"/>
  <c r="O6080" i="12"/>
  <c r="M6083" i="12" l="1"/>
  <c r="N6083" i="12" s="1"/>
  <c r="O6081" i="12"/>
  <c r="M6084" i="12" l="1"/>
  <c r="N6084" i="12" s="1"/>
  <c r="O6082" i="12"/>
  <c r="M6085" i="12" l="1"/>
  <c r="N6085" i="12" s="1"/>
  <c r="O6083" i="12"/>
  <c r="M6086" i="12" l="1"/>
  <c r="N6086" i="12" s="1"/>
  <c r="O6084" i="12"/>
  <c r="M6087" i="12" l="1"/>
  <c r="N6087" i="12" s="1"/>
  <c r="O6085" i="12"/>
  <c r="M6088" i="12" l="1"/>
  <c r="N6088" i="12" s="1"/>
  <c r="O6086" i="12"/>
  <c r="M6089" i="12" l="1"/>
  <c r="N6089" i="12" s="1"/>
  <c r="O6087" i="12"/>
  <c r="M6090" i="12" l="1"/>
  <c r="N6090" i="12" s="1"/>
  <c r="O6088" i="12"/>
  <c r="M6091" i="12" l="1"/>
  <c r="N6091" i="12" s="1"/>
  <c r="O6089" i="12"/>
  <c r="M6092" i="12" l="1"/>
  <c r="N6092" i="12" s="1"/>
  <c r="O6090" i="12"/>
  <c r="M6093" i="12" l="1"/>
  <c r="N6093" i="12" s="1"/>
  <c r="O6091" i="12"/>
  <c r="M6094" i="12" l="1"/>
  <c r="N6094" i="12" s="1"/>
  <c r="O6092" i="12"/>
  <c r="M6095" i="12" l="1"/>
  <c r="N6095" i="12" s="1"/>
  <c r="O6093" i="12"/>
  <c r="M6096" i="12" l="1"/>
  <c r="N6096" i="12" s="1"/>
  <c r="O6094" i="12"/>
  <c r="M6097" i="12" l="1"/>
  <c r="N6097" i="12" s="1"/>
  <c r="O6095" i="12"/>
  <c r="M6098" i="12" l="1"/>
  <c r="N6098" i="12" s="1"/>
  <c r="O6096" i="12"/>
  <c r="M6099" i="12" l="1"/>
  <c r="N6099" i="12" s="1"/>
  <c r="O6097" i="12"/>
  <c r="M6100" i="12" l="1"/>
  <c r="N6100" i="12" s="1"/>
  <c r="O6098" i="12"/>
  <c r="M6101" i="12" l="1"/>
  <c r="N6101" i="12" s="1"/>
  <c r="O6099" i="12"/>
  <c r="M6102" i="12" l="1"/>
  <c r="N6102" i="12" s="1"/>
  <c r="O6100" i="12"/>
  <c r="M6103" i="12" l="1"/>
  <c r="N6103" i="12" s="1"/>
  <c r="O6101" i="12"/>
  <c r="M6104" i="12" l="1"/>
  <c r="N6104" i="12" s="1"/>
  <c r="O6102" i="12"/>
  <c r="M6105" i="12" l="1"/>
  <c r="N6105" i="12" s="1"/>
  <c r="O6103" i="12"/>
  <c r="M6106" i="12" l="1"/>
  <c r="N6106" i="12" s="1"/>
  <c r="O6104" i="12"/>
  <c r="M6107" i="12" l="1"/>
  <c r="N6107" i="12" s="1"/>
  <c r="O6105" i="12"/>
  <c r="M6108" i="12" l="1"/>
  <c r="N6108" i="12" s="1"/>
  <c r="O6106" i="12"/>
  <c r="M6109" i="12" l="1"/>
  <c r="N6109" i="12" s="1"/>
  <c r="O6107" i="12"/>
  <c r="M6110" i="12" l="1"/>
  <c r="N6110" i="12" s="1"/>
  <c r="O6108" i="12"/>
  <c r="M6111" i="12" l="1"/>
  <c r="N6111" i="12" s="1"/>
  <c r="O6109" i="12"/>
  <c r="M6112" i="12" l="1"/>
  <c r="N6112" i="12" s="1"/>
  <c r="O6110" i="12"/>
  <c r="M6113" i="12" l="1"/>
  <c r="N6113" i="12" s="1"/>
  <c r="O6111" i="12"/>
  <c r="M6114" i="12" l="1"/>
  <c r="N6114" i="12" s="1"/>
  <c r="O6112" i="12"/>
  <c r="M6115" i="12" l="1"/>
  <c r="N6115" i="12" s="1"/>
  <c r="O6113" i="12"/>
  <c r="M6116" i="12" l="1"/>
  <c r="N6116" i="12" s="1"/>
  <c r="O6114" i="12"/>
  <c r="M6117" i="12" l="1"/>
  <c r="N6117" i="12" s="1"/>
  <c r="O6115" i="12"/>
  <c r="M6118" i="12" l="1"/>
  <c r="N6118" i="12" s="1"/>
  <c r="O6116" i="12"/>
  <c r="M6119" i="12" l="1"/>
  <c r="N6119" i="12" s="1"/>
  <c r="O6117" i="12"/>
  <c r="M6120" i="12" l="1"/>
  <c r="N6120" i="12" s="1"/>
  <c r="O6118" i="12"/>
  <c r="M6121" i="12" l="1"/>
  <c r="N6121" i="12" s="1"/>
  <c r="O6119" i="12"/>
  <c r="M6122" i="12" l="1"/>
  <c r="N6122" i="12" s="1"/>
  <c r="O6120" i="12"/>
  <c r="M6123" i="12" l="1"/>
  <c r="N6123" i="12" s="1"/>
  <c r="O6121" i="12"/>
  <c r="M6124" i="12" l="1"/>
  <c r="N6124" i="12" s="1"/>
  <c r="O6122" i="12"/>
  <c r="M6125" i="12" l="1"/>
  <c r="N6125" i="12" s="1"/>
  <c r="O6123" i="12"/>
  <c r="M6126" i="12" l="1"/>
  <c r="N6126" i="12" s="1"/>
  <c r="O6124" i="12"/>
  <c r="M6127" i="12" l="1"/>
  <c r="N6127" i="12" s="1"/>
  <c r="O6125" i="12"/>
  <c r="M6128" i="12" l="1"/>
  <c r="N6128" i="12" s="1"/>
  <c r="O6126" i="12"/>
  <c r="M6129" i="12" l="1"/>
  <c r="N6129" i="12" s="1"/>
  <c r="O6127" i="12"/>
  <c r="M6130" i="12" l="1"/>
  <c r="N6130" i="12" s="1"/>
  <c r="O6128" i="12"/>
  <c r="M6131" i="12" l="1"/>
  <c r="N6131" i="12" s="1"/>
  <c r="O6129" i="12"/>
  <c r="M6132" i="12" l="1"/>
  <c r="N6132" i="12" s="1"/>
  <c r="O6130" i="12"/>
  <c r="M6133" i="12" l="1"/>
  <c r="N6133" i="12" s="1"/>
  <c r="O6131" i="12"/>
  <c r="M6134" i="12" l="1"/>
  <c r="N6134" i="12" s="1"/>
  <c r="O6132" i="12"/>
  <c r="M6135" i="12" l="1"/>
  <c r="N6135" i="12" s="1"/>
  <c r="O6133" i="12"/>
  <c r="M6136" i="12" l="1"/>
  <c r="N6136" i="12" s="1"/>
  <c r="O6134" i="12"/>
  <c r="M6137" i="12" l="1"/>
  <c r="N6137" i="12" s="1"/>
  <c r="O6135" i="12"/>
  <c r="M6138" i="12" l="1"/>
  <c r="N6138" i="12" s="1"/>
  <c r="O6136" i="12"/>
  <c r="M6139" i="12" l="1"/>
  <c r="N6139" i="12" s="1"/>
  <c r="O6137" i="12"/>
  <c r="M6140" i="12" l="1"/>
  <c r="N6140" i="12" s="1"/>
  <c r="O6138" i="12"/>
  <c r="M6141" i="12" l="1"/>
  <c r="N6141" i="12" s="1"/>
  <c r="O6139" i="12"/>
  <c r="M6142" i="12" l="1"/>
  <c r="N6142" i="12" s="1"/>
  <c r="O6140" i="12"/>
  <c r="M6143" i="12" l="1"/>
  <c r="N6143" i="12" s="1"/>
  <c r="O6141" i="12"/>
  <c r="M6144" i="12" l="1"/>
  <c r="N6144" i="12" s="1"/>
  <c r="O6142" i="12"/>
  <c r="M6145" i="12" l="1"/>
  <c r="N6145" i="12" s="1"/>
  <c r="O6143" i="12"/>
  <c r="M6146" i="12" l="1"/>
  <c r="N6146" i="12" s="1"/>
  <c r="O6144" i="12"/>
  <c r="M6147" i="12" l="1"/>
  <c r="N6147" i="12" s="1"/>
  <c r="O6145" i="12"/>
  <c r="M6148" i="12" l="1"/>
  <c r="N6148" i="12" s="1"/>
  <c r="O6146" i="12"/>
  <c r="M6149" i="12" l="1"/>
  <c r="N6149" i="12" s="1"/>
  <c r="O6147" i="12"/>
  <c r="M6150" i="12" l="1"/>
  <c r="N6150" i="12" s="1"/>
  <c r="O6148" i="12"/>
  <c r="M6151" i="12" l="1"/>
  <c r="N6151" i="12" s="1"/>
  <c r="O6149" i="12"/>
  <c r="M6152" i="12" l="1"/>
  <c r="N6152" i="12" s="1"/>
  <c r="O6150" i="12"/>
  <c r="M6153" i="12" l="1"/>
  <c r="N6153" i="12" s="1"/>
  <c r="O6151" i="12"/>
  <c r="M6154" i="12" l="1"/>
  <c r="N6154" i="12" s="1"/>
  <c r="O6152" i="12"/>
  <c r="M6155" i="12" l="1"/>
  <c r="N6155" i="12" s="1"/>
  <c r="O6153" i="12"/>
  <c r="M6156" i="12" l="1"/>
  <c r="N6156" i="12" s="1"/>
  <c r="O6154" i="12"/>
  <c r="M6157" i="12" l="1"/>
  <c r="N6157" i="12" s="1"/>
  <c r="O6155" i="12"/>
  <c r="M6158" i="12" l="1"/>
  <c r="N6158" i="12" s="1"/>
  <c r="O6156" i="12"/>
  <c r="M6159" i="12" l="1"/>
  <c r="N6159" i="12" s="1"/>
  <c r="O6157" i="12"/>
  <c r="M6160" i="12" l="1"/>
  <c r="N6160" i="12" s="1"/>
  <c r="O6158" i="12"/>
  <c r="M6161" i="12" l="1"/>
  <c r="N6161" i="12" s="1"/>
  <c r="O6159" i="12"/>
  <c r="M6162" i="12" l="1"/>
  <c r="N6162" i="12" s="1"/>
  <c r="O6160" i="12"/>
  <c r="M6163" i="12" l="1"/>
  <c r="N6163" i="12" s="1"/>
  <c r="O6161" i="12"/>
  <c r="M6164" i="12" l="1"/>
  <c r="N6164" i="12" s="1"/>
  <c r="O6162" i="12"/>
  <c r="M6165" i="12" l="1"/>
  <c r="N6165" i="12" s="1"/>
  <c r="O6163" i="12"/>
  <c r="M6166" i="12" l="1"/>
  <c r="N6166" i="12" s="1"/>
  <c r="O6164" i="12"/>
  <c r="M6167" i="12" l="1"/>
  <c r="N6167" i="12" s="1"/>
  <c r="O6165" i="12"/>
  <c r="M6168" i="12" l="1"/>
  <c r="N6168" i="12" s="1"/>
  <c r="O6166" i="12"/>
  <c r="M6169" i="12" l="1"/>
  <c r="N6169" i="12" s="1"/>
  <c r="O6167" i="12"/>
  <c r="M6170" i="12" l="1"/>
  <c r="N6170" i="12" s="1"/>
  <c r="O6168" i="12"/>
  <c r="M6171" i="12" l="1"/>
  <c r="N6171" i="12" s="1"/>
  <c r="O6169" i="12"/>
  <c r="M6172" i="12" l="1"/>
  <c r="N6172" i="12" s="1"/>
  <c r="O6170" i="12"/>
  <c r="M6173" i="12" l="1"/>
  <c r="N6173" i="12" s="1"/>
  <c r="O6171" i="12"/>
  <c r="M6174" i="12" l="1"/>
  <c r="N6174" i="12" s="1"/>
  <c r="O6172" i="12"/>
  <c r="M6175" i="12" l="1"/>
  <c r="N6175" i="12" s="1"/>
  <c r="O6173" i="12"/>
  <c r="M6176" i="12" l="1"/>
  <c r="N6176" i="12" s="1"/>
  <c r="O6174" i="12"/>
  <c r="M6177" i="12" l="1"/>
  <c r="N6177" i="12" s="1"/>
  <c r="O6175" i="12"/>
  <c r="M6178" i="12" l="1"/>
  <c r="N6178" i="12" s="1"/>
  <c r="O6176" i="12"/>
  <c r="M6179" i="12" l="1"/>
  <c r="N6179" i="12" s="1"/>
  <c r="O6177" i="12"/>
  <c r="M6180" i="12" l="1"/>
  <c r="N6180" i="12" s="1"/>
  <c r="O6178" i="12"/>
  <c r="M6181" i="12" l="1"/>
  <c r="N6181" i="12" s="1"/>
  <c r="O6179" i="12"/>
  <c r="M6182" i="12" l="1"/>
  <c r="N6182" i="12" s="1"/>
  <c r="O6180" i="12"/>
  <c r="M6183" i="12" l="1"/>
  <c r="N6183" i="12" s="1"/>
  <c r="O6181" i="12"/>
  <c r="M6184" i="12" l="1"/>
  <c r="N6184" i="12" s="1"/>
  <c r="O6182" i="12"/>
  <c r="M6185" i="12" l="1"/>
  <c r="N6185" i="12" s="1"/>
  <c r="O6183" i="12"/>
  <c r="M6186" i="12" l="1"/>
  <c r="N6186" i="12" s="1"/>
  <c r="O6184" i="12"/>
  <c r="M6187" i="12" l="1"/>
  <c r="N6187" i="12" s="1"/>
  <c r="O6185" i="12"/>
  <c r="M6188" i="12" l="1"/>
  <c r="N6188" i="12" s="1"/>
  <c r="O6186" i="12"/>
  <c r="M6189" i="12" l="1"/>
  <c r="N6189" i="12" s="1"/>
  <c r="O6187" i="12"/>
  <c r="M6190" i="12" l="1"/>
  <c r="N6190" i="12" s="1"/>
  <c r="O6188" i="12"/>
  <c r="M6191" i="12" l="1"/>
  <c r="N6191" i="12" s="1"/>
  <c r="O6189" i="12"/>
  <c r="M6192" i="12" l="1"/>
  <c r="N6192" i="12" s="1"/>
  <c r="O6190" i="12"/>
  <c r="M6193" i="12" l="1"/>
  <c r="N6193" i="12" s="1"/>
  <c r="O6191" i="12"/>
  <c r="M6194" i="12" l="1"/>
  <c r="N6194" i="12" s="1"/>
  <c r="O6192" i="12"/>
  <c r="M6195" i="12" l="1"/>
  <c r="N6195" i="12" s="1"/>
  <c r="O6193" i="12"/>
  <c r="M6196" i="12" l="1"/>
  <c r="N6196" i="12" s="1"/>
  <c r="O6194" i="12"/>
  <c r="M6197" i="12" l="1"/>
  <c r="N6197" i="12" s="1"/>
  <c r="O6195" i="12"/>
  <c r="M6198" i="12" l="1"/>
  <c r="N6198" i="12" s="1"/>
  <c r="O6196" i="12"/>
  <c r="M6199" i="12" l="1"/>
  <c r="N6199" i="12" s="1"/>
  <c r="O6197" i="12"/>
  <c r="M6200" i="12" l="1"/>
  <c r="N6200" i="12" s="1"/>
  <c r="O6198" i="12"/>
  <c r="M6201" i="12" l="1"/>
  <c r="N6201" i="12" s="1"/>
  <c r="O6199" i="12"/>
  <c r="M6202" i="12" l="1"/>
  <c r="N6202" i="12" s="1"/>
  <c r="O6200" i="12"/>
  <c r="M6203" i="12" l="1"/>
  <c r="N6203" i="12" s="1"/>
  <c r="O6201" i="12"/>
  <c r="M6204" i="12" l="1"/>
  <c r="N6204" i="12" s="1"/>
  <c r="O6202" i="12"/>
  <c r="M6205" i="12" l="1"/>
  <c r="N6205" i="12" s="1"/>
  <c r="O6203" i="12"/>
  <c r="M6206" i="12" l="1"/>
  <c r="N6206" i="12" s="1"/>
  <c r="O6204" i="12"/>
  <c r="M6207" i="12" l="1"/>
  <c r="N6207" i="12" s="1"/>
  <c r="O6205" i="12"/>
  <c r="M6208" i="12" l="1"/>
  <c r="N6208" i="12" s="1"/>
  <c r="O6206" i="12"/>
  <c r="M6209" i="12" l="1"/>
  <c r="N6209" i="12" s="1"/>
  <c r="O6207" i="12"/>
  <c r="M6210" i="12" l="1"/>
  <c r="N6210" i="12" s="1"/>
  <c r="O6208" i="12"/>
  <c r="M6211" i="12" l="1"/>
  <c r="N6211" i="12" s="1"/>
  <c r="O6209" i="12"/>
  <c r="M6212" i="12" l="1"/>
  <c r="N6212" i="12" s="1"/>
  <c r="O6210" i="12"/>
  <c r="M6213" i="12" l="1"/>
  <c r="N6213" i="12" s="1"/>
  <c r="O6211" i="12"/>
  <c r="M6214" i="12" l="1"/>
  <c r="N6214" i="12" s="1"/>
  <c r="O6212" i="12"/>
  <c r="M6215" i="12" l="1"/>
  <c r="N6215" i="12" s="1"/>
  <c r="O6213" i="12"/>
  <c r="M6216" i="12" l="1"/>
  <c r="N6216" i="12" s="1"/>
  <c r="O6214" i="12"/>
  <c r="M6217" i="12" l="1"/>
  <c r="N6217" i="12" s="1"/>
  <c r="O6215" i="12"/>
  <c r="M6218" i="12" l="1"/>
  <c r="N6218" i="12" s="1"/>
  <c r="O6216" i="12"/>
  <c r="M6219" i="12" l="1"/>
  <c r="N6219" i="12" s="1"/>
  <c r="O6217" i="12"/>
  <c r="M6220" i="12" l="1"/>
  <c r="N6220" i="12" s="1"/>
  <c r="O6218" i="12"/>
  <c r="M6221" i="12" l="1"/>
  <c r="N6221" i="12" s="1"/>
  <c r="O6219" i="12"/>
  <c r="M6222" i="12" l="1"/>
  <c r="N6222" i="12" s="1"/>
  <c r="O6220" i="12"/>
  <c r="M6223" i="12" l="1"/>
  <c r="N6223" i="12" s="1"/>
  <c r="O6221" i="12"/>
  <c r="M6224" i="12" l="1"/>
  <c r="N6224" i="12" s="1"/>
  <c r="O6222" i="12"/>
  <c r="M6225" i="12" l="1"/>
  <c r="N6225" i="12" s="1"/>
  <c r="O6223" i="12"/>
  <c r="M6226" i="12" l="1"/>
  <c r="N6226" i="12" s="1"/>
  <c r="O6224" i="12"/>
  <c r="M6227" i="12" l="1"/>
  <c r="N6227" i="12" s="1"/>
  <c r="O6225" i="12"/>
  <c r="M6228" i="12" l="1"/>
  <c r="N6228" i="12" s="1"/>
  <c r="O6226" i="12"/>
  <c r="M6229" i="12" l="1"/>
  <c r="N6229" i="12" s="1"/>
  <c r="O6227" i="12"/>
  <c r="M6230" i="12" l="1"/>
  <c r="N6230" i="12" s="1"/>
  <c r="O6228" i="12"/>
  <c r="M6231" i="12" l="1"/>
  <c r="N6231" i="12" s="1"/>
  <c r="O6229" i="12"/>
  <c r="M6232" i="12" l="1"/>
  <c r="N6232" i="12" s="1"/>
  <c r="O6230" i="12"/>
  <c r="M6233" i="12" l="1"/>
  <c r="N6233" i="12" s="1"/>
  <c r="O6231" i="12"/>
  <c r="M6234" i="12" l="1"/>
  <c r="N6234" i="12" s="1"/>
  <c r="O6232" i="12"/>
  <c r="M6235" i="12" l="1"/>
  <c r="N6235" i="12" s="1"/>
  <c r="O6233" i="12"/>
  <c r="M6236" i="12" l="1"/>
  <c r="N6236" i="12" s="1"/>
  <c r="O6234" i="12"/>
  <c r="M6237" i="12" l="1"/>
  <c r="N6237" i="12" s="1"/>
  <c r="O6235" i="12"/>
  <c r="M6238" i="12" l="1"/>
  <c r="N6238" i="12" s="1"/>
  <c r="O6236" i="12"/>
  <c r="M6239" i="12" l="1"/>
  <c r="N6239" i="12" s="1"/>
  <c r="O6237" i="12"/>
  <c r="M6240" i="12" l="1"/>
  <c r="N6240" i="12" s="1"/>
  <c r="O6238" i="12"/>
  <c r="M6241" i="12" l="1"/>
  <c r="N6241" i="12" s="1"/>
  <c r="O6239" i="12"/>
  <c r="M6242" i="12" l="1"/>
  <c r="N6242" i="12" s="1"/>
  <c r="O6240" i="12"/>
  <c r="M6243" i="12" l="1"/>
  <c r="N6243" i="12" s="1"/>
  <c r="O6241" i="12"/>
  <c r="M6244" i="12" l="1"/>
  <c r="N6244" i="12" s="1"/>
  <c r="O6242" i="12"/>
  <c r="M6245" i="12" l="1"/>
  <c r="N6245" i="12" s="1"/>
  <c r="O6243" i="12"/>
  <c r="M6246" i="12" l="1"/>
  <c r="N6246" i="12" s="1"/>
  <c r="O6244" i="12"/>
  <c r="M6247" i="12" l="1"/>
  <c r="N6247" i="12" s="1"/>
  <c r="O6245" i="12"/>
  <c r="M6248" i="12" l="1"/>
  <c r="N6248" i="12" s="1"/>
  <c r="O6246" i="12"/>
  <c r="M6249" i="12" l="1"/>
  <c r="N6249" i="12" s="1"/>
  <c r="O6247" i="12"/>
  <c r="M6250" i="12" l="1"/>
  <c r="N6250" i="12" s="1"/>
  <c r="O6248" i="12"/>
  <c r="M6251" i="12" l="1"/>
  <c r="N6251" i="12" s="1"/>
  <c r="O6249" i="12"/>
  <c r="M6252" i="12" l="1"/>
  <c r="N6252" i="12" s="1"/>
  <c r="O6250" i="12"/>
  <c r="M6253" i="12" l="1"/>
  <c r="N6253" i="12" s="1"/>
  <c r="O6251" i="12"/>
  <c r="M6254" i="12" l="1"/>
  <c r="N6254" i="12" s="1"/>
  <c r="O6252" i="12"/>
  <c r="M6255" i="12" l="1"/>
  <c r="N6255" i="12" s="1"/>
  <c r="O6253" i="12"/>
  <c r="M6256" i="12" l="1"/>
  <c r="N6256" i="12" s="1"/>
  <c r="O6254" i="12"/>
  <c r="M6257" i="12" l="1"/>
  <c r="N6257" i="12" s="1"/>
  <c r="O6255" i="12"/>
  <c r="M6258" i="12" l="1"/>
  <c r="N6258" i="12" s="1"/>
  <c r="O6256" i="12"/>
  <c r="M6259" i="12" l="1"/>
  <c r="N6259" i="12" s="1"/>
  <c r="O6257" i="12"/>
  <c r="M6260" i="12" l="1"/>
  <c r="N6260" i="12" s="1"/>
  <c r="O6258" i="12"/>
  <c r="M6261" i="12" l="1"/>
  <c r="N6261" i="12" s="1"/>
  <c r="O6259" i="12"/>
  <c r="M6262" i="12" l="1"/>
  <c r="N6262" i="12" s="1"/>
  <c r="O6260" i="12"/>
  <c r="M6263" i="12" l="1"/>
  <c r="N6263" i="12" s="1"/>
  <c r="O6261" i="12"/>
  <c r="M6264" i="12" l="1"/>
  <c r="N6264" i="12" s="1"/>
  <c r="O6262" i="12"/>
  <c r="M6265" i="12" l="1"/>
  <c r="N6265" i="12" s="1"/>
  <c r="O6263" i="12"/>
  <c r="M6266" i="12" l="1"/>
  <c r="N6266" i="12" s="1"/>
  <c r="O6264" i="12"/>
  <c r="M6267" i="12" l="1"/>
  <c r="N6267" i="12" s="1"/>
  <c r="O6265" i="12"/>
  <c r="M6268" i="12" l="1"/>
  <c r="N6268" i="12" s="1"/>
  <c r="O6266" i="12"/>
  <c r="M6269" i="12" l="1"/>
  <c r="N6269" i="12" s="1"/>
  <c r="O6267" i="12"/>
  <c r="M6270" i="12" l="1"/>
  <c r="N6270" i="12" s="1"/>
  <c r="O6268" i="12"/>
  <c r="M6271" i="12" l="1"/>
  <c r="N6271" i="12" s="1"/>
  <c r="O6269" i="12"/>
  <c r="M6272" i="12" l="1"/>
  <c r="N6272" i="12" s="1"/>
  <c r="O6270" i="12"/>
  <c r="M6273" i="12" l="1"/>
  <c r="N6273" i="12" s="1"/>
  <c r="O6271" i="12"/>
  <c r="M6274" i="12" l="1"/>
  <c r="N6274" i="12" s="1"/>
  <c r="O6272" i="12"/>
  <c r="M6275" i="12" l="1"/>
  <c r="N6275" i="12" s="1"/>
  <c r="O6273" i="12"/>
  <c r="M6276" i="12" l="1"/>
  <c r="N6276" i="12" s="1"/>
  <c r="O6274" i="12"/>
  <c r="M6277" i="12" l="1"/>
  <c r="N6277" i="12" s="1"/>
  <c r="O6275" i="12"/>
  <c r="M6278" i="12" l="1"/>
  <c r="N6278" i="12" s="1"/>
  <c r="O6276" i="12"/>
  <c r="M6279" i="12" l="1"/>
  <c r="N6279" i="12" s="1"/>
  <c r="O6277" i="12"/>
  <c r="M6280" i="12" l="1"/>
  <c r="N6280" i="12" s="1"/>
  <c r="O6278" i="12"/>
  <c r="M6281" i="12" l="1"/>
  <c r="N6281" i="12" s="1"/>
  <c r="O6279" i="12"/>
  <c r="M6282" i="12" l="1"/>
  <c r="N6282" i="12" s="1"/>
  <c r="O6280" i="12"/>
  <c r="M6283" i="12" l="1"/>
  <c r="N6283" i="12" s="1"/>
  <c r="O6281" i="12"/>
  <c r="M6284" i="12" l="1"/>
  <c r="N6284" i="12" s="1"/>
  <c r="O6282" i="12"/>
  <c r="M6285" i="12" l="1"/>
  <c r="N6285" i="12" s="1"/>
  <c r="O6283" i="12"/>
  <c r="M6286" i="12" l="1"/>
  <c r="N6286" i="12" s="1"/>
  <c r="O6284" i="12"/>
  <c r="M6287" i="12" l="1"/>
  <c r="N6287" i="12" s="1"/>
  <c r="O6285" i="12"/>
  <c r="M6288" i="12" l="1"/>
  <c r="N6288" i="12" s="1"/>
  <c r="O6286" i="12"/>
  <c r="M6289" i="12" l="1"/>
  <c r="N6289" i="12" s="1"/>
  <c r="O6287" i="12"/>
  <c r="M6290" i="12" l="1"/>
  <c r="N6290" i="12" s="1"/>
  <c r="O6288" i="12"/>
  <c r="M6291" i="12" l="1"/>
  <c r="N6291" i="12" s="1"/>
  <c r="O6289" i="12"/>
  <c r="M6292" i="12" l="1"/>
  <c r="N6292" i="12" s="1"/>
  <c r="O6290" i="12"/>
  <c r="M6293" i="12" l="1"/>
  <c r="N6293" i="12" s="1"/>
  <c r="O6291" i="12"/>
  <c r="M6294" i="12" l="1"/>
  <c r="N6294" i="12" s="1"/>
  <c r="O6292" i="12"/>
  <c r="M6295" i="12" l="1"/>
  <c r="N6295" i="12" s="1"/>
  <c r="O6293" i="12"/>
  <c r="M6296" i="12" l="1"/>
  <c r="N6296" i="12" s="1"/>
  <c r="O6294" i="12"/>
  <c r="M6297" i="12" l="1"/>
  <c r="N6297" i="12" s="1"/>
  <c r="O6295" i="12"/>
  <c r="M6298" i="12" l="1"/>
  <c r="N6298" i="12" s="1"/>
  <c r="O6296" i="12"/>
  <c r="M6299" i="12" l="1"/>
  <c r="N6299" i="12" s="1"/>
  <c r="O6297" i="12"/>
  <c r="M6300" i="12" l="1"/>
  <c r="N6300" i="12" s="1"/>
  <c r="O6298" i="12"/>
  <c r="M6301" i="12" l="1"/>
  <c r="N6301" i="12" s="1"/>
  <c r="O6299" i="12"/>
  <c r="M6302" i="12" l="1"/>
  <c r="N6302" i="12" s="1"/>
  <c r="O6300" i="12"/>
  <c r="M6303" i="12" l="1"/>
  <c r="N6303" i="12" s="1"/>
  <c r="O6301" i="12"/>
  <c r="M6304" i="12" l="1"/>
  <c r="N6304" i="12" s="1"/>
  <c r="O6302" i="12"/>
  <c r="M6305" i="12" l="1"/>
  <c r="N6305" i="12" s="1"/>
  <c r="O6303" i="12"/>
  <c r="M6306" i="12" l="1"/>
  <c r="N6306" i="12" s="1"/>
  <c r="O6304" i="12"/>
  <c r="M6307" i="12" l="1"/>
  <c r="N6307" i="12" s="1"/>
  <c r="O6305" i="12"/>
  <c r="M6308" i="12" l="1"/>
  <c r="N6308" i="12" s="1"/>
  <c r="O6306" i="12"/>
  <c r="M6309" i="12" l="1"/>
  <c r="N6309" i="12" s="1"/>
  <c r="O6307" i="12"/>
  <c r="M6310" i="12" l="1"/>
  <c r="N6310" i="12" s="1"/>
  <c r="O6308" i="12"/>
  <c r="M6311" i="12" l="1"/>
  <c r="N6311" i="12" s="1"/>
  <c r="O6309" i="12"/>
  <c r="M6312" i="12" l="1"/>
  <c r="N6312" i="12" s="1"/>
  <c r="O6310" i="12"/>
  <c r="M6313" i="12" l="1"/>
  <c r="N6313" i="12" s="1"/>
  <c r="O6311" i="12"/>
  <c r="M6314" i="12" l="1"/>
  <c r="N6314" i="12" s="1"/>
  <c r="O6312" i="12"/>
  <c r="M6315" i="12" l="1"/>
  <c r="N6315" i="12" s="1"/>
  <c r="O6313" i="12"/>
  <c r="M6316" i="12" l="1"/>
  <c r="N6316" i="12" s="1"/>
  <c r="O6314" i="12"/>
  <c r="M6317" i="12" l="1"/>
  <c r="N6317" i="12" s="1"/>
  <c r="O6315" i="12"/>
  <c r="M6318" i="12" l="1"/>
  <c r="N6318" i="12" s="1"/>
  <c r="O6316" i="12"/>
  <c r="M6319" i="12" l="1"/>
  <c r="N6319" i="12" s="1"/>
  <c r="O6317" i="12"/>
  <c r="M6320" i="12" l="1"/>
  <c r="N6320" i="12" s="1"/>
  <c r="O6318" i="12"/>
  <c r="M6321" i="12" l="1"/>
  <c r="N6321" i="12" s="1"/>
  <c r="O6319" i="12"/>
  <c r="M6322" i="12" l="1"/>
  <c r="N6322" i="12" s="1"/>
  <c r="O6320" i="12"/>
  <c r="M6323" i="12" l="1"/>
  <c r="N6323" i="12" s="1"/>
  <c r="O6321" i="12"/>
  <c r="M6324" i="12" l="1"/>
  <c r="N6324" i="12" s="1"/>
  <c r="O6322" i="12"/>
  <c r="M6325" i="12" l="1"/>
  <c r="N6325" i="12" s="1"/>
  <c r="O6323" i="12"/>
  <c r="M6326" i="12" l="1"/>
  <c r="N6326" i="12" s="1"/>
  <c r="O6324" i="12"/>
  <c r="M6327" i="12" l="1"/>
  <c r="N6327" i="12" s="1"/>
  <c r="O6325" i="12"/>
  <c r="M6328" i="12" l="1"/>
  <c r="N6328" i="12" s="1"/>
  <c r="O6326" i="12"/>
  <c r="M6329" i="12" l="1"/>
  <c r="N6329" i="12" s="1"/>
  <c r="O6327" i="12"/>
  <c r="M6330" i="12" l="1"/>
  <c r="N6330" i="12" s="1"/>
  <c r="O6328" i="12"/>
  <c r="M6331" i="12" l="1"/>
  <c r="N6331" i="12" s="1"/>
  <c r="O6329" i="12"/>
  <c r="M6332" i="12" l="1"/>
  <c r="N6332" i="12" s="1"/>
  <c r="O6330" i="12"/>
  <c r="M6333" i="12" l="1"/>
  <c r="N6333" i="12" s="1"/>
  <c r="O6331" i="12"/>
  <c r="M6334" i="12" l="1"/>
  <c r="N6334" i="12" s="1"/>
  <c r="O6332" i="12"/>
  <c r="M6335" i="12" l="1"/>
  <c r="N6335" i="12" s="1"/>
  <c r="O6333" i="12"/>
  <c r="M6336" i="12" l="1"/>
  <c r="N6336" i="12" s="1"/>
  <c r="O6334" i="12"/>
  <c r="M6337" i="12" l="1"/>
  <c r="N6337" i="12" s="1"/>
  <c r="O6335" i="12"/>
  <c r="M6338" i="12" l="1"/>
  <c r="N6338" i="12" s="1"/>
  <c r="O6336" i="12"/>
  <c r="M6339" i="12" l="1"/>
  <c r="N6339" i="12" s="1"/>
  <c r="O6337" i="12"/>
  <c r="M6340" i="12" l="1"/>
  <c r="N6340" i="12" s="1"/>
  <c r="O6338" i="12"/>
  <c r="M6341" i="12" l="1"/>
  <c r="N6341" i="12" s="1"/>
  <c r="O6339" i="12"/>
  <c r="M6342" i="12" l="1"/>
  <c r="N6342" i="12" s="1"/>
  <c r="O6340" i="12"/>
  <c r="M6343" i="12" l="1"/>
  <c r="N6343" i="12" s="1"/>
  <c r="O6341" i="12"/>
  <c r="M6344" i="12" l="1"/>
  <c r="N6344" i="12" s="1"/>
  <c r="O6342" i="12"/>
  <c r="M6345" i="12" l="1"/>
  <c r="N6345" i="12" s="1"/>
  <c r="O6343" i="12"/>
  <c r="M6346" i="12" l="1"/>
  <c r="N6346" i="12" s="1"/>
  <c r="O6344" i="12"/>
  <c r="M6347" i="12" l="1"/>
  <c r="N6347" i="12" s="1"/>
  <c r="O6345" i="12"/>
  <c r="M6348" i="12" l="1"/>
  <c r="N6348" i="12" s="1"/>
  <c r="O6346" i="12"/>
  <c r="M6349" i="12" l="1"/>
  <c r="N6349" i="12" s="1"/>
  <c r="O6347" i="12"/>
  <c r="M6350" i="12" l="1"/>
  <c r="N6350" i="12" s="1"/>
  <c r="O6348" i="12"/>
  <c r="M6351" i="12" l="1"/>
  <c r="N6351" i="12" s="1"/>
  <c r="O6349" i="12"/>
  <c r="M6352" i="12" l="1"/>
  <c r="N6352" i="12" s="1"/>
  <c r="O6350" i="12"/>
  <c r="M6353" i="12" l="1"/>
  <c r="N6353" i="12" s="1"/>
  <c r="O6351" i="12"/>
  <c r="M6354" i="12" l="1"/>
  <c r="N6354" i="12" s="1"/>
  <c r="O6352" i="12"/>
  <c r="M6355" i="12" l="1"/>
  <c r="N6355" i="12" s="1"/>
  <c r="O6353" i="12"/>
  <c r="M6356" i="12" l="1"/>
  <c r="N6356" i="12" s="1"/>
  <c r="O6354" i="12"/>
  <c r="M6357" i="12" l="1"/>
  <c r="N6357" i="12" s="1"/>
  <c r="O6355" i="12"/>
  <c r="M6358" i="12" l="1"/>
  <c r="N6358" i="12" s="1"/>
  <c r="O6356" i="12"/>
  <c r="M6359" i="12" l="1"/>
  <c r="N6359" i="12" s="1"/>
  <c r="O6357" i="12"/>
  <c r="M6360" i="12" l="1"/>
  <c r="N6360" i="12" s="1"/>
  <c r="O6358" i="12"/>
  <c r="M6361" i="12" l="1"/>
  <c r="N6361" i="12" s="1"/>
  <c r="O6359" i="12"/>
  <c r="M6362" i="12" l="1"/>
  <c r="N6362" i="12" s="1"/>
  <c r="O6360" i="12"/>
  <c r="M6363" i="12" l="1"/>
  <c r="N6363" i="12" s="1"/>
  <c r="O6361" i="12"/>
  <c r="M6364" i="12" l="1"/>
  <c r="N6364" i="12" s="1"/>
  <c r="O6362" i="12"/>
  <c r="M6365" i="12" l="1"/>
  <c r="N6365" i="12" s="1"/>
  <c r="O6363" i="12"/>
  <c r="M6366" i="12" l="1"/>
  <c r="N6366" i="12" s="1"/>
  <c r="O6364" i="12"/>
  <c r="M6367" i="12" l="1"/>
  <c r="N6367" i="12" s="1"/>
  <c r="O6365" i="12"/>
  <c r="M6368" i="12" l="1"/>
  <c r="N6368" i="12" s="1"/>
  <c r="O6366" i="12"/>
  <c r="M6369" i="12" l="1"/>
  <c r="N6369" i="12" s="1"/>
  <c r="O6367" i="12"/>
  <c r="M6370" i="12" l="1"/>
  <c r="N6370" i="12" s="1"/>
  <c r="O6368" i="12"/>
  <c r="M6371" i="12" l="1"/>
  <c r="N6371" i="12" s="1"/>
  <c r="O6369" i="12"/>
  <c r="M6372" i="12" l="1"/>
  <c r="N6372" i="12" s="1"/>
  <c r="O6370" i="12"/>
  <c r="M6373" i="12" l="1"/>
  <c r="N6373" i="12" s="1"/>
  <c r="O6371" i="12"/>
  <c r="M6374" i="12" l="1"/>
  <c r="N6374" i="12" s="1"/>
  <c r="O6372" i="12"/>
  <c r="M6375" i="12" l="1"/>
  <c r="N6375" i="12" s="1"/>
  <c r="O6373" i="12"/>
  <c r="M6376" i="12" l="1"/>
  <c r="N6376" i="12" s="1"/>
  <c r="O6374" i="12"/>
  <c r="M6377" i="12" l="1"/>
  <c r="N6377" i="12" s="1"/>
  <c r="O6375" i="12"/>
  <c r="M6378" i="12" l="1"/>
  <c r="N6378" i="12" s="1"/>
  <c r="O6376" i="12"/>
  <c r="M6379" i="12" l="1"/>
  <c r="N6379" i="12" s="1"/>
  <c r="O6377" i="12"/>
  <c r="M6380" i="12" l="1"/>
  <c r="N6380" i="12" s="1"/>
  <c r="O6378" i="12"/>
  <c r="M6381" i="12" l="1"/>
  <c r="N6381" i="12" s="1"/>
  <c r="O6379" i="12"/>
  <c r="M6382" i="12" l="1"/>
  <c r="N6382" i="12" s="1"/>
  <c r="O6380" i="12"/>
  <c r="M6383" i="12" l="1"/>
  <c r="N6383" i="12" s="1"/>
  <c r="O6381" i="12"/>
  <c r="M6384" i="12" l="1"/>
  <c r="N6384" i="12" s="1"/>
  <c r="O6382" i="12"/>
  <c r="M6385" i="12" l="1"/>
  <c r="N6385" i="12" s="1"/>
  <c r="O6383" i="12"/>
  <c r="M6386" i="12" l="1"/>
  <c r="N6386" i="12" s="1"/>
  <c r="O6384" i="12"/>
  <c r="M6387" i="12" l="1"/>
  <c r="N6387" i="12" s="1"/>
  <c r="O6385" i="12"/>
  <c r="M6388" i="12" l="1"/>
  <c r="N6388" i="12" s="1"/>
  <c r="O6386" i="12"/>
  <c r="M6389" i="12" l="1"/>
  <c r="N6389" i="12" s="1"/>
  <c r="O6387" i="12"/>
  <c r="M6390" i="12" l="1"/>
  <c r="N6390" i="12" s="1"/>
  <c r="O6388" i="12"/>
  <c r="M6391" i="12" l="1"/>
  <c r="N6391" i="12" s="1"/>
  <c r="O6389" i="12"/>
  <c r="M6392" i="12" l="1"/>
  <c r="N6392" i="12" s="1"/>
  <c r="O6390" i="12"/>
  <c r="M6393" i="12" l="1"/>
  <c r="N6393" i="12" s="1"/>
  <c r="O6391" i="12"/>
  <c r="M6394" i="12" l="1"/>
  <c r="N6394" i="12" s="1"/>
  <c r="O6392" i="12"/>
  <c r="M6395" i="12" l="1"/>
  <c r="N6395" i="12" s="1"/>
  <c r="O6393" i="12"/>
  <c r="M6396" i="12" l="1"/>
  <c r="N6396" i="12" s="1"/>
  <c r="O6394" i="12"/>
  <c r="M6397" i="12" l="1"/>
  <c r="N6397" i="12" s="1"/>
  <c r="O6395" i="12"/>
  <c r="M6398" i="12" l="1"/>
  <c r="N6398" i="12" s="1"/>
  <c r="O6396" i="12"/>
  <c r="M6399" i="12" l="1"/>
  <c r="N6399" i="12" s="1"/>
  <c r="O6397" i="12"/>
  <c r="M6400" i="12" l="1"/>
  <c r="N6400" i="12" s="1"/>
  <c r="O6398" i="12"/>
  <c r="M6401" i="12" l="1"/>
  <c r="N6401" i="12" s="1"/>
  <c r="O6399" i="12"/>
  <c r="M6402" i="12" l="1"/>
  <c r="N6402" i="12" s="1"/>
  <c r="O6400" i="12"/>
  <c r="M6403" i="12" l="1"/>
  <c r="N6403" i="12" s="1"/>
  <c r="O6401" i="12"/>
  <c r="M6404" i="12" l="1"/>
  <c r="N6404" i="12" s="1"/>
  <c r="O6402" i="12"/>
  <c r="M6405" i="12" l="1"/>
  <c r="N6405" i="12" s="1"/>
  <c r="O6403" i="12"/>
  <c r="M6406" i="12" l="1"/>
  <c r="N6406" i="12" s="1"/>
  <c r="O6404" i="12"/>
  <c r="M6407" i="12" l="1"/>
  <c r="N6407" i="12" s="1"/>
  <c r="O6405" i="12"/>
  <c r="M6408" i="12" l="1"/>
  <c r="N6408" i="12" s="1"/>
  <c r="O6406" i="12"/>
  <c r="M6409" i="12" l="1"/>
  <c r="N6409" i="12" s="1"/>
  <c r="O6407" i="12"/>
  <c r="M6410" i="12" l="1"/>
  <c r="N6410" i="12" s="1"/>
  <c r="O6408" i="12"/>
  <c r="M6411" i="12" l="1"/>
  <c r="N6411" i="12" s="1"/>
  <c r="O6409" i="12"/>
  <c r="M6412" i="12" l="1"/>
  <c r="N6412" i="12" s="1"/>
  <c r="O6410" i="12"/>
  <c r="M6413" i="12" l="1"/>
  <c r="N6413" i="12" s="1"/>
  <c r="O6411" i="12"/>
  <c r="M6414" i="12" l="1"/>
  <c r="N6414" i="12" s="1"/>
  <c r="O6412" i="12"/>
  <c r="M6415" i="12" l="1"/>
  <c r="N6415" i="12" s="1"/>
  <c r="O6413" i="12"/>
  <c r="M6416" i="12" l="1"/>
  <c r="N6416" i="12" s="1"/>
  <c r="O6414" i="12"/>
  <c r="M6417" i="12" l="1"/>
  <c r="N6417" i="12" s="1"/>
  <c r="O6415" i="12"/>
  <c r="M6418" i="12" l="1"/>
  <c r="N6418" i="12" s="1"/>
  <c r="O6416" i="12"/>
  <c r="M6419" i="12" l="1"/>
  <c r="N6419" i="12" s="1"/>
  <c r="O6417" i="12"/>
  <c r="M6420" i="12" l="1"/>
  <c r="N6420" i="12" s="1"/>
  <c r="O6418" i="12"/>
  <c r="M6421" i="12" l="1"/>
  <c r="N6421" i="12" s="1"/>
  <c r="O6419" i="12"/>
  <c r="M6422" i="12" l="1"/>
  <c r="N6422" i="12" s="1"/>
  <c r="O6420" i="12"/>
  <c r="M6423" i="12" l="1"/>
  <c r="N6423" i="12" s="1"/>
  <c r="O6421" i="12"/>
  <c r="M6424" i="12" l="1"/>
  <c r="N6424" i="12" s="1"/>
  <c r="O6422" i="12"/>
  <c r="M6425" i="12" l="1"/>
  <c r="N6425" i="12" s="1"/>
  <c r="O6423" i="12"/>
  <c r="M6426" i="12" l="1"/>
  <c r="N6426" i="12" s="1"/>
  <c r="O6424" i="12"/>
  <c r="M6427" i="12" l="1"/>
  <c r="N6427" i="12" s="1"/>
  <c r="O6425" i="12"/>
  <c r="M6428" i="12" l="1"/>
  <c r="N6428" i="12" s="1"/>
  <c r="O6426" i="12"/>
  <c r="M6429" i="12" l="1"/>
  <c r="N6429" i="12" s="1"/>
  <c r="O6427" i="12"/>
  <c r="M6430" i="12" l="1"/>
  <c r="N6430" i="12" s="1"/>
  <c r="O6428" i="12"/>
  <c r="M6431" i="12" l="1"/>
  <c r="N6431" i="12" s="1"/>
  <c r="O6429" i="12"/>
  <c r="M6432" i="12" l="1"/>
  <c r="N6432" i="12" s="1"/>
  <c r="O6430" i="12"/>
  <c r="M6433" i="12" l="1"/>
  <c r="N6433" i="12" s="1"/>
  <c r="O6431" i="12"/>
  <c r="M6434" i="12" l="1"/>
  <c r="N6434" i="12" s="1"/>
  <c r="O6432" i="12"/>
  <c r="M6435" i="12" l="1"/>
  <c r="N6435" i="12" s="1"/>
  <c r="O6433" i="12"/>
  <c r="M6436" i="12" l="1"/>
  <c r="N6436" i="12" s="1"/>
  <c r="O6434" i="12"/>
  <c r="M6437" i="12" l="1"/>
  <c r="N6437" i="12" s="1"/>
  <c r="O6435" i="12"/>
  <c r="M6438" i="12" l="1"/>
  <c r="N6438" i="12" s="1"/>
  <c r="O6436" i="12"/>
  <c r="M6439" i="12" l="1"/>
  <c r="N6439" i="12" s="1"/>
  <c r="O6437" i="12"/>
  <c r="M6440" i="12" l="1"/>
  <c r="N6440" i="12" s="1"/>
  <c r="O6438" i="12"/>
  <c r="M6441" i="12" l="1"/>
  <c r="N6441" i="12" s="1"/>
  <c r="O6439" i="12"/>
  <c r="M6442" i="12" l="1"/>
  <c r="N6442" i="12" s="1"/>
  <c r="O6440" i="12"/>
  <c r="M6443" i="12" l="1"/>
  <c r="N6443" i="12" s="1"/>
  <c r="O6441" i="12"/>
  <c r="M6444" i="12" l="1"/>
  <c r="N6444" i="12" s="1"/>
  <c r="O6442" i="12"/>
  <c r="M6445" i="12" l="1"/>
  <c r="N6445" i="12" s="1"/>
  <c r="O6443" i="12"/>
  <c r="M6446" i="12" l="1"/>
  <c r="N6446" i="12" s="1"/>
  <c r="O6444" i="12"/>
  <c r="M6447" i="12" l="1"/>
  <c r="N6447" i="12" s="1"/>
  <c r="O6445" i="12"/>
  <c r="M6448" i="12" l="1"/>
  <c r="N6448" i="12" s="1"/>
  <c r="O6446" i="12"/>
  <c r="M6449" i="12" l="1"/>
  <c r="N6449" i="12" s="1"/>
  <c r="O6447" i="12"/>
  <c r="M6450" i="12" l="1"/>
  <c r="N6450" i="12" s="1"/>
  <c r="O6448" i="12"/>
  <c r="M6451" i="12" l="1"/>
  <c r="N6451" i="12" s="1"/>
  <c r="O6449" i="12"/>
  <c r="M6452" i="12" l="1"/>
  <c r="N6452" i="12" s="1"/>
  <c r="O6450" i="12"/>
  <c r="M6453" i="12" l="1"/>
  <c r="N6453" i="12" s="1"/>
  <c r="O6451" i="12"/>
  <c r="M6454" i="12" l="1"/>
  <c r="N6454" i="12" s="1"/>
  <c r="O6452" i="12"/>
  <c r="M6455" i="12" l="1"/>
  <c r="N6455" i="12" s="1"/>
  <c r="O6453" i="12"/>
  <c r="M6456" i="12" l="1"/>
  <c r="N6456" i="12" s="1"/>
  <c r="O6454" i="12"/>
  <c r="M6457" i="12" l="1"/>
  <c r="N6457" i="12" s="1"/>
  <c r="O6455" i="12"/>
  <c r="M6458" i="12" l="1"/>
  <c r="N6458" i="12" s="1"/>
  <c r="O6456" i="12"/>
  <c r="M6459" i="12" l="1"/>
  <c r="N6459" i="12" s="1"/>
  <c r="O6457" i="12"/>
  <c r="M6460" i="12" l="1"/>
  <c r="N6460" i="12" s="1"/>
  <c r="O6458" i="12"/>
  <c r="M6461" i="12" l="1"/>
  <c r="N6461" i="12" s="1"/>
  <c r="O6459" i="12"/>
  <c r="M6462" i="12" l="1"/>
  <c r="N6462" i="12" s="1"/>
  <c r="O6460" i="12"/>
  <c r="M6463" i="12" l="1"/>
  <c r="N6463" i="12" s="1"/>
  <c r="O6461" i="12"/>
  <c r="M6464" i="12" l="1"/>
  <c r="N6464" i="12" s="1"/>
  <c r="O6462" i="12"/>
  <c r="M6465" i="12" l="1"/>
  <c r="N6465" i="12" s="1"/>
  <c r="O6463" i="12"/>
  <c r="M6466" i="12" l="1"/>
  <c r="N6466" i="12" s="1"/>
  <c r="O6464" i="12"/>
  <c r="M6467" i="12" l="1"/>
  <c r="N6467" i="12" s="1"/>
  <c r="O6465" i="12"/>
  <c r="M6468" i="12" l="1"/>
  <c r="N6468" i="12" s="1"/>
  <c r="O6466" i="12"/>
  <c r="M6469" i="12" l="1"/>
  <c r="N6469" i="12" s="1"/>
  <c r="O6467" i="12"/>
  <c r="M6470" i="12" l="1"/>
  <c r="N6470" i="12" s="1"/>
  <c r="O6468" i="12"/>
  <c r="M6471" i="12" l="1"/>
  <c r="N6471" i="12" s="1"/>
  <c r="O6469" i="12"/>
  <c r="M6472" i="12" l="1"/>
  <c r="N6472" i="12" s="1"/>
  <c r="O6470" i="12"/>
  <c r="M6473" i="12" l="1"/>
  <c r="N6473" i="12" s="1"/>
  <c r="O6471" i="12"/>
  <c r="M6474" i="12" l="1"/>
  <c r="N6474" i="12" s="1"/>
  <c r="O6472" i="12"/>
  <c r="M6475" i="12" l="1"/>
  <c r="N6475" i="12" s="1"/>
  <c r="O6473" i="12"/>
  <c r="M6476" i="12" l="1"/>
  <c r="N6476" i="12" s="1"/>
  <c r="O6474" i="12"/>
  <c r="M6477" i="12" l="1"/>
  <c r="N6477" i="12" s="1"/>
  <c r="O6475" i="12"/>
  <c r="M6478" i="12" l="1"/>
  <c r="N6478" i="12" s="1"/>
  <c r="O6476" i="12"/>
  <c r="M6479" i="12" l="1"/>
  <c r="N6479" i="12" s="1"/>
  <c r="O6477" i="12"/>
  <c r="M6480" i="12" l="1"/>
  <c r="N6480" i="12" s="1"/>
  <c r="O6478" i="12"/>
  <c r="M6481" i="12" l="1"/>
  <c r="N6481" i="12" s="1"/>
  <c r="O6479" i="12"/>
  <c r="M6482" i="12" l="1"/>
  <c r="N6482" i="12" s="1"/>
  <c r="O6480" i="12"/>
  <c r="M6483" i="12" l="1"/>
  <c r="N6483" i="12" s="1"/>
  <c r="O6481" i="12"/>
  <c r="M6484" i="12" l="1"/>
  <c r="N6484" i="12" s="1"/>
  <c r="O6482" i="12"/>
  <c r="M6485" i="12" l="1"/>
  <c r="N6485" i="12" s="1"/>
  <c r="O6483" i="12"/>
  <c r="M6486" i="12" l="1"/>
  <c r="N6486" i="12" s="1"/>
  <c r="O6484" i="12"/>
  <c r="M6487" i="12" l="1"/>
  <c r="N6487" i="12" s="1"/>
  <c r="O6485" i="12"/>
  <c r="M6488" i="12" l="1"/>
  <c r="N6488" i="12" s="1"/>
  <c r="O6486" i="12"/>
  <c r="M6489" i="12" l="1"/>
  <c r="N6489" i="12" s="1"/>
  <c r="O6487" i="12"/>
  <c r="M6490" i="12" l="1"/>
  <c r="N6490" i="12" s="1"/>
  <c r="O6488" i="12"/>
  <c r="M6491" i="12" l="1"/>
  <c r="N6491" i="12" s="1"/>
  <c r="O6489" i="12"/>
  <c r="M6492" i="12" l="1"/>
  <c r="N6492" i="12" s="1"/>
  <c r="O6490" i="12"/>
  <c r="M6493" i="12" l="1"/>
  <c r="N6493" i="12" s="1"/>
  <c r="O6491" i="12"/>
  <c r="M6494" i="12" l="1"/>
  <c r="N6494" i="12" s="1"/>
  <c r="O6492" i="12"/>
  <c r="M6495" i="12" l="1"/>
  <c r="N6495" i="12" s="1"/>
  <c r="O6493" i="12"/>
  <c r="M6496" i="12" l="1"/>
  <c r="N6496" i="12" s="1"/>
  <c r="O6494" i="12"/>
  <c r="M6497" i="12" l="1"/>
  <c r="N6497" i="12" s="1"/>
  <c r="O6495" i="12"/>
  <c r="M6498" i="12" l="1"/>
  <c r="N6498" i="12" s="1"/>
  <c r="O6496" i="12"/>
  <c r="M6499" i="12" l="1"/>
  <c r="N6499" i="12" s="1"/>
  <c r="O6497" i="12"/>
  <c r="M6500" i="12" l="1"/>
  <c r="N6500" i="12" s="1"/>
  <c r="O6498" i="12"/>
  <c r="M6501" i="12" l="1"/>
  <c r="N6501" i="12" s="1"/>
  <c r="O6499" i="12"/>
  <c r="M6502" i="12" l="1"/>
  <c r="N6502" i="12" s="1"/>
  <c r="O6500" i="12"/>
  <c r="M6503" i="12" l="1"/>
  <c r="N6503" i="12" s="1"/>
  <c r="O6501" i="12"/>
  <c r="M6504" i="12" l="1"/>
  <c r="N6504" i="12" s="1"/>
  <c r="O6502" i="12"/>
  <c r="M6505" i="12" l="1"/>
  <c r="N6505" i="12" s="1"/>
  <c r="O6503" i="12"/>
  <c r="M6506" i="12" l="1"/>
  <c r="N6506" i="12" s="1"/>
  <c r="O6504" i="12"/>
  <c r="M6507" i="12" l="1"/>
  <c r="N6507" i="12" s="1"/>
  <c r="O6505" i="12"/>
  <c r="M6508" i="12" l="1"/>
  <c r="N6508" i="12" s="1"/>
  <c r="O6506" i="12"/>
  <c r="M6509" i="12" l="1"/>
  <c r="N6509" i="12" s="1"/>
  <c r="O6507" i="12"/>
  <c r="M6510" i="12" l="1"/>
  <c r="N6510" i="12" s="1"/>
  <c r="O6508" i="12"/>
  <c r="M6511" i="12" l="1"/>
  <c r="N6511" i="12" s="1"/>
  <c r="O6509" i="12"/>
  <c r="M6512" i="12" l="1"/>
  <c r="N6512" i="12" s="1"/>
  <c r="O6510" i="12"/>
  <c r="M6513" i="12" l="1"/>
  <c r="N6513" i="12" s="1"/>
  <c r="O6511" i="12"/>
  <c r="M6514" i="12" l="1"/>
  <c r="N6514" i="12" s="1"/>
  <c r="O6512" i="12"/>
  <c r="M6515" i="12" l="1"/>
  <c r="N6515" i="12" s="1"/>
  <c r="O6513" i="12"/>
  <c r="M6516" i="12" l="1"/>
  <c r="N6516" i="12" s="1"/>
  <c r="O6514" i="12"/>
  <c r="M6517" i="12" l="1"/>
  <c r="N6517" i="12" s="1"/>
  <c r="O6515" i="12"/>
  <c r="M6518" i="12" l="1"/>
  <c r="N6518" i="12" s="1"/>
  <c r="O6516" i="12"/>
  <c r="M6519" i="12" l="1"/>
  <c r="N6519" i="12" s="1"/>
  <c r="O6517" i="12"/>
  <c r="M6520" i="12" l="1"/>
  <c r="N6520" i="12" s="1"/>
  <c r="O6518" i="12"/>
  <c r="M6521" i="12" l="1"/>
  <c r="N6521" i="12" s="1"/>
  <c r="O6519" i="12"/>
  <c r="M6522" i="12" l="1"/>
  <c r="N6522" i="12" s="1"/>
  <c r="O6520" i="12"/>
  <c r="M6523" i="12" l="1"/>
  <c r="N6523" i="12" s="1"/>
  <c r="O6521" i="12"/>
  <c r="M6524" i="12" l="1"/>
  <c r="N6524" i="12" s="1"/>
  <c r="O6522" i="12"/>
  <c r="M6525" i="12" l="1"/>
  <c r="N6525" i="12" s="1"/>
  <c r="O6523" i="12"/>
  <c r="M6526" i="12" l="1"/>
  <c r="N6526" i="12" s="1"/>
  <c r="O6524" i="12"/>
  <c r="M6527" i="12" l="1"/>
  <c r="N6527" i="12" s="1"/>
  <c r="O6525" i="12"/>
  <c r="M6528" i="12" l="1"/>
  <c r="N6528" i="12" s="1"/>
  <c r="O6526" i="12"/>
  <c r="M6529" i="12" l="1"/>
  <c r="N6529" i="12" s="1"/>
  <c r="O6527" i="12"/>
  <c r="M6530" i="12" l="1"/>
  <c r="N6530" i="12" s="1"/>
  <c r="O6528" i="12"/>
  <c r="M6531" i="12" l="1"/>
  <c r="N6531" i="12" s="1"/>
  <c r="O6529" i="12"/>
  <c r="M6532" i="12" l="1"/>
  <c r="N6532" i="12" s="1"/>
  <c r="O6530" i="12"/>
  <c r="M6533" i="12" l="1"/>
  <c r="N6533" i="12" s="1"/>
  <c r="O6531" i="12"/>
  <c r="M6534" i="12" l="1"/>
  <c r="N6534" i="12" s="1"/>
  <c r="O6532" i="12"/>
  <c r="M6535" i="12" l="1"/>
  <c r="N6535" i="12" s="1"/>
  <c r="O6533" i="12"/>
  <c r="M6536" i="12" l="1"/>
  <c r="N6536" i="12" s="1"/>
  <c r="O6534" i="12"/>
  <c r="M6537" i="12" l="1"/>
  <c r="N6537" i="12" s="1"/>
  <c r="O6535" i="12"/>
  <c r="M6538" i="12" l="1"/>
  <c r="N6538" i="12" s="1"/>
  <c r="O6536" i="12"/>
  <c r="M6539" i="12" l="1"/>
  <c r="N6539" i="12" s="1"/>
  <c r="O6537" i="12"/>
  <c r="M6540" i="12" l="1"/>
  <c r="N6540" i="12" s="1"/>
  <c r="O6538" i="12"/>
  <c r="M6541" i="12" l="1"/>
  <c r="N6541" i="12" s="1"/>
  <c r="O6539" i="12"/>
  <c r="M6542" i="12" l="1"/>
  <c r="N6542" i="12" s="1"/>
  <c r="O6540" i="12"/>
  <c r="M6543" i="12" l="1"/>
  <c r="N6543" i="12" s="1"/>
  <c r="O6541" i="12"/>
  <c r="M6544" i="12" l="1"/>
  <c r="N6544" i="12" s="1"/>
  <c r="O6542" i="12"/>
  <c r="M6545" i="12" l="1"/>
  <c r="N6545" i="12" s="1"/>
  <c r="O6543" i="12"/>
  <c r="M6546" i="12" l="1"/>
  <c r="N6546" i="12" s="1"/>
  <c r="O6544" i="12"/>
  <c r="M6547" i="12" l="1"/>
  <c r="N6547" i="12" s="1"/>
  <c r="O6545" i="12"/>
  <c r="M6548" i="12" l="1"/>
  <c r="N6548" i="12" s="1"/>
  <c r="O6546" i="12"/>
  <c r="M6549" i="12" l="1"/>
  <c r="N6549" i="12" s="1"/>
  <c r="O6547" i="12"/>
  <c r="M6550" i="12" l="1"/>
  <c r="N6550" i="12" s="1"/>
  <c r="O6548" i="12"/>
  <c r="M6551" i="12" l="1"/>
  <c r="N6551" i="12" s="1"/>
  <c r="O6549" i="12"/>
  <c r="M6552" i="12" l="1"/>
  <c r="N6552" i="12" s="1"/>
  <c r="O6550" i="12"/>
  <c r="M6553" i="12" l="1"/>
  <c r="N6553" i="12" s="1"/>
  <c r="O6551" i="12"/>
  <c r="M6554" i="12" l="1"/>
  <c r="N6554" i="12" s="1"/>
  <c r="O6552" i="12"/>
  <c r="M6555" i="12" l="1"/>
  <c r="N6555" i="12" s="1"/>
  <c r="O6553" i="12"/>
  <c r="M6556" i="12" l="1"/>
  <c r="N6556" i="12" s="1"/>
  <c r="O6554" i="12"/>
  <c r="M6557" i="12" l="1"/>
  <c r="N6557" i="12" s="1"/>
  <c r="O6555" i="12"/>
  <c r="M6558" i="12" l="1"/>
  <c r="N6558" i="12" s="1"/>
  <c r="O6556" i="12"/>
  <c r="M6559" i="12" l="1"/>
  <c r="N6559" i="12" s="1"/>
  <c r="O6557" i="12"/>
  <c r="M6560" i="12" l="1"/>
  <c r="N6560" i="12" s="1"/>
  <c r="O6558" i="12"/>
  <c r="M6561" i="12" l="1"/>
  <c r="N6561" i="12" s="1"/>
  <c r="O6559" i="12"/>
  <c r="M6562" i="12" l="1"/>
  <c r="N6562" i="12" s="1"/>
  <c r="O6560" i="12"/>
  <c r="M6563" i="12" l="1"/>
  <c r="N6563" i="12" s="1"/>
  <c r="O6561" i="12"/>
  <c r="M6564" i="12" l="1"/>
  <c r="N6564" i="12" s="1"/>
  <c r="O6562" i="12"/>
  <c r="M6565" i="12" l="1"/>
  <c r="N6565" i="12" s="1"/>
  <c r="O6563" i="12"/>
  <c r="M6566" i="12" l="1"/>
  <c r="N6566" i="12" s="1"/>
  <c r="O6564" i="12"/>
  <c r="M6567" i="12" l="1"/>
  <c r="N6567" i="12" s="1"/>
  <c r="O6565" i="12"/>
  <c r="M6568" i="12" l="1"/>
  <c r="N6568" i="12" s="1"/>
  <c r="O6566" i="12"/>
  <c r="M6569" i="12" l="1"/>
  <c r="N6569" i="12" s="1"/>
  <c r="O6567" i="12"/>
  <c r="M6570" i="12" l="1"/>
  <c r="N6570" i="12" s="1"/>
  <c r="O6568" i="12"/>
  <c r="M6571" i="12" l="1"/>
  <c r="N6571" i="12" s="1"/>
  <c r="O6569" i="12"/>
  <c r="M6572" i="12" l="1"/>
  <c r="N6572" i="12" s="1"/>
  <c r="O6570" i="12"/>
  <c r="M6573" i="12" l="1"/>
  <c r="N6573" i="12" s="1"/>
  <c r="O6571" i="12"/>
  <c r="M6574" i="12" l="1"/>
  <c r="N6574" i="12" s="1"/>
  <c r="O6572" i="12"/>
  <c r="M6575" i="12" l="1"/>
  <c r="N6575" i="12" s="1"/>
  <c r="O6573" i="12"/>
  <c r="M6576" i="12" l="1"/>
  <c r="N6576" i="12" s="1"/>
  <c r="O6574" i="12"/>
  <c r="M6577" i="12" l="1"/>
  <c r="N6577" i="12" s="1"/>
  <c r="O6575" i="12"/>
  <c r="M6578" i="12" l="1"/>
  <c r="N6578" i="12" s="1"/>
  <c r="O6576" i="12"/>
  <c r="M6579" i="12" l="1"/>
  <c r="N6579" i="12" s="1"/>
  <c r="O6577" i="12"/>
  <c r="M6580" i="12" l="1"/>
  <c r="N6580" i="12" s="1"/>
  <c r="O6578" i="12"/>
  <c r="M6581" i="12" l="1"/>
  <c r="N6581" i="12" s="1"/>
  <c r="O6579" i="12"/>
  <c r="M6582" i="12" l="1"/>
  <c r="N6582" i="12" s="1"/>
  <c r="O6580" i="12"/>
  <c r="M6583" i="12" l="1"/>
  <c r="N6583" i="12" s="1"/>
  <c r="O6581" i="12"/>
  <c r="M6584" i="12" l="1"/>
  <c r="N6584" i="12" s="1"/>
  <c r="O6582" i="12"/>
  <c r="M6585" i="12" l="1"/>
  <c r="N6585" i="12" s="1"/>
  <c r="O6583" i="12"/>
  <c r="M6586" i="12" l="1"/>
  <c r="N6586" i="12" s="1"/>
  <c r="O6584" i="12"/>
  <c r="M6587" i="12" l="1"/>
  <c r="N6587" i="12" s="1"/>
  <c r="O6585" i="12"/>
  <c r="M6588" i="12" l="1"/>
  <c r="N6588" i="12" s="1"/>
  <c r="O6586" i="12"/>
  <c r="M6589" i="12" l="1"/>
  <c r="N6589" i="12" s="1"/>
  <c r="O6587" i="12"/>
  <c r="M6590" i="12" l="1"/>
  <c r="N6590" i="12" s="1"/>
  <c r="O6588" i="12"/>
  <c r="M6591" i="12" l="1"/>
  <c r="N6591" i="12" s="1"/>
  <c r="O6589" i="12"/>
  <c r="M6592" i="12" l="1"/>
  <c r="N6592" i="12" s="1"/>
  <c r="O6590" i="12"/>
  <c r="M6593" i="12" l="1"/>
  <c r="N6593" i="12" s="1"/>
  <c r="O6591" i="12"/>
  <c r="M6594" i="12" l="1"/>
  <c r="N6594" i="12" s="1"/>
  <c r="O6592" i="12"/>
  <c r="M6595" i="12" l="1"/>
  <c r="N6595" i="12" s="1"/>
  <c r="O6593" i="12"/>
  <c r="M6596" i="12" l="1"/>
  <c r="N6596" i="12" s="1"/>
  <c r="O6594" i="12"/>
  <c r="M6597" i="12" l="1"/>
  <c r="N6597" i="12" s="1"/>
  <c r="O6595" i="12"/>
  <c r="M6598" i="12" l="1"/>
  <c r="N6598" i="12" s="1"/>
  <c r="O6596" i="12"/>
  <c r="M6599" i="12" l="1"/>
  <c r="N6599" i="12" s="1"/>
  <c r="O6597" i="12"/>
  <c r="M6600" i="12" l="1"/>
  <c r="N6600" i="12" s="1"/>
  <c r="O6598" i="12"/>
  <c r="M6601" i="12" l="1"/>
  <c r="N6601" i="12" s="1"/>
  <c r="O6599" i="12"/>
  <c r="M6602" i="12" l="1"/>
  <c r="N6602" i="12" s="1"/>
  <c r="O6600" i="12"/>
  <c r="M6603" i="12" l="1"/>
  <c r="N6603" i="12" s="1"/>
  <c r="O6601" i="12"/>
  <c r="M6604" i="12" l="1"/>
  <c r="N6604" i="12" s="1"/>
  <c r="O6602" i="12"/>
  <c r="M6605" i="12" l="1"/>
  <c r="N6605" i="12" s="1"/>
  <c r="O6603" i="12"/>
  <c r="M6606" i="12" l="1"/>
  <c r="N6606" i="12" s="1"/>
  <c r="O6604" i="12"/>
  <c r="M6607" i="12" l="1"/>
  <c r="N6607" i="12" s="1"/>
  <c r="O6605" i="12"/>
  <c r="M6608" i="12" l="1"/>
  <c r="N6608" i="12" s="1"/>
  <c r="O6606" i="12"/>
  <c r="M6609" i="12" l="1"/>
  <c r="N6609" i="12" s="1"/>
  <c r="O6607" i="12"/>
  <c r="M6610" i="12" l="1"/>
  <c r="N6610" i="12" s="1"/>
  <c r="O6608" i="12"/>
  <c r="M6611" i="12" l="1"/>
  <c r="N6611" i="12" s="1"/>
  <c r="O6609" i="12"/>
  <c r="M6612" i="12" l="1"/>
  <c r="N6612" i="12" s="1"/>
  <c r="O6610" i="12"/>
  <c r="M6613" i="12" l="1"/>
  <c r="N6613" i="12" s="1"/>
  <c r="O6611" i="12"/>
  <c r="M6614" i="12" l="1"/>
  <c r="N6614" i="12" s="1"/>
  <c r="O6612" i="12"/>
  <c r="M6615" i="12" l="1"/>
  <c r="N6615" i="12" s="1"/>
  <c r="O6613" i="12"/>
  <c r="M6616" i="12" l="1"/>
  <c r="N6616" i="12" s="1"/>
  <c r="O6614" i="12"/>
  <c r="M6617" i="12" l="1"/>
  <c r="N6617" i="12" s="1"/>
  <c r="O6615" i="12"/>
  <c r="M6618" i="12" l="1"/>
  <c r="N6618" i="12" s="1"/>
  <c r="O6616" i="12"/>
  <c r="M6619" i="12" l="1"/>
  <c r="N6619" i="12" s="1"/>
  <c r="O6617" i="12"/>
  <c r="M6620" i="12" l="1"/>
  <c r="N6620" i="12" s="1"/>
  <c r="O6618" i="12"/>
  <c r="M6621" i="12" l="1"/>
  <c r="N6621" i="12" s="1"/>
  <c r="O6619" i="12"/>
  <c r="M6622" i="12" l="1"/>
  <c r="N6622" i="12" s="1"/>
  <c r="O6620" i="12"/>
  <c r="M6623" i="12" l="1"/>
  <c r="N6623" i="12" s="1"/>
  <c r="O6621" i="12"/>
  <c r="M6624" i="12" l="1"/>
  <c r="N6624" i="12" s="1"/>
  <c r="O6622" i="12"/>
  <c r="M6625" i="12" l="1"/>
  <c r="N6625" i="12" s="1"/>
  <c r="O6623" i="12"/>
  <c r="M6626" i="12" l="1"/>
  <c r="N6626" i="12" s="1"/>
  <c r="O6624" i="12"/>
  <c r="M6627" i="12" l="1"/>
  <c r="N6627" i="12" s="1"/>
  <c r="O6625" i="12"/>
  <c r="M6628" i="12" l="1"/>
  <c r="N6628" i="12" s="1"/>
  <c r="O6626" i="12"/>
  <c r="M6629" i="12" l="1"/>
  <c r="N6629" i="12" s="1"/>
  <c r="O6627" i="12"/>
  <c r="M6630" i="12" l="1"/>
  <c r="N6630" i="12" s="1"/>
  <c r="O6628" i="12"/>
  <c r="M6631" i="12" l="1"/>
  <c r="N6631" i="12" s="1"/>
  <c r="O6629" i="12"/>
  <c r="M6632" i="12" l="1"/>
  <c r="N6632" i="12" s="1"/>
  <c r="O6630" i="12"/>
  <c r="M6633" i="12" l="1"/>
  <c r="N6633" i="12" s="1"/>
  <c r="O6631" i="12"/>
  <c r="M6634" i="12" l="1"/>
  <c r="N6634" i="12" s="1"/>
  <c r="O6632" i="12"/>
  <c r="M6635" i="12" l="1"/>
  <c r="N6635" i="12" s="1"/>
  <c r="O6633" i="12"/>
  <c r="M6636" i="12" l="1"/>
  <c r="N6636" i="12" s="1"/>
  <c r="O6634" i="12"/>
  <c r="M6637" i="12" l="1"/>
  <c r="N6637" i="12" s="1"/>
  <c r="O6635" i="12"/>
  <c r="M6638" i="12" l="1"/>
  <c r="N6638" i="12" s="1"/>
  <c r="O6636" i="12"/>
  <c r="M6639" i="12" l="1"/>
  <c r="N6639" i="12" s="1"/>
  <c r="O6637" i="12"/>
  <c r="M6640" i="12" l="1"/>
  <c r="N6640" i="12" s="1"/>
  <c r="O6638" i="12"/>
  <c r="M6641" i="12" l="1"/>
  <c r="N6641" i="12" s="1"/>
  <c r="O6639" i="12"/>
  <c r="M6642" i="12" l="1"/>
  <c r="N6642" i="12" s="1"/>
  <c r="O6640" i="12"/>
  <c r="M6643" i="12" l="1"/>
  <c r="N6643" i="12" s="1"/>
  <c r="O6641" i="12"/>
  <c r="M6644" i="12" l="1"/>
  <c r="N6644" i="12" s="1"/>
  <c r="O6642" i="12"/>
  <c r="M6645" i="12" l="1"/>
  <c r="N6645" i="12" s="1"/>
  <c r="O6643" i="12"/>
  <c r="M6646" i="12" l="1"/>
  <c r="N6646" i="12" s="1"/>
  <c r="O6644" i="12"/>
  <c r="M6647" i="12" l="1"/>
  <c r="N6647" i="12" s="1"/>
  <c r="O6645" i="12"/>
  <c r="M6648" i="12" l="1"/>
  <c r="N6648" i="12" s="1"/>
  <c r="O6646" i="12"/>
  <c r="M6649" i="12" l="1"/>
  <c r="N6649" i="12" s="1"/>
  <c r="O6647" i="12"/>
  <c r="M6650" i="12" l="1"/>
  <c r="N6650" i="12" s="1"/>
  <c r="O6648" i="12"/>
  <c r="M6651" i="12" l="1"/>
  <c r="N6651" i="12" s="1"/>
  <c r="O6649" i="12"/>
  <c r="M6652" i="12" l="1"/>
  <c r="N6652" i="12" s="1"/>
  <c r="O6650" i="12"/>
  <c r="M6653" i="12" l="1"/>
  <c r="N6653" i="12" s="1"/>
  <c r="O6651" i="12"/>
  <c r="M6654" i="12" l="1"/>
  <c r="N6654" i="12" s="1"/>
  <c r="O6652" i="12"/>
  <c r="M6655" i="12" l="1"/>
  <c r="N6655" i="12" s="1"/>
  <c r="O6653" i="12"/>
  <c r="M6656" i="12" l="1"/>
  <c r="N6656" i="12" s="1"/>
  <c r="O6654" i="12"/>
  <c r="M6657" i="12" l="1"/>
  <c r="N6657" i="12" s="1"/>
  <c r="O6655" i="12"/>
  <c r="M6658" i="12" l="1"/>
  <c r="N6658" i="12" s="1"/>
  <c r="O6656" i="12"/>
  <c r="M6659" i="12" l="1"/>
  <c r="N6659" i="12" s="1"/>
  <c r="O6657" i="12"/>
  <c r="M6660" i="12" l="1"/>
  <c r="N6660" i="12" s="1"/>
  <c r="O6658" i="12"/>
  <c r="M6661" i="12" l="1"/>
  <c r="N6661" i="12" s="1"/>
  <c r="O6659" i="12"/>
  <c r="M6662" i="12" l="1"/>
  <c r="N6662" i="12" s="1"/>
  <c r="O6660" i="12"/>
  <c r="M6663" i="12" l="1"/>
  <c r="N6663" i="12" s="1"/>
  <c r="O6661" i="12"/>
  <c r="M6664" i="12" l="1"/>
  <c r="N6664" i="12" s="1"/>
  <c r="O6662" i="12"/>
  <c r="M6665" i="12" l="1"/>
  <c r="N6665" i="12" s="1"/>
  <c r="O6663" i="12"/>
  <c r="M6666" i="12" l="1"/>
  <c r="N6666" i="12" s="1"/>
  <c r="O6664" i="12"/>
  <c r="M6667" i="12" l="1"/>
  <c r="N6667" i="12" s="1"/>
  <c r="O6665" i="12"/>
  <c r="M6668" i="12" l="1"/>
  <c r="N6668" i="12" s="1"/>
  <c r="O6666" i="12"/>
  <c r="M6669" i="12" l="1"/>
  <c r="N6669" i="12" s="1"/>
  <c r="O6667" i="12"/>
  <c r="M6670" i="12" l="1"/>
  <c r="N6670" i="12" s="1"/>
  <c r="O6668" i="12"/>
  <c r="M6671" i="12" l="1"/>
  <c r="N6671" i="12" s="1"/>
  <c r="O6669" i="12"/>
  <c r="M6672" i="12" l="1"/>
  <c r="N6672" i="12" s="1"/>
  <c r="O6670" i="12"/>
  <c r="M6673" i="12" l="1"/>
  <c r="N6673" i="12" s="1"/>
  <c r="O6671" i="12"/>
  <c r="M6674" i="12" l="1"/>
  <c r="N6674" i="12" s="1"/>
  <c r="O6672" i="12"/>
  <c r="M6675" i="12" l="1"/>
  <c r="N6675" i="12" s="1"/>
  <c r="O6673" i="12"/>
  <c r="M6676" i="12" l="1"/>
  <c r="N6676" i="12" s="1"/>
  <c r="O6674" i="12"/>
  <c r="M6677" i="12" l="1"/>
  <c r="N6677" i="12" s="1"/>
  <c r="O6675" i="12"/>
  <c r="M6678" i="12" l="1"/>
  <c r="N6678" i="12" s="1"/>
  <c r="O6676" i="12"/>
  <c r="M6679" i="12" l="1"/>
  <c r="N6679" i="12" s="1"/>
  <c r="O6677" i="12"/>
  <c r="M6680" i="12" l="1"/>
  <c r="N6680" i="12" s="1"/>
  <c r="O6678" i="12"/>
  <c r="M6681" i="12" l="1"/>
  <c r="N6681" i="12" s="1"/>
  <c r="O6679" i="12"/>
  <c r="M6682" i="12" l="1"/>
  <c r="N6682" i="12" s="1"/>
  <c r="O6680" i="12"/>
  <c r="M6683" i="12" l="1"/>
  <c r="N6683" i="12" s="1"/>
  <c r="O6681" i="12"/>
  <c r="M6684" i="12" l="1"/>
  <c r="N6684" i="12" s="1"/>
  <c r="O6682" i="12"/>
  <c r="M6685" i="12" l="1"/>
  <c r="N6685" i="12" s="1"/>
  <c r="O6683" i="12"/>
  <c r="M6686" i="12" l="1"/>
  <c r="N6686" i="12" s="1"/>
  <c r="O6684" i="12"/>
  <c r="M6687" i="12" l="1"/>
  <c r="N6687" i="12" s="1"/>
  <c r="O6685" i="12"/>
  <c r="M6688" i="12" l="1"/>
  <c r="N6688" i="12" s="1"/>
  <c r="O6686" i="12"/>
  <c r="M6689" i="12" l="1"/>
  <c r="N6689" i="12" s="1"/>
  <c r="O6687" i="12"/>
  <c r="M6690" i="12" l="1"/>
  <c r="N6690" i="12" s="1"/>
  <c r="O6688" i="12"/>
  <c r="M6691" i="12" l="1"/>
  <c r="N6691" i="12" s="1"/>
  <c r="O6689" i="12"/>
  <c r="M6692" i="12" l="1"/>
  <c r="N6692" i="12" s="1"/>
  <c r="O6690" i="12"/>
  <c r="M6693" i="12" l="1"/>
  <c r="N6693" i="12" s="1"/>
  <c r="O6691" i="12"/>
  <c r="M6694" i="12" l="1"/>
  <c r="N6694" i="12" s="1"/>
  <c r="O6692" i="12"/>
  <c r="M6695" i="12" l="1"/>
  <c r="N6695" i="12" s="1"/>
  <c r="O6693" i="12"/>
  <c r="M6696" i="12" l="1"/>
  <c r="N6696" i="12" s="1"/>
  <c r="O6694" i="12"/>
  <c r="M6697" i="12" l="1"/>
  <c r="N6697" i="12" s="1"/>
  <c r="O6695" i="12"/>
  <c r="M6698" i="12" l="1"/>
  <c r="N6698" i="12" s="1"/>
  <c r="O6696" i="12"/>
  <c r="M6699" i="12" l="1"/>
  <c r="N6699" i="12" s="1"/>
  <c r="O6697" i="12"/>
  <c r="M6700" i="12" l="1"/>
  <c r="N6700" i="12" s="1"/>
  <c r="O6698" i="12"/>
  <c r="M6701" i="12" l="1"/>
  <c r="N6701" i="12" s="1"/>
  <c r="O6699" i="12"/>
  <c r="M6702" i="12" l="1"/>
  <c r="N6702" i="12" s="1"/>
  <c r="O6700" i="12"/>
  <c r="M6703" i="12" l="1"/>
  <c r="N6703" i="12" s="1"/>
  <c r="O6701" i="12"/>
  <c r="M6704" i="12" l="1"/>
  <c r="N6704" i="12" s="1"/>
  <c r="O6702" i="12"/>
  <c r="M6705" i="12" l="1"/>
  <c r="N6705" i="12" s="1"/>
  <c r="O6703" i="12"/>
  <c r="M6706" i="12" l="1"/>
  <c r="N6706" i="12" s="1"/>
  <c r="O6704" i="12"/>
  <c r="M6707" i="12" l="1"/>
  <c r="N6707" i="12" s="1"/>
  <c r="O6705" i="12"/>
  <c r="M6708" i="12" l="1"/>
  <c r="N6708" i="12" s="1"/>
  <c r="O6706" i="12"/>
  <c r="M6709" i="12" l="1"/>
  <c r="N6709" i="12" s="1"/>
  <c r="O6707" i="12"/>
  <c r="M6710" i="12" l="1"/>
  <c r="N6710" i="12" s="1"/>
  <c r="O6708" i="12"/>
  <c r="M6711" i="12" l="1"/>
  <c r="N6711" i="12" s="1"/>
  <c r="O6709" i="12"/>
  <c r="M6712" i="12" l="1"/>
  <c r="N6712" i="12" s="1"/>
  <c r="O6710" i="12"/>
  <c r="M6713" i="12" l="1"/>
  <c r="N6713" i="12" s="1"/>
  <c r="O6711" i="12"/>
  <c r="M6714" i="12" l="1"/>
  <c r="N6714" i="12" s="1"/>
  <c r="O6712" i="12"/>
  <c r="M6715" i="12" l="1"/>
  <c r="N6715" i="12" s="1"/>
  <c r="O6713" i="12"/>
  <c r="M6716" i="12" l="1"/>
  <c r="N6716" i="12" s="1"/>
  <c r="O6714" i="12"/>
  <c r="M6717" i="12" l="1"/>
  <c r="N6717" i="12" s="1"/>
  <c r="O6715" i="12"/>
  <c r="M6718" i="12" l="1"/>
  <c r="N6718" i="12" s="1"/>
  <c r="O6716" i="12"/>
  <c r="M6719" i="12" l="1"/>
  <c r="N6719" i="12" s="1"/>
  <c r="O6717" i="12"/>
  <c r="M6720" i="12" l="1"/>
  <c r="N6720" i="12" s="1"/>
  <c r="O6718" i="12"/>
  <c r="M6721" i="12" l="1"/>
  <c r="N6721" i="12" s="1"/>
  <c r="O6719" i="12"/>
  <c r="M6722" i="12" l="1"/>
  <c r="N6722" i="12" s="1"/>
  <c r="O6720" i="12"/>
  <c r="M6723" i="12" l="1"/>
  <c r="N6723" i="12" s="1"/>
  <c r="O6721" i="12"/>
  <c r="M6724" i="12" l="1"/>
  <c r="N6724" i="12" s="1"/>
  <c r="O6722" i="12"/>
  <c r="M6725" i="12" l="1"/>
  <c r="N6725" i="12" s="1"/>
  <c r="O6723" i="12"/>
  <c r="M6726" i="12" l="1"/>
  <c r="N6726" i="12" s="1"/>
  <c r="O6724" i="12"/>
  <c r="M6727" i="12" l="1"/>
  <c r="N6727" i="12" s="1"/>
  <c r="O6725" i="12"/>
  <c r="M6728" i="12" l="1"/>
  <c r="N6728" i="12" s="1"/>
  <c r="O6726" i="12"/>
  <c r="M6729" i="12" l="1"/>
  <c r="N6729" i="12" s="1"/>
  <c r="O6727" i="12"/>
  <c r="M6730" i="12" l="1"/>
  <c r="N6730" i="12" s="1"/>
  <c r="O6728" i="12"/>
  <c r="M6731" i="12" l="1"/>
  <c r="N6731" i="12" s="1"/>
  <c r="O6729" i="12"/>
  <c r="M6732" i="12" l="1"/>
  <c r="N6732" i="12" s="1"/>
  <c r="O6730" i="12"/>
  <c r="M6733" i="12" l="1"/>
  <c r="N6733" i="12" s="1"/>
  <c r="O6731" i="12"/>
  <c r="M6734" i="12" l="1"/>
  <c r="N6734" i="12" s="1"/>
  <c r="O6732" i="12"/>
  <c r="M6735" i="12" l="1"/>
  <c r="N6735" i="12" s="1"/>
  <c r="O6733" i="12"/>
  <c r="M6736" i="12" l="1"/>
  <c r="N6736" i="12" s="1"/>
  <c r="O6734" i="12"/>
  <c r="M6737" i="12" l="1"/>
  <c r="N6737" i="12" s="1"/>
  <c r="O6735" i="12"/>
  <c r="M6738" i="12" l="1"/>
  <c r="N6738" i="12" s="1"/>
  <c r="O6736" i="12"/>
  <c r="M6739" i="12" l="1"/>
  <c r="N6739" i="12" s="1"/>
  <c r="O6737" i="12"/>
  <c r="M6740" i="12" l="1"/>
  <c r="N6740" i="12" s="1"/>
  <c r="O6738" i="12"/>
  <c r="M6741" i="12" l="1"/>
  <c r="N6741" i="12" s="1"/>
  <c r="O6739" i="12"/>
  <c r="M6742" i="12" l="1"/>
  <c r="N6742" i="12" s="1"/>
  <c r="O6740" i="12"/>
  <c r="M6743" i="12" l="1"/>
  <c r="N6743" i="12" s="1"/>
  <c r="O6741" i="12"/>
  <c r="M6744" i="12" l="1"/>
  <c r="N6744" i="12" s="1"/>
  <c r="O6742" i="12"/>
  <c r="M6745" i="12" l="1"/>
  <c r="N6745" i="12" s="1"/>
  <c r="O6743" i="12"/>
  <c r="M6746" i="12" l="1"/>
  <c r="N6746" i="12" s="1"/>
  <c r="O6744" i="12"/>
  <c r="M6747" i="12" l="1"/>
  <c r="N6747" i="12" s="1"/>
  <c r="O6745" i="12"/>
  <c r="M6748" i="12" l="1"/>
  <c r="N6748" i="12" s="1"/>
  <c r="O6746" i="12"/>
  <c r="M6749" i="12" l="1"/>
  <c r="N6749" i="12" s="1"/>
  <c r="O6747" i="12"/>
  <c r="M6750" i="12" l="1"/>
  <c r="N6750" i="12" s="1"/>
  <c r="O6748" i="12"/>
  <c r="M6751" i="12" l="1"/>
  <c r="N6751" i="12" s="1"/>
  <c r="O6749" i="12"/>
  <c r="M6752" i="12" l="1"/>
  <c r="N6752" i="12" s="1"/>
  <c r="O6750" i="12"/>
  <c r="M6753" i="12" l="1"/>
  <c r="N6753" i="12" s="1"/>
  <c r="O6751" i="12"/>
  <c r="M6754" i="12" l="1"/>
  <c r="N6754" i="12" s="1"/>
  <c r="O6752" i="12"/>
  <c r="M6755" i="12" l="1"/>
  <c r="N6755" i="12" s="1"/>
  <c r="O6753" i="12"/>
  <c r="M6756" i="12" l="1"/>
  <c r="N6756" i="12" s="1"/>
  <c r="O6754" i="12"/>
  <c r="M6757" i="12" l="1"/>
  <c r="N6757" i="12" s="1"/>
  <c r="O6755" i="12"/>
  <c r="M6758" i="12" l="1"/>
  <c r="N6758" i="12" s="1"/>
  <c r="O6756" i="12"/>
  <c r="M6759" i="12" l="1"/>
  <c r="N6759" i="12" s="1"/>
  <c r="O6757" i="12"/>
  <c r="M6760" i="12" l="1"/>
  <c r="N6760" i="12" s="1"/>
  <c r="O6758" i="12"/>
  <c r="M6761" i="12" l="1"/>
  <c r="N6761" i="12" s="1"/>
  <c r="O6759" i="12"/>
  <c r="M6762" i="12" l="1"/>
  <c r="N6762" i="12" s="1"/>
  <c r="O6760" i="12"/>
  <c r="M6763" i="12" l="1"/>
  <c r="N6763" i="12" s="1"/>
  <c r="O6761" i="12"/>
  <c r="M6764" i="12" l="1"/>
  <c r="N6764" i="12" s="1"/>
  <c r="O6762" i="12"/>
  <c r="M6765" i="12" l="1"/>
  <c r="N6765" i="12" s="1"/>
  <c r="O6763" i="12"/>
  <c r="M6766" i="12" l="1"/>
  <c r="N6766" i="12" s="1"/>
  <c r="O6764" i="12"/>
  <c r="M6767" i="12" l="1"/>
  <c r="N6767" i="12" s="1"/>
  <c r="O6765" i="12"/>
  <c r="M6768" i="12" l="1"/>
  <c r="N6768" i="12" s="1"/>
  <c r="O6766" i="12"/>
  <c r="M6769" i="12" l="1"/>
  <c r="N6769" i="12" s="1"/>
  <c r="O6767" i="12"/>
  <c r="M6770" i="12" l="1"/>
  <c r="N6770" i="12" s="1"/>
  <c r="O6768" i="12"/>
  <c r="M6771" i="12" l="1"/>
  <c r="N6771" i="12" s="1"/>
  <c r="O6769" i="12"/>
  <c r="M6772" i="12" l="1"/>
  <c r="N6772" i="12" s="1"/>
  <c r="O6770" i="12"/>
  <c r="M6773" i="12" l="1"/>
  <c r="N6773" i="12" s="1"/>
  <c r="O6771" i="12"/>
  <c r="M6774" i="12" l="1"/>
  <c r="N6774" i="12" s="1"/>
  <c r="O6772" i="12"/>
  <c r="M6775" i="12" l="1"/>
  <c r="N6775" i="12" s="1"/>
  <c r="O6773" i="12"/>
  <c r="M6776" i="12" l="1"/>
  <c r="N6776" i="12" s="1"/>
  <c r="O6774" i="12"/>
  <c r="M6777" i="12" l="1"/>
  <c r="N6777" i="12" s="1"/>
  <c r="O6775" i="12"/>
  <c r="M6778" i="12" l="1"/>
  <c r="N6778" i="12" s="1"/>
  <c r="O6776" i="12"/>
  <c r="M6779" i="12" l="1"/>
  <c r="N6779" i="12" s="1"/>
  <c r="O6777" i="12"/>
  <c r="M6780" i="12" l="1"/>
  <c r="N6780" i="12" s="1"/>
  <c r="O6778" i="12"/>
  <c r="M6781" i="12" l="1"/>
  <c r="N6781" i="12" s="1"/>
  <c r="O6779" i="12"/>
  <c r="M6782" i="12" l="1"/>
  <c r="N6782" i="12" s="1"/>
  <c r="O6780" i="12"/>
  <c r="M6783" i="12" l="1"/>
  <c r="N6783" i="12" s="1"/>
  <c r="O6781" i="12"/>
  <c r="M6784" i="12" l="1"/>
  <c r="N6784" i="12" s="1"/>
  <c r="O6782" i="12"/>
  <c r="M6785" i="12" l="1"/>
  <c r="N6785" i="12" s="1"/>
  <c r="O6783" i="12"/>
  <c r="M6786" i="12" l="1"/>
  <c r="N6786" i="12" s="1"/>
  <c r="O6784" i="12"/>
  <c r="M6787" i="12" l="1"/>
  <c r="N6787" i="12" s="1"/>
  <c r="O6785" i="12"/>
  <c r="M6788" i="12" l="1"/>
  <c r="N6788" i="12" s="1"/>
  <c r="O6786" i="12"/>
  <c r="M6789" i="12" l="1"/>
  <c r="N6789" i="12" s="1"/>
  <c r="O6787" i="12"/>
  <c r="M6790" i="12" l="1"/>
  <c r="N6790" i="12" s="1"/>
  <c r="O6788" i="12"/>
  <c r="M6791" i="12" l="1"/>
  <c r="N6791" i="12" s="1"/>
  <c r="O6789" i="12"/>
  <c r="M6792" i="12" l="1"/>
  <c r="N6792" i="12" s="1"/>
  <c r="O6790" i="12"/>
  <c r="M6793" i="12" l="1"/>
  <c r="N6793" i="12" s="1"/>
  <c r="O6791" i="12"/>
  <c r="M6794" i="12" l="1"/>
  <c r="N6794" i="12" s="1"/>
  <c r="O6792" i="12"/>
  <c r="M6795" i="12" l="1"/>
  <c r="N6795" i="12" s="1"/>
  <c r="O6793" i="12"/>
  <c r="M6796" i="12" l="1"/>
  <c r="N6796" i="12" s="1"/>
  <c r="O6794" i="12"/>
  <c r="M6797" i="12" l="1"/>
  <c r="N6797" i="12" s="1"/>
  <c r="O6795" i="12"/>
  <c r="M6798" i="12" l="1"/>
  <c r="N6798" i="12" s="1"/>
  <c r="O6796" i="12"/>
  <c r="M6799" i="12" l="1"/>
  <c r="N6799" i="12" s="1"/>
  <c r="O6797" i="12"/>
  <c r="M6800" i="12" l="1"/>
  <c r="N6800" i="12" s="1"/>
  <c r="O6798" i="12"/>
  <c r="M6801" i="12" l="1"/>
  <c r="N6801" i="12" s="1"/>
  <c r="O6799" i="12"/>
  <c r="M6802" i="12" l="1"/>
  <c r="N6802" i="12" s="1"/>
  <c r="O6800" i="12"/>
  <c r="M6803" i="12" l="1"/>
  <c r="N6803" i="12" s="1"/>
  <c r="O6801" i="12"/>
  <c r="M6804" i="12" l="1"/>
  <c r="N6804" i="12" s="1"/>
  <c r="O6802" i="12"/>
  <c r="M6805" i="12" l="1"/>
  <c r="N6805" i="12" s="1"/>
  <c r="O6803" i="12"/>
  <c r="M6806" i="12" l="1"/>
  <c r="N6806" i="12" s="1"/>
  <c r="O6804" i="12"/>
  <c r="M6807" i="12" l="1"/>
  <c r="N6807" i="12" s="1"/>
  <c r="O6805" i="12"/>
  <c r="M6808" i="12" l="1"/>
  <c r="N6808" i="12" s="1"/>
  <c r="O6806" i="12"/>
  <c r="M6809" i="12" l="1"/>
  <c r="N6809" i="12" s="1"/>
  <c r="O6807" i="12"/>
  <c r="M6810" i="12" l="1"/>
  <c r="N6810" i="12" s="1"/>
  <c r="O6808" i="12"/>
  <c r="M6811" i="12" l="1"/>
  <c r="N6811" i="12" s="1"/>
  <c r="O6809" i="12"/>
  <c r="M6812" i="12" l="1"/>
  <c r="N6812" i="12" s="1"/>
  <c r="O6810" i="12"/>
  <c r="M6813" i="12" l="1"/>
  <c r="N6813" i="12" s="1"/>
  <c r="O6811" i="12"/>
  <c r="M6814" i="12" l="1"/>
  <c r="N6814" i="12" s="1"/>
  <c r="O6812" i="12"/>
  <c r="M6815" i="12" l="1"/>
  <c r="N6815" i="12" s="1"/>
  <c r="O6813" i="12"/>
  <c r="M6816" i="12" l="1"/>
  <c r="N6816" i="12" s="1"/>
  <c r="O6814" i="12"/>
  <c r="M6817" i="12" l="1"/>
  <c r="N6817" i="12" s="1"/>
  <c r="O6815" i="12"/>
  <c r="M6818" i="12" l="1"/>
  <c r="N6818" i="12" s="1"/>
  <c r="O6816" i="12"/>
  <c r="M6819" i="12" l="1"/>
  <c r="N6819" i="12" s="1"/>
  <c r="O6817" i="12"/>
  <c r="M6820" i="12" l="1"/>
  <c r="N6820" i="12" s="1"/>
  <c r="O6818" i="12"/>
  <c r="M6821" i="12" l="1"/>
  <c r="N6821" i="12" s="1"/>
  <c r="O6819" i="12"/>
  <c r="M6822" i="12" l="1"/>
  <c r="N6822" i="12" s="1"/>
  <c r="O6820" i="12"/>
  <c r="M6823" i="12" l="1"/>
  <c r="N6823" i="12" s="1"/>
  <c r="O6821" i="12"/>
  <c r="M6824" i="12" l="1"/>
  <c r="N6824" i="12" s="1"/>
  <c r="O6822" i="12"/>
  <c r="M6825" i="12" l="1"/>
  <c r="N6825" i="12" s="1"/>
  <c r="O6823" i="12"/>
  <c r="M6826" i="12" l="1"/>
  <c r="N6826" i="12" s="1"/>
  <c r="O6824" i="12"/>
  <c r="M6827" i="12" l="1"/>
  <c r="N6827" i="12" s="1"/>
  <c r="O6825" i="12"/>
  <c r="M6828" i="12" l="1"/>
  <c r="N6828" i="12" s="1"/>
  <c r="O6826" i="12"/>
  <c r="M6829" i="12" l="1"/>
  <c r="N6829" i="12" s="1"/>
  <c r="O6827" i="12"/>
  <c r="M6830" i="12" l="1"/>
  <c r="N6830" i="12" s="1"/>
  <c r="O6828" i="12"/>
  <c r="M6831" i="12" l="1"/>
  <c r="N6831" i="12" s="1"/>
  <c r="O6829" i="12"/>
  <c r="M6832" i="12" l="1"/>
  <c r="N6832" i="12" s="1"/>
  <c r="O6830" i="12"/>
  <c r="M6833" i="12" l="1"/>
  <c r="N6833" i="12" s="1"/>
  <c r="O6831" i="12"/>
  <c r="M6834" i="12" l="1"/>
  <c r="N6834" i="12" s="1"/>
  <c r="O6832" i="12"/>
  <c r="M6835" i="12" l="1"/>
  <c r="N6835" i="12" s="1"/>
  <c r="O6833" i="12"/>
  <c r="M6836" i="12" l="1"/>
  <c r="N6836" i="12" s="1"/>
  <c r="O6834" i="12"/>
  <c r="M6837" i="12" l="1"/>
  <c r="N6837" i="12" s="1"/>
  <c r="O6835" i="12"/>
  <c r="M6838" i="12" l="1"/>
  <c r="N6838" i="12" s="1"/>
  <c r="O6836" i="12"/>
  <c r="M6839" i="12" l="1"/>
  <c r="N6839" i="12" s="1"/>
  <c r="O6837" i="12"/>
  <c r="M6840" i="12" l="1"/>
  <c r="N6840" i="12" s="1"/>
  <c r="O6838" i="12"/>
  <c r="M6841" i="12" l="1"/>
  <c r="N6841" i="12" s="1"/>
  <c r="O6839" i="12"/>
  <c r="M6842" i="12" l="1"/>
  <c r="N6842" i="12" s="1"/>
  <c r="O6840" i="12"/>
  <c r="M6843" i="12" l="1"/>
  <c r="N6843" i="12" s="1"/>
  <c r="O6841" i="12"/>
  <c r="M6844" i="12" l="1"/>
  <c r="N6844" i="12" s="1"/>
  <c r="O6842" i="12"/>
  <c r="M6845" i="12" l="1"/>
  <c r="N6845" i="12" s="1"/>
  <c r="O6843" i="12"/>
  <c r="M6846" i="12" l="1"/>
  <c r="N6846" i="12" s="1"/>
  <c r="O6844" i="12"/>
  <c r="M6847" i="12" l="1"/>
  <c r="N6847" i="12" s="1"/>
  <c r="O6845" i="12"/>
  <c r="M6848" i="12" l="1"/>
  <c r="N6848" i="12" s="1"/>
  <c r="O6846" i="12"/>
  <c r="M6849" i="12" l="1"/>
  <c r="N6849" i="12" s="1"/>
  <c r="O6847" i="12"/>
  <c r="M6850" i="12" l="1"/>
  <c r="N6850" i="12" s="1"/>
  <c r="O6848" i="12"/>
  <c r="M6851" i="12" l="1"/>
  <c r="N6851" i="12" s="1"/>
  <c r="O6849" i="12"/>
  <c r="M6852" i="12" l="1"/>
  <c r="N6852" i="12" s="1"/>
  <c r="O6850" i="12"/>
  <c r="M6853" i="12" l="1"/>
  <c r="N6853" i="12" s="1"/>
  <c r="O6851" i="12"/>
  <c r="M6854" i="12" l="1"/>
  <c r="N6854" i="12" s="1"/>
  <c r="O6852" i="12"/>
  <c r="M6855" i="12" l="1"/>
  <c r="N6855" i="12" s="1"/>
  <c r="O6853" i="12"/>
  <c r="M6856" i="12" l="1"/>
  <c r="N6856" i="12" s="1"/>
  <c r="O6854" i="12"/>
  <c r="M6857" i="12" l="1"/>
  <c r="N6857" i="12" s="1"/>
  <c r="O6855" i="12"/>
  <c r="M6858" i="12" l="1"/>
  <c r="N6858" i="12" s="1"/>
  <c r="O6856" i="12"/>
  <c r="M6859" i="12" l="1"/>
  <c r="N6859" i="12" s="1"/>
  <c r="O6857" i="12"/>
  <c r="M6860" i="12" l="1"/>
  <c r="N6860" i="12" s="1"/>
  <c r="O6858" i="12"/>
  <c r="M6861" i="12" l="1"/>
  <c r="N6861" i="12" s="1"/>
  <c r="O6859" i="12"/>
  <c r="M6862" i="12" l="1"/>
  <c r="N6862" i="12" s="1"/>
  <c r="O6860" i="12"/>
  <c r="M6863" i="12" l="1"/>
  <c r="N6863" i="12" s="1"/>
  <c r="O6861" i="12"/>
  <c r="M6864" i="12" l="1"/>
  <c r="N6864" i="12" s="1"/>
  <c r="O6862" i="12"/>
  <c r="M6865" i="12" l="1"/>
  <c r="N6865" i="12" s="1"/>
  <c r="O6863" i="12"/>
  <c r="M6866" i="12" l="1"/>
  <c r="N6866" i="12" s="1"/>
  <c r="O6864" i="12"/>
  <c r="M6867" i="12" l="1"/>
  <c r="N6867" i="12" s="1"/>
  <c r="O6865" i="12"/>
  <c r="M6868" i="12" l="1"/>
  <c r="N6868" i="12" s="1"/>
  <c r="O6866" i="12"/>
  <c r="M6869" i="12" l="1"/>
  <c r="N6869" i="12" s="1"/>
  <c r="O6867" i="12"/>
  <c r="M6870" i="12" l="1"/>
  <c r="N6870" i="12" s="1"/>
  <c r="O6868" i="12"/>
  <c r="M6871" i="12" l="1"/>
  <c r="N6871" i="12" s="1"/>
  <c r="O6869" i="12"/>
  <c r="M6872" i="12" l="1"/>
  <c r="N6872" i="12" s="1"/>
  <c r="O6870" i="12"/>
  <c r="M6873" i="12" l="1"/>
  <c r="N6873" i="12" s="1"/>
  <c r="O6871" i="12"/>
  <c r="M6874" i="12" l="1"/>
  <c r="N6874" i="12" s="1"/>
  <c r="O6872" i="12"/>
  <c r="M6875" i="12" l="1"/>
  <c r="N6875" i="12" s="1"/>
  <c r="O6873" i="12"/>
  <c r="M6876" i="12" l="1"/>
  <c r="N6876" i="12" s="1"/>
  <c r="O6874" i="12"/>
  <c r="M6877" i="12" l="1"/>
  <c r="N6877" i="12" s="1"/>
  <c r="O6875" i="12"/>
  <c r="M6878" i="12" l="1"/>
  <c r="N6878" i="12" s="1"/>
  <c r="O6876" i="12"/>
  <c r="M6879" i="12" l="1"/>
  <c r="N6879" i="12" s="1"/>
  <c r="O6877" i="12"/>
  <c r="M6880" i="12" l="1"/>
  <c r="N6880" i="12" s="1"/>
  <c r="O6878" i="12"/>
  <c r="M6881" i="12" l="1"/>
  <c r="N6881" i="12" s="1"/>
  <c r="O6879" i="12"/>
  <c r="M6882" i="12" l="1"/>
  <c r="N6882" i="12" s="1"/>
  <c r="O6880" i="12"/>
  <c r="M6883" i="12" l="1"/>
  <c r="N6883" i="12" s="1"/>
  <c r="O6881" i="12"/>
  <c r="M6884" i="12" l="1"/>
  <c r="N6884" i="12" s="1"/>
  <c r="O6882" i="12"/>
  <c r="M6885" i="12" l="1"/>
  <c r="N6885" i="12" s="1"/>
  <c r="O6883" i="12"/>
  <c r="M6886" i="12" l="1"/>
  <c r="N6886" i="12" s="1"/>
  <c r="O6884" i="12"/>
  <c r="M6887" i="12" l="1"/>
  <c r="N6887" i="12" s="1"/>
  <c r="O6885" i="12"/>
  <c r="M6888" i="12" l="1"/>
  <c r="N6888" i="12" s="1"/>
  <c r="O6886" i="12"/>
  <c r="M6889" i="12" l="1"/>
  <c r="N6889" i="12" s="1"/>
  <c r="O6887" i="12"/>
  <c r="M6890" i="12" l="1"/>
  <c r="N6890" i="12" s="1"/>
  <c r="O6888" i="12"/>
  <c r="M6891" i="12" l="1"/>
  <c r="N6891" i="12" s="1"/>
  <c r="O6889" i="12"/>
  <c r="M6892" i="12" l="1"/>
  <c r="N6892" i="12" s="1"/>
  <c r="O6890" i="12"/>
  <c r="M6893" i="12" l="1"/>
  <c r="N6893" i="12" s="1"/>
  <c r="O6891" i="12"/>
  <c r="M6894" i="12" l="1"/>
  <c r="N6894" i="12" s="1"/>
  <c r="O6892" i="12"/>
  <c r="M6895" i="12" l="1"/>
  <c r="N6895" i="12" s="1"/>
  <c r="O6893" i="12"/>
  <c r="M6896" i="12" l="1"/>
  <c r="N6896" i="12" s="1"/>
  <c r="O6894" i="12"/>
  <c r="M6897" i="12" l="1"/>
  <c r="N6897" i="12" s="1"/>
  <c r="O6895" i="12"/>
  <c r="M6898" i="12" l="1"/>
  <c r="N6898" i="12" s="1"/>
  <c r="O6896" i="12"/>
  <c r="M6899" i="12" l="1"/>
  <c r="N6899" i="12" s="1"/>
  <c r="O6897" i="12"/>
  <c r="M6900" i="12" l="1"/>
  <c r="N6900" i="12" s="1"/>
  <c r="O6898" i="12"/>
  <c r="M6901" i="12" l="1"/>
  <c r="N6901" i="12" s="1"/>
  <c r="O6899" i="12"/>
  <c r="M6902" i="12" l="1"/>
  <c r="N6902" i="12" s="1"/>
  <c r="O6900" i="12"/>
  <c r="M6903" i="12" l="1"/>
  <c r="N6903" i="12" s="1"/>
  <c r="O6901" i="12"/>
  <c r="M6904" i="12" l="1"/>
  <c r="N6904" i="12" s="1"/>
  <c r="O6902" i="12"/>
  <c r="M6905" i="12" l="1"/>
  <c r="N6905" i="12" s="1"/>
  <c r="O6903" i="12"/>
  <c r="M6906" i="12" l="1"/>
  <c r="N6906" i="12" s="1"/>
  <c r="O6904" i="12"/>
  <c r="M6907" i="12" l="1"/>
  <c r="N6907" i="12" s="1"/>
  <c r="O6905" i="12"/>
  <c r="M6908" i="12" l="1"/>
  <c r="N6908" i="12" s="1"/>
  <c r="O6906" i="12"/>
  <c r="M6909" i="12" l="1"/>
  <c r="N6909" i="12" s="1"/>
  <c r="O6907" i="12"/>
  <c r="M6910" i="12" l="1"/>
  <c r="N6910" i="12" s="1"/>
  <c r="O6908" i="12"/>
  <c r="M6911" i="12" l="1"/>
  <c r="N6911" i="12" s="1"/>
  <c r="O6909" i="12"/>
  <c r="M6912" i="12" l="1"/>
  <c r="N6912" i="12" s="1"/>
  <c r="O6910" i="12"/>
  <c r="M6913" i="12" l="1"/>
  <c r="N6913" i="12" s="1"/>
  <c r="O6911" i="12"/>
  <c r="M6914" i="12" l="1"/>
  <c r="N6914" i="12" s="1"/>
  <c r="O6912" i="12"/>
  <c r="M6915" i="12" l="1"/>
  <c r="N6915" i="12" s="1"/>
  <c r="O6913" i="12"/>
  <c r="M6916" i="12" l="1"/>
  <c r="N6916" i="12" s="1"/>
  <c r="O6914" i="12"/>
  <c r="M6917" i="12" l="1"/>
  <c r="N6917" i="12" s="1"/>
  <c r="O6915" i="12"/>
  <c r="M6918" i="12" l="1"/>
  <c r="N6918" i="12" s="1"/>
  <c r="O6916" i="12"/>
  <c r="M6919" i="12" l="1"/>
  <c r="N6919" i="12" s="1"/>
  <c r="O6917" i="12"/>
  <c r="M6920" i="12" l="1"/>
  <c r="N6920" i="12" s="1"/>
  <c r="O6918" i="12"/>
  <c r="M6921" i="12" l="1"/>
  <c r="N6921" i="12" s="1"/>
  <c r="O6919" i="12"/>
  <c r="M6922" i="12" l="1"/>
  <c r="N6922" i="12" s="1"/>
  <c r="O6920" i="12"/>
  <c r="M6923" i="12" l="1"/>
  <c r="N6923" i="12" s="1"/>
  <c r="O6921" i="12"/>
  <c r="M6924" i="12" l="1"/>
  <c r="N6924" i="12" s="1"/>
  <c r="O6922" i="12"/>
  <c r="M6925" i="12" l="1"/>
  <c r="N6925" i="12" s="1"/>
  <c r="O6923" i="12"/>
  <c r="M6926" i="12" l="1"/>
  <c r="N6926" i="12" s="1"/>
  <c r="O6924" i="12"/>
  <c r="M6927" i="12" l="1"/>
  <c r="N6927" i="12" s="1"/>
  <c r="O6925" i="12"/>
  <c r="M6928" i="12" l="1"/>
  <c r="N6928" i="12" s="1"/>
  <c r="O6926" i="12"/>
  <c r="M6929" i="12" l="1"/>
  <c r="N6929" i="12" s="1"/>
  <c r="O6927" i="12"/>
  <c r="M6930" i="12" l="1"/>
  <c r="N6930" i="12" s="1"/>
  <c r="O6928" i="12"/>
  <c r="M6931" i="12" l="1"/>
  <c r="N6931" i="12" s="1"/>
  <c r="O6929" i="12"/>
  <c r="M6932" i="12" l="1"/>
  <c r="N6932" i="12" s="1"/>
  <c r="O6930" i="12"/>
  <c r="M6933" i="12" l="1"/>
  <c r="N6933" i="12" s="1"/>
  <c r="O6931" i="12"/>
  <c r="M6934" i="12" l="1"/>
  <c r="N6934" i="12" s="1"/>
  <c r="O6932" i="12"/>
  <c r="M6935" i="12" l="1"/>
  <c r="N6935" i="12" s="1"/>
  <c r="O6933" i="12"/>
  <c r="M6936" i="12" l="1"/>
  <c r="N6936" i="12" s="1"/>
  <c r="O6934" i="12"/>
  <c r="M6937" i="12" l="1"/>
  <c r="N6937" i="12" s="1"/>
  <c r="O6935" i="12"/>
  <c r="M6938" i="12" l="1"/>
  <c r="N6938" i="12" s="1"/>
  <c r="O6936" i="12"/>
  <c r="M6939" i="12" l="1"/>
  <c r="N6939" i="12" s="1"/>
  <c r="O6937" i="12"/>
  <c r="M6940" i="12" l="1"/>
  <c r="N6940" i="12" s="1"/>
  <c r="O6938" i="12"/>
  <c r="M6941" i="12" l="1"/>
  <c r="N6941" i="12" s="1"/>
  <c r="O6939" i="12"/>
  <c r="M6942" i="12" l="1"/>
  <c r="N6942" i="12" s="1"/>
  <c r="O6940" i="12"/>
  <c r="M6943" i="12" l="1"/>
  <c r="N6943" i="12" s="1"/>
  <c r="O6941" i="12"/>
  <c r="M6944" i="12" l="1"/>
  <c r="N6944" i="12" s="1"/>
  <c r="O6942" i="12"/>
  <c r="M6945" i="12" l="1"/>
  <c r="N6945" i="12" s="1"/>
  <c r="O6943" i="12"/>
  <c r="M6946" i="12" l="1"/>
  <c r="N6946" i="12" s="1"/>
  <c r="O6944" i="12"/>
  <c r="M6947" i="12" l="1"/>
  <c r="N6947" i="12" s="1"/>
  <c r="O6945" i="12"/>
  <c r="M6948" i="12" l="1"/>
  <c r="N6948" i="12" s="1"/>
  <c r="O6946" i="12"/>
  <c r="M6949" i="12" l="1"/>
  <c r="N6949" i="12" s="1"/>
  <c r="O6947" i="12"/>
  <c r="M6950" i="12" l="1"/>
  <c r="N6950" i="12" s="1"/>
  <c r="O6948" i="12"/>
  <c r="M6951" i="12" l="1"/>
  <c r="N6951" i="12" s="1"/>
  <c r="O6949" i="12"/>
  <c r="M6952" i="12" l="1"/>
  <c r="N6952" i="12" s="1"/>
  <c r="O6950" i="12"/>
  <c r="M6953" i="12" l="1"/>
  <c r="N6953" i="12" s="1"/>
  <c r="O6951" i="12"/>
  <c r="M6954" i="12" l="1"/>
  <c r="N6954" i="12" s="1"/>
  <c r="O6952" i="12"/>
  <c r="M6955" i="12" l="1"/>
  <c r="N6955" i="12" s="1"/>
  <c r="O6953" i="12"/>
  <c r="M6956" i="12" l="1"/>
  <c r="N6956" i="12" s="1"/>
  <c r="O6954" i="12"/>
  <c r="M6957" i="12" l="1"/>
  <c r="N6957" i="12" s="1"/>
  <c r="O6955" i="12"/>
  <c r="M6958" i="12" l="1"/>
  <c r="N6958" i="12" s="1"/>
  <c r="O6956" i="12"/>
  <c r="M6959" i="12" l="1"/>
  <c r="N6959" i="12" s="1"/>
  <c r="O6957" i="12"/>
  <c r="M6960" i="12" l="1"/>
  <c r="N6960" i="12" s="1"/>
  <c r="O6958" i="12"/>
  <c r="M6961" i="12" l="1"/>
  <c r="N6961" i="12" s="1"/>
  <c r="O6959" i="12"/>
  <c r="M6962" i="12" l="1"/>
  <c r="N6962" i="12" s="1"/>
  <c r="O6960" i="12"/>
  <c r="M6963" i="12" l="1"/>
  <c r="N6963" i="12" s="1"/>
  <c r="O6961" i="12"/>
  <c r="M6964" i="12" l="1"/>
  <c r="N6964" i="12" s="1"/>
  <c r="O6962" i="12"/>
  <c r="M6965" i="12" l="1"/>
  <c r="N6965" i="12" s="1"/>
  <c r="O6963" i="12"/>
  <c r="M6966" i="12" l="1"/>
  <c r="N6966" i="12" s="1"/>
  <c r="O6964" i="12"/>
  <c r="M6967" i="12" l="1"/>
  <c r="N6967" i="12" s="1"/>
  <c r="O6965" i="12"/>
  <c r="M6968" i="12" l="1"/>
  <c r="N6968" i="12" s="1"/>
  <c r="O6966" i="12"/>
  <c r="M6969" i="12" l="1"/>
  <c r="N6969" i="12" s="1"/>
  <c r="O6967" i="12"/>
  <c r="M6970" i="12" l="1"/>
  <c r="N6970" i="12" s="1"/>
  <c r="O6968" i="12"/>
  <c r="M6971" i="12" l="1"/>
  <c r="N6971" i="12" s="1"/>
  <c r="O6969" i="12"/>
  <c r="M6972" i="12" l="1"/>
  <c r="N6972" i="12" s="1"/>
  <c r="O6970" i="12"/>
  <c r="M6973" i="12" l="1"/>
  <c r="N6973" i="12" s="1"/>
  <c r="O6971" i="12"/>
  <c r="M6974" i="12" l="1"/>
  <c r="N6974" i="12" s="1"/>
  <c r="O6972" i="12"/>
  <c r="M6975" i="12" l="1"/>
  <c r="N6975" i="12" s="1"/>
  <c r="O6973" i="12"/>
  <c r="M6976" i="12" l="1"/>
  <c r="N6976" i="12" s="1"/>
  <c r="O6974" i="12"/>
  <c r="M6977" i="12" l="1"/>
  <c r="N6977" i="12" s="1"/>
  <c r="O6975" i="12"/>
  <c r="M6978" i="12" l="1"/>
  <c r="N6978" i="12" s="1"/>
  <c r="O6976" i="12"/>
  <c r="M6979" i="12" l="1"/>
  <c r="N6979" i="12" s="1"/>
  <c r="O6977" i="12"/>
  <c r="M6980" i="12" l="1"/>
  <c r="N6980" i="12" s="1"/>
  <c r="O6978" i="12"/>
  <c r="M6981" i="12" l="1"/>
  <c r="N6981" i="12" s="1"/>
  <c r="O6979" i="12"/>
  <c r="M6982" i="12" l="1"/>
  <c r="N6982" i="12" s="1"/>
  <c r="O6980" i="12"/>
  <c r="M6983" i="12" l="1"/>
  <c r="N6983" i="12" s="1"/>
  <c r="O6981" i="12"/>
  <c r="M6984" i="12" l="1"/>
  <c r="N6984" i="12" s="1"/>
  <c r="O6982" i="12"/>
  <c r="M6985" i="12" l="1"/>
  <c r="N6985" i="12" s="1"/>
  <c r="O6983" i="12"/>
  <c r="M6986" i="12" l="1"/>
  <c r="N6986" i="12" s="1"/>
  <c r="O6984" i="12"/>
  <c r="M6987" i="12" l="1"/>
  <c r="N6987" i="12" s="1"/>
  <c r="O6985" i="12"/>
  <c r="M6988" i="12" l="1"/>
  <c r="N6988" i="12" s="1"/>
  <c r="O6986" i="12"/>
  <c r="M6989" i="12" l="1"/>
  <c r="N6989" i="12" s="1"/>
  <c r="O6987" i="12"/>
  <c r="M6990" i="12" l="1"/>
  <c r="N6990" i="12" s="1"/>
  <c r="O6988" i="12"/>
  <c r="M6991" i="12" l="1"/>
  <c r="N6991" i="12" s="1"/>
  <c r="O6989" i="12"/>
  <c r="M6992" i="12" l="1"/>
  <c r="N6992" i="12" s="1"/>
  <c r="O6990" i="12"/>
  <c r="M6993" i="12" l="1"/>
  <c r="N6993" i="12" s="1"/>
  <c r="O6991" i="12"/>
  <c r="M6994" i="12" l="1"/>
  <c r="N6994" i="12" s="1"/>
  <c r="O6992" i="12"/>
  <c r="M6995" i="12" l="1"/>
  <c r="N6995" i="12" s="1"/>
  <c r="O6993" i="12"/>
  <c r="M6996" i="12" l="1"/>
  <c r="N6996" i="12" s="1"/>
  <c r="O6994" i="12"/>
  <c r="M6997" i="12" l="1"/>
  <c r="N6997" i="12" s="1"/>
  <c r="O6995" i="12"/>
  <c r="M6998" i="12" l="1"/>
  <c r="N6998" i="12" s="1"/>
  <c r="O6996" i="12"/>
  <c r="M6999" i="12" l="1"/>
  <c r="N6999" i="12" s="1"/>
  <c r="O6997" i="12"/>
  <c r="M7000" i="12" l="1"/>
  <c r="N7000" i="12" s="1"/>
  <c r="O6998" i="12"/>
  <c r="M7001" i="12" l="1"/>
  <c r="N7001" i="12" s="1"/>
  <c r="O6999" i="12"/>
  <c r="M7002" i="12" l="1"/>
  <c r="N7002" i="12" s="1"/>
  <c r="O7000" i="12"/>
  <c r="M7003" i="12" l="1"/>
  <c r="N7003" i="12" s="1"/>
  <c r="O7001" i="12"/>
  <c r="M7004" i="12" l="1"/>
  <c r="N7004" i="12" s="1"/>
  <c r="O7002" i="12"/>
  <c r="M7005" i="12" l="1"/>
  <c r="N7005" i="12" s="1"/>
  <c r="O7003" i="12"/>
  <c r="M7006" i="12" l="1"/>
  <c r="N7006" i="12" s="1"/>
  <c r="O7004" i="12"/>
  <c r="M7007" i="12" l="1"/>
  <c r="N7007" i="12" s="1"/>
  <c r="O7005" i="12"/>
  <c r="M7008" i="12" l="1"/>
  <c r="N7008" i="12" s="1"/>
  <c r="O7006" i="12"/>
  <c r="M7009" i="12" l="1"/>
  <c r="N7009" i="12" s="1"/>
  <c r="O7007" i="12"/>
  <c r="M7010" i="12" l="1"/>
  <c r="N7010" i="12" s="1"/>
  <c r="O7008" i="12"/>
  <c r="M7011" i="12" l="1"/>
  <c r="N7011" i="12" s="1"/>
  <c r="O7009" i="12"/>
  <c r="M7012" i="12" l="1"/>
  <c r="N7012" i="12" s="1"/>
  <c r="O7010" i="12"/>
  <c r="M7013" i="12" l="1"/>
  <c r="N7013" i="12" s="1"/>
  <c r="O7011" i="12"/>
  <c r="M7014" i="12" l="1"/>
  <c r="N7014" i="12" s="1"/>
  <c r="O7012" i="12"/>
  <c r="M7015" i="12" l="1"/>
  <c r="N7015" i="12" s="1"/>
  <c r="O7013" i="12"/>
  <c r="M7016" i="12" l="1"/>
  <c r="N7016" i="12" s="1"/>
  <c r="O7014" i="12"/>
  <c r="M7017" i="12" l="1"/>
  <c r="N7017" i="12" s="1"/>
  <c r="O7015" i="12"/>
  <c r="M7018" i="12" l="1"/>
  <c r="N7018" i="12" s="1"/>
  <c r="O7016" i="12"/>
  <c r="M7019" i="12" l="1"/>
  <c r="N7019" i="12" s="1"/>
  <c r="O7017" i="12"/>
  <c r="M7020" i="12" l="1"/>
  <c r="N7020" i="12" s="1"/>
  <c r="O7018" i="12"/>
  <c r="M7021" i="12" l="1"/>
  <c r="N7021" i="12" s="1"/>
  <c r="O7019" i="12"/>
  <c r="M7022" i="12" l="1"/>
  <c r="N7022" i="12" s="1"/>
  <c r="O7020" i="12"/>
  <c r="M7023" i="12" l="1"/>
  <c r="N7023" i="12" s="1"/>
  <c r="O7021" i="12"/>
  <c r="M7024" i="12" l="1"/>
  <c r="N7024" i="12" s="1"/>
  <c r="O7022" i="12"/>
  <c r="M7025" i="12" l="1"/>
  <c r="N7025" i="12" s="1"/>
  <c r="O7023" i="12"/>
  <c r="M7026" i="12" l="1"/>
  <c r="N7026" i="12" s="1"/>
  <c r="O7024" i="12"/>
  <c r="M7027" i="12" l="1"/>
  <c r="N7027" i="12" s="1"/>
  <c r="O7025" i="12"/>
  <c r="M7028" i="12" l="1"/>
  <c r="N7028" i="12" s="1"/>
  <c r="O7026" i="12"/>
  <c r="M7029" i="12" l="1"/>
  <c r="N7029" i="12" s="1"/>
  <c r="O7027" i="12"/>
  <c r="M7030" i="12" l="1"/>
  <c r="N7030" i="12" s="1"/>
  <c r="O7028" i="12"/>
  <c r="M7031" i="12" l="1"/>
  <c r="N7031" i="12" s="1"/>
  <c r="O7029" i="12"/>
  <c r="M7032" i="12" l="1"/>
  <c r="N7032" i="12" s="1"/>
  <c r="O7030" i="12"/>
  <c r="M7033" i="12" l="1"/>
  <c r="N7033" i="12" s="1"/>
  <c r="O7031" i="12"/>
  <c r="M7034" i="12" l="1"/>
  <c r="N7034" i="12" s="1"/>
  <c r="O7032" i="12"/>
  <c r="M7035" i="12" l="1"/>
  <c r="N7035" i="12" s="1"/>
  <c r="O7033" i="12"/>
  <c r="M7036" i="12" l="1"/>
  <c r="N7036" i="12" s="1"/>
  <c r="O7034" i="12"/>
  <c r="M7037" i="12" l="1"/>
  <c r="N7037" i="12" s="1"/>
  <c r="O7035" i="12"/>
  <c r="M7038" i="12" l="1"/>
  <c r="N7038" i="12" s="1"/>
  <c r="O7036" i="12"/>
  <c r="M7039" i="12" l="1"/>
  <c r="N7039" i="12" s="1"/>
  <c r="O7037" i="12"/>
  <c r="M7040" i="12" l="1"/>
  <c r="N7040" i="12" s="1"/>
  <c r="O7038" i="12"/>
  <c r="M7041" i="12" l="1"/>
  <c r="N7041" i="12" s="1"/>
  <c r="O7039" i="12"/>
  <c r="M7042" i="12" l="1"/>
  <c r="N7042" i="12" s="1"/>
  <c r="O7040" i="12"/>
  <c r="M7043" i="12" l="1"/>
  <c r="N7043" i="12" s="1"/>
  <c r="O7041" i="12"/>
  <c r="M7044" i="12" l="1"/>
  <c r="N7044" i="12" s="1"/>
  <c r="O7042" i="12"/>
  <c r="M7045" i="12" l="1"/>
  <c r="N7045" i="12" s="1"/>
  <c r="O7043" i="12"/>
  <c r="M7046" i="12" l="1"/>
  <c r="N7046" i="12" s="1"/>
  <c r="O7044" i="12"/>
  <c r="M7047" i="12" l="1"/>
  <c r="N7047" i="12" s="1"/>
  <c r="O7045" i="12"/>
  <c r="M7048" i="12" l="1"/>
  <c r="N7048" i="12" s="1"/>
  <c r="O7046" i="12"/>
  <c r="M7049" i="12" l="1"/>
  <c r="N7049" i="12" s="1"/>
  <c r="O7047" i="12"/>
  <c r="M7050" i="12" l="1"/>
  <c r="N7050" i="12" s="1"/>
  <c r="O7048" i="12"/>
  <c r="M7051" i="12" l="1"/>
  <c r="N7051" i="12" s="1"/>
  <c r="O7049" i="12"/>
  <c r="M7052" i="12" l="1"/>
  <c r="N7052" i="12" s="1"/>
  <c r="O7050" i="12"/>
  <c r="M7053" i="12" l="1"/>
  <c r="N7053" i="12" s="1"/>
  <c r="O7051" i="12"/>
  <c r="M7054" i="12" l="1"/>
  <c r="N7054" i="12" s="1"/>
  <c r="O7052" i="12"/>
  <c r="M7055" i="12" l="1"/>
  <c r="N7055" i="12" s="1"/>
  <c r="O7053" i="12"/>
  <c r="M7056" i="12" l="1"/>
  <c r="N7056" i="12" s="1"/>
  <c r="O7054" i="12"/>
  <c r="M7057" i="12" l="1"/>
  <c r="N7057" i="12" s="1"/>
  <c r="O7055" i="12"/>
  <c r="M7058" i="12" l="1"/>
  <c r="N7058" i="12" s="1"/>
  <c r="O7056" i="12"/>
  <c r="M7059" i="12" l="1"/>
  <c r="N7059" i="12" s="1"/>
  <c r="O7057" i="12"/>
  <c r="M7060" i="12" l="1"/>
  <c r="N7060" i="12" s="1"/>
  <c r="O7058" i="12"/>
  <c r="M7061" i="12" l="1"/>
  <c r="N7061" i="12" s="1"/>
  <c r="O7059" i="12"/>
  <c r="M7062" i="12" l="1"/>
  <c r="N7062" i="12" s="1"/>
  <c r="O7060" i="12"/>
  <c r="M7063" i="12" l="1"/>
  <c r="N7063" i="12" s="1"/>
  <c r="O7061" i="12"/>
  <c r="M7064" i="12" l="1"/>
  <c r="N7064" i="12" s="1"/>
  <c r="O7062" i="12"/>
  <c r="M7065" i="12" l="1"/>
  <c r="N7065" i="12" s="1"/>
  <c r="O7063" i="12"/>
  <c r="M7066" i="12" l="1"/>
  <c r="N7066" i="12" s="1"/>
  <c r="O7064" i="12"/>
  <c r="M7067" i="12" l="1"/>
  <c r="N7067" i="12" s="1"/>
  <c r="O7065" i="12"/>
  <c r="M7068" i="12" l="1"/>
  <c r="N7068" i="12" s="1"/>
  <c r="O7066" i="12"/>
  <c r="M7069" i="12" l="1"/>
  <c r="N7069" i="12" s="1"/>
  <c r="O7067" i="12"/>
  <c r="M7070" i="12" l="1"/>
  <c r="N7070" i="12" s="1"/>
  <c r="O7068" i="12"/>
  <c r="M7071" i="12" l="1"/>
  <c r="N7071" i="12" s="1"/>
  <c r="O7069" i="12"/>
  <c r="M7072" i="12" l="1"/>
  <c r="N7072" i="12" s="1"/>
  <c r="O7070" i="12"/>
  <c r="M7073" i="12" l="1"/>
  <c r="N7073" i="12" s="1"/>
  <c r="O7071" i="12"/>
  <c r="M7074" i="12" l="1"/>
  <c r="N7074" i="12" s="1"/>
  <c r="O7072" i="12"/>
  <c r="M7075" i="12" l="1"/>
  <c r="N7075" i="12" s="1"/>
  <c r="O7073" i="12"/>
  <c r="M7076" i="12" l="1"/>
  <c r="N7076" i="12" s="1"/>
  <c r="O7074" i="12"/>
  <c r="M7077" i="12" l="1"/>
  <c r="N7077" i="12" s="1"/>
  <c r="O7075" i="12"/>
  <c r="M7078" i="12" l="1"/>
  <c r="N7078" i="12" s="1"/>
  <c r="O7076" i="12"/>
  <c r="M7079" i="12" l="1"/>
  <c r="N7079" i="12" s="1"/>
  <c r="O7077" i="12"/>
  <c r="M7080" i="12" l="1"/>
  <c r="N7080" i="12" s="1"/>
  <c r="O7078" i="12"/>
  <c r="M7081" i="12" l="1"/>
  <c r="N7081" i="12" s="1"/>
  <c r="O7079" i="12"/>
  <c r="M7082" i="12" l="1"/>
  <c r="N7082" i="12" s="1"/>
  <c r="O7080" i="12"/>
  <c r="M7083" i="12" l="1"/>
  <c r="N7083" i="12" s="1"/>
  <c r="O7081" i="12"/>
  <c r="M7084" i="12" l="1"/>
  <c r="N7084" i="12" s="1"/>
  <c r="O7082" i="12"/>
  <c r="M7085" i="12" l="1"/>
  <c r="N7085" i="12" s="1"/>
  <c r="O7083" i="12"/>
  <c r="M7086" i="12" l="1"/>
  <c r="N7086" i="12" s="1"/>
  <c r="O7084" i="12"/>
  <c r="M7087" i="12" l="1"/>
  <c r="N7087" i="12" s="1"/>
  <c r="O7085" i="12"/>
  <c r="M7088" i="12" l="1"/>
  <c r="N7088" i="12" s="1"/>
  <c r="O7086" i="12"/>
  <c r="M7089" i="12" l="1"/>
  <c r="N7089" i="12" s="1"/>
  <c r="O7087" i="12"/>
  <c r="M7090" i="12" l="1"/>
  <c r="N7090" i="12" s="1"/>
  <c r="O7088" i="12"/>
  <c r="M7091" i="12" l="1"/>
  <c r="N7091" i="12" s="1"/>
  <c r="O7089" i="12"/>
  <c r="M7092" i="12" l="1"/>
  <c r="N7092" i="12" s="1"/>
  <c r="O7090" i="12"/>
  <c r="M7093" i="12" l="1"/>
  <c r="N7093" i="12" s="1"/>
  <c r="O7091" i="12"/>
  <c r="M7094" i="12" l="1"/>
  <c r="N7094" i="12" s="1"/>
  <c r="O7092" i="12"/>
  <c r="M7095" i="12" l="1"/>
  <c r="N7095" i="12" s="1"/>
  <c r="O7093" i="12"/>
  <c r="M7096" i="12" l="1"/>
  <c r="N7096" i="12" s="1"/>
  <c r="O7094" i="12"/>
  <c r="M7097" i="12" l="1"/>
  <c r="N7097" i="12" s="1"/>
  <c r="O7095" i="12"/>
  <c r="M7098" i="12" l="1"/>
  <c r="N7098" i="12" s="1"/>
  <c r="O7096" i="12"/>
  <c r="M7099" i="12" l="1"/>
  <c r="N7099" i="12" s="1"/>
  <c r="O7097" i="12"/>
  <c r="M7100" i="12" l="1"/>
  <c r="N7100" i="12" s="1"/>
  <c r="O7098" i="12"/>
  <c r="M7101" i="12" l="1"/>
  <c r="N7101" i="12" s="1"/>
  <c r="O7099" i="12"/>
  <c r="M7102" i="12" l="1"/>
  <c r="N7102" i="12" s="1"/>
  <c r="O7100" i="12"/>
  <c r="M7103" i="12" l="1"/>
  <c r="N7103" i="12" s="1"/>
  <c r="O7101" i="12"/>
  <c r="M7104" i="12" l="1"/>
  <c r="N7104" i="12" s="1"/>
  <c r="O7102" i="12"/>
  <c r="M7105" i="12" l="1"/>
  <c r="N7105" i="12" s="1"/>
  <c r="O7103" i="12"/>
  <c r="M7106" i="12" l="1"/>
  <c r="N7106" i="12" s="1"/>
  <c r="O7104" i="12"/>
  <c r="M7107" i="12" l="1"/>
  <c r="N7107" i="12" s="1"/>
  <c r="O7105" i="12"/>
  <c r="M7108" i="12" l="1"/>
  <c r="N7108" i="12" s="1"/>
  <c r="O7106" i="12"/>
  <c r="M7109" i="12" l="1"/>
  <c r="N7109" i="12" s="1"/>
  <c r="O7107" i="12"/>
  <c r="M7110" i="12" l="1"/>
  <c r="N7110" i="12" s="1"/>
  <c r="O7108" i="12"/>
  <c r="M7111" i="12" l="1"/>
  <c r="N7111" i="12" s="1"/>
  <c r="O7109" i="12"/>
  <c r="M7112" i="12" l="1"/>
  <c r="N7112" i="12" s="1"/>
  <c r="O7110" i="12"/>
  <c r="M7113" i="12" l="1"/>
  <c r="N7113" i="12" s="1"/>
  <c r="O7111" i="12"/>
  <c r="M7114" i="12" l="1"/>
  <c r="N7114" i="12" s="1"/>
  <c r="O7112" i="12"/>
  <c r="M7115" i="12" l="1"/>
  <c r="N7115" i="12" s="1"/>
  <c r="O7113" i="12"/>
  <c r="M7116" i="12" l="1"/>
  <c r="N7116" i="12" s="1"/>
  <c r="O7114" i="12"/>
  <c r="M7117" i="12" l="1"/>
  <c r="N7117" i="12" s="1"/>
  <c r="O7115" i="12"/>
  <c r="M7118" i="12" l="1"/>
  <c r="N7118" i="12" s="1"/>
  <c r="O7116" i="12"/>
  <c r="M7119" i="12" l="1"/>
  <c r="N7119" i="12" s="1"/>
  <c r="O7117" i="12"/>
  <c r="M7120" i="12" l="1"/>
  <c r="N7120" i="12" s="1"/>
  <c r="O7118" i="12"/>
  <c r="M7121" i="12" l="1"/>
  <c r="N7121" i="12" s="1"/>
  <c r="O7119" i="12"/>
  <c r="M7122" i="12" l="1"/>
  <c r="N7122" i="12" s="1"/>
  <c r="O7120" i="12"/>
  <c r="M7123" i="12" l="1"/>
  <c r="N7123" i="12" s="1"/>
  <c r="O7121" i="12"/>
  <c r="M7124" i="12" l="1"/>
  <c r="N7124" i="12" s="1"/>
  <c r="O7122" i="12"/>
  <c r="M7125" i="12" l="1"/>
  <c r="N7125" i="12" s="1"/>
  <c r="O7123" i="12"/>
  <c r="M7126" i="12" l="1"/>
  <c r="N7126" i="12" s="1"/>
  <c r="O7124" i="12"/>
  <c r="M7127" i="12" l="1"/>
  <c r="N7127" i="12" s="1"/>
  <c r="O7125" i="12"/>
  <c r="M7128" i="12" l="1"/>
  <c r="N7128" i="12" s="1"/>
  <c r="O7126" i="12"/>
  <c r="M7129" i="12" l="1"/>
  <c r="N7129" i="12" s="1"/>
  <c r="O7127" i="12"/>
  <c r="M7130" i="12" l="1"/>
  <c r="N7130" i="12" s="1"/>
  <c r="O7128" i="12"/>
  <c r="M7131" i="12" l="1"/>
  <c r="N7131" i="12" s="1"/>
  <c r="O7129" i="12"/>
  <c r="M7132" i="12" l="1"/>
  <c r="N7132" i="12" s="1"/>
  <c r="O7130" i="12"/>
  <c r="M7133" i="12" l="1"/>
  <c r="N7133" i="12" s="1"/>
  <c r="O7131" i="12"/>
  <c r="M7134" i="12" l="1"/>
  <c r="N7134" i="12" s="1"/>
  <c r="O7132" i="12"/>
  <c r="M7135" i="12" l="1"/>
  <c r="N7135" i="12" s="1"/>
  <c r="O7133" i="12"/>
  <c r="M7136" i="12" l="1"/>
  <c r="N7136" i="12" s="1"/>
  <c r="O7134" i="12"/>
  <c r="M7137" i="12" l="1"/>
  <c r="N7137" i="12" s="1"/>
  <c r="O7135" i="12"/>
  <c r="M7138" i="12" l="1"/>
  <c r="N7138" i="12" s="1"/>
  <c r="O7136" i="12"/>
  <c r="M7139" i="12" l="1"/>
  <c r="N7139" i="12" s="1"/>
  <c r="O7137" i="12"/>
  <c r="M7140" i="12" l="1"/>
  <c r="N7140" i="12" s="1"/>
  <c r="O7138" i="12"/>
  <c r="M7141" i="12" l="1"/>
  <c r="N7141" i="12" s="1"/>
  <c r="O7139" i="12"/>
  <c r="M7142" i="12" l="1"/>
  <c r="N7142" i="12" s="1"/>
  <c r="O7140" i="12"/>
  <c r="M7143" i="12" l="1"/>
  <c r="N7143" i="12" s="1"/>
  <c r="O7141" i="12"/>
  <c r="M7144" i="12" l="1"/>
  <c r="N7144" i="12" s="1"/>
  <c r="O7142" i="12"/>
  <c r="M7145" i="12" l="1"/>
  <c r="N7145" i="12" s="1"/>
  <c r="O7143" i="12"/>
  <c r="M7146" i="12" l="1"/>
  <c r="N7146" i="12" s="1"/>
  <c r="O7144" i="12"/>
  <c r="M7147" i="12" l="1"/>
  <c r="N7147" i="12" s="1"/>
  <c r="O7145" i="12"/>
  <c r="M7148" i="12" l="1"/>
  <c r="N7148" i="12" s="1"/>
  <c r="O7146" i="12"/>
  <c r="M7149" i="12" l="1"/>
  <c r="N7149" i="12" s="1"/>
  <c r="O7147" i="12"/>
  <c r="M7150" i="12" l="1"/>
  <c r="N7150" i="12" s="1"/>
  <c r="O7148" i="12"/>
  <c r="M7151" i="12" l="1"/>
  <c r="N7151" i="12" s="1"/>
  <c r="O7149" i="12"/>
  <c r="M7152" i="12" l="1"/>
  <c r="N7152" i="12" s="1"/>
  <c r="O7150" i="12"/>
  <c r="M7153" i="12" l="1"/>
  <c r="N7153" i="12" s="1"/>
  <c r="O7151" i="12"/>
  <c r="M7154" i="12" l="1"/>
  <c r="N7154" i="12" s="1"/>
  <c r="O7152" i="12"/>
  <c r="M7155" i="12" l="1"/>
  <c r="N7155" i="12" s="1"/>
  <c r="O7153" i="12"/>
  <c r="M7156" i="12" l="1"/>
  <c r="N7156" i="12" s="1"/>
  <c r="O7154" i="12"/>
  <c r="M7157" i="12" l="1"/>
  <c r="N7157" i="12" s="1"/>
  <c r="O7155" i="12"/>
  <c r="M7158" i="12" l="1"/>
  <c r="N7158" i="12" s="1"/>
  <c r="O7156" i="12"/>
  <c r="M7159" i="12" l="1"/>
  <c r="N7159" i="12" s="1"/>
  <c r="O7157" i="12"/>
  <c r="M7160" i="12" l="1"/>
  <c r="N7160" i="12" s="1"/>
  <c r="O7158" i="12"/>
  <c r="M7161" i="12" l="1"/>
  <c r="N7161" i="12" s="1"/>
  <c r="O7159" i="12"/>
  <c r="M7162" i="12" l="1"/>
  <c r="N7162" i="12" s="1"/>
  <c r="O7160" i="12"/>
  <c r="M7163" i="12" l="1"/>
  <c r="N7163" i="12" s="1"/>
  <c r="O7161" i="12"/>
  <c r="M7164" i="12" l="1"/>
  <c r="N7164" i="12" s="1"/>
  <c r="O7162" i="12"/>
  <c r="M7165" i="12" l="1"/>
  <c r="N7165" i="12" s="1"/>
  <c r="O7163" i="12"/>
  <c r="M7166" i="12" l="1"/>
  <c r="N7166" i="12" s="1"/>
  <c r="O7164" i="12"/>
  <c r="M7167" i="12" l="1"/>
  <c r="N7167" i="12" s="1"/>
  <c r="O7165" i="12"/>
  <c r="M7168" i="12" l="1"/>
  <c r="N7168" i="12" s="1"/>
  <c r="O7166" i="12"/>
  <c r="M7169" i="12" l="1"/>
  <c r="N7169" i="12" s="1"/>
  <c r="O7167" i="12"/>
  <c r="M7170" i="12" l="1"/>
  <c r="N7170" i="12" s="1"/>
  <c r="O7168" i="12"/>
  <c r="M7171" i="12" l="1"/>
  <c r="N7171" i="12" s="1"/>
  <c r="O7169" i="12"/>
  <c r="M7172" i="12" l="1"/>
  <c r="N7172" i="12" s="1"/>
  <c r="O7170" i="12"/>
  <c r="M7173" i="12" l="1"/>
  <c r="N7173" i="12" s="1"/>
  <c r="O7171" i="12"/>
  <c r="M7174" i="12" l="1"/>
  <c r="N7174" i="12" s="1"/>
  <c r="O7172" i="12"/>
  <c r="M7175" i="12" l="1"/>
  <c r="N7175" i="12" s="1"/>
  <c r="O7173" i="12"/>
  <c r="M7176" i="12" l="1"/>
  <c r="N7176" i="12" s="1"/>
  <c r="O7174" i="12"/>
  <c r="M7177" i="12" l="1"/>
  <c r="N7177" i="12" s="1"/>
  <c r="O7175" i="12"/>
  <c r="M7178" i="12" l="1"/>
  <c r="N7178" i="12" s="1"/>
  <c r="O7176" i="12"/>
  <c r="M7179" i="12" l="1"/>
  <c r="N7179" i="12" s="1"/>
  <c r="O7177" i="12"/>
  <c r="M7180" i="12" l="1"/>
  <c r="N7180" i="12" s="1"/>
  <c r="O7178" i="12"/>
  <c r="M7181" i="12" l="1"/>
  <c r="N7181" i="12" s="1"/>
  <c r="O7179" i="12"/>
  <c r="M7182" i="12" l="1"/>
  <c r="N7182" i="12" s="1"/>
  <c r="O7180" i="12"/>
  <c r="M7183" i="12" l="1"/>
  <c r="N7183" i="12" s="1"/>
  <c r="O7181" i="12"/>
  <c r="M7184" i="12" l="1"/>
  <c r="N7184" i="12" s="1"/>
  <c r="O7182" i="12"/>
  <c r="M7185" i="12" l="1"/>
  <c r="N7185" i="12" s="1"/>
  <c r="O7183" i="12"/>
  <c r="M7186" i="12" l="1"/>
  <c r="N7186" i="12" s="1"/>
  <c r="O7184" i="12"/>
  <c r="M7187" i="12" l="1"/>
  <c r="N7187" i="12" s="1"/>
  <c r="O7185" i="12"/>
  <c r="M7188" i="12" l="1"/>
  <c r="N7188" i="12" s="1"/>
  <c r="O7186" i="12"/>
  <c r="M7189" i="12" l="1"/>
  <c r="N7189" i="12" s="1"/>
  <c r="O7187" i="12"/>
  <c r="M7190" i="12" l="1"/>
  <c r="N7190" i="12" s="1"/>
  <c r="O7188" i="12"/>
  <c r="M7191" i="12" l="1"/>
  <c r="N7191" i="12" s="1"/>
  <c r="O7189" i="12"/>
  <c r="M7192" i="12" l="1"/>
  <c r="N7192" i="12" s="1"/>
  <c r="O7190" i="12"/>
  <c r="M7193" i="12" l="1"/>
  <c r="N7193" i="12" s="1"/>
  <c r="O7191" i="12"/>
  <c r="M7194" i="12" l="1"/>
  <c r="N7194" i="12" s="1"/>
  <c r="O7192" i="12"/>
  <c r="M7195" i="12" l="1"/>
  <c r="N7195" i="12" s="1"/>
  <c r="O7193" i="12"/>
  <c r="M7196" i="12" l="1"/>
  <c r="N7196" i="12" s="1"/>
  <c r="O7194" i="12"/>
  <c r="M7197" i="12" l="1"/>
  <c r="N7197" i="12" s="1"/>
  <c r="O7195" i="12"/>
  <c r="M7198" i="12" l="1"/>
  <c r="N7198" i="12" s="1"/>
  <c r="O7196" i="12"/>
  <c r="M7199" i="12" l="1"/>
  <c r="N7199" i="12" s="1"/>
  <c r="O7197" i="12"/>
  <c r="M7200" i="12" l="1"/>
  <c r="N7200" i="12" s="1"/>
  <c r="O7198" i="12"/>
  <c r="M7201" i="12" l="1"/>
  <c r="N7201" i="12" s="1"/>
  <c r="O7199" i="12"/>
  <c r="M7202" i="12" l="1"/>
  <c r="N7202" i="12" s="1"/>
  <c r="O7200" i="12"/>
  <c r="M7203" i="12" l="1"/>
  <c r="N7203" i="12" s="1"/>
  <c r="O7201" i="12"/>
  <c r="M7204" i="12" l="1"/>
  <c r="N7204" i="12" s="1"/>
  <c r="O7202" i="12"/>
  <c r="M7205" i="12" l="1"/>
  <c r="N7205" i="12" s="1"/>
  <c r="O7203" i="12"/>
  <c r="M7206" i="12" l="1"/>
  <c r="N7206" i="12" s="1"/>
  <c r="O7204" i="12"/>
  <c r="M7207" i="12" l="1"/>
  <c r="N7207" i="12" s="1"/>
  <c r="O7205" i="12"/>
  <c r="M7208" i="12" l="1"/>
  <c r="N7208" i="12" s="1"/>
  <c r="O7206" i="12"/>
  <c r="M7209" i="12" l="1"/>
  <c r="N7209" i="12" s="1"/>
  <c r="O7207" i="12"/>
  <c r="M7210" i="12" l="1"/>
  <c r="N7210" i="12" s="1"/>
  <c r="O7208" i="12"/>
  <c r="M7211" i="12" l="1"/>
  <c r="N7211" i="12" s="1"/>
  <c r="O7209" i="12"/>
  <c r="M7212" i="12" l="1"/>
  <c r="N7212" i="12" s="1"/>
  <c r="O7210" i="12"/>
  <c r="M7213" i="12" l="1"/>
  <c r="N7213" i="12" s="1"/>
  <c r="O7211" i="12"/>
  <c r="M7214" i="12" l="1"/>
  <c r="N7214" i="12" s="1"/>
  <c r="O7212" i="12"/>
  <c r="M7215" i="12" l="1"/>
  <c r="N7215" i="12" s="1"/>
  <c r="O7213" i="12"/>
  <c r="M7216" i="12" l="1"/>
  <c r="N7216" i="12" s="1"/>
  <c r="O7214" i="12"/>
  <c r="M7217" i="12" l="1"/>
  <c r="N7217" i="12" s="1"/>
  <c r="O7215" i="12"/>
  <c r="M7218" i="12" l="1"/>
  <c r="N7218" i="12" s="1"/>
  <c r="O7216" i="12"/>
  <c r="M7219" i="12" l="1"/>
  <c r="N7219" i="12" s="1"/>
  <c r="O7217" i="12"/>
  <c r="M7220" i="12" l="1"/>
  <c r="N7220" i="12" s="1"/>
  <c r="O7218" i="12"/>
  <c r="M7221" i="12" l="1"/>
  <c r="N7221" i="12" s="1"/>
  <c r="O7219" i="12"/>
  <c r="M7222" i="12" l="1"/>
  <c r="N7222" i="12" s="1"/>
  <c r="O7220" i="12"/>
  <c r="M7223" i="12" l="1"/>
  <c r="N7223" i="12" s="1"/>
  <c r="O7221" i="12"/>
  <c r="M7224" i="12" l="1"/>
  <c r="N7224" i="12" s="1"/>
  <c r="O7222" i="12"/>
  <c r="M7225" i="12" l="1"/>
  <c r="N7225" i="12" s="1"/>
  <c r="O7223" i="12"/>
  <c r="M7226" i="12" l="1"/>
  <c r="N7226" i="12" s="1"/>
  <c r="O7224" i="12"/>
  <c r="M7227" i="12" l="1"/>
  <c r="N7227" i="12" s="1"/>
  <c r="O7225" i="12"/>
  <c r="M7228" i="12" l="1"/>
  <c r="N7228" i="12" s="1"/>
  <c r="O7226" i="12"/>
  <c r="M7229" i="12" l="1"/>
  <c r="N7229" i="12" s="1"/>
  <c r="O7227" i="12"/>
  <c r="M7230" i="12" l="1"/>
  <c r="N7230" i="12" s="1"/>
  <c r="O7228" i="12"/>
  <c r="M7231" i="12" l="1"/>
  <c r="N7231" i="12" s="1"/>
  <c r="O7229" i="12"/>
  <c r="M7232" i="12" l="1"/>
  <c r="N7232" i="12" s="1"/>
  <c r="O7230" i="12"/>
  <c r="M7233" i="12" l="1"/>
  <c r="N7233" i="12" s="1"/>
  <c r="O7231" i="12"/>
  <c r="M7234" i="12" l="1"/>
  <c r="N7234" i="12" s="1"/>
  <c r="O7232" i="12"/>
  <c r="M7235" i="12" l="1"/>
  <c r="N7235" i="12" s="1"/>
  <c r="O7233" i="12"/>
  <c r="M7236" i="12" l="1"/>
  <c r="N7236" i="12" s="1"/>
  <c r="O7234" i="12"/>
  <c r="M7237" i="12" l="1"/>
  <c r="N7237" i="12" s="1"/>
  <c r="O7235" i="12"/>
  <c r="M7238" i="12" l="1"/>
  <c r="N7238" i="12" s="1"/>
  <c r="O7236" i="12"/>
  <c r="M7239" i="12" l="1"/>
  <c r="N7239" i="12" s="1"/>
  <c r="O7237" i="12"/>
  <c r="M7240" i="12" l="1"/>
  <c r="N7240" i="12" s="1"/>
  <c r="O7238" i="12"/>
  <c r="M7241" i="12" l="1"/>
  <c r="N7241" i="12" s="1"/>
  <c r="O7239" i="12"/>
  <c r="M7242" i="12" l="1"/>
  <c r="N7242" i="12" s="1"/>
  <c r="O7240" i="12"/>
  <c r="M7243" i="12" l="1"/>
  <c r="N7243" i="12" s="1"/>
  <c r="O7241" i="12"/>
  <c r="M7244" i="12" l="1"/>
  <c r="N7244" i="12" s="1"/>
  <c r="O7242" i="12"/>
  <c r="M7245" i="12" l="1"/>
  <c r="N7245" i="12" s="1"/>
  <c r="O7243" i="12"/>
  <c r="M7246" i="12" l="1"/>
  <c r="N7246" i="12" s="1"/>
  <c r="O7244" i="12"/>
  <c r="M7247" i="12" l="1"/>
  <c r="N7247" i="12" s="1"/>
  <c r="O7245" i="12"/>
  <c r="M7248" i="12" l="1"/>
  <c r="N7248" i="12" s="1"/>
  <c r="O7246" i="12"/>
  <c r="M7249" i="12" l="1"/>
  <c r="N7249" i="12" s="1"/>
  <c r="O7247" i="12"/>
  <c r="M7250" i="12" l="1"/>
  <c r="N7250" i="12" s="1"/>
  <c r="O7248" i="12"/>
  <c r="M7251" i="12" l="1"/>
  <c r="N7251" i="12" s="1"/>
  <c r="O7249" i="12"/>
  <c r="M7252" i="12" l="1"/>
  <c r="N7252" i="12" s="1"/>
  <c r="O7250" i="12"/>
  <c r="M7253" i="12" l="1"/>
  <c r="N7253" i="12" s="1"/>
  <c r="O7251" i="12"/>
  <c r="M7254" i="12" l="1"/>
  <c r="N7254" i="12" s="1"/>
  <c r="O7252" i="12"/>
  <c r="M7255" i="12" l="1"/>
  <c r="N7255" i="12" s="1"/>
  <c r="O7253" i="12"/>
  <c r="M7256" i="12" l="1"/>
  <c r="N7256" i="12" s="1"/>
  <c r="O7254" i="12"/>
  <c r="M7257" i="12" l="1"/>
  <c r="N7257" i="12" s="1"/>
  <c r="O7255" i="12"/>
  <c r="M7258" i="12" l="1"/>
  <c r="N7258" i="12" s="1"/>
  <c r="O7256" i="12"/>
  <c r="M7259" i="12" l="1"/>
  <c r="N7259" i="12" s="1"/>
  <c r="O7257" i="12"/>
  <c r="M7260" i="12" l="1"/>
  <c r="N7260" i="12" s="1"/>
  <c r="O7258" i="12"/>
  <c r="M7261" i="12" l="1"/>
  <c r="N7261" i="12" s="1"/>
  <c r="O7259" i="12"/>
  <c r="M7262" i="12" l="1"/>
  <c r="N7262" i="12" s="1"/>
  <c r="O7260" i="12"/>
  <c r="M7263" i="12" l="1"/>
  <c r="N7263" i="12" s="1"/>
  <c r="O7261" i="12"/>
  <c r="M7264" i="12" l="1"/>
  <c r="N7264" i="12" s="1"/>
  <c r="O7262" i="12"/>
  <c r="M7265" i="12" l="1"/>
  <c r="N7265" i="12" s="1"/>
  <c r="O7263" i="12"/>
  <c r="M7266" i="12" l="1"/>
  <c r="N7266" i="12" s="1"/>
  <c r="O7264" i="12"/>
  <c r="M7267" i="12" l="1"/>
  <c r="N7267" i="12" s="1"/>
  <c r="O7265" i="12"/>
  <c r="M7268" i="12" l="1"/>
  <c r="N7268" i="12" s="1"/>
  <c r="O7266" i="12"/>
  <c r="M7269" i="12" l="1"/>
  <c r="N7269" i="12" s="1"/>
  <c r="O7267" i="12"/>
  <c r="M7270" i="12" l="1"/>
  <c r="N7270" i="12" s="1"/>
  <c r="O7268" i="12"/>
  <c r="M7271" i="12" l="1"/>
  <c r="N7271" i="12" s="1"/>
  <c r="O7269" i="12"/>
  <c r="M7272" i="12" l="1"/>
  <c r="N7272" i="12" s="1"/>
  <c r="O7270" i="12"/>
  <c r="M7273" i="12" l="1"/>
  <c r="N7273" i="12" s="1"/>
  <c r="O7271" i="12"/>
  <c r="M7274" i="12" l="1"/>
  <c r="N7274" i="12" s="1"/>
  <c r="O7272" i="12"/>
  <c r="M7275" i="12" l="1"/>
  <c r="N7275" i="12" s="1"/>
  <c r="O7273" i="12"/>
  <c r="M7276" i="12" l="1"/>
  <c r="N7276" i="12" s="1"/>
  <c r="O7274" i="12"/>
  <c r="M7277" i="12" l="1"/>
  <c r="N7277" i="12" s="1"/>
  <c r="O7275" i="12"/>
  <c r="M7278" i="12" l="1"/>
  <c r="N7278" i="12" s="1"/>
  <c r="O7276" i="12"/>
  <c r="M7279" i="12" l="1"/>
  <c r="N7279" i="12" s="1"/>
  <c r="O7277" i="12"/>
  <c r="M7280" i="12" l="1"/>
  <c r="N7280" i="12" s="1"/>
  <c r="O7278" i="12"/>
  <c r="M7281" i="12" l="1"/>
  <c r="N7281" i="12" s="1"/>
  <c r="O7279" i="12"/>
  <c r="M7282" i="12" l="1"/>
  <c r="N7282" i="12" s="1"/>
  <c r="O7280" i="12"/>
  <c r="M7283" i="12" l="1"/>
  <c r="N7283" i="12" s="1"/>
  <c r="O7281" i="12"/>
  <c r="M7284" i="12" l="1"/>
  <c r="N7284" i="12" s="1"/>
  <c r="O7282" i="12"/>
  <c r="M7285" i="12" l="1"/>
  <c r="N7285" i="12" s="1"/>
  <c r="O7283" i="12"/>
  <c r="M7286" i="12" l="1"/>
  <c r="N7286" i="12" s="1"/>
  <c r="O7284" i="12"/>
  <c r="M7287" i="12" l="1"/>
  <c r="N7287" i="12" s="1"/>
  <c r="O7285" i="12"/>
  <c r="M7288" i="12" l="1"/>
  <c r="N7288" i="12" s="1"/>
  <c r="O7286" i="12"/>
  <c r="M7289" i="12" l="1"/>
  <c r="N7289" i="12" s="1"/>
  <c r="O7287" i="12"/>
  <c r="M7290" i="12" l="1"/>
  <c r="N7290" i="12" s="1"/>
  <c r="O7288" i="12"/>
  <c r="M7291" i="12" l="1"/>
  <c r="N7291" i="12" s="1"/>
  <c r="O7289" i="12"/>
  <c r="M7292" i="12" l="1"/>
  <c r="N7292" i="12" s="1"/>
  <c r="O7290" i="12"/>
  <c r="M7293" i="12" l="1"/>
  <c r="N7293" i="12" s="1"/>
  <c r="O7291" i="12"/>
  <c r="M7294" i="12" l="1"/>
  <c r="N7294" i="12" s="1"/>
  <c r="O7292" i="12"/>
  <c r="M7295" i="12" l="1"/>
  <c r="N7295" i="12" s="1"/>
  <c r="O7293" i="12"/>
  <c r="M7296" i="12" l="1"/>
  <c r="N7296" i="12" s="1"/>
  <c r="O7294" i="12"/>
  <c r="M7297" i="12" l="1"/>
  <c r="N7297" i="12" s="1"/>
  <c r="O7295" i="12"/>
  <c r="M7298" i="12" l="1"/>
  <c r="N7298" i="12" s="1"/>
  <c r="O7296" i="12"/>
  <c r="M7299" i="12" l="1"/>
  <c r="N7299" i="12" s="1"/>
  <c r="O7297" i="12"/>
  <c r="M7300" i="12" l="1"/>
  <c r="N7300" i="12" s="1"/>
  <c r="O7298" i="12"/>
  <c r="M7301" i="12" l="1"/>
  <c r="N7301" i="12" s="1"/>
  <c r="O7299" i="12"/>
  <c r="M7302" i="12" l="1"/>
  <c r="N7302" i="12" s="1"/>
  <c r="O7300" i="12"/>
  <c r="M7303" i="12" l="1"/>
  <c r="N7303" i="12" s="1"/>
  <c r="O7301" i="12"/>
  <c r="M7304" i="12" l="1"/>
  <c r="N7304" i="12" s="1"/>
  <c r="O7302" i="12"/>
  <c r="M7305" i="12" l="1"/>
  <c r="N7305" i="12" s="1"/>
  <c r="O7303" i="12"/>
  <c r="M7306" i="12" l="1"/>
  <c r="N7306" i="12" s="1"/>
  <c r="O7304" i="12"/>
  <c r="M7307" i="12" l="1"/>
  <c r="N7307" i="12" s="1"/>
  <c r="O7305" i="12"/>
  <c r="M7308" i="12" l="1"/>
  <c r="N7308" i="12" s="1"/>
  <c r="O7306" i="12"/>
  <c r="M7309" i="12" l="1"/>
  <c r="N7309" i="12" s="1"/>
  <c r="O7307" i="12"/>
  <c r="M7310" i="12" l="1"/>
  <c r="N7310" i="12" s="1"/>
  <c r="O7308" i="12"/>
  <c r="M7311" i="12" l="1"/>
  <c r="N7311" i="12" s="1"/>
  <c r="O7309" i="12"/>
  <c r="M7312" i="12" l="1"/>
  <c r="N7312" i="12" s="1"/>
  <c r="O7310" i="12"/>
  <c r="M7313" i="12" l="1"/>
  <c r="N7313" i="12" s="1"/>
  <c r="O7311" i="12"/>
  <c r="M7314" i="12" l="1"/>
  <c r="N7314" i="12" s="1"/>
  <c r="O7312" i="12"/>
  <c r="M7315" i="12" l="1"/>
  <c r="N7315" i="12" s="1"/>
  <c r="O7313" i="12"/>
  <c r="M7316" i="12" l="1"/>
  <c r="N7316" i="12" s="1"/>
  <c r="O7314" i="12"/>
  <c r="M7317" i="12" l="1"/>
  <c r="N7317" i="12" s="1"/>
  <c r="O7315" i="12"/>
  <c r="M7318" i="12" l="1"/>
  <c r="N7318" i="12" s="1"/>
  <c r="O7316" i="12"/>
  <c r="M7319" i="12" l="1"/>
  <c r="N7319" i="12" s="1"/>
  <c r="O7317" i="12"/>
  <c r="M7320" i="12" l="1"/>
  <c r="N7320" i="12" s="1"/>
  <c r="O7318" i="12"/>
  <c r="M7321" i="12" l="1"/>
  <c r="N7321" i="12" s="1"/>
  <c r="O7319" i="12"/>
  <c r="M7322" i="12" l="1"/>
  <c r="N7322" i="12" s="1"/>
  <c r="O7320" i="12"/>
  <c r="M7323" i="12" l="1"/>
  <c r="N7323" i="12" s="1"/>
  <c r="O7321" i="12"/>
  <c r="M7324" i="12" l="1"/>
  <c r="N7324" i="12" s="1"/>
  <c r="O7322" i="12"/>
  <c r="M7325" i="12" l="1"/>
  <c r="N7325" i="12" s="1"/>
  <c r="O7323" i="12"/>
  <c r="M7326" i="12" l="1"/>
  <c r="N7326" i="12" s="1"/>
  <c r="O7324" i="12"/>
  <c r="M7327" i="12" l="1"/>
  <c r="N7327" i="12" s="1"/>
  <c r="O7325" i="12"/>
  <c r="M7328" i="12" l="1"/>
  <c r="N7328" i="12" s="1"/>
  <c r="O7326" i="12"/>
  <c r="M7329" i="12" l="1"/>
  <c r="N7329" i="12" s="1"/>
  <c r="O7327" i="12"/>
  <c r="M7330" i="12" l="1"/>
  <c r="N7330" i="12" s="1"/>
  <c r="O7328" i="12"/>
  <c r="M7331" i="12" l="1"/>
  <c r="N7331" i="12" s="1"/>
  <c r="O7329" i="12"/>
  <c r="M7332" i="12" l="1"/>
  <c r="N7332" i="12" s="1"/>
  <c r="O7330" i="12"/>
  <c r="M7333" i="12" l="1"/>
  <c r="N7333" i="12" s="1"/>
  <c r="O7331" i="12"/>
  <c r="M7334" i="12" l="1"/>
  <c r="N7334" i="12" s="1"/>
  <c r="O7332" i="12"/>
  <c r="M7335" i="12" l="1"/>
  <c r="N7335" i="12" s="1"/>
  <c r="O7333" i="12"/>
  <c r="M7336" i="12" l="1"/>
  <c r="N7336" i="12" s="1"/>
  <c r="O7334" i="12"/>
  <c r="M7337" i="12" l="1"/>
  <c r="N7337" i="12" s="1"/>
  <c r="O7335" i="12"/>
  <c r="M7338" i="12" l="1"/>
  <c r="N7338" i="12" s="1"/>
  <c r="O7336" i="12"/>
  <c r="M7339" i="12" l="1"/>
  <c r="N7339" i="12" s="1"/>
  <c r="O7337" i="12"/>
  <c r="M7340" i="12" l="1"/>
  <c r="N7340" i="12" s="1"/>
  <c r="O7338" i="12"/>
  <c r="M7341" i="12" l="1"/>
  <c r="N7341" i="12" s="1"/>
  <c r="O7339" i="12"/>
  <c r="M7342" i="12" l="1"/>
  <c r="N7342" i="12" s="1"/>
  <c r="O7340" i="12"/>
  <c r="M7343" i="12" l="1"/>
  <c r="N7343" i="12" s="1"/>
  <c r="O7341" i="12"/>
  <c r="M7344" i="12" l="1"/>
  <c r="N7344" i="12" s="1"/>
  <c r="O7342" i="12"/>
  <c r="M7345" i="12" l="1"/>
  <c r="N7345" i="12" s="1"/>
  <c r="O7343" i="12"/>
  <c r="M7346" i="12" l="1"/>
  <c r="N7346" i="12" s="1"/>
  <c r="O7344" i="12"/>
  <c r="M7347" i="12" l="1"/>
  <c r="N7347" i="12" s="1"/>
  <c r="O7345" i="12"/>
  <c r="M7348" i="12" l="1"/>
  <c r="N7348" i="12" s="1"/>
  <c r="O7346" i="12"/>
  <c r="M7349" i="12" l="1"/>
  <c r="N7349" i="12" s="1"/>
  <c r="O7347" i="12"/>
  <c r="M7350" i="12" l="1"/>
  <c r="N7350" i="12" s="1"/>
  <c r="O7348" i="12"/>
  <c r="M7351" i="12" l="1"/>
  <c r="N7351" i="12" s="1"/>
  <c r="O7349" i="12"/>
  <c r="M7352" i="12" l="1"/>
  <c r="N7352" i="12" s="1"/>
  <c r="O7350" i="12"/>
  <c r="M7353" i="12" l="1"/>
  <c r="N7353" i="12" s="1"/>
  <c r="O7351" i="12"/>
  <c r="M7354" i="12" l="1"/>
  <c r="N7354" i="12" s="1"/>
  <c r="O7352" i="12"/>
  <c r="M7355" i="12" l="1"/>
  <c r="N7355" i="12" s="1"/>
  <c r="O7353" i="12"/>
  <c r="M7356" i="12" l="1"/>
  <c r="N7356" i="12" s="1"/>
  <c r="O7354" i="12"/>
  <c r="M7357" i="12" l="1"/>
  <c r="N7357" i="12" s="1"/>
  <c r="O7355" i="12"/>
  <c r="M7358" i="12" l="1"/>
  <c r="N7358" i="12" s="1"/>
  <c r="O7356" i="12"/>
  <c r="M7359" i="12" l="1"/>
  <c r="N7359" i="12" s="1"/>
  <c r="O7357" i="12"/>
  <c r="M7360" i="12" l="1"/>
  <c r="N7360" i="12" s="1"/>
  <c r="O7358" i="12"/>
  <c r="M7361" i="12" l="1"/>
  <c r="N7361" i="12" s="1"/>
  <c r="O7359" i="12"/>
  <c r="M7362" i="12" l="1"/>
  <c r="N7362" i="12" s="1"/>
  <c r="O7360" i="12"/>
  <c r="M7363" i="12" l="1"/>
  <c r="N7363" i="12" s="1"/>
  <c r="O7361" i="12"/>
  <c r="M7364" i="12" l="1"/>
  <c r="N7364" i="12" s="1"/>
  <c r="O7362" i="12"/>
  <c r="M7365" i="12" l="1"/>
  <c r="N7365" i="12" s="1"/>
  <c r="O7363" i="12"/>
  <c r="M7366" i="12" l="1"/>
  <c r="N7366" i="12" s="1"/>
  <c r="O7364" i="12"/>
  <c r="M7367" i="12" l="1"/>
  <c r="N7367" i="12" s="1"/>
  <c r="O7365" i="12"/>
  <c r="M7368" i="12" l="1"/>
  <c r="N7368" i="12" s="1"/>
  <c r="O7366" i="12"/>
  <c r="M7369" i="12" l="1"/>
  <c r="N7369" i="12" s="1"/>
  <c r="O7367" i="12"/>
  <c r="M7370" i="12" l="1"/>
  <c r="N7370" i="12" s="1"/>
  <c r="O7368" i="12"/>
  <c r="M7371" i="12" l="1"/>
  <c r="N7371" i="12" s="1"/>
  <c r="O7369" i="12"/>
  <c r="M7372" i="12" l="1"/>
  <c r="N7372" i="12" s="1"/>
  <c r="O7370" i="12"/>
  <c r="M7373" i="12" l="1"/>
  <c r="N7373" i="12" s="1"/>
  <c r="O7371" i="12"/>
  <c r="M7374" i="12" l="1"/>
  <c r="N7374" i="12" s="1"/>
  <c r="O7372" i="12"/>
  <c r="M7375" i="12" l="1"/>
  <c r="N7375" i="12" s="1"/>
  <c r="O7373" i="12"/>
  <c r="M7376" i="12" l="1"/>
  <c r="N7376" i="12" s="1"/>
  <c r="O7374" i="12"/>
  <c r="M7377" i="12" l="1"/>
  <c r="N7377" i="12" s="1"/>
  <c r="O7375" i="12"/>
  <c r="M7378" i="12" l="1"/>
  <c r="N7378" i="12" s="1"/>
  <c r="O7376" i="12"/>
  <c r="M7379" i="12" l="1"/>
  <c r="N7379" i="12" s="1"/>
  <c r="O7377" i="12"/>
  <c r="M7380" i="12" l="1"/>
  <c r="N7380" i="12" s="1"/>
  <c r="O7378" i="12"/>
  <c r="M7381" i="12" l="1"/>
  <c r="N7381" i="12" s="1"/>
  <c r="O7379" i="12"/>
  <c r="M7382" i="12" l="1"/>
  <c r="N7382" i="12" s="1"/>
  <c r="O7380" i="12"/>
  <c r="M7383" i="12" l="1"/>
  <c r="N7383" i="12" s="1"/>
  <c r="O7381" i="12"/>
  <c r="M7384" i="12" l="1"/>
  <c r="N7384" i="12" s="1"/>
  <c r="O7382" i="12"/>
  <c r="M7385" i="12" l="1"/>
  <c r="N7385" i="12" s="1"/>
  <c r="O7383" i="12"/>
  <c r="M7386" i="12" l="1"/>
  <c r="N7386" i="12" s="1"/>
  <c r="O7384" i="12"/>
  <c r="M7387" i="12" l="1"/>
  <c r="N7387" i="12" s="1"/>
  <c r="O7385" i="12"/>
  <c r="M7388" i="12" l="1"/>
  <c r="N7388" i="12" s="1"/>
  <c r="O7386" i="12"/>
  <c r="M7389" i="12" l="1"/>
  <c r="N7389" i="12" s="1"/>
  <c r="O7387" i="12"/>
  <c r="M7390" i="12" l="1"/>
  <c r="N7390" i="12" s="1"/>
  <c r="O7388" i="12"/>
  <c r="M7391" i="12" l="1"/>
  <c r="N7391" i="12" s="1"/>
  <c r="O7389" i="12"/>
  <c r="M7392" i="12" l="1"/>
  <c r="N7392" i="12" s="1"/>
  <c r="O7390" i="12"/>
  <c r="M7393" i="12" l="1"/>
  <c r="N7393" i="12" s="1"/>
  <c r="O7391" i="12"/>
  <c r="M7394" i="12" l="1"/>
  <c r="N7394" i="12" s="1"/>
  <c r="O7392" i="12"/>
  <c r="M7395" i="12" l="1"/>
  <c r="N7395" i="12" s="1"/>
  <c r="O7393" i="12"/>
  <c r="M7396" i="12" l="1"/>
  <c r="N7396" i="12" s="1"/>
  <c r="O7394" i="12"/>
  <c r="M7397" i="12" l="1"/>
  <c r="N7397" i="12" s="1"/>
  <c r="O7395" i="12"/>
  <c r="M7398" i="12" l="1"/>
  <c r="N7398" i="12" s="1"/>
  <c r="O7396" i="12"/>
  <c r="M7399" i="12" l="1"/>
  <c r="N7399" i="12" s="1"/>
  <c r="O7397" i="12"/>
  <c r="M7400" i="12" l="1"/>
  <c r="N7400" i="12" s="1"/>
  <c r="O7398" i="12"/>
  <c r="M7401" i="12" l="1"/>
  <c r="N7401" i="12" s="1"/>
  <c r="O7399" i="12"/>
  <c r="M7402" i="12" l="1"/>
  <c r="N7402" i="12" s="1"/>
  <c r="O7400" i="12"/>
  <c r="M7403" i="12" l="1"/>
  <c r="N7403" i="12" s="1"/>
  <c r="O7401" i="12"/>
  <c r="M7404" i="12" l="1"/>
  <c r="N7404" i="12" s="1"/>
  <c r="O7402" i="12"/>
  <c r="M7405" i="12" l="1"/>
  <c r="N7405" i="12" s="1"/>
  <c r="O7403" i="12"/>
  <c r="M7406" i="12" l="1"/>
  <c r="N7406" i="12" s="1"/>
  <c r="O7404" i="12"/>
  <c r="M7407" i="12" l="1"/>
  <c r="N7407" i="12" s="1"/>
  <c r="O7405" i="12"/>
  <c r="M7408" i="12" l="1"/>
  <c r="N7408" i="12" s="1"/>
  <c r="O7406" i="12"/>
  <c r="M7409" i="12" l="1"/>
  <c r="N7409" i="12" s="1"/>
  <c r="O7407" i="12"/>
  <c r="M7410" i="12" l="1"/>
  <c r="N7410" i="12" s="1"/>
  <c r="O7408" i="12"/>
  <c r="M7411" i="12" l="1"/>
  <c r="N7411" i="12" s="1"/>
  <c r="O7409" i="12"/>
  <c r="M7412" i="12" l="1"/>
  <c r="N7412" i="12" s="1"/>
  <c r="O7410" i="12"/>
  <c r="M7413" i="12" l="1"/>
  <c r="N7413" i="12" s="1"/>
  <c r="O7411" i="12"/>
  <c r="M7414" i="12" l="1"/>
  <c r="N7414" i="12" s="1"/>
  <c r="O7412" i="12"/>
  <c r="M7415" i="12" l="1"/>
  <c r="N7415" i="12" s="1"/>
  <c r="O7413" i="12"/>
  <c r="M7416" i="12" l="1"/>
  <c r="N7416" i="12" s="1"/>
  <c r="O7414" i="12"/>
  <c r="M7417" i="12" l="1"/>
  <c r="N7417" i="12" s="1"/>
  <c r="O7415" i="12"/>
  <c r="M7418" i="12" l="1"/>
  <c r="N7418" i="12" s="1"/>
  <c r="O7416" i="12"/>
  <c r="M7419" i="12" l="1"/>
  <c r="N7419" i="12" s="1"/>
  <c r="O7417" i="12"/>
  <c r="M7420" i="12" l="1"/>
  <c r="N7420" i="12" s="1"/>
  <c r="O7418" i="12"/>
  <c r="M7421" i="12" l="1"/>
  <c r="N7421" i="12" s="1"/>
  <c r="O7419" i="12"/>
  <c r="M7422" i="12" l="1"/>
  <c r="N7422" i="12" s="1"/>
  <c r="O7420" i="12"/>
  <c r="M7423" i="12" l="1"/>
  <c r="N7423" i="12" s="1"/>
  <c r="O7421" i="12"/>
  <c r="M7424" i="12" l="1"/>
  <c r="N7424" i="12" s="1"/>
  <c r="O7422" i="12"/>
  <c r="M7425" i="12" l="1"/>
  <c r="N7425" i="12" s="1"/>
  <c r="O7423" i="12"/>
  <c r="M7426" i="12" l="1"/>
  <c r="N7426" i="12" s="1"/>
  <c r="O7424" i="12"/>
  <c r="M7427" i="12" l="1"/>
  <c r="N7427" i="12" s="1"/>
  <c r="O7425" i="12"/>
  <c r="M7428" i="12" l="1"/>
  <c r="N7428" i="12" s="1"/>
  <c r="O7426" i="12"/>
  <c r="M7429" i="12" l="1"/>
  <c r="N7429" i="12" s="1"/>
  <c r="O7427" i="12"/>
  <c r="M7430" i="12" l="1"/>
  <c r="N7430" i="12" s="1"/>
  <c r="O7428" i="12"/>
  <c r="M7431" i="12" l="1"/>
  <c r="N7431" i="12" s="1"/>
  <c r="O7429" i="12"/>
  <c r="M7432" i="12" l="1"/>
  <c r="N7432" i="12" s="1"/>
  <c r="O7430" i="12"/>
  <c r="M7433" i="12" l="1"/>
  <c r="N7433" i="12" s="1"/>
  <c r="O7431" i="12"/>
  <c r="M7434" i="12" l="1"/>
  <c r="N7434" i="12" s="1"/>
  <c r="O7432" i="12"/>
  <c r="M7435" i="12" l="1"/>
  <c r="N7435" i="12" s="1"/>
  <c r="O7433" i="12"/>
  <c r="M7436" i="12" l="1"/>
  <c r="N7436" i="12" s="1"/>
  <c r="O7434" i="12"/>
  <c r="M7437" i="12" l="1"/>
  <c r="N7437" i="12" s="1"/>
  <c r="O7435" i="12"/>
  <c r="M7438" i="12" l="1"/>
  <c r="N7438" i="12" s="1"/>
  <c r="O7436" i="12"/>
  <c r="M7439" i="12" l="1"/>
  <c r="N7439" i="12" s="1"/>
  <c r="O7437" i="12"/>
  <c r="M7440" i="12" l="1"/>
  <c r="N7440" i="12" s="1"/>
  <c r="O7438" i="12"/>
  <c r="M7441" i="12" l="1"/>
  <c r="N7441" i="12" s="1"/>
  <c r="O7439" i="12"/>
  <c r="M7442" i="12" l="1"/>
  <c r="N7442" i="12" s="1"/>
  <c r="O7440" i="12"/>
  <c r="M7443" i="12" l="1"/>
  <c r="N7443" i="12" s="1"/>
  <c r="O7441" i="12"/>
  <c r="M7444" i="12" l="1"/>
  <c r="N7444" i="12" s="1"/>
  <c r="O7442" i="12"/>
  <c r="M7445" i="12" l="1"/>
  <c r="N7445" i="12" s="1"/>
  <c r="O7443" i="12"/>
  <c r="M7446" i="12" l="1"/>
  <c r="N7446" i="12" s="1"/>
  <c r="O7444" i="12"/>
  <c r="M7447" i="12" l="1"/>
  <c r="N7447" i="12" s="1"/>
  <c r="O7445" i="12"/>
  <c r="M7448" i="12" l="1"/>
  <c r="N7448" i="12" s="1"/>
  <c r="O7446" i="12"/>
  <c r="M7449" i="12" l="1"/>
  <c r="N7449" i="12" s="1"/>
  <c r="O7447" i="12"/>
  <c r="M7450" i="12" l="1"/>
  <c r="N7450" i="12" s="1"/>
  <c r="O7448" i="12"/>
  <c r="M7451" i="12" l="1"/>
  <c r="N7451" i="12" s="1"/>
  <c r="O7449" i="12"/>
  <c r="M7452" i="12" l="1"/>
  <c r="N7452" i="12" s="1"/>
  <c r="O7450" i="12"/>
  <c r="M7453" i="12" l="1"/>
  <c r="N7453" i="12" s="1"/>
  <c r="O7451" i="12"/>
  <c r="M7454" i="12" l="1"/>
  <c r="N7454" i="12" s="1"/>
  <c r="O7452" i="12"/>
  <c r="M7455" i="12" l="1"/>
  <c r="N7455" i="12" s="1"/>
  <c r="O7453" i="12"/>
  <c r="M7456" i="12" l="1"/>
  <c r="N7456" i="12" s="1"/>
  <c r="O7454" i="12"/>
  <c r="M7457" i="12" l="1"/>
  <c r="N7457" i="12" s="1"/>
  <c r="O7455" i="12"/>
  <c r="M7458" i="12" l="1"/>
  <c r="N7458" i="12" s="1"/>
  <c r="O7456" i="12"/>
  <c r="M7459" i="12" l="1"/>
  <c r="N7459" i="12" s="1"/>
  <c r="O7457" i="12"/>
  <c r="M7460" i="12" l="1"/>
  <c r="N7460" i="12" s="1"/>
  <c r="O7458" i="12"/>
  <c r="M7461" i="12" l="1"/>
  <c r="N7461" i="12" s="1"/>
  <c r="O7459" i="12"/>
  <c r="M7462" i="12" l="1"/>
  <c r="N7462" i="12" s="1"/>
  <c r="O7460" i="12"/>
  <c r="M7463" i="12" l="1"/>
  <c r="N7463" i="12" s="1"/>
  <c r="O7461" i="12"/>
  <c r="M7464" i="12" l="1"/>
  <c r="N7464" i="12" s="1"/>
  <c r="O7462" i="12"/>
  <c r="M7465" i="12" l="1"/>
  <c r="N7465" i="12" s="1"/>
  <c r="O7463" i="12"/>
  <c r="M7466" i="12" l="1"/>
  <c r="N7466" i="12" s="1"/>
  <c r="O7464" i="12"/>
  <c r="M7467" i="12" l="1"/>
  <c r="N7467" i="12" s="1"/>
  <c r="O7465" i="12"/>
  <c r="M7468" i="12" l="1"/>
  <c r="N7468" i="12" s="1"/>
  <c r="O7466" i="12"/>
  <c r="M7469" i="12" l="1"/>
  <c r="N7469" i="12" s="1"/>
  <c r="O7467" i="12"/>
  <c r="M7470" i="12" l="1"/>
  <c r="N7470" i="12" s="1"/>
  <c r="O7468" i="12"/>
  <c r="M7471" i="12" l="1"/>
  <c r="N7471" i="12" s="1"/>
  <c r="O7469" i="12"/>
  <c r="M7472" i="12" l="1"/>
  <c r="N7472" i="12" s="1"/>
  <c r="O7470" i="12"/>
  <c r="M7473" i="12" l="1"/>
  <c r="N7473" i="12" s="1"/>
  <c r="O7471" i="12"/>
  <c r="M7474" i="12" l="1"/>
  <c r="N7474" i="12" s="1"/>
  <c r="O7472" i="12"/>
  <c r="M7475" i="12" l="1"/>
  <c r="N7475" i="12" s="1"/>
  <c r="O7473" i="12"/>
  <c r="M7476" i="12" l="1"/>
  <c r="N7476" i="12" s="1"/>
  <c r="O7474" i="12"/>
  <c r="M7477" i="12" l="1"/>
  <c r="N7477" i="12" s="1"/>
  <c r="O7475" i="12"/>
  <c r="M7478" i="12" l="1"/>
  <c r="N7478" i="12" s="1"/>
  <c r="O7476" i="12"/>
  <c r="M7479" i="12" l="1"/>
  <c r="N7479" i="12" s="1"/>
  <c r="O7477" i="12"/>
  <c r="M7480" i="12" l="1"/>
  <c r="N7480" i="12" s="1"/>
  <c r="O7478" i="12"/>
  <c r="M7481" i="12" l="1"/>
  <c r="N7481" i="12" s="1"/>
  <c r="O7479" i="12"/>
  <c r="M7482" i="12" l="1"/>
  <c r="N7482" i="12" s="1"/>
  <c r="O7480" i="12"/>
  <c r="M7483" i="12" l="1"/>
  <c r="N7483" i="12" s="1"/>
  <c r="O7481" i="12"/>
  <c r="M7484" i="12" l="1"/>
  <c r="N7484" i="12" s="1"/>
  <c r="O7482" i="12"/>
  <c r="M7485" i="12" l="1"/>
  <c r="N7485" i="12" s="1"/>
  <c r="O7483" i="12"/>
  <c r="M7486" i="12" l="1"/>
  <c r="N7486" i="12" s="1"/>
  <c r="O7484" i="12"/>
  <c r="M7487" i="12" l="1"/>
  <c r="N7487" i="12" s="1"/>
  <c r="O7485" i="12"/>
  <c r="M7488" i="12" l="1"/>
  <c r="N7488" i="12" s="1"/>
  <c r="O7486" i="12"/>
  <c r="M7489" i="12" l="1"/>
  <c r="N7489" i="12" s="1"/>
  <c r="O7487" i="12"/>
  <c r="M7490" i="12" l="1"/>
  <c r="N7490" i="12" s="1"/>
  <c r="O7488" i="12"/>
  <c r="M7491" i="12" l="1"/>
  <c r="N7491" i="12" s="1"/>
  <c r="O7489" i="12"/>
  <c r="M7492" i="12" l="1"/>
  <c r="N7492" i="12" s="1"/>
  <c r="O7490" i="12"/>
  <c r="M7493" i="12" l="1"/>
  <c r="N7493" i="12" s="1"/>
  <c r="O7491" i="12"/>
  <c r="M7494" i="12" l="1"/>
  <c r="N7494" i="12" s="1"/>
  <c r="O7492" i="12"/>
  <c r="M7495" i="12" l="1"/>
  <c r="N7495" i="12" s="1"/>
  <c r="O7493" i="12"/>
  <c r="M7496" i="12" l="1"/>
  <c r="N7496" i="12" s="1"/>
  <c r="O7494" i="12"/>
  <c r="M7497" i="12" l="1"/>
  <c r="N7497" i="12" s="1"/>
  <c r="O7495" i="12"/>
  <c r="M7498" i="12" l="1"/>
  <c r="N7498" i="12" s="1"/>
  <c r="O7496" i="12"/>
  <c r="M7499" i="12" l="1"/>
  <c r="N7499" i="12" s="1"/>
  <c r="O7497" i="12"/>
  <c r="M7500" i="12" l="1"/>
  <c r="N7500" i="12" s="1"/>
  <c r="O7498" i="12"/>
  <c r="M7501" i="12" l="1"/>
  <c r="N7501" i="12" s="1"/>
  <c r="O7499" i="12"/>
  <c r="M7502" i="12" l="1"/>
  <c r="N7502" i="12" s="1"/>
  <c r="O7500" i="12"/>
  <c r="M7503" i="12" l="1"/>
  <c r="N7503" i="12" s="1"/>
  <c r="O7501" i="12"/>
  <c r="M7504" i="12" l="1"/>
  <c r="N7504" i="12" s="1"/>
  <c r="O7502" i="12"/>
  <c r="M7505" i="12" l="1"/>
  <c r="N7505" i="12" s="1"/>
  <c r="O7503" i="12"/>
  <c r="M7506" i="12" l="1"/>
  <c r="N7506" i="12" s="1"/>
  <c r="O7504" i="12"/>
  <c r="M7507" i="12" l="1"/>
  <c r="N7507" i="12" s="1"/>
  <c r="O7505" i="12"/>
  <c r="M7508" i="12" l="1"/>
  <c r="N7508" i="12" s="1"/>
  <c r="O7506" i="12"/>
  <c r="M7509" i="12" l="1"/>
  <c r="N7509" i="12" s="1"/>
  <c r="O7507" i="12"/>
  <c r="M7510" i="12" l="1"/>
  <c r="N7510" i="12" s="1"/>
  <c r="O7508" i="12"/>
  <c r="M7511" i="12" l="1"/>
  <c r="N7511" i="12" s="1"/>
  <c r="O7509" i="12"/>
  <c r="M7512" i="12" l="1"/>
  <c r="N7512" i="12" s="1"/>
  <c r="O7510" i="12"/>
  <c r="M7513" i="12" l="1"/>
  <c r="N7513" i="12" s="1"/>
  <c r="O7511" i="12"/>
  <c r="M7514" i="12" l="1"/>
  <c r="N7514" i="12" s="1"/>
  <c r="O7512" i="12"/>
  <c r="M7515" i="12" l="1"/>
  <c r="N7515" i="12" s="1"/>
  <c r="O7513" i="12"/>
  <c r="M7516" i="12" l="1"/>
  <c r="N7516" i="12" s="1"/>
  <c r="O7514" i="12"/>
  <c r="M7517" i="12" l="1"/>
  <c r="N7517" i="12" s="1"/>
  <c r="O7515" i="12"/>
  <c r="M7518" i="12" l="1"/>
  <c r="N7518" i="12" s="1"/>
  <c r="O7516" i="12"/>
  <c r="M7519" i="12" l="1"/>
  <c r="N7519" i="12" s="1"/>
  <c r="O7517" i="12"/>
  <c r="M7520" i="12" l="1"/>
  <c r="N7520" i="12" s="1"/>
  <c r="O7518" i="12"/>
  <c r="M7521" i="12" l="1"/>
  <c r="N7521" i="12" s="1"/>
  <c r="O7519" i="12"/>
  <c r="M7522" i="12" l="1"/>
  <c r="N7522" i="12" s="1"/>
  <c r="O7520" i="12"/>
  <c r="M7523" i="12" l="1"/>
  <c r="N7523" i="12" s="1"/>
  <c r="O7521" i="12"/>
  <c r="M7524" i="12" l="1"/>
  <c r="N7524" i="12" s="1"/>
  <c r="O7522" i="12"/>
  <c r="M7525" i="12" l="1"/>
  <c r="N7525" i="12" s="1"/>
  <c r="O7523" i="12"/>
  <c r="M7526" i="12" l="1"/>
  <c r="N7526" i="12" s="1"/>
  <c r="O7524" i="12"/>
  <c r="M7527" i="12" l="1"/>
  <c r="N7527" i="12" s="1"/>
  <c r="O7525" i="12"/>
  <c r="M7528" i="12" l="1"/>
  <c r="N7528" i="12" s="1"/>
  <c r="O7526" i="12"/>
  <c r="M7529" i="12" l="1"/>
  <c r="N7529" i="12" s="1"/>
  <c r="O7527" i="12"/>
  <c r="M7530" i="12" l="1"/>
  <c r="N7530" i="12" s="1"/>
  <c r="O7528" i="12"/>
  <c r="M7531" i="12" l="1"/>
  <c r="N7531" i="12" s="1"/>
  <c r="O7529" i="12"/>
  <c r="M7532" i="12" l="1"/>
  <c r="N7532" i="12" s="1"/>
  <c r="O7530" i="12"/>
  <c r="M7533" i="12" l="1"/>
  <c r="N7533" i="12" s="1"/>
  <c r="O7531" i="12"/>
  <c r="M7534" i="12" l="1"/>
  <c r="N7534" i="12" s="1"/>
  <c r="O7532" i="12"/>
  <c r="M7535" i="12" l="1"/>
  <c r="N7535" i="12" s="1"/>
  <c r="O7533" i="12"/>
  <c r="M7536" i="12" l="1"/>
  <c r="N7536" i="12" s="1"/>
  <c r="O7534" i="12"/>
  <c r="M7537" i="12" l="1"/>
  <c r="N7537" i="12" s="1"/>
  <c r="O7535" i="12"/>
  <c r="M7538" i="12" l="1"/>
  <c r="N7538" i="12" s="1"/>
  <c r="O7536" i="12"/>
  <c r="M7539" i="12" l="1"/>
  <c r="N7539" i="12" s="1"/>
  <c r="O7537" i="12"/>
  <c r="M7540" i="12" l="1"/>
  <c r="N7540" i="12" s="1"/>
  <c r="O7538" i="12"/>
  <c r="M7541" i="12" l="1"/>
  <c r="N7541" i="12" s="1"/>
  <c r="O7539" i="12"/>
  <c r="M7542" i="12" l="1"/>
  <c r="N7542" i="12" s="1"/>
  <c r="O7540" i="12"/>
  <c r="M7543" i="12" l="1"/>
  <c r="N7543" i="12" s="1"/>
  <c r="O7541" i="12"/>
  <c r="M7544" i="12" l="1"/>
  <c r="N7544" i="12" s="1"/>
  <c r="O7542" i="12"/>
  <c r="M7545" i="12" l="1"/>
  <c r="N7545" i="12" s="1"/>
  <c r="O7543" i="12"/>
  <c r="M7546" i="12" l="1"/>
  <c r="N7546" i="12" s="1"/>
  <c r="O7544" i="12"/>
  <c r="M7547" i="12" l="1"/>
  <c r="N7547" i="12" s="1"/>
  <c r="O7545" i="12"/>
  <c r="M7548" i="12" l="1"/>
  <c r="N7548" i="12" s="1"/>
  <c r="O7546" i="12"/>
  <c r="M7549" i="12" l="1"/>
  <c r="N7549" i="12" s="1"/>
  <c r="O7547" i="12"/>
  <c r="M7550" i="12" l="1"/>
  <c r="N7550" i="12" s="1"/>
  <c r="O7548" i="12"/>
  <c r="M7551" i="12" l="1"/>
  <c r="N7551" i="12" s="1"/>
  <c r="O7549" i="12"/>
  <c r="M7552" i="12" l="1"/>
  <c r="N7552" i="12" s="1"/>
  <c r="O7550" i="12"/>
  <c r="M7553" i="12" l="1"/>
  <c r="N7553" i="12" s="1"/>
  <c r="O7551" i="12"/>
  <c r="M7554" i="12" l="1"/>
  <c r="N7554" i="12" s="1"/>
  <c r="O7552" i="12"/>
  <c r="M7555" i="12" l="1"/>
  <c r="N7555" i="12" s="1"/>
  <c r="O7553" i="12"/>
  <c r="M7556" i="12" l="1"/>
  <c r="N7556" i="12" s="1"/>
  <c r="O7554" i="12"/>
  <c r="M7557" i="12" l="1"/>
  <c r="N7557" i="12" s="1"/>
  <c r="O7555" i="12"/>
  <c r="M7558" i="12" l="1"/>
  <c r="N7558" i="12" s="1"/>
  <c r="O7556" i="12"/>
  <c r="M7559" i="12" l="1"/>
  <c r="N7559" i="12" s="1"/>
  <c r="O7557" i="12"/>
  <c r="M7560" i="12" l="1"/>
  <c r="N7560" i="12" s="1"/>
  <c r="O7558" i="12"/>
  <c r="M7561" i="12" l="1"/>
  <c r="N7561" i="12" s="1"/>
  <c r="O7559" i="12"/>
  <c r="M7562" i="12" l="1"/>
  <c r="N7562" i="12" s="1"/>
  <c r="O7560" i="12"/>
  <c r="M7563" i="12" l="1"/>
  <c r="N7563" i="12" s="1"/>
  <c r="O7561" i="12"/>
  <c r="M7564" i="12" l="1"/>
  <c r="N7564" i="12" s="1"/>
  <c r="O7562" i="12"/>
  <c r="M7565" i="12" l="1"/>
  <c r="N7565" i="12" s="1"/>
  <c r="O7563" i="12"/>
  <c r="M7566" i="12" l="1"/>
  <c r="N7566" i="12" s="1"/>
  <c r="O7564" i="12"/>
  <c r="M7567" i="12" l="1"/>
  <c r="N7567" i="12" s="1"/>
  <c r="O7565" i="12"/>
  <c r="M7568" i="12" l="1"/>
  <c r="N7568" i="12" s="1"/>
  <c r="O7566" i="12"/>
  <c r="M7569" i="12" l="1"/>
  <c r="N7569" i="12" s="1"/>
  <c r="O7567" i="12"/>
  <c r="M7570" i="12" l="1"/>
  <c r="N7570" i="12" s="1"/>
  <c r="O7568" i="12"/>
  <c r="M7571" i="12" l="1"/>
  <c r="N7571" i="12" s="1"/>
  <c r="O7569" i="12"/>
  <c r="M7572" i="12" l="1"/>
  <c r="N7572" i="12" s="1"/>
  <c r="O7570" i="12"/>
  <c r="M7573" i="12" l="1"/>
  <c r="N7573" i="12" s="1"/>
  <c r="O7571" i="12"/>
  <c r="M7574" i="12" l="1"/>
  <c r="N7574" i="12" s="1"/>
  <c r="O7572" i="12"/>
  <c r="M7575" i="12" l="1"/>
  <c r="N7575" i="12" s="1"/>
  <c r="O7573" i="12"/>
  <c r="M7576" i="12" l="1"/>
  <c r="N7576" i="12" s="1"/>
  <c r="O7574" i="12"/>
  <c r="M7577" i="12" l="1"/>
  <c r="N7577" i="12" s="1"/>
  <c r="O7575" i="12"/>
  <c r="M7578" i="12" l="1"/>
  <c r="N7578" i="12" s="1"/>
  <c r="O7576" i="12"/>
  <c r="M7579" i="12" l="1"/>
  <c r="N7579" i="12" s="1"/>
  <c r="O7577" i="12"/>
  <c r="M7580" i="12" l="1"/>
  <c r="N7580" i="12" s="1"/>
  <c r="O7578" i="12"/>
  <c r="M7581" i="12" l="1"/>
  <c r="N7581" i="12" s="1"/>
  <c r="O7579" i="12"/>
  <c r="M7582" i="12" l="1"/>
  <c r="N7582" i="12" s="1"/>
  <c r="O7580" i="12"/>
  <c r="M7583" i="12" l="1"/>
  <c r="N7583" i="12" s="1"/>
  <c r="O7581" i="12"/>
  <c r="M7584" i="12" l="1"/>
  <c r="N7584" i="12" s="1"/>
  <c r="O7582" i="12"/>
  <c r="M7585" i="12" l="1"/>
  <c r="N7585" i="12" s="1"/>
  <c r="O7583" i="12"/>
  <c r="M7586" i="12" l="1"/>
  <c r="N7586" i="12" s="1"/>
  <c r="O7584" i="12"/>
  <c r="M7587" i="12" l="1"/>
  <c r="N7587" i="12" s="1"/>
  <c r="O7585" i="12"/>
  <c r="M7588" i="12" l="1"/>
  <c r="N7588" i="12" s="1"/>
  <c r="O7586" i="12"/>
  <c r="M7589" i="12" l="1"/>
  <c r="N7589" i="12" s="1"/>
  <c r="O7587" i="12"/>
  <c r="M7590" i="12" l="1"/>
  <c r="N7590" i="12" s="1"/>
  <c r="O7588" i="12"/>
  <c r="M7591" i="12" l="1"/>
  <c r="N7591" i="12" s="1"/>
  <c r="O7589" i="12"/>
  <c r="M7592" i="12" l="1"/>
  <c r="N7592" i="12" s="1"/>
  <c r="O7590" i="12"/>
  <c r="M7593" i="12" l="1"/>
  <c r="N7593" i="12" s="1"/>
  <c r="O7591" i="12"/>
  <c r="M7594" i="12" l="1"/>
  <c r="N7594" i="12" s="1"/>
  <c r="O7592" i="12"/>
  <c r="M7595" i="12" l="1"/>
  <c r="N7595" i="12" s="1"/>
  <c r="O7593" i="12"/>
  <c r="M7596" i="12" l="1"/>
  <c r="N7596" i="12" s="1"/>
  <c r="O7594" i="12"/>
  <c r="M7597" i="12" l="1"/>
  <c r="N7597" i="12" s="1"/>
  <c r="O7595" i="12"/>
  <c r="M7598" i="12" l="1"/>
  <c r="N7598" i="12" s="1"/>
  <c r="O7596" i="12"/>
  <c r="M7599" i="12" l="1"/>
  <c r="N7599" i="12" s="1"/>
  <c r="O7597" i="12"/>
  <c r="M7600" i="12" l="1"/>
  <c r="N7600" i="12" s="1"/>
  <c r="O7598" i="12"/>
  <c r="M7601" i="12" l="1"/>
  <c r="N7601" i="12" s="1"/>
  <c r="O7599" i="12"/>
  <c r="M7602" i="12" l="1"/>
  <c r="N7602" i="12" s="1"/>
  <c r="O7600" i="12"/>
  <c r="M7603" i="12" l="1"/>
  <c r="N7603" i="12" s="1"/>
  <c r="O7601" i="12"/>
  <c r="M7604" i="12" l="1"/>
  <c r="N7604" i="12" s="1"/>
  <c r="O7602" i="12"/>
  <c r="M7605" i="12" l="1"/>
  <c r="N7605" i="12" s="1"/>
  <c r="O7603" i="12"/>
  <c r="M7606" i="12" l="1"/>
  <c r="N7606" i="12" s="1"/>
  <c r="O7604" i="12"/>
  <c r="M7607" i="12" l="1"/>
  <c r="N7607" i="12" s="1"/>
  <c r="O7605" i="12"/>
  <c r="M7608" i="12" l="1"/>
  <c r="N7608" i="12" s="1"/>
  <c r="O7606" i="12"/>
  <c r="M7609" i="12" l="1"/>
  <c r="N7609" i="12" s="1"/>
  <c r="O7607" i="12"/>
  <c r="M7610" i="12" l="1"/>
  <c r="N7610" i="12" s="1"/>
  <c r="O7608" i="12"/>
  <c r="M7611" i="12" l="1"/>
  <c r="N7611" i="12" s="1"/>
  <c r="O7609" i="12"/>
  <c r="M7612" i="12" l="1"/>
  <c r="N7612" i="12" s="1"/>
  <c r="O7610" i="12"/>
  <c r="M7613" i="12" l="1"/>
  <c r="N7613" i="12" s="1"/>
  <c r="O7611" i="12"/>
  <c r="M7614" i="12" l="1"/>
  <c r="N7614" i="12" s="1"/>
  <c r="O7612" i="12"/>
  <c r="M7615" i="12" l="1"/>
  <c r="N7615" i="12" s="1"/>
  <c r="O7613" i="12"/>
  <c r="M7616" i="12" l="1"/>
  <c r="N7616" i="12" s="1"/>
  <c r="O7614" i="12"/>
  <c r="M7617" i="12" l="1"/>
  <c r="N7617" i="12" s="1"/>
  <c r="O7615" i="12"/>
  <c r="M7618" i="12" l="1"/>
  <c r="N7618" i="12" s="1"/>
  <c r="O7616" i="12"/>
  <c r="M7619" i="12" l="1"/>
  <c r="N7619" i="12" s="1"/>
  <c r="O7617" i="12"/>
  <c r="M7620" i="12" l="1"/>
  <c r="N7620" i="12" s="1"/>
  <c r="O7618" i="12"/>
  <c r="M7621" i="12" l="1"/>
  <c r="N7621" i="12" s="1"/>
  <c r="O7619" i="12"/>
  <c r="M7622" i="12" l="1"/>
  <c r="N7622" i="12" s="1"/>
  <c r="O7620" i="12"/>
  <c r="M7623" i="12" l="1"/>
  <c r="N7623" i="12" s="1"/>
  <c r="O7621" i="12"/>
  <c r="M7624" i="12" l="1"/>
  <c r="N7624" i="12" s="1"/>
  <c r="O7622" i="12"/>
  <c r="M7625" i="12" l="1"/>
  <c r="N7625" i="12" s="1"/>
  <c r="O7623" i="12"/>
  <c r="M7626" i="12" l="1"/>
  <c r="N7626" i="12" s="1"/>
  <c r="O7624" i="12"/>
  <c r="M7627" i="12" l="1"/>
  <c r="N7627" i="12" s="1"/>
  <c r="O7625" i="12"/>
  <c r="M7628" i="12" l="1"/>
  <c r="N7628" i="12" s="1"/>
  <c r="O7626" i="12"/>
  <c r="M7629" i="12" l="1"/>
  <c r="N7629" i="12" s="1"/>
  <c r="O7627" i="12"/>
  <c r="M7630" i="12" l="1"/>
  <c r="N7630" i="12" s="1"/>
  <c r="O7628" i="12"/>
  <c r="M7631" i="12" l="1"/>
  <c r="N7631" i="12" s="1"/>
  <c r="O7629" i="12"/>
  <c r="M7632" i="12" l="1"/>
  <c r="N7632" i="12" s="1"/>
  <c r="O7630" i="12"/>
  <c r="M7633" i="12" l="1"/>
  <c r="N7633" i="12" s="1"/>
  <c r="O7631" i="12"/>
  <c r="M7634" i="12" l="1"/>
  <c r="N7634" i="12" s="1"/>
  <c r="O7632" i="12"/>
  <c r="M7635" i="12" l="1"/>
  <c r="N7635" i="12" s="1"/>
  <c r="O7633" i="12"/>
  <c r="M7636" i="12" l="1"/>
  <c r="N7636" i="12" s="1"/>
  <c r="O7634" i="12"/>
  <c r="M7637" i="12" l="1"/>
  <c r="N7637" i="12" s="1"/>
  <c r="O7635" i="12"/>
  <c r="M7638" i="12" l="1"/>
  <c r="N7638" i="12" s="1"/>
  <c r="O7636" i="12"/>
  <c r="M7639" i="12" l="1"/>
  <c r="N7639" i="12" s="1"/>
  <c r="O7637" i="12"/>
  <c r="M7640" i="12" l="1"/>
  <c r="N7640" i="12" s="1"/>
  <c r="O7638" i="12"/>
  <c r="M7641" i="12" l="1"/>
  <c r="N7641" i="12" s="1"/>
  <c r="O7639" i="12"/>
  <c r="M7642" i="12" l="1"/>
  <c r="N7642" i="12" s="1"/>
  <c r="O7640" i="12"/>
  <c r="M7643" i="12" l="1"/>
  <c r="N7643" i="12" s="1"/>
  <c r="O7641" i="12"/>
  <c r="M7644" i="12" l="1"/>
  <c r="N7644" i="12" s="1"/>
  <c r="O7642" i="12"/>
  <c r="M7645" i="12" l="1"/>
  <c r="N7645" i="12" s="1"/>
  <c r="O7643" i="12"/>
  <c r="M7646" i="12" l="1"/>
  <c r="N7646" i="12" s="1"/>
  <c r="O7644" i="12"/>
  <c r="M7647" i="12" l="1"/>
  <c r="N7647" i="12" s="1"/>
  <c r="O7645" i="12"/>
  <c r="M7648" i="12" l="1"/>
  <c r="N7648" i="12" s="1"/>
  <c r="O7646" i="12"/>
  <c r="M7649" i="12" l="1"/>
  <c r="N7649" i="12" s="1"/>
  <c r="O7647" i="12"/>
  <c r="M7650" i="12" l="1"/>
  <c r="N7650" i="12" s="1"/>
  <c r="O7648" i="12"/>
  <c r="M7651" i="12" l="1"/>
  <c r="N7651" i="12" s="1"/>
  <c r="O7649" i="12"/>
  <c r="M7652" i="12" l="1"/>
  <c r="N7652" i="12" s="1"/>
  <c r="O7650" i="12"/>
  <c r="M7653" i="12" l="1"/>
  <c r="N7653" i="12" s="1"/>
  <c r="O7651" i="12"/>
  <c r="M7654" i="12" l="1"/>
  <c r="N7654" i="12" s="1"/>
  <c r="O7652" i="12"/>
  <c r="M7655" i="12" l="1"/>
  <c r="N7655" i="12" s="1"/>
  <c r="O7653" i="12"/>
  <c r="M7656" i="12" l="1"/>
  <c r="N7656" i="12" s="1"/>
  <c r="O7654" i="12"/>
  <c r="M7657" i="12" l="1"/>
  <c r="N7657" i="12" s="1"/>
  <c r="O7655" i="12"/>
  <c r="M7658" i="12" l="1"/>
  <c r="N7658" i="12" s="1"/>
  <c r="O7656" i="12"/>
  <c r="M7659" i="12" l="1"/>
  <c r="N7659" i="12" s="1"/>
  <c r="O7657" i="12"/>
  <c r="M7660" i="12" l="1"/>
  <c r="N7660" i="12" s="1"/>
  <c r="O7658" i="12"/>
  <c r="M7661" i="12" l="1"/>
  <c r="N7661" i="12" s="1"/>
  <c r="O7659" i="12"/>
  <c r="M7662" i="12" l="1"/>
  <c r="N7662" i="12" s="1"/>
  <c r="O7660" i="12"/>
  <c r="M7663" i="12" l="1"/>
  <c r="N7663" i="12" s="1"/>
  <c r="O7661" i="12"/>
  <c r="M7664" i="12" l="1"/>
  <c r="N7664" i="12" s="1"/>
  <c r="O7662" i="12"/>
  <c r="M7665" i="12" l="1"/>
  <c r="N7665" i="12" s="1"/>
  <c r="O7663" i="12"/>
  <c r="M7666" i="12" l="1"/>
  <c r="N7666" i="12" s="1"/>
  <c r="O7664" i="12"/>
  <c r="M7667" i="12" l="1"/>
  <c r="N7667" i="12" s="1"/>
  <c r="O7665" i="12"/>
  <c r="M7668" i="12" l="1"/>
  <c r="N7668" i="12" s="1"/>
  <c r="O7666" i="12"/>
  <c r="M7669" i="12" l="1"/>
  <c r="N7669" i="12" s="1"/>
  <c r="O7667" i="12"/>
  <c r="M7670" i="12" l="1"/>
  <c r="N7670" i="12" s="1"/>
  <c r="O7668" i="12"/>
  <c r="M7671" i="12" l="1"/>
  <c r="N7671" i="12" s="1"/>
  <c r="O7669" i="12"/>
  <c r="M7672" i="12" l="1"/>
  <c r="N7672" i="12" s="1"/>
  <c r="O7670" i="12"/>
  <c r="M7673" i="12" l="1"/>
  <c r="N7673" i="12" s="1"/>
  <c r="O7671" i="12"/>
  <c r="M7674" i="12" l="1"/>
  <c r="N7674" i="12" s="1"/>
  <c r="O7672" i="12"/>
  <c r="M7675" i="12" l="1"/>
  <c r="N7675" i="12" s="1"/>
  <c r="O7673" i="12"/>
  <c r="M7676" i="12" l="1"/>
  <c r="N7676" i="12" s="1"/>
  <c r="O7674" i="12"/>
  <c r="M7677" i="12" l="1"/>
  <c r="N7677" i="12" s="1"/>
  <c r="O7675" i="12"/>
  <c r="M7678" i="12" l="1"/>
  <c r="N7678" i="12" s="1"/>
  <c r="O7676" i="12"/>
  <c r="M7679" i="12" l="1"/>
  <c r="N7679" i="12" s="1"/>
  <c r="O7677" i="12"/>
  <c r="M7680" i="12" l="1"/>
  <c r="N7680" i="12" s="1"/>
  <c r="O7678" i="12"/>
  <c r="M7681" i="12" l="1"/>
  <c r="N7681" i="12" s="1"/>
  <c r="O7679" i="12"/>
  <c r="M7682" i="12" l="1"/>
  <c r="N7682" i="12" s="1"/>
  <c r="O7680" i="12"/>
  <c r="M7683" i="12" l="1"/>
  <c r="N7683" i="12" s="1"/>
  <c r="O7681" i="12"/>
  <c r="M7684" i="12" l="1"/>
  <c r="N7684" i="12" s="1"/>
  <c r="O7682" i="12"/>
  <c r="M7685" i="12" l="1"/>
  <c r="N7685" i="12" s="1"/>
  <c r="O7683" i="12"/>
  <c r="M7686" i="12" l="1"/>
  <c r="N7686" i="12" s="1"/>
  <c r="O7684" i="12"/>
  <c r="M7687" i="12" l="1"/>
  <c r="N7687" i="12" s="1"/>
  <c r="O7685" i="12"/>
  <c r="M7688" i="12" l="1"/>
  <c r="N7688" i="12" s="1"/>
  <c r="O7686" i="12"/>
  <c r="M7689" i="12" l="1"/>
  <c r="N7689" i="12" s="1"/>
  <c r="O7687" i="12"/>
  <c r="M7690" i="12" l="1"/>
  <c r="N7690" i="12" s="1"/>
  <c r="O7688" i="12"/>
  <c r="M7691" i="12" l="1"/>
  <c r="N7691" i="12" s="1"/>
  <c r="O7689" i="12"/>
  <c r="M7692" i="12" l="1"/>
  <c r="N7692" i="12" s="1"/>
  <c r="O7690" i="12"/>
  <c r="M7693" i="12" l="1"/>
  <c r="N7693" i="12" s="1"/>
  <c r="O7691" i="12"/>
  <c r="M7694" i="12" l="1"/>
  <c r="N7694" i="12" s="1"/>
  <c r="O7692" i="12"/>
  <c r="M7695" i="12" l="1"/>
  <c r="N7695" i="12" s="1"/>
  <c r="O7693" i="12"/>
  <c r="M7696" i="12" l="1"/>
  <c r="N7696" i="12" s="1"/>
  <c r="O7694" i="12"/>
  <c r="M7697" i="12" l="1"/>
  <c r="N7697" i="12" s="1"/>
  <c r="O7695" i="12"/>
  <c r="M7698" i="12" l="1"/>
  <c r="N7698" i="12" s="1"/>
  <c r="O7696" i="12"/>
  <c r="M7699" i="12" l="1"/>
  <c r="N7699" i="12" s="1"/>
  <c r="O7697" i="12"/>
  <c r="M7700" i="12" l="1"/>
  <c r="N7700" i="12" s="1"/>
  <c r="O7698" i="12"/>
  <c r="M7701" i="12" l="1"/>
  <c r="N7701" i="12" s="1"/>
  <c r="O7699" i="12"/>
  <c r="M7702" i="12" l="1"/>
  <c r="N7702" i="12" s="1"/>
  <c r="O7700" i="12"/>
  <c r="M7703" i="12" l="1"/>
  <c r="N7703" i="12" s="1"/>
  <c r="O7701" i="12"/>
  <c r="M7704" i="12" l="1"/>
  <c r="N7704" i="12" s="1"/>
  <c r="O7702" i="12"/>
  <c r="M7705" i="12" l="1"/>
  <c r="N7705" i="12" s="1"/>
  <c r="O7703" i="12"/>
  <c r="M7706" i="12" l="1"/>
  <c r="N7706" i="12" s="1"/>
  <c r="O7704" i="12"/>
  <c r="M7707" i="12" l="1"/>
  <c r="N7707" i="12" s="1"/>
  <c r="O7705" i="12"/>
  <c r="M7708" i="12" l="1"/>
  <c r="N7708" i="12" s="1"/>
  <c r="O7706" i="12"/>
  <c r="M7709" i="12" l="1"/>
  <c r="N7709" i="12" s="1"/>
  <c r="O7707" i="12"/>
  <c r="M7710" i="12" l="1"/>
  <c r="N7710" i="12" s="1"/>
  <c r="O7708" i="12"/>
  <c r="M7711" i="12" l="1"/>
  <c r="N7711" i="12" s="1"/>
  <c r="O7709" i="12"/>
  <c r="M7712" i="12" l="1"/>
  <c r="N7712" i="12" s="1"/>
  <c r="O7710" i="12"/>
  <c r="M7713" i="12" l="1"/>
  <c r="N7713" i="12" s="1"/>
  <c r="O7711" i="12"/>
  <c r="M7714" i="12" l="1"/>
  <c r="N7714" i="12" s="1"/>
  <c r="O7712" i="12"/>
  <c r="M7715" i="12" l="1"/>
  <c r="N7715" i="12" s="1"/>
  <c r="O7713" i="12"/>
  <c r="M7716" i="12" l="1"/>
  <c r="N7716" i="12" s="1"/>
  <c r="O7714" i="12"/>
  <c r="M7717" i="12" l="1"/>
  <c r="N7717" i="12" s="1"/>
  <c r="O7715" i="12"/>
  <c r="M7718" i="12" l="1"/>
  <c r="N7718" i="12" s="1"/>
  <c r="O7716" i="12"/>
  <c r="M7719" i="12" l="1"/>
  <c r="N7719" i="12" s="1"/>
  <c r="O7717" i="12"/>
  <c r="M7720" i="12" l="1"/>
  <c r="N7720" i="12" s="1"/>
  <c r="O7718" i="12"/>
  <c r="M7721" i="12" l="1"/>
  <c r="N7721" i="12" s="1"/>
  <c r="O7719" i="12"/>
  <c r="M7722" i="12" l="1"/>
  <c r="N7722" i="12" s="1"/>
  <c r="O7720" i="12"/>
  <c r="M7723" i="12" l="1"/>
  <c r="N7723" i="12" s="1"/>
  <c r="O7721" i="12"/>
  <c r="M7724" i="12" l="1"/>
  <c r="N7724" i="12" s="1"/>
  <c r="O7722" i="12"/>
  <c r="M7725" i="12" l="1"/>
  <c r="N7725" i="12" s="1"/>
  <c r="O7723" i="12"/>
  <c r="M7726" i="12" l="1"/>
  <c r="N7726" i="12" s="1"/>
  <c r="O7724" i="12"/>
  <c r="M7727" i="12" l="1"/>
  <c r="N7727" i="12" s="1"/>
  <c r="O7725" i="12"/>
  <c r="M7728" i="12" l="1"/>
  <c r="N7728" i="12" s="1"/>
  <c r="O7726" i="12"/>
  <c r="M7729" i="12" l="1"/>
  <c r="N7729" i="12" s="1"/>
  <c r="O7727" i="12"/>
  <c r="M7730" i="12" l="1"/>
  <c r="N7730" i="12" s="1"/>
  <c r="O7728" i="12"/>
  <c r="M7731" i="12" l="1"/>
  <c r="N7731" i="12" s="1"/>
  <c r="O7729" i="12"/>
  <c r="M7732" i="12" l="1"/>
  <c r="N7732" i="12" s="1"/>
  <c r="O7730" i="12"/>
  <c r="M7733" i="12" l="1"/>
  <c r="N7733" i="12" s="1"/>
  <c r="O7731" i="12"/>
  <c r="M7734" i="12" l="1"/>
  <c r="N7734" i="12" s="1"/>
  <c r="O7732" i="12"/>
  <c r="M7735" i="12" l="1"/>
  <c r="N7735" i="12" s="1"/>
  <c r="O7733" i="12"/>
  <c r="M7736" i="12" l="1"/>
  <c r="N7736" i="12" s="1"/>
  <c r="O7734" i="12"/>
  <c r="M7737" i="12" l="1"/>
  <c r="N7737" i="12" s="1"/>
  <c r="O7735" i="12"/>
  <c r="M7738" i="12" l="1"/>
  <c r="N7738" i="12" s="1"/>
  <c r="O7736" i="12"/>
  <c r="M7739" i="12" l="1"/>
  <c r="N7739" i="12" s="1"/>
  <c r="O7737" i="12"/>
  <c r="M7740" i="12" l="1"/>
  <c r="N7740" i="12" s="1"/>
  <c r="O7738" i="12"/>
  <c r="M7741" i="12" l="1"/>
  <c r="N7741" i="12" s="1"/>
  <c r="O7739" i="12"/>
  <c r="M7742" i="12" l="1"/>
  <c r="N7742" i="12" s="1"/>
  <c r="O7740" i="12"/>
  <c r="M7743" i="12" l="1"/>
  <c r="N7743" i="12" s="1"/>
  <c r="O7741" i="12"/>
  <c r="M7744" i="12" l="1"/>
  <c r="N7744" i="12" s="1"/>
  <c r="O7742" i="12"/>
  <c r="M7745" i="12" l="1"/>
  <c r="N7745" i="12" s="1"/>
  <c r="O7743" i="12"/>
  <c r="M7746" i="12" l="1"/>
  <c r="N7746" i="12" s="1"/>
  <c r="O7744" i="12"/>
  <c r="M7747" i="12" l="1"/>
  <c r="N7747" i="12" s="1"/>
  <c r="O7745" i="12"/>
  <c r="M7748" i="12" l="1"/>
  <c r="N7748" i="12" s="1"/>
  <c r="O7746" i="12"/>
  <c r="M7749" i="12" l="1"/>
  <c r="N7749" i="12" s="1"/>
  <c r="O7747" i="12"/>
  <c r="M7750" i="12" l="1"/>
  <c r="N7750" i="12" s="1"/>
  <c r="O7748" i="12"/>
  <c r="M7751" i="12" l="1"/>
  <c r="N7751" i="12" s="1"/>
  <c r="O7749" i="12"/>
  <c r="M7752" i="12" l="1"/>
  <c r="N7752" i="12" s="1"/>
  <c r="O7750" i="12"/>
  <c r="M7753" i="12" l="1"/>
  <c r="N7753" i="12" s="1"/>
  <c r="O7751" i="12"/>
  <c r="M7754" i="12" l="1"/>
  <c r="N7754" i="12" s="1"/>
  <c r="O7752" i="12"/>
  <c r="M7755" i="12" l="1"/>
  <c r="N7755" i="12" s="1"/>
  <c r="O7753" i="12"/>
  <c r="M7756" i="12" l="1"/>
  <c r="N7756" i="12" s="1"/>
  <c r="O7754" i="12"/>
  <c r="M7757" i="12" l="1"/>
  <c r="N7757" i="12" s="1"/>
  <c r="O7755" i="12"/>
  <c r="M7758" i="12" l="1"/>
  <c r="N7758" i="12" s="1"/>
  <c r="O7756" i="12"/>
  <c r="M7759" i="12" l="1"/>
  <c r="N7759" i="12" s="1"/>
  <c r="O7757" i="12"/>
  <c r="M7760" i="12" l="1"/>
  <c r="N7760" i="12" s="1"/>
  <c r="O7758" i="12"/>
  <c r="M7761" i="12" l="1"/>
  <c r="N7761" i="12" s="1"/>
  <c r="O7759" i="12"/>
  <c r="M7762" i="12" l="1"/>
  <c r="N7762" i="12" s="1"/>
  <c r="O7760" i="12"/>
  <c r="M7763" i="12" l="1"/>
  <c r="N7763" i="12" s="1"/>
  <c r="O7761" i="12"/>
  <c r="M7764" i="12" l="1"/>
  <c r="N7764" i="12" s="1"/>
  <c r="O7762" i="12"/>
  <c r="M7765" i="12" l="1"/>
  <c r="N7765" i="12" s="1"/>
  <c r="O7763" i="12"/>
  <c r="M7766" i="12" l="1"/>
  <c r="N7766" i="12" s="1"/>
  <c r="O7764" i="12"/>
  <c r="M7767" i="12" l="1"/>
  <c r="N7767" i="12" s="1"/>
  <c r="O7765" i="12"/>
  <c r="M7768" i="12" l="1"/>
  <c r="N7768" i="12" s="1"/>
  <c r="O7766" i="12"/>
  <c r="M7769" i="12" l="1"/>
  <c r="N7769" i="12" s="1"/>
  <c r="O7767" i="12"/>
  <c r="M7770" i="12" l="1"/>
  <c r="N7770" i="12" s="1"/>
  <c r="O7768" i="12"/>
  <c r="M7771" i="12" l="1"/>
  <c r="N7771" i="12" s="1"/>
  <c r="O7769" i="12"/>
  <c r="M7772" i="12" l="1"/>
  <c r="N7772" i="12" s="1"/>
  <c r="O7770" i="12"/>
  <c r="M7773" i="12" l="1"/>
  <c r="N7773" i="12" s="1"/>
  <c r="O7771" i="12"/>
  <c r="M7774" i="12" l="1"/>
  <c r="N7774" i="12" s="1"/>
  <c r="O7772" i="12"/>
  <c r="M7775" i="12" l="1"/>
  <c r="N7775" i="12" s="1"/>
  <c r="O7773" i="12"/>
  <c r="M7776" i="12" l="1"/>
  <c r="N7776" i="12" s="1"/>
  <c r="O7774" i="12"/>
  <c r="M7777" i="12" l="1"/>
  <c r="N7777" i="12" s="1"/>
  <c r="O7775" i="12"/>
  <c r="M7778" i="12" l="1"/>
  <c r="N7778" i="12" s="1"/>
  <c r="O7776" i="12"/>
  <c r="M7779" i="12" l="1"/>
  <c r="N7779" i="12" s="1"/>
  <c r="O7777" i="12"/>
  <c r="M7780" i="12" l="1"/>
  <c r="N7780" i="12" s="1"/>
  <c r="O7778" i="12"/>
  <c r="M7781" i="12" l="1"/>
  <c r="N7781" i="12" s="1"/>
  <c r="O7779" i="12"/>
  <c r="M7782" i="12" l="1"/>
  <c r="N7782" i="12" s="1"/>
  <c r="O7780" i="12"/>
  <c r="M7783" i="12" l="1"/>
  <c r="N7783" i="12" s="1"/>
  <c r="O7781" i="12"/>
  <c r="M7784" i="12" l="1"/>
  <c r="N7784" i="12" s="1"/>
  <c r="O7782" i="12"/>
  <c r="M7785" i="12" l="1"/>
  <c r="N7785" i="12" s="1"/>
  <c r="O7783" i="12"/>
  <c r="M7786" i="12" l="1"/>
  <c r="N7786" i="12" s="1"/>
  <c r="O7784" i="12"/>
  <c r="M7787" i="12" l="1"/>
  <c r="N7787" i="12" s="1"/>
  <c r="O7785" i="12"/>
  <c r="M7788" i="12" l="1"/>
  <c r="N7788" i="12" s="1"/>
  <c r="O7786" i="12"/>
  <c r="M7789" i="12" l="1"/>
  <c r="N7789" i="12" s="1"/>
  <c r="O7787" i="12"/>
  <c r="M7790" i="12" l="1"/>
  <c r="N7790" i="12" s="1"/>
  <c r="O7788" i="12"/>
  <c r="M7791" i="12" l="1"/>
  <c r="N7791" i="12" s="1"/>
  <c r="O7789" i="12"/>
  <c r="M7792" i="12" l="1"/>
  <c r="N7792" i="12" s="1"/>
  <c r="O7790" i="12"/>
  <c r="M7793" i="12" l="1"/>
  <c r="N7793" i="12" s="1"/>
  <c r="O7791" i="12"/>
  <c r="M7794" i="12" l="1"/>
  <c r="N7794" i="12" s="1"/>
  <c r="O7792" i="12"/>
  <c r="M7795" i="12" l="1"/>
  <c r="N7795" i="12" s="1"/>
  <c r="O7793" i="12"/>
  <c r="M7796" i="12" l="1"/>
  <c r="N7796" i="12" s="1"/>
  <c r="O7794" i="12"/>
  <c r="M7797" i="12" l="1"/>
  <c r="N7797" i="12" s="1"/>
  <c r="O7795" i="12"/>
  <c r="M7798" i="12" l="1"/>
  <c r="N7798" i="12" s="1"/>
  <c r="O7796" i="12"/>
  <c r="M7799" i="12" l="1"/>
  <c r="N7799" i="12" s="1"/>
  <c r="O7797" i="12"/>
  <c r="M7800" i="12" l="1"/>
  <c r="N7800" i="12" s="1"/>
  <c r="O7798" i="12"/>
  <c r="M7801" i="12" l="1"/>
  <c r="N7801" i="12" s="1"/>
  <c r="O7799" i="12"/>
  <c r="M7802" i="12" l="1"/>
  <c r="N7802" i="12" s="1"/>
  <c r="O7800" i="12"/>
  <c r="M7803" i="12" l="1"/>
  <c r="N7803" i="12" s="1"/>
  <c r="O7801" i="12"/>
  <c r="M7804" i="12" l="1"/>
  <c r="N7804" i="12" s="1"/>
  <c r="O7802" i="12"/>
  <c r="M7805" i="12" l="1"/>
  <c r="N7805" i="12" s="1"/>
  <c r="O7803" i="12"/>
  <c r="M7806" i="12" l="1"/>
  <c r="N7806" i="12" s="1"/>
  <c r="O7804" i="12"/>
  <c r="M7807" i="12" l="1"/>
  <c r="N7807" i="12" s="1"/>
  <c r="O7805" i="12"/>
  <c r="M7808" i="12" l="1"/>
  <c r="N7808" i="12" s="1"/>
  <c r="O7806" i="12"/>
  <c r="M7809" i="12" l="1"/>
  <c r="N7809" i="12" s="1"/>
  <c r="O7807" i="12"/>
  <c r="M7810" i="12" l="1"/>
  <c r="N7810" i="12" s="1"/>
  <c r="O7808" i="12"/>
  <c r="M7811" i="12" l="1"/>
  <c r="N7811" i="12" s="1"/>
  <c r="O7809" i="12"/>
  <c r="M7812" i="12" l="1"/>
  <c r="N7812" i="12" s="1"/>
  <c r="O7810" i="12"/>
  <c r="M7813" i="12" l="1"/>
  <c r="N7813" i="12" s="1"/>
  <c r="O7811" i="12"/>
  <c r="M7814" i="12" l="1"/>
  <c r="N7814" i="12" s="1"/>
  <c r="O7812" i="12"/>
  <c r="M7815" i="12" l="1"/>
  <c r="N7815" i="12" s="1"/>
  <c r="O7813" i="12"/>
  <c r="M7816" i="12" l="1"/>
  <c r="N7816" i="12" s="1"/>
  <c r="O7814" i="12"/>
  <c r="M7817" i="12" l="1"/>
  <c r="N7817" i="12" s="1"/>
  <c r="O7815" i="12"/>
  <c r="M7818" i="12" l="1"/>
  <c r="N7818" i="12" s="1"/>
  <c r="O7816" i="12"/>
  <c r="M7819" i="12" l="1"/>
  <c r="N7819" i="12" s="1"/>
  <c r="O7817" i="12"/>
  <c r="M7820" i="12" l="1"/>
  <c r="N7820" i="12" s="1"/>
  <c r="O7818" i="12"/>
  <c r="M7821" i="12" l="1"/>
  <c r="N7821" i="12" s="1"/>
  <c r="O7819" i="12"/>
  <c r="M7822" i="12" l="1"/>
  <c r="N7822" i="12" s="1"/>
  <c r="O7820" i="12"/>
  <c r="M7823" i="12" l="1"/>
  <c r="N7823" i="12" s="1"/>
  <c r="O7821" i="12"/>
  <c r="M7824" i="12" l="1"/>
  <c r="N7824" i="12" s="1"/>
  <c r="O7822" i="12"/>
  <c r="M7825" i="12" l="1"/>
  <c r="N7825" i="12" s="1"/>
  <c r="O7823" i="12"/>
  <c r="M7826" i="12" l="1"/>
  <c r="N7826" i="12" s="1"/>
  <c r="O7824" i="12"/>
  <c r="M7827" i="12" l="1"/>
  <c r="N7827" i="12" s="1"/>
  <c r="O7825" i="12"/>
  <c r="M7828" i="12" l="1"/>
  <c r="N7828" i="12" s="1"/>
  <c r="O7826" i="12"/>
  <c r="M7829" i="12" l="1"/>
  <c r="N7829" i="12" s="1"/>
  <c r="O7827" i="12"/>
  <c r="M7830" i="12" l="1"/>
  <c r="N7830" i="12" s="1"/>
  <c r="O7828" i="12"/>
  <c r="M7831" i="12" l="1"/>
  <c r="N7831" i="12" s="1"/>
  <c r="O7829" i="12"/>
  <c r="M7832" i="12" l="1"/>
  <c r="N7832" i="12" s="1"/>
  <c r="O7830" i="12"/>
  <c r="M7833" i="12" l="1"/>
  <c r="N7833" i="12" s="1"/>
  <c r="O7831" i="12"/>
  <c r="M7834" i="12" l="1"/>
  <c r="N7834" i="12" s="1"/>
  <c r="O7832" i="12"/>
  <c r="M7835" i="12" l="1"/>
  <c r="N7835" i="12" s="1"/>
  <c r="O7833" i="12"/>
  <c r="M7836" i="12" l="1"/>
  <c r="N7836" i="12" s="1"/>
  <c r="O7834" i="12"/>
  <c r="M7837" i="12" l="1"/>
  <c r="N7837" i="12" s="1"/>
  <c r="O7835" i="12"/>
  <c r="M7838" i="12" l="1"/>
  <c r="N7838" i="12" s="1"/>
  <c r="O7836" i="12"/>
  <c r="M7839" i="12" l="1"/>
  <c r="N7839" i="12" s="1"/>
  <c r="O7837" i="12"/>
  <c r="M7840" i="12" l="1"/>
  <c r="N7840" i="12" s="1"/>
  <c r="O7838" i="12"/>
  <c r="M7841" i="12" l="1"/>
  <c r="N7841" i="12" s="1"/>
  <c r="O7839" i="12"/>
  <c r="M7842" i="12" l="1"/>
  <c r="N7842" i="12" s="1"/>
  <c r="O7840" i="12"/>
  <c r="M7843" i="12" l="1"/>
  <c r="N7843" i="12" s="1"/>
  <c r="O7841" i="12"/>
  <c r="M7844" i="12" l="1"/>
  <c r="N7844" i="12" s="1"/>
  <c r="O7842" i="12"/>
  <c r="M7845" i="12" l="1"/>
  <c r="N7845" i="12" s="1"/>
  <c r="O7843" i="12"/>
  <c r="M7846" i="12" l="1"/>
  <c r="N7846" i="12" s="1"/>
  <c r="O7844" i="12"/>
  <c r="M7847" i="12" l="1"/>
  <c r="N7847" i="12" s="1"/>
  <c r="O7845" i="12"/>
  <c r="M7848" i="12" l="1"/>
  <c r="N7848" i="12" s="1"/>
  <c r="O7846" i="12"/>
  <c r="M7849" i="12" l="1"/>
  <c r="N7849" i="12" s="1"/>
  <c r="O7847" i="12"/>
  <c r="M7850" i="12" l="1"/>
  <c r="N7850" i="12" s="1"/>
  <c r="O7848" i="12"/>
  <c r="M7851" i="12" l="1"/>
  <c r="N7851" i="12" s="1"/>
  <c r="O7849" i="12"/>
  <c r="M7852" i="12" l="1"/>
  <c r="N7852" i="12" s="1"/>
  <c r="O7850" i="12"/>
  <c r="M7853" i="12" l="1"/>
  <c r="N7853" i="12" s="1"/>
  <c r="O7851" i="12"/>
  <c r="M7854" i="12" l="1"/>
  <c r="N7854" i="12" s="1"/>
  <c r="O7852" i="12"/>
  <c r="M7855" i="12" l="1"/>
  <c r="N7855" i="12" s="1"/>
  <c r="O7853" i="12"/>
  <c r="M7856" i="12" l="1"/>
  <c r="N7856" i="12" s="1"/>
  <c r="O7854" i="12"/>
  <c r="M7857" i="12" l="1"/>
  <c r="N7857" i="12" s="1"/>
  <c r="O7855" i="12"/>
  <c r="M7858" i="12" l="1"/>
  <c r="N7858" i="12" s="1"/>
  <c r="O7856" i="12"/>
  <c r="M7859" i="12" l="1"/>
  <c r="N7859" i="12" s="1"/>
  <c r="O7857" i="12"/>
  <c r="M7860" i="12" l="1"/>
  <c r="N7860" i="12" s="1"/>
  <c r="O7858" i="12"/>
  <c r="M7861" i="12" l="1"/>
  <c r="N7861" i="12" s="1"/>
  <c r="O7859" i="12"/>
  <c r="M7862" i="12" l="1"/>
  <c r="N7862" i="12" s="1"/>
  <c r="O7860" i="12"/>
  <c r="M7863" i="12" l="1"/>
  <c r="N7863" i="12" s="1"/>
  <c r="O7861" i="12"/>
  <c r="M7864" i="12" l="1"/>
  <c r="N7864" i="12" s="1"/>
  <c r="O7862" i="12"/>
  <c r="M7865" i="12" l="1"/>
  <c r="N7865" i="12" s="1"/>
  <c r="O7863" i="12"/>
  <c r="M7866" i="12" l="1"/>
  <c r="N7866" i="12" s="1"/>
  <c r="O7864" i="12"/>
  <c r="M7867" i="12" l="1"/>
  <c r="N7867" i="12" s="1"/>
  <c r="O7865" i="12"/>
  <c r="M7868" i="12" l="1"/>
  <c r="N7868" i="12" s="1"/>
  <c r="O7866" i="12"/>
  <c r="M7869" i="12" l="1"/>
  <c r="N7869" i="12" s="1"/>
  <c r="O7867" i="12"/>
  <c r="M7870" i="12" l="1"/>
  <c r="N7870" i="12" s="1"/>
  <c r="O7868" i="12"/>
  <c r="M7871" i="12" l="1"/>
  <c r="N7871" i="12" s="1"/>
  <c r="O7869" i="12"/>
  <c r="M7872" i="12" l="1"/>
  <c r="N7872" i="12" s="1"/>
  <c r="O7870" i="12"/>
  <c r="M7873" i="12" l="1"/>
  <c r="N7873" i="12" s="1"/>
  <c r="O7871" i="12"/>
  <c r="M7874" i="12" l="1"/>
  <c r="N7874" i="12" s="1"/>
  <c r="O7872" i="12"/>
  <c r="M7875" i="12" l="1"/>
  <c r="N7875" i="12" s="1"/>
  <c r="O7873" i="12"/>
  <c r="M7876" i="12" l="1"/>
  <c r="N7876" i="12" s="1"/>
  <c r="O7874" i="12"/>
  <c r="M7877" i="12" l="1"/>
  <c r="N7877" i="12" s="1"/>
  <c r="O7875" i="12"/>
  <c r="M7878" i="12" l="1"/>
  <c r="N7878" i="12" s="1"/>
  <c r="O7876" i="12"/>
  <c r="M7879" i="12" l="1"/>
  <c r="N7879" i="12" s="1"/>
  <c r="O7877" i="12"/>
  <c r="M7880" i="12" l="1"/>
  <c r="N7880" i="12" s="1"/>
  <c r="O7878" i="12"/>
  <c r="M7881" i="12" l="1"/>
  <c r="N7881" i="12" s="1"/>
  <c r="O7879" i="12"/>
  <c r="M7882" i="12" l="1"/>
  <c r="N7882" i="12" s="1"/>
  <c r="O7880" i="12"/>
  <c r="M7883" i="12" l="1"/>
  <c r="N7883" i="12" s="1"/>
  <c r="O7881" i="12"/>
  <c r="M7884" i="12" l="1"/>
  <c r="N7884" i="12" s="1"/>
  <c r="O7882" i="12"/>
  <c r="M7885" i="12" l="1"/>
  <c r="N7885" i="12" s="1"/>
  <c r="O7883" i="12"/>
  <c r="M7886" i="12" l="1"/>
  <c r="N7886" i="12" s="1"/>
  <c r="O7884" i="12"/>
  <c r="M7887" i="12" l="1"/>
  <c r="N7887" i="12" s="1"/>
  <c r="O7885" i="12"/>
  <c r="M7888" i="12" l="1"/>
  <c r="N7888" i="12" s="1"/>
  <c r="O7886" i="12"/>
  <c r="M7889" i="12" l="1"/>
  <c r="N7889" i="12" s="1"/>
  <c r="O7887" i="12"/>
  <c r="M7890" i="12" l="1"/>
  <c r="N7890" i="12" s="1"/>
  <c r="O7888" i="12"/>
  <c r="M7891" i="12" l="1"/>
  <c r="N7891" i="12" s="1"/>
  <c r="O7889" i="12"/>
  <c r="M7892" i="12" l="1"/>
  <c r="N7892" i="12" s="1"/>
  <c r="O7890" i="12"/>
  <c r="M7893" i="12" l="1"/>
  <c r="N7893" i="12" s="1"/>
  <c r="O7891" i="12"/>
  <c r="M7894" i="12" l="1"/>
  <c r="N7894" i="12" s="1"/>
  <c r="O7892" i="12"/>
  <c r="M7895" i="12" l="1"/>
  <c r="N7895" i="12" s="1"/>
  <c r="O7893" i="12"/>
  <c r="M7896" i="12" l="1"/>
  <c r="N7896" i="12" s="1"/>
  <c r="O7894" i="12"/>
  <c r="M7897" i="12" l="1"/>
  <c r="N7897" i="12" s="1"/>
  <c r="O7895" i="12"/>
  <c r="M7898" i="12" l="1"/>
  <c r="N7898" i="12" s="1"/>
  <c r="O7896" i="12"/>
  <c r="M7899" i="12" l="1"/>
  <c r="N7899" i="12" s="1"/>
  <c r="O7897" i="12"/>
  <c r="M7900" i="12" l="1"/>
  <c r="N7900" i="12" s="1"/>
  <c r="O7898" i="12"/>
  <c r="M7901" i="12" l="1"/>
  <c r="N7901" i="12" s="1"/>
  <c r="O7899" i="12"/>
  <c r="M7902" i="12" l="1"/>
  <c r="N7902" i="12" s="1"/>
  <c r="O7900" i="12"/>
  <c r="M7903" i="12" l="1"/>
  <c r="N7903" i="12" s="1"/>
  <c r="O7901" i="12"/>
  <c r="M7904" i="12" l="1"/>
  <c r="N7904" i="12" s="1"/>
  <c r="O7902" i="12"/>
  <c r="M7905" i="12" l="1"/>
  <c r="N7905" i="12" s="1"/>
  <c r="O7903" i="12"/>
  <c r="M7906" i="12" l="1"/>
  <c r="N7906" i="12" s="1"/>
  <c r="O7904" i="12"/>
  <c r="M7907" i="12" l="1"/>
  <c r="N7907" i="12" s="1"/>
  <c r="O7905" i="12"/>
  <c r="M7908" i="12" l="1"/>
  <c r="N7908" i="12" s="1"/>
  <c r="O7906" i="12"/>
  <c r="M7909" i="12" l="1"/>
  <c r="N7909" i="12" s="1"/>
  <c r="O7907" i="12"/>
  <c r="M7910" i="12" l="1"/>
  <c r="N7910" i="12" s="1"/>
  <c r="O7908" i="12"/>
  <c r="M7911" i="12" l="1"/>
  <c r="N7911" i="12" s="1"/>
  <c r="O7909" i="12"/>
  <c r="M7912" i="12" l="1"/>
  <c r="N7912" i="12" s="1"/>
  <c r="O7910" i="12"/>
  <c r="M7913" i="12" l="1"/>
  <c r="N7913" i="12" s="1"/>
  <c r="O7911" i="12"/>
  <c r="M7914" i="12" l="1"/>
  <c r="N7914" i="12" s="1"/>
  <c r="O7912" i="12"/>
  <c r="M7915" i="12" l="1"/>
  <c r="N7915" i="12" s="1"/>
  <c r="O7913" i="12"/>
  <c r="M7916" i="12" l="1"/>
  <c r="N7916" i="12" s="1"/>
  <c r="O7914" i="12"/>
  <c r="M7917" i="12" l="1"/>
  <c r="N7917" i="12" s="1"/>
  <c r="O7915" i="12"/>
  <c r="M7918" i="12" l="1"/>
  <c r="N7918" i="12" s="1"/>
  <c r="O7916" i="12"/>
  <c r="M7919" i="12" l="1"/>
  <c r="N7919" i="12" s="1"/>
  <c r="O7917" i="12"/>
  <c r="M7920" i="12" l="1"/>
  <c r="N7920" i="12" s="1"/>
  <c r="O7918" i="12"/>
  <c r="M7921" i="12" l="1"/>
  <c r="N7921" i="12" s="1"/>
  <c r="O7919" i="12"/>
  <c r="M7922" i="12" l="1"/>
  <c r="N7922" i="12" s="1"/>
  <c r="O7920" i="12"/>
  <c r="M7923" i="12" l="1"/>
  <c r="N7923" i="12" s="1"/>
  <c r="O7921" i="12"/>
  <c r="M7924" i="12" l="1"/>
  <c r="N7924" i="12" s="1"/>
  <c r="O7922" i="12"/>
  <c r="M7925" i="12" l="1"/>
  <c r="N7925" i="12" s="1"/>
  <c r="O7923" i="12"/>
  <c r="M7926" i="12" l="1"/>
  <c r="N7926" i="12" s="1"/>
  <c r="O7924" i="12"/>
  <c r="M7927" i="12" l="1"/>
  <c r="N7927" i="12" s="1"/>
  <c r="O7925" i="12"/>
  <c r="M7928" i="12" l="1"/>
  <c r="N7928" i="12" s="1"/>
  <c r="O7926" i="12"/>
  <c r="M7929" i="12" l="1"/>
  <c r="N7929" i="12" s="1"/>
  <c r="O7927" i="12"/>
  <c r="M7930" i="12" l="1"/>
  <c r="N7930" i="12" s="1"/>
  <c r="O7928" i="12"/>
  <c r="M7931" i="12" l="1"/>
  <c r="N7931" i="12" s="1"/>
  <c r="O7929" i="12"/>
  <c r="M7932" i="12" l="1"/>
  <c r="N7932" i="12" s="1"/>
  <c r="O7930" i="12"/>
  <c r="M7933" i="12" l="1"/>
  <c r="N7933" i="12" s="1"/>
  <c r="O7931" i="12"/>
  <c r="M7934" i="12" l="1"/>
  <c r="N7934" i="12" s="1"/>
  <c r="O7932" i="12"/>
  <c r="M7935" i="12" l="1"/>
  <c r="N7935" i="12" s="1"/>
  <c r="O7933" i="12"/>
  <c r="M7936" i="12" l="1"/>
  <c r="N7936" i="12" s="1"/>
  <c r="O7934" i="12"/>
  <c r="M7937" i="12" l="1"/>
  <c r="N7937" i="12" s="1"/>
  <c r="O7935" i="12"/>
  <c r="M7938" i="12" l="1"/>
  <c r="N7938" i="12" s="1"/>
  <c r="O7936" i="12"/>
  <c r="M7939" i="12" l="1"/>
  <c r="N7939" i="12" s="1"/>
  <c r="O7937" i="12"/>
  <c r="M7940" i="12" l="1"/>
  <c r="N7940" i="12" s="1"/>
  <c r="O7938" i="12"/>
  <c r="M7941" i="12" l="1"/>
  <c r="N7941" i="12" s="1"/>
  <c r="O7939" i="12"/>
  <c r="M7942" i="12" l="1"/>
  <c r="N7942" i="12" s="1"/>
  <c r="O7940" i="12"/>
  <c r="M7943" i="12" l="1"/>
  <c r="N7943" i="12" s="1"/>
  <c r="O7941" i="12"/>
  <c r="M7944" i="12" l="1"/>
  <c r="N7944" i="12" s="1"/>
  <c r="O7942" i="12"/>
  <c r="M7945" i="12" l="1"/>
  <c r="N7945" i="12" s="1"/>
  <c r="O7943" i="12"/>
  <c r="M7946" i="12" l="1"/>
  <c r="N7946" i="12" s="1"/>
  <c r="O7944" i="12"/>
  <c r="M7947" i="12" l="1"/>
  <c r="N7947" i="12" s="1"/>
  <c r="O7945" i="12"/>
  <c r="M7948" i="12" l="1"/>
  <c r="N7948" i="12" s="1"/>
  <c r="O7946" i="12"/>
  <c r="M7949" i="12" l="1"/>
  <c r="N7949" i="12" s="1"/>
  <c r="O7947" i="12"/>
  <c r="M7950" i="12" l="1"/>
  <c r="N7950" i="12" s="1"/>
  <c r="O7948" i="12"/>
  <c r="M7951" i="12" l="1"/>
  <c r="N7951" i="12" s="1"/>
  <c r="O7949" i="12"/>
  <c r="M7952" i="12" l="1"/>
  <c r="N7952" i="12" s="1"/>
  <c r="O7950" i="12"/>
  <c r="M7953" i="12" l="1"/>
  <c r="N7953" i="12" s="1"/>
  <c r="O7951" i="12"/>
  <c r="M7954" i="12" l="1"/>
  <c r="N7954" i="12" s="1"/>
  <c r="O7952" i="12"/>
  <c r="M7955" i="12" l="1"/>
  <c r="N7955" i="12" s="1"/>
  <c r="O7953" i="12"/>
  <c r="M7956" i="12" l="1"/>
  <c r="N7956" i="12" s="1"/>
  <c r="O7954" i="12"/>
  <c r="M7957" i="12" l="1"/>
  <c r="N7957" i="12" s="1"/>
  <c r="O7955" i="12"/>
  <c r="M7958" i="12" l="1"/>
  <c r="N7958" i="12" s="1"/>
  <c r="O7956" i="12"/>
  <c r="M7959" i="12" l="1"/>
  <c r="N7959" i="12" s="1"/>
  <c r="O7957" i="12"/>
  <c r="M7960" i="12" l="1"/>
  <c r="N7960" i="12" s="1"/>
  <c r="O7958" i="12"/>
  <c r="M7961" i="12" l="1"/>
  <c r="N7961" i="12" s="1"/>
  <c r="O7959" i="12"/>
  <c r="M7962" i="12" l="1"/>
  <c r="N7962" i="12" s="1"/>
  <c r="O7960" i="12"/>
  <c r="M7963" i="12" l="1"/>
  <c r="N7963" i="12" s="1"/>
  <c r="O7961" i="12"/>
  <c r="M7964" i="12" l="1"/>
  <c r="N7964" i="12" s="1"/>
  <c r="O7962" i="12"/>
  <c r="M7965" i="12" l="1"/>
  <c r="N7965" i="12" s="1"/>
  <c r="O7963" i="12"/>
  <c r="M7966" i="12" l="1"/>
  <c r="N7966" i="12" s="1"/>
  <c r="O7964" i="12"/>
  <c r="M7967" i="12" l="1"/>
  <c r="N7967" i="12" s="1"/>
  <c r="O7965" i="12"/>
  <c r="M7968" i="12" l="1"/>
  <c r="N7968" i="12" s="1"/>
  <c r="O7966" i="12"/>
  <c r="M7969" i="12" l="1"/>
  <c r="N7969" i="12" s="1"/>
  <c r="O7967" i="12"/>
  <c r="M7970" i="12" l="1"/>
  <c r="N7970" i="12" s="1"/>
  <c r="O7968" i="12"/>
  <c r="M7971" i="12" l="1"/>
  <c r="N7971" i="12" s="1"/>
  <c r="O7969" i="12"/>
  <c r="M7972" i="12" l="1"/>
  <c r="N7972" i="12" s="1"/>
  <c r="O7970" i="12"/>
  <c r="M7973" i="12" l="1"/>
  <c r="N7973" i="12" s="1"/>
  <c r="O7971" i="12"/>
  <c r="M7974" i="12" l="1"/>
  <c r="N7974" i="12" s="1"/>
  <c r="O7972" i="12"/>
  <c r="M7975" i="12" l="1"/>
  <c r="N7975" i="12" s="1"/>
  <c r="O7973" i="12"/>
  <c r="M7976" i="12" l="1"/>
  <c r="N7976" i="12" s="1"/>
  <c r="O7974" i="12"/>
  <c r="M7977" i="12" l="1"/>
  <c r="N7977" i="12" s="1"/>
  <c r="O7975" i="12"/>
  <c r="M7978" i="12" l="1"/>
  <c r="N7978" i="12" s="1"/>
  <c r="O7976" i="12"/>
  <c r="M7979" i="12" l="1"/>
  <c r="N7979" i="12" s="1"/>
  <c r="O7977" i="12"/>
  <c r="M7980" i="12" l="1"/>
  <c r="N7980" i="12" s="1"/>
  <c r="O7978" i="12"/>
  <c r="M7981" i="12" l="1"/>
  <c r="N7981" i="12" s="1"/>
  <c r="O7979" i="12"/>
  <c r="M7982" i="12" l="1"/>
  <c r="N7982" i="12" s="1"/>
  <c r="O7980" i="12"/>
  <c r="M7983" i="12" l="1"/>
  <c r="N7983" i="12" s="1"/>
  <c r="O7981" i="12"/>
  <c r="M7984" i="12" l="1"/>
  <c r="N7984" i="12" s="1"/>
  <c r="O7982" i="12"/>
  <c r="M7985" i="12" l="1"/>
  <c r="N7985" i="12" s="1"/>
  <c r="O7983" i="12"/>
  <c r="M7986" i="12" l="1"/>
  <c r="N7986" i="12" s="1"/>
  <c r="O7984" i="12"/>
  <c r="M7987" i="12" l="1"/>
  <c r="N7987" i="12" s="1"/>
  <c r="O7985" i="12"/>
  <c r="M7988" i="12" l="1"/>
  <c r="N7988" i="12" s="1"/>
  <c r="O7986" i="12"/>
  <c r="M7989" i="12" l="1"/>
  <c r="N7989" i="12" s="1"/>
  <c r="O7987" i="12"/>
  <c r="M7990" i="12" l="1"/>
  <c r="N7990" i="12" s="1"/>
  <c r="O7988" i="12"/>
  <c r="M7991" i="12" l="1"/>
  <c r="N7991" i="12" s="1"/>
  <c r="O7989" i="12"/>
  <c r="M7992" i="12" l="1"/>
  <c r="N7992" i="12" s="1"/>
  <c r="O7990" i="12"/>
  <c r="M7993" i="12" l="1"/>
  <c r="N7993" i="12" s="1"/>
  <c r="O7991" i="12"/>
  <c r="M7994" i="12" l="1"/>
  <c r="N7994" i="12" s="1"/>
  <c r="O7992" i="12"/>
  <c r="M7995" i="12" l="1"/>
  <c r="N7995" i="12" s="1"/>
  <c r="O7993" i="12"/>
  <c r="M7996" i="12" l="1"/>
  <c r="N7996" i="12" s="1"/>
  <c r="O7994" i="12"/>
  <c r="M7997" i="12" l="1"/>
  <c r="N7997" i="12" s="1"/>
  <c r="O7995" i="12"/>
  <c r="M7998" i="12" l="1"/>
  <c r="N7998" i="12" s="1"/>
  <c r="O7996" i="12"/>
  <c r="M7999" i="12" l="1"/>
  <c r="N7999" i="12" s="1"/>
  <c r="O7997" i="12"/>
  <c r="M8000" i="12" l="1"/>
  <c r="N8000" i="12" s="1"/>
  <c r="O7998" i="12"/>
  <c r="M8001" i="12" l="1"/>
  <c r="N8001" i="12" s="1"/>
  <c r="O7999" i="12"/>
  <c r="M8002" i="12" l="1"/>
  <c r="N8002" i="12" s="1"/>
  <c r="O8000" i="12"/>
  <c r="M8003" i="12" l="1"/>
  <c r="N8003" i="12" s="1"/>
  <c r="O8001" i="12"/>
  <c r="M8004" i="12" l="1"/>
  <c r="N8004" i="12" s="1"/>
  <c r="O8002" i="12"/>
  <c r="M8005" i="12" l="1"/>
  <c r="N8005" i="12" s="1"/>
  <c r="O8003" i="12"/>
  <c r="M8006" i="12" l="1"/>
  <c r="N8006" i="12" s="1"/>
  <c r="O8004" i="12"/>
  <c r="M8007" i="12" l="1"/>
  <c r="N8007" i="12" s="1"/>
  <c r="O8005" i="12"/>
  <c r="M8008" i="12" l="1"/>
  <c r="N8008" i="12" s="1"/>
  <c r="O8006" i="12"/>
  <c r="M8009" i="12" l="1"/>
  <c r="N8009" i="12" s="1"/>
  <c r="O8007" i="12"/>
  <c r="M8010" i="12" l="1"/>
  <c r="N8010" i="12" s="1"/>
  <c r="O8008" i="12"/>
  <c r="M8011" i="12" l="1"/>
  <c r="N8011" i="12" s="1"/>
  <c r="O8009" i="12"/>
  <c r="M8012" i="12" l="1"/>
  <c r="N8012" i="12" s="1"/>
  <c r="O8010" i="12"/>
  <c r="M8013" i="12" l="1"/>
  <c r="N8013" i="12" s="1"/>
  <c r="O8011" i="12"/>
  <c r="M8014" i="12" l="1"/>
  <c r="N8014" i="12" s="1"/>
  <c r="O8012" i="12"/>
  <c r="M8015" i="12" l="1"/>
  <c r="N8015" i="12" s="1"/>
  <c r="O8013" i="12"/>
  <c r="M8016" i="12" l="1"/>
  <c r="N8016" i="12" s="1"/>
  <c r="O8014" i="12"/>
  <c r="M8017" i="12" l="1"/>
  <c r="N8017" i="12" s="1"/>
  <c r="O8015" i="12"/>
  <c r="M8018" i="12" l="1"/>
  <c r="N8018" i="12" s="1"/>
  <c r="O8016" i="12"/>
  <c r="M8019" i="12" l="1"/>
  <c r="N8019" i="12" s="1"/>
  <c r="O8017" i="12"/>
  <c r="M8020" i="12" l="1"/>
  <c r="N8020" i="12" s="1"/>
  <c r="O8018" i="12"/>
  <c r="M8021" i="12" l="1"/>
  <c r="N8021" i="12" s="1"/>
  <c r="O8019" i="12"/>
  <c r="M8022" i="12" l="1"/>
  <c r="N8022" i="12" s="1"/>
  <c r="O8020" i="12"/>
  <c r="M8023" i="12" l="1"/>
  <c r="N8023" i="12" s="1"/>
  <c r="O8021" i="12"/>
  <c r="M8024" i="12" l="1"/>
  <c r="N8024" i="12" s="1"/>
  <c r="O8022" i="12"/>
  <c r="M8025" i="12" l="1"/>
  <c r="N8025" i="12" s="1"/>
  <c r="O8023" i="12"/>
  <c r="M8026" i="12" l="1"/>
  <c r="N8026" i="12" s="1"/>
  <c r="O8024" i="12"/>
  <c r="M8027" i="12" l="1"/>
  <c r="N8027" i="12" s="1"/>
  <c r="O8025" i="12"/>
  <c r="M8028" i="12" l="1"/>
  <c r="N8028" i="12" s="1"/>
  <c r="O8026" i="12"/>
  <c r="M8029" i="12" l="1"/>
  <c r="N8029" i="12" s="1"/>
  <c r="O8027" i="12"/>
  <c r="M8030" i="12" l="1"/>
  <c r="N8030" i="12" s="1"/>
  <c r="O8028" i="12"/>
  <c r="M8031" i="12" l="1"/>
  <c r="N8031" i="12" s="1"/>
  <c r="O8029" i="12"/>
  <c r="M8032" i="12" l="1"/>
  <c r="N8032" i="12" s="1"/>
  <c r="O8030" i="12"/>
  <c r="M8033" i="12" l="1"/>
  <c r="N8033" i="12" s="1"/>
  <c r="O8031" i="12"/>
  <c r="M8034" i="12" l="1"/>
  <c r="N8034" i="12" s="1"/>
  <c r="O8032" i="12"/>
  <c r="M8035" i="12" l="1"/>
  <c r="N8035" i="12" s="1"/>
  <c r="O8033" i="12"/>
  <c r="M8036" i="12" l="1"/>
  <c r="N8036" i="12" s="1"/>
  <c r="O8034" i="12"/>
  <c r="M8037" i="12" l="1"/>
  <c r="N8037" i="12" s="1"/>
  <c r="O8035" i="12"/>
  <c r="M8038" i="12" l="1"/>
  <c r="N8038" i="12" s="1"/>
  <c r="O8036" i="12"/>
  <c r="M8039" i="12" l="1"/>
  <c r="N8039" i="12" s="1"/>
  <c r="O8037" i="12"/>
  <c r="M8040" i="12" l="1"/>
  <c r="N8040" i="12" s="1"/>
  <c r="O8038" i="12"/>
  <c r="M8041" i="12" l="1"/>
  <c r="N8041" i="12" s="1"/>
  <c r="O8039" i="12"/>
  <c r="M8042" i="12" l="1"/>
  <c r="N8042" i="12" s="1"/>
  <c r="O8040" i="12"/>
  <c r="M8043" i="12" l="1"/>
  <c r="N8043" i="12" s="1"/>
  <c r="O8041" i="12"/>
  <c r="M8044" i="12" l="1"/>
  <c r="N8044" i="12" s="1"/>
  <c r="O8042" i="12"/>
  <c r="M8045" i="12" l="1"/>
  <c r="N8045" i="12" s="1"/>
  <c r="O8043" i="12"/>
  <c r="M8046" i="12" l="1"/>
  <c r="N8046" i="12" s="1"/>
  <c r="O8044" i="12"/>
  <c r="M8047" i="12" l="1"/>
  <c r="N8047" i="12" s="1"/>
  <c r="O8045" i="12"/>
  <c r="M8048" i="12" l="1"/>
  <c r="N8048" i="12" s="1"/>
  <c r="O8046" i="12"/>
  <c r="M8049" i="12" l="1"/>
  <c r="N8049" i="12" s="1"/>
  <c r="O8047" i="12"/>
  <c r="M8050" i="12" l="1"/>
  <c r="N8050" i="12" s="1"/>
  <c r="O8048" i="12"/>
  <c r="M8051" i="12" l="1"/>
  <c r="N8051" i="12" s="1"/>
  <c r="O8049" i="12"/>
  <c r="M8052" i="12" l="1"/>
  <c r="N8052" i="12" s="1"/>
  <c r="O8050" i="12"/>
  <c r="M8053" i="12" l="1"/>
  <c r="N8053" i="12" s="1"/>
  <c r="O8051" i="12"/>
  <c r="M8054" i="12" l="1"/>
  <c r="N8054" i="12" s="1"/>
  <c r="O8052" i="12"/>
  <c r="M8055" i="12" l="1"/>
  <c r="N8055" i="12" s="1"/>
  <c r="O8053" i="12"/>
  <c r="M8056" i="12" l="1"/>
  <c r="N8056" i="12" s="1"/>
  <c r="O8054" i="12"/>
  <c r="M8057" i="12" l="1"/>
  <c r="N8057" i="12" s="1"/>
  <c r="O8055" i="12"/>
  <c r="M8058" i="12" l="1"/>
  <c r="N8058" i="12" s="1"/>
  <c r="O8056" i="12"/>
  <c r="M8059" i="12" l="1"/>
  <c r="N8059" i="12" s="1"/>
  <c r="O8057" i="12"/>
  <c r="M8060" i="12" l="1"/>
  <c r="N8060" i="12" s="1"/>
  <c r="O8058" i="12"/>
  <c r="M8061" i="12" l="1"/>
  <c r="N8061" i="12" s="1"/>
  <c r="O8059" i="12"/>
  <c r="M8062" i="12" l="1"/>
  <c r="N8062" i="12" s="1"/>
  <c r="O8060" i="12"/>
  <c r="M8063" i="12" l="1"/>
  <c r="N8063" i="12" s="1"/>
  <c r="O8061" i="12"/>
  <c r="M8064" i="12" l="1"/>
  <c r="N8064" i="12" s="1"/>
  <c r="O8062" i="12"/>
  <c r="M8065" i="12" l="1"/>
  <c r="N8065" i="12" s="1"/>
  <c r="O8063" i="12"/>
  <c r="M8066" i="12" l="1"/>
  <c r="N8066" i="12" s="1"/>
  <c r="O8064" i="12"/>
  <c r="M8067" i="12" l="1"/>
  <c r="N8067" i="12" s="1"/>
  <c r="O8065" i="12"/>
  <c r="M8068" i="12" l="1"/>
  <c r="N8068" i="12" s="1"/>
  <c r="O8066" i="12"/>
  <c r="M8069" i="12" l="1"/>
  <c r="N8069" i="12" s="1"/>
  <c r="O8067" i="12"/>
  <c r="M8070" i="12" l="1"/>
  <c r="N8070" i="12" s="1"/>
  <c r="O8068" i="12"/>
  <c r="M8071" i="12" l="1"/>
  <c r="N8071" i="12" s="1"/>
  <c r="O8069" i="12"/>
  <c r="M8072" i="12" l="1"/>
  <c r="N8072" i="12" s="1"/>
  <c r="O8070" i="12"/>
  <c r="M8073" i="12" l="1"/>
  <c r="N8073" i="12" s="1"/>
  <c r="O8071" i="12"/>
  <c r="M8074" i="12" l="1"/>
  <c r="N8074" i="12" s="1"/>
  <c r="O8072" i="12"/>
  <c r="M8075" i="12" l="1"/>
  <c r="N8075" i="12" s="1"/>
  <c r="O8073" i="12"/>
  <c r="M8076" i="12" l="1"/>
  <c r="N8076" i="12" s="1"/>
  <c r="O8074" i="12"/>
  <c r="M8077" i="12" l="1"/>
  <c r="N8077" i="12" s="1"/>
  <c r="O8075" i="12"/>
  <c r="M8078" i="12" l="1"/>
  <c r="N8078" i="12" s="1"/>
  <c r="O8076" i="12"/>
  <c r="M8079" i="12" l="1"/>
  <c r="N8079" i="12" s="1"/>
  <c r="O8077" i="12"/>
  <c r="M8080" i="12" l="1"/>
  <c r="N8080" i="12" s="1"/>
  <c r="O8078" i="12"/>
  <c r="M8081" i="12" l="1"/>
  <c r="N8081" i="12" s="1"/>
  <c r="O8079" i="12"/>
  <c r="M8082" i="12" l="1"/>
  <c r="N8082" i="12" s="1"/>
  <c r="O8080" i="12"/>
  <c r="M8083" i="12" l="1"/>
  <c r="N8083" i="12" s="1"/>
  <c r="O8081" i="12"/>
  <c r="M8084" i="12" l="1"/>
  <c r="N8084" i="12" s="1"/>
  <c r="O8082" i="12"/>
  <c r="M8085" i="12" l="1"/>
  <c r="N8085" i="12" s="1"/>
  <c r="O8083" i="12"/>
  <c r="M8086" i="12" l="1"/>
  <c r="N8086" i="12" s="1"/>
  <c r="O8084" i="12"/>
  <c r="M8087" i="12" l="1"/>
  <c r="N8087" i="12" s="1"/>
  <c r="O8085" i="12"/>
  <c r="M8088" i="12" l="1"/>
  <c r="N8088" i="12" s="1"/>
  <c r="O8086" i="12"/>
  <c r="M8089" i="12" l="1"/>
  <c r="N8089" i="12" s="1"/>
  <c r="O8087" i="12"/>
  <c r="M8090" i="12" l="1"/>
  <c r="N8090" i="12" s="1"/>
  <c r="O8088" i="12"/>
  <c r="M8091" i="12" l="1"/>
  <c r="N8091" i="12" s="1"/>
  <c r="O8089" i="12"/>
  <c r="M8092" i="12" l="1"/>
  <c r="N8092" i="12" s="1"/>
  <c r="O8090" i="12"/>
  <c r="M8093" i="12" l="1"/>
  <c r="N8093" i="12" s="1"/>
  <c r="O8091" i="12"/>
  <c r="M8094" i="12" l="1"/>
  <c r="N8094" i="12" s="1"/>
  <c r="O8092" i="12"/>
  <c r="M8095" i="12" l="1"/>
  <c r="N8095" i="12" s="1"/>
  <c r="O8093" i="12"/>
  <c r="M8096" i="12" l="1"/>
  <c r="N8096" i="12" s="1"/>
  <c r="O8094" i="12"/>
  <c r="M8097" i="12" l="1"/>
  <c r="N8097" i="12" s="1"/>
  <c r="O8095" i="12"/>
  <c r="M8098" i="12" l="1"/>
  <c r="N8098" i="12" s="1"/>
  <c r="O8096" i="12"/>
  <c r="M8099" i="12" l="1"/>
  <c r="N8099" i="12" s="1"/>
  <c r="O8097" i="12"/>
  <c r="M8100" i="12" l="1"/>
  <c r="N8100" i="12" s="1"/>
  <c r="O8098" i="12"/>
  <c r="M8101" i="12" l="1"/>
  <c r="N8101" i="12" s="1"/>
  <c r="O8099" i="12"/>
  <c r="M8102" i="12" l="1"/>
  <c r="N8102" i="12" s="1"/>
  <c r="O8100" i="12"/>
  <c r="M8103" i="12" l="1"/>
  <c r="N8103" i="12" s="1"/>
  <c r="O8101" i="12"/>
  <c r="M8104" i="12" l="1"/>
  <c r="N8104" i="12" s="1"/>
  <c r="O8102" i="12"/>
  <c r="M8105" i="12" l="1"/>
  <c r="N8105" i="12" s="1"/>
  <c r="O8103" i="12"/>
  <c r="M8106" i="12" l="1"/>
  <c r="N8106" i="12" s="1"/>
  <c r="O8104" i="12"/>
  <c r="M8107" i="12" l="1"/>
  <c r="N8107" i="12" s="1"/>
  <c r="O8105" i="12"/>
  <c r="M8108" i="12" l="1"/>
  <c r="N8108" i="12" s="1"/>
  <c r="O8106" i="12"/>
  <c r="M8109" i="12" l="1"/>
  <c r="N8109" i="12" s="1"/>
  <c r="O8107" i="12"/>
  <c r="M8110" i="12" l="1"/>
  <c r="N8110" i="12" s="1"/>
  <c r="O8108" i="12"/>
  <c r="M8111" i="12" l="1"/>
  <c r="N8111" i="12" s="1"/>
  <c r="O8109" i="12"/>
  <c r="M8112" i="12" l="1"/>
  <c r="N8112" i="12" s="1"/>
  <c r="O8110" i="12"/>
  <c r="M8113" i="12" l="1"/>
  <c r="N8113" i="12" s="1"/>
  <c r="O8111" i="12"/>
  <c r="M8114" i="12" l="1"/>
  <c r="N8114" i="12" s="1"/>
  <c r="O8112" i="12"/>
  <c r="M8115" i="12" l="1"/>
  <c r="N8115" i="12" s="1"/>
  <c r="O8113" i="12"/>
  <c r="M8116" i="12" l="1"/>
  <c r="N8116" i="12" s="1"/>
  <c r="O8114" i="12"/>
  <c r="M8117" i="12" l="1"/>
  <c r="N8117" i="12" s="1"/>
  <c r="O8115" i="12"/>
  <c r="M8118" i="12" l="1"/>
  <c r="N8118" i="12" s="1"/>
  <c r="O8116" i="12"/>
  <c r="M8119" i="12" l="1"/>
  <c r="N8119" i="12" s="1"/>
  <c r="O8117" i="12"/>
  <c r="M8120" i="12" l="1"/>
  <c r="N8120" i="12" s="1"/>
  <c r="O8118" i="12"/>
  <c r="M8121" i="12" l="1"/>
  <c r="N8121" i="12" s="1"/>
  <c r="O8119" i="12"/>
  <c r="M8122" i="12" l="1"/>
  <c r="N8122" i="12" s="1"/>
  <c r="O8120" i="12"/>
  <c r="M8123" i="12" l="1"/>
  <c r="N8123" i="12" s="1"/>
  <c r="O8121" i="12"/>
  <c r="M8124" i="12" l="1"/>
  <c r="N8124" i="12" s="1"/>
  <c r="O8122" i="12"/>
  <c r="M8125" i="12" l="1"/>
  <c r="N8125" i="12" s="1"/>
  <c r="O8123" i="12"/>
  <c r="M8126" i="12" l="1"/>
  <c r="N8126" i="12" s="1"/>
  <c r="O8124" i="12"/>
  <c r="M8127" i="12" l="1"/>
  <c r="N8127" i="12" s="1"/>
  <c r="O8125" i="12"/>
  <c r="M8128" i="12" l="1"/>
  <c r="N8128" i="12" s="1"/>
  <c r="O8126" i="12"/>
  <c r="M8129" i="12" l="1"/>
  <c r="N8129" i="12" s="1"/>
  <c r="O8127" i="12"/>
  <c r="M8130" i="12" l="1"/>
  <c r="N8130" i="12" s="1"/>
  <c r="O8128" i="12"/>
  <c r="M8131" i="12" l="1"/>
  <c r="N8131" i="12" s="1"/>
  <c r="O8129" i="12"/>
  <c r="M8132" i="12" l="1"/>
  <c r="N8132" i="12" s="1"/>
  <c r="O8130" i="12"/>
  <c r="M8133" i="12" l="1"/>
  <c r="N8133" i="12" s="1"/>
  <c r="O8131" i="12"/>
  <c r="M8134" i="12" l="1"/>
  <c r="N8134" i="12" s="1"/>
  <c r="O8132" i="12"/>
  <c r="M8135" i="12" l="1"/>
  <c r="N8135" i="12" s="1"/>
  <c r="O8133" i="12"/>
  <c r="M8136" i="12" l="1"/>
  <c r="N8136" i="12" s="1"/>
  <c r="O8134" i="12"/>
  <c r="M8137" i="12" l="1"/>
  <c r="N8137" i="12" s="1"/>
  <c r="O8135" i="12"/>
  <c r="M8138" i="12" l="1"/>
  <c r="N8138" i="12" s="1"/>
  <c r="O8136" i="12"/>
  <c r="M8139" i="12" l="1"/>
  <c r="N8139" i="12" s="1"/>
  <c r="O8137" i="12"/>
  <c r="M8140" i="12" l="1"/>
  <c r="N8140" i="12" s="1"/>
  <c r="O8138" i="12"/>
  <c r="M8141" i="12" l="1"/>
  <c r="N8141" i="12" s="1"/>
  <c r="O8139" i="12"/>
  <c r="M8142" i="12" l="1"/>
  <c r="N8142" i="12" s="1"/>
  <c r="O8140" i="12"/>
  <c r="M8143" i="12" l="1"/>
  <c r="N8143" i="12" s="1"/>
  <c r="O8141" i="12"/>
  <c r="M8144" i="12" l="1"/>
  <c r="N8144" i="12" s="1"/>
  <c r="O8142" i="12"/>
  <c r="M8145" i="12" l="1"/>
  <c r="N8145" i="12" s="1"/>
  <c r="O8143" i="12"/>
  <c r="M8146" i="12" l="1"/>
  <c r="N8146" i="12" s="1"/>
  <c r="O8144" i="12"/>
  <c r="M8147" i="12" l="1"/>
  <c r="N8147" i="12" s="1"/>
  <c r="O8145" i="12"/>
  <c r="M8148" i="12" l="1"/>
  <c r="N8148" i="12" s="1"/>
  <c r="O8146" i="12"/>
  <c r="M8149" i="12" l="1"/>
  <c r="N8149" i="12" s="1"/>
  <c r="O8147" i="12"/>
  <c r="M8150" i="12" l="1"/>
  <c r="N8150" i="12" s="1"/>
  <c r="O8148" i="12"/>
  <c r="M8151" i="12" l="1"/>
  <c r="N8151" i="12" s="1"/>
  <c r="O8149" i="12"/>
  <c r="M8152" i="12" l="1"/>
  <c r="N8152" i="12" s="1"/>
  <c r="O8150" i="12"/>
  <c r="M8153" i="12" l="1"/>
  <c r="N8153" i="12" s="1"/>
  <c r="O8151" i="12"/>
  <c r="M8154" i="12" l="1"/>
  <c r="N8154" i="12" s="1"/>
  <c r="O8152" i="12"/>
  <c r="M8155" i="12" l="1"/>
  <c r="N8155" i="12" s="1"/>
  <c r="O8153" i="12"/>
  <c r="M8156" i="12" l="1"/>
  <c r="N8156" i="12" s="1"/>
  <c r="O8154" i="12"/>
  <c r="M8157" i="12" l="1"/>
  <c r="N8157" i="12" s="1"/>
  <c r="O8155" i="12"/>
  <c r="M8158" i="12" l="1"/>
  <c r="N8158" i="12" s="1"/>
  <c r="O8156" i="12"/>
  <c r="M8159" i="12" l="1"/>
  <c r="N8159" i="12" s="1"/>
  <c r="O8157" i="12"/>
  <c r="M8160" i="12" l="1"/>
  <c r="N8160" i="12" s="1"/>
  <c r="O8158" i="12"/>
  <c r="M8161" i="12" l="1"/>
  <c r="N8161" i="12" s="1"/>
  <c r="O8159" i="12"/>
  <c r="M8162" i="12" l="1"/>
  <c r="N8162" i="12" s="1"/>
  <c r="O8160" i="12"/>
  <c r="M8163" i="12" l="1"/>
  <c r="N8163" i="12" s="1"/>
  <c r="O8161" i="12"/>
  <c r="M8164" i="12" l="1"/>
  <c r="N8164" i="12" s="1"/>
  <c r="O8162" i="12"/>
  <c r="M8165" i="12" l="1"/>
  <c r="N8165" i="12" s="1"/>
  <c r="O8163" i="12"/>
  <c r="M8166" i="12" l="1"/>
  <c r="N8166" i="12" s="1"/>
  <c r="O8164" i="12"/>
  <c r="M8167" i="12" l="1"/>
  <c r="N8167" i="12" s="1"/>
  <c r="O8165" i="12"/>
  <c r="M8168" i="12" l="1"/>
  <c r="N8168" i="12" s="1"/>
  <c r="O8166" i="12"/>
  <c r="M8169" i="12" l="1"/>
  <c r="N8169" i="12" s="1"/>
  <c r="O8167" i="12"/>
  <c r="M8170" i="12" l="1"/>
  <c r="N8170" i="12" s="1"/>
  <c r="O8168" i="12"/>
  <c r="M8171" i="12" l="1"/>
  <c r="N8171" i="12" s="1"/>
  <c r="O8169" i="12"/>
  <c r="M8172" i="12" l="1"/>
  <c r="N8172" i="12" s="1"/>
  <c r="O8170" i="12"/>
  <c r="M8173" i="12" l="1"/>
  <c r="N8173" i="12" s="1"/>
  <c r="O8171" i="12"/>
  <c r="M8174" i="12" l="1"/>
  <c r="N8174" i="12" s="1"/>
  <c r="O8172" i="12"/>
  <c r="M8175" i="12" l="1"/>
  <c r="N8175" i="12" s="1"/>
  <c r="O8173" i="12"/>
  <c r="M8176" i="12" l="1"/>
  <c r="N8176" i="12" s="1"/>
  <c r="O8174" i="12"/>
  <c r="M8177" i="12" l="1"/>
  <c r="N8177" i="12" s="1"/>
  <c r="O8175" i="12"/>
  <c r="M8178" i="12" l="1"/>
  <c r="N8178" i="12" s="1"/>
  <c r="O8176" i="12"/>
  <c r="M8179" i="12" l="1"/>
  <c r="N8179" i="12" s="1"/>
  <c r="O8177" i="12"/>
  <c r="M8180" i="12" l="1"/>
  <c r="N8180" i="12" s="1"/>
  <c r="O8178" i="12"/>
  <c r="M8181" i="12" l="1"/>
  <c r="N8181" i="12" s="1"/>
  <c r="O8179" i="12"/>
  <c r="M8182" i="12" l="1"/>
  <c r="N8182" i="12" s="1"/>
  <c r="O8180" i="12"/>
  <c r="M8183" i="12" l="1"/>
  <c r="N8183" i="12" s="1"/>
  <c r="O8181" i="12"/>
  <c r="M8184" i="12" l="1"/>
  <c r="N8184" i="12" s="1"/>
  <c r="O8182" i="12"/>
  <c r="M8185" i="12" l="1"/>
  <c r="N8185" i="12" s="1"/>
  <c r="O8183" i="12"/>
  <c r="M8186" i="12" l="1"/>
  <c r="N8186" i="12" s="1"/>
  <c r="O8184" i="12"/>
  <c r="M8187" i="12" l="1"/>
  <c r="N8187" i="12" s="1"/>
  <c r="O8185" i="12"/>
  <c r="M8188" i="12" l="1"/>
  <c r="N8188" i="12" s="1"/>
  <c r="O8186" i="12"/>
  <c r="M8189" i="12" l="1"/>
  <c r="N8189" i="12" s="1"/>
  <c r="O8187" i="12"/>
  <c r="M8190" i="12" l="1"/>
  <c r="N8190" i="12" s="1"/>
  <c r="O8188" i="12"/>
  <c r="M8191" i="12" l="1"/>
  <c r="N8191" i="12" s="1"/>
  <c r="O8189" i="12"/>
  <c r="M8192" i="12" l="1"/>
  <c r="N8192" i="12" s="1"/>
  <c r="O8190" i="12"/>
  <c r="M8193" i="12" l="1"/>
  <c r="N8193" i="12" s="1"/>
  <c r="O8191" i="12"/>
  <c r="M8194" i="12" l="1"/>
  <c r="N8194" i="12" s="1"/>
  <c r="O8192" i="12"/>
  <c r="M8195" i="12" l="1"/>
  <c r="N8195" i="12" s="1"/>
  <c r="O8193" i="12"/>
  <c r="M8196" i="12" l="1"/>
  <c r="N8196" i="12" s="1"/>
  <c r="O8194" i="12"/>
  <c r="M8197" i="12" l="1"/>
  <c r="N8197" i="12" s="1"/>
  <c r="O8195" i="12"/>
  <c r="M8198" i="12" l="1"/>
  <c r="N8198" i="12" s="1"/>
  <c r="O8196" i="12"/>
  <c r="M8199" i="12" l="1"/>
  <c r="N8199" i="12" s="1"/>
  <c r="O8197" i="12"/>
  <c r="M8200" i="12" l="1"/>
  <c r="N8200" i="12" s="1"/>
  <c r="O8198" i="12"/>
  <c r="M8201" i="12" l="1"/>
  <c r="N8201" i="12" s="1"/>
  <c r="O8199" i="12"/>
  <c r="M8202" i="12" l="1"/>
  <c r="N8202" i="12" s="1"/>
  <c r="O8200" i="12"/>
  <c r="M8203" i="12" l="1"/>
  <c r="N8203" i="12" s="1"/>
  <c r="O8201" i="12"/>
  <c r="M8204" i="12" l="1"/>
  <c r="N8204" i="12" s="1"/>
  <c r="O8202" i="12"/>
  <c r="M8205" i="12" l="1"/>
  <c r="N8205" i="12" s="1"/>
  <c r="O8203" i="12"/>
  <c r="M8206" i="12" l="1"/>
  <c r="N8206" i="12" s="1"/>
  <c r="O8204" i="12"/>
  <c r="M8207" i="12" l="1"/>
  <c r="N8207" i="12" s="1"/>
  <c r="O8205" i="12"/>
  <c r="M8208" i="12" l="1"/>
  <c r="N8208" i="12" s="1"/>
  <c r="O8206" i="12"/>
  <c r="M8209" i="12" l="1"/>
  <c r="N8209" i="12" s="1"/>
  <c r="O8207" i="12"/>
  <c r="M8210" i="12" l="1"/>
  <c r="N8210" i="12" s="1"/>
  <c r="O8208" i="12"/>
  <c r="M8211" i="12" l="1"/>
  <c r="N8211" i="12" s="1"/>
  <c r="O8209" i="12"/>
  <c r="M8212" i="12" l="1"/>
  <c r="N8212" i="12" s="1"/>
  <c r="O8210" i="12"/>
  <c r="M8213" i="12" l="1"/>
  <c r="N8213" i="12" s="1"/>
  <c r="O8211" i="12"/>
  <c r="M8214" i="12" l="1"/>
  <c r="N8214" i="12" s="1"/>
  <c r="O8212" i="12"/>
  <c r="M8215" i="12" l="1"/>
  <c r="N8215" i="12" s="1"/>
  <c r="O8213" i="12"/>
  <c r="M8216" i="12" l="1"/>
  <c r="N8216" i="12" s="1"/>
  <c r="O8214" i="12"/>
  <c r="M8217" i="12" l="1"/>
  <c r="N8217" i="12" s="1"/>
  <c r="O8215" i="12"/>
  <c r="M8218" i="12" l="1"/>
  <c r="N8218" i="12" s="1"/>
  <c r="O8216" i="12"/>
  <c r="M8219" i="12" l="1"/>
  <c r="N8219" i="12" s="1"/>
  <c r="O8217" i="12"/>
  <c r="M8220" i="12" l="1"/>
  <c r="N8220" i="12" s="1"/>
  <c r="O8218" i="12"/>
  <c r="M8221" i="12" l="1"/>
  <c r="N8221" i="12" s="1"/>
  <c r="O8219" i="12"/>
  <c r="M8222" i="12" l="1"/>
  <c r="N8222" i="12" s="1"/>
  <c r="O8220" i="12"/>
  <c r="M8223" i="12" l="1"/>
  <c r="N8223" i="12" s="1"/>
  <c r="O8221" i="12"/>
  <c r="M8224" i="12" l="1"/>
  <c r="N8224" i="12" s="1"/>
  <c r="O8222" i="12"/>
  <c r="M8225" i="12" l="1"/>
  <c r="N8225" i="12" s="1"/>
  <c r="O8223" i="12"/>
  <c r="M8226" i="12" l="1"/>
  <c r="N8226" i="12" s="1"/>
  <c r="O8224" i="12"/>
  <c r="M8227" i="12" l="1"/>
  <c r="N8227" i="12" s="1"/>
  <c r="O8225" i="12"/>
  <c r="M8228" i="12" l="1"/>
  <c r="N8228" i="12" s="1"/>
  <c r="O8226" i="12"/>
  <c r="M8229" i="12" l="1"/>
  <c r="N8229" i="12" s="1"/>
  <c r="O8227" i="12"/>
  <c r="M8230" i="12" l="1"/>
  <c r="N8230" i="12" s="1"/>
  <c r="O8228" i="12"/>
  <c r="M8231" i="12" l="1"/>
  <c r="N8231" i="12" s="1"/>
  <c r="O8229" i="12"/>
  <c r="M8232" i="12" l="1"/>
  <c r="N8232" i="12" s="1"/>
  <c r="O8230" i="12"/>
  <c r="M8233" i="12" l="1"/>
  <c r="N8233" i="12" s="1"/>
  <c r="O8231" i="12"/>
  <c r="M8234" i="12" l="1"/>
  <c r="N8234" i="12" s="1"/>
  <c r="O8232" i="12"/>
  <c r="M8235" i="12" l="1"/>
  <c r="N8235" i="12" s="1"/>
  <c r="O8233" i="12"/>
  <c r="M8236" i="12" l="1"/>
  <c r="N8236" i="12" s="1"/>
  <c r="O8234" i="12"/>
  <c r="M8237" i="12" l="1"/>
  <c r="N8237" i="12" s="1"/>
  <c r="O8235" i="12"/>
  <c r="M8238" i="12" l="1"/>
  <c r="N8238" i="12" s="1"/>
  <c r="O8236" i="12"/>
  <c r="M8239" i="12" l="1"/>
  <c r="N8239" i="12" s="1"/>
  <c r="O8237" i="12"/>
  <c r="M8240" i="12" l="1"/>
  <c r="N8240" i="12" s="1"/>
  <c r="O8238" i="12"/>
  <c r="M8241" i="12" l="1"/>
  <c r="N8241" i="12" s="1"/>
  <c r="O8239" i="12"/>
  <c r="M8242" i="12" l="1"/>
  <c r="N8242" i="12" s="1"/>
  <c r="O8240" i="12"/>
  <c r="M8243" i="12" l="1"/>
  <c r="N8243" i="12" s="1"/>
  <c r="O8241" i="12"/>
  <c r="M8244" i="12" l="1"/>
  <c r="N8244" i="12" s="1"/>
  <c r="O8242" i="12"/>
  <c r="M8245" i="12" l="1"/>
  <c r="N8245" i="12" s="1"/>
  <c r="O8243" i="12"/>
  <c r="M8246" i="12" l="1"/>
  <c r="N8246" i="12" s="1"/>
  <c r="O8244" i="12"/>
  <c r="M8247" i="12" l="1"/>
  <c r="N8247" i="12" s="1"/>
  <c r="O8245" i="12"/>
  <c r="M8248" i="12" l="1"/>
  <c r="N8248" i="12" s="1"/>
  <c r="O8246" i="12"/>
  <c r="M8249" i="12" l="1"/>
  <c r="N8249" i="12" s="1"/>
  <c r="O8247" i="12"/>
  <c r="M8250" i="12" l="1"/>
  <c r="N8250" i="12" s="1"/>
  <c r="O8248" i="12"/>
  <c r="M8251" i="12" l="1"/>
  <c r="N8251" i="12" s="1"/>
  <c r="O8249" i="12"/>
  <c r="M8252" i="12" l="1"/>
  <c r="N8252" i="12" s="1"/>
  <c r="O8250" i="12"/>
  <c r="M8253" i="12" l="1"/>
  <c r="N8253" i="12" s="1"/>
  <c r="O8251" i="12"/>
  <c r="M8254" i="12" l="1"/>
  <c r="N8254" i="12" s="1"/>
  <c r="O8252" i="12"/>
  <c r="M8255" i="12" l="1"/>
  <c r="N8255" i="12" s="1"/>
  <c r="O8253" i="12"/>
  <c r="M8256" i="12" l="1"/>
  <c r="N8256" i="12" s="1"/>
  <c r="O8254" i="12"/>
  <c r="M8257" i="12" l="1"/>
  <c r="N8257" i="12" s="1"/>
  <c r="O8255" i="12"/>
  <c r="M8258" i="12" l="1"/>
  <c r="N8258" i="12" s="1"/>
  <c r="O8256" i="12"/>
  <c r="M8259" i="12" l="1"/>
  <c r="N8259" i="12" s="1"/>
  <c r="O8257" i="12"/>
  <c r="M8260" i="12" l="1"/>
  <c r="N8260" i="12" s="1"/>
  <c r="O8258" i="12"/>
  <c r="M8261" i="12" l="1"/>
  <c r="N8261" i="12" s="1"/>
  <c r="O8259" i="12"/>
  <c r="M8262" i="12" l="1"/>
  <c r="N8262" i="12" s="1"/>
  <c r="O8260" i="12"/>
  <c r="M8263" i="12" l="1"/>
  <c r="N8263" i="12" s="1"/>
  <c r="O8261" i="12"/>
  <c r="M8264" i="12" l="1"/>
  <c r="N8264" i="12" s="1"/>
  <c r="O8262" i="12"/>
  <c r="M8265" i="12" l="1"/>
  <c r="N8265" i="12" s="1"/>
  <c r="O8263" i="12"/>
  <c r="M8266" i="12" l="1"/>
  <c r="N8266" i="12" s="1"/>
  <c r="O8264" i="12"/>
  <c r="M8267" i="12" l="1"/>
  <c r="N8267" i="12" s="1"/>
  <c r="O8265" i="12"/>
  <c r="M8268" i="12" l="1"/>
  <c r="N8268" i="12" s="1"/>
  <c r="O8266" i="12"/>
  <c r="M8269" i="12" l="1"/>
  <c r="N8269" i="12" s="1"/>
  <c r="O8267" i="12"/>
  <c r="M8270" i="12" l="1"/>
  <c r="N8270" i="12" s="1"/>
  <c r="O8268" i="12"/>
  <c r="M8271" i="12" l="1"/>
  <c r="N8271" i="12" s="1"/>
  <c r="O8269" i="12"/>
  <c r="M8272" i="12" l="1"/>
  <c r="N8272" i="12" s="1"/>
  <c r="O8270" i="12"/>
  <c r="M8273" i="12" l="1"/>
  <c r="N8273" i="12" s="1"/>
  <c r="O8271" i="12"/>
  <c r="M8274" i="12" l="1"/>
  <c r="N8274" i="12" s="1"/>
  <c r="O8272" i="12"/>
  <c r="M8275" i="12" l="1"/>
  <c r="N8275" i="12" s="1"/>
  <c r="O8273" i="12"/>
  <c r="M8276" i="12" l="1"/>
  <c r="N8276" i="12" s="1"/>
  <c r="O8274" i="12"/>
  <c r="M8277" i="12" l="1"/>
  <c r="N8277" i="12" s="1"/>
  <c r="O8275" i="12"/>
  <c r="M8278" i="12" l="1"/>
  <c r="N8278" i="12" s="1"/>
  <c r="O8276" i="12"/>
  <c r="M8279" i="12" l="1"/>
  <c r="N8279" i="12" s="1"/>
  <c r="O8277" i="12"/>
  <c r="M8280" i="12" l="1"/>
  <c r="N8280" i="12" s="1"/>
  <c r="O8278" i="12"/>
  <c r="M8281" i="12" l="1"/>
  <c r="N8281" i="12" s="1"/>
  <c r="O8279" i="12"/>
  <c r="M8282" i="12" l="1"/>
  <c r="N8282" i="12" s="1"/>
  <c r="O8280" i="12"/>
  <c r="M8283" i="12" l="1"/>
  <c r="N8283" i="12" s="1"/>
  <c r="O8281" i="12"/>
  <c r="M8284" i="12" l="1"/>
  <c r="N8284" i="12" s="1"/>
  <c r="O8282" i="12"/>
  <c r="M8285" i="12" l="1"/>
  <c r="N8285" i="12" s="1"/>
  <c r="O8283" i="12"/>
  <c r="M8286" i="12" l="1"/>
  <c r="N8286" i="12" s="1"/>
  <c r="O8284" i="12"/>
  <c r="M8287" i="12" l="1"/>
  <c r="N8287" i="12" s="1"/>
  <c r="O8285" i="12"/>
  <c r="M8288" i="12" l="1"/>
  <c r="N8288" i="12" s="1"/>
  <c r="O8286" i="12"/>
  <c r="M8289" i="12" l="1"/>
  <c r="N8289" i="12" s="1"/>
  <c r="O8287" i="12"/>
  <c r="M8290" i="12" l="1"/>
  <c r="N8290" i="12" s="1"/>
  <c r="O8288" i="12"/>
  <c r="M8291" i="12" l="1"/>
  <c r="N8291" i="12" s="1"/>
  <c r="O8289" i="12"/>
  <c r="M8292" i="12" l="1"/>
  <c r="N8292" i="12" s="1"/>
  <c r="O8290" i="12"/>
  <c r="M8293" i="12" l="1"/>
  <c r="N8293" i="12" s="1"/>
  <c r="O8291" i="12"/>
  <c r="M8294" i="12" l="1"/>
  <c r="N8294" i="12" s="1"/>
  <c r="O8292" i="12"/>
  <c r="M8295" i="12" l="1"/>
  <c r="N8295" i="12" s="1"/>
  <c r="O8293" i="12"/>
  <c r="M8296" i="12" l="1"/>
  <c r="N8296" i="12" s="1"/>
  <c r="O8294" i="12"/>
  <c r="M8297" i="12" l="1"/>
  <c r="N8297" i="12" s="1"/>
  <c r="O8295" i="12"/>
  <c r="M8298" i="12" l="1"/>
  <c r="N8298" i="12" s="1"/>
  <c r="O8296" i="12"/>
  <c r="M8299" i="12" l="1"/>
  <c r="N8299" i="12" s="1"/>
  <c r="O8297" i="12"/>
  <c r="M8300" i="12" l="1"/>
  <c r="N8300" i="12" s="1"/>
  <c r="O8298" i="12"/>
  <c r="M8301" i="12" l="1"/>
  <c r="N8301" i="12" s="1"/>
  <c r="O8299" i="12"/>
  <c r="M8302" i="12" l="1"/>
  <c r="N8302" i="12" s="1"/>
  <c r="O8300" i="12"/>
  <c r="M8303" i="12" l="1"/>
  <c r="N8303" i="12" s="1"/>
  <c r="O8301" i="12"/>
  <c r="M8304" i="12" l="1"/>
  <c r="N8304" i="12" s="1"/>
  <c r="O8302" i="12"/>
  <c r="M8305" i="12" l="1"/>
  <c r="N8305" i="12" s="1"/>
  <c r="O8303" i="12"/>
  <c r="M8306" i="12" l="1"/>
  <c r="N8306" i="12" s="1"/>
  <c r="O8304" i="12"/>
  <c r="M8307" i="12" l="1"/>
  <c r="N8307" i="12" s="1"/>
  <c r="O8305" i="12"/>
  <c r="M8308" i="12" l="1"/>
  <c r="N8308" i="12" s="1"/>
  <c r="O8306" i="12"/>
  <c r="M8309" i="12" l="1"/>
  <c r="N8309" i="12" s="1"/>
  <c r="O8307" i="12"/>
  <c r="M8310" i="12" l="1"/>
  <c r="N8310" i="12" s="1"/>
  <c r="O8308" i="12"/>
  <c r="M8311" i="12" l="1"/>
  <c r="N8311" i="12" s="1"/>
  <c r="O8309" i="12"/>
  <c r="M8312" i="12" l="1"/>
  <c r="N8312" i="12" s="1"/>
  <c r="O8310" i="12"/>
  <c r="M8313" i="12" l="1"/>
  <c r="N8313" i="12" s="1"/>
  <c r="O8311" i="12"/>
  <c r="M8314" i="12" l="1"/>
  <c r="N8314" i="12" s="1"/>
  <c r="O8312" i="12"/>
  <c r="M8315" i="12" l="1"/>
  <c r="N8315" i="12" s="1"/>
  <c r="O8313" i="12"/>
  <c r="M8316" i="12" l="1"/>
  <c r="N8316" i="12" s="1"/>
  <c r="O8314" i="12"/>
  <c r="M8317" i="12" l="1"/>
  <c r="N8317" i="12" s="1"/>
  <c r="O8315" i="12"/>
  <c r="M8318" i="12" l="1"/>
  <c r="N8318" i="12" s="1"/>
  <c r="O8316" i="12"/>
  <c r="M8319" i="12" l="1"/>
  <c r="N8319" i="12" s="1"/>
  <c r="O8317" i="12"/>
  <c r="M8320" i="12" l="1"/>
  <c r="N8320" i="12" s="1"/>
  <c r="O8318" i="12"/>
  <c r="M8321" i="12" l="1"/>
  <c r="N8321" i="12" s="1"/>
  <c r="O8319" i="12"/>
  <c r="M8322" i="12" l="1"/>
  <c r="N8322" i="12" s="1"/>
  <c r="O8320" i="12"/>
  <c r="M8323" i="12" l="1"/>
  <c r="N8323" i="12" s="1"/>
  <c r="O8321" i="12"/>
  <c r="M8324" i="12" l="1"/>
  <c r="N8324" i="12" s="1"/>
  <c r="O8322" i="12"/>
  <c r="M8325" i="12" l="1"/>
  <c r="N8325" i="12" s="1"/>
  <c r="O8323" i="12"/>
  <c r="M8326" i="12" l="1"/>
  <c r="N8326" i="12" s="1"/>
  <c r="O8324" i="12"/>
  <c r="M8327" i="12" l="1"/>
  <c r="N8327" i="12" s="1"/>
  <c r="O8325" i="12"/>
  <c r="M8328" i="12" l="1"/>
  <c r="N8328" i="12" s="1"/>
  <c r="O8326" i="12"/>
  <c r="M8329" i="12" l="1"/>
  <c r="N8329" i="12" s="1"/>
  <c r="O8327" i="12"/>
  <c r="M8330" i="12" l="1"/>
  <c r="N8330" i="12" s="1"/>
  <c r="O8328" i="12"/>
  <c r="M8331" i="12" l="1"/>
  <c r="N8331" i="12" s="1"/>
  <c r="O8329" i="12"/>
  <c r="M8332" i="12" l="1"/>
  <c r="N8332" i="12" s="1"/>
  <c r="O8330" i="12"/>
  <c r="M8333" i="12" l="1"/>
  <c r="N8333" i="12" s="1"/>
  <c r="O8331" i="12"/>
  <c r="M8334" i="12" l="1"/>
  <c r="N8334" i="12" s="1"/>
  <c r="O8332" i="12"/>
  <c r="M8335" i="12" l="1"/>
  <c r="N8335" i="12" s="1"/>
  <c r="O8333" i="12"/>
  <c r="M8336" i="12" l="1"/>
  <c r="N8336" i="12" s="1"/>
  <c r="O8334" i="12"/>
  <c r="M8337" i="12" l="1"/>
  <c r="N8337" i="12" s="1"/>
  <c r="O8335" i="12"/>
  <c r="M8338" i="12" l="1"/>
  <c r="N8338" i="12" s="1"/>
  <c r="O8336" i="12"/>
  <c r="M8339" i="12" l="1"/>
  <c r="N8339" i="12" s="1"/>
  <c r="O8337" i="12"/>
  <c r="M8340" i="12" l="1"/>
  <c r="N8340" i="12" s="1"/>
  <c r="O8338" i="12"/>
  <c r="M8341" i="12" l="1"/>
  <c r="N8341" i="12" s="1"/>
  <c r="O8339" i="12"/>
  <c r="M8342" i="12" l="1"/>
  <c r="N8342" i="12" s="1"/>
  <c r="O8340" i="12"/>
  <c r="M8343" i="12" l="1"/>
  <c r="N8343" i="12" s="1"/>
  <c r="O8341" i="12"/>
  <c r="M8344" i="12" l="1"/>
  <c r="N8344" i="12" s="1"/>
  <c r="O8342" i="12"/>
  <c r="M8345" i="12" l="1"/>
  <c r="N8345" i="12" s="1"/>
  <c r="O8343" i="12"/>
  <c r="M8346" i="12" l="1"/>
  <c r="N8346" i="12" s="1"/>
  <c r="O8344" i="12"/>
  <c r="M8347" i="12" l="1"/>
  <c r="N8347" i="12" s="1"/>
  <c r="O8345" i="12"/>
  <c r="M8348" i="12" l="1"/>
  <c r="N8348" i="12" s="1"/>
  <c r="O8346" i="12"/>
  <c r="M8349" i="12" l="1"/>
  <c r="N8349" i="12" s="1"/>
  <c r="O8347" i="12"/>
  <c r="M8350" i="12" l="1"/>
  <c r="N8350" i="12" s="1"/>
  <c r="O8348" i="12"/>
  <c r="M8351" i="12" l="1"/>
  <c r="N8351" i="12" s="1"/>
  <c r="O8349" i="12"/>
  <c r="M8352" i="12" l="1"/>
  <c r="N8352" i="12" s="1"/>
  <c r="O8350" i="12"/>
  <c r="M8353" i="12" l="1"/>
  <c r="N8353" i="12" s="1"/>
  <c r="O8351" i="12"/>
  <c r="M8354" i="12" l="1"/>
  <c r="N8354" i="12" s="1"/>
  <c r="O8352" i="12"/>
  <c r="M8355" i="12" l="1"/>
  <c r="N8355" i="12" s="1"/>
  <c r="O8353" i="12"/>
  <c r="M8356" i="12" l="1"/>
  <c r="N8356" i="12" s="1"/>
  <c r="O8354" i="12"/>
  <c r="M8357" i="12" l="1"/>
  <c r="N8357" i="12" s="1"/>
  <c r="O8355" i="12"/>
  <c r="M8358" i="12" l="1"/>
  <c r="N8358" i="12" s="1"/>
  <c r="O8356" i="12"/>
  <c r="M8359" i="12" l="1"/>
  <c r="N8359" i="12" s="1"/>
  <c r="O8357" i="12"/>
  <c r="M8360" i="12" l="1"/>
  <c r="N8360" i="12" s="1"/>
  <c r="O8358" i="12"/>
  <c r="M8361" i="12" l="1"/>
  <c r="N8361" i="12" s="1"/>
  <c r="O8359" i="12"/>
  <c r="M8362" i="12" l="1"/>
  <c r="N8362" i="12" s="1"/>
  <c r="O8360" i="12"/>
  <c r="M8363" i="12" l="1"/>
  <c r="N8363" i="12" s="1"/>
  <c r="O8361" i="12"/>
  <c r="M8364" i="12" l="1"/>
  <c r="N8364" i="12" s="1"/>
  <c r="O8362" i="12"/>
  <c r="M8365" i="12" l="1"/>
  <c r="N8365" i="12" s="1"/>
  <c r="O8363" i="12"/>
  <c r="M8366" i="12" l="1"/>
  <c r="N8366" i="12" s="1"/>
  <c r="O8364" i="12"/>
  <c r="M8367" i="12" l="1"/>
  <c r="N8367" i="12" s="1"/>
  <c r="O8365" i="12"/>
  <c r="M8368" i="12" l="1"/>
  <c r="N8368" i="12" s="1"/>
  <c r="O8366" i="12"/>
  <c r="M8369" i="12" l="1"/>
  <c r="N8369" i="12" s="1"/>
  <c r="O8367" i="12"/>
  <c r="M8370" i="12" l="1"/>
  <c r="N8370" i="12" s="1"/>
  <c r="O8368" i="12"/>
  <c r="M8371" i="12" l="1"/>
  <c r="N8371" i="12" s="1"/>
  <c r="O8369" i="12"/>
  <c r="M8372" i="12" l="1"/>
  <c r="N8372" i="12" s="1"/>
  <c r="O8370" i="12"/>
  <c r="M8373" i="12" l="1"/>
  <c r="N8373" i="12" s="1"/>
  <c r="O8371" i="12"/>
  <c r="M8374" i="12" l="1"/>
  <c r="N8374" i="12" s="1"/>
  <c r="O8372" i="12"/>
  <c r="M8375" i="12" l="1"/>
  <c r="N8375" i="12" s="1"/>
  <c r="O8373" i="12"/>
  <c r="M8376" i="12" l="1"/>
  <c r="N8376" i="12" s="1"/>
  <c r="O8374" i="12"/>
  <c r="M8377" i="12" l="1"/>
  <c r="N8377" i="12" s="1"/>
  <c r="O8375" i="12"/>
  <c r="M8378" i="12" l="1"/>
  <c r="N8378" i="12" s="1"/>
  <c r="O8376" i="12"/>
  <c r="M8379" i="12" l="1"/>
  <c r="N8379" i="12" s="1"/>
  <c r="O8377" i="12"/>
  <c r="M8380" i="12" l="1"/>
  <c r="N8380" i="12" s="1"/>
  <c r="O8378" i="12"/>
  <c r="M8381" i="12" l="1"/>
  <c r="N8381" i="12" s="1"/>
  <c r="O8379" i="12"/>
  <c r="M8382" i="12" l="1"/>
  <c r="N8382" i="12" s="1"/>
  <c r="O8380" i="12"/>
  <c r="M8383" i="12" l="1"/>
  <c r="N8383" i="12" s="1"/>
  <c r="O8381" i="12"/>
  <c r="M8384" i="12" l="1"/>
  <c r="N8384" i="12" s="1"/>
  <c r="O8382" i="12"/>
  <c r="M8385" i="12" l="1"/>
  <c r="N8385" i="12" s="1"/>
  <c r="O8383" i="12"/>
  <c r="M8386" i="12" l="1"/>
  <c r="N8386" i="12" s="1"/>
  <c r="O8384" i="12"/>
  <c r="M8387" i="12" l="1"/>
  <c r="N8387" i="12" s="1"/>
  <c r="O8385" i="12"/>
  <c r="M8388" i="12" l="1"/>
  <c r="N8388" i="12" s="1"/>
  <c r="O8386" i="12"/>
  <c r="M8389" i="12" l="1"/>
  <c r="N8389" i="12" s="1"/>
  <c r="O8387" i="12"/>
  <c r="M8390" i="12" l="1"/>
  <c r="N8390" i="12" s="1"/>
  <c r="O8388" i="12"/>
  <c r="M8391" i="12" l="1"/>
  <c r="N8391" i="12" s="1"/>
  <c r="O8389" i="12"/>
  <c r="M8392" i="12" l="1"/>
  <c r="N8392" i="12" s="1"/>
  <c r="O8390" i="12"/>
  <c r="M8393" i="12" l="1"/>
  <c r="N8393" i="12" s="1"/>
  <c r="O8391" i="12"/>
  <c r="M8394" i="12" l="1"/>
  <c r="N8394" i="12" s="1"/>
  <c r="O8392" i="12"/>
  <c r="M8395" i="12" l="1"/>
  <c r="N8395" i="12" s="1"/>
  <c r="O8393" i="12"/>
  <c r="M8396" i="12" l="1"/>
  <c r="N8396" i="12" s="1"/>
  <c r="O8394" i="12"/>
  <c r="M8397" i="12" l="1"/>
  <c r="N8397" i="12" s="1"/>
  <c r="O8395" i="12"/>
  <c r="M8398" i="12" l="1"/>
  <c r="N8398" i="12" s="1"/>
  <c r="O8396" i="12"/>
  <c r="M8399" i="12" l="1"/>
  <c r="N8399" i="12" s="1"/>
  <c r="O8397" i="12"/>
  <c r="M8400" i="12" l="1"/>
  <c r="N8400" i="12" s="1"/>
  <c r="O8398" i="12"/>
  <c r="M8401" i="12" l="1"/>
  <c r="N8401" i="12" s="1"/>
  <c r="O8399" i="12"/>
  <c r="M8402" i="12" l="1"/>
  <c r="N8402" i="12" s="1"/>
  <c r="O8400" i="12"/>
  <c r="M8403" i="12" l="1"/>
  <c r="N8403" i="12" s="1"/>
  <c r="O8401" i="12"/>
  <c r="M8404" i="12" l="1"/>
  <c r="N8404" i="12" s="1"/>
  <c r="O8402" i="12"/>
  <c r="M8405" i="12" l="1"/>
  <c r="N8405" i="12" s="1"/>
  <c r="O8403" i="12"/>
  <c r="M8406" i="12" l="1"/>
  <c r="N8406" i="12" s="1"/>
  <c r="O8404" i="12"/>
  <c r="M8407" i="12" l="1"/>
  <c r="N8407" i="12" s="1"/>
  <c r="O8405" i="12"/>
  <c r="M8408" i="12" l="1"/>
  <c r="N8408" i="12" s="1"/>
  <c r="O8406" i="12"/>
  <c r="M8409" i="12" l="1"/>
  <c r="N8409" i="12" s="1"/>
  <c r="O8407" i="12"/>
  <c r="M8410" i="12" l="1"/>
  <c r="N8410" i="12" s="1"/>
  <c r="O8408" i="12"/>
  <c r="M8411" i="12" l="1"/>
  <c r="N8411" i="12" s="1"/>
  <c r="O8409" i="12"/>
  <c r="M8412" i="12" l="1"/>
  <c r="N8412" i="12" s="1"/>
  <c r="O8410" i="12"/>
  <c r="M8413" i="12" l="1"/>
  <c r="N8413" i="12" s="1"/>
  <c r="O8411" i="12"/>
  <c r="M8414" i="12" l="1"/>
  <c r="N8414" i="12" s="1"/>
  <c r="O8412" i="12"/>
  <c r="M8415" i="12" l="1"/>
  <c r="N8415" i="12" s="1"/>
  <c r="O8413" i="12"/>
  <c r="M8416" i="12" l="1"/>
  <c r="N8416" i="12" s="1"/>
  <c r="O8414" i="12"/>
  <c r="M8417" i="12" l="1"/>
  <c r="N8417" i="12" s="1"/>
  <c r="O8415" i="12"/>
  <c r="M8418" i="12" l="1"/>
  <c r="N8418" i="12" s="1"/>
  <c r="O8416" i="12"/>
  <c r="M8419" i="12" l="1"/>
  <c r="N8419" i="12" s="1"/>
  <c r="O8417" i="12"/>
  <c r="M8420" i="12" l="1"/>
  <c r="N8420" i="12" s="1"/>
  <c r="O8418" i="12"/>
  <c r="M8421" i="12" l="1"/>
  <c r="N8421" i="12" s="1"/>
  <c r="O8419" i="12"/>
  <c r="M8422" i="12" l="1"/>
  <c r="N8422" i="12" s="1"/>
  <c r="O8420" i="12"/>
  <c r="M8423" i="12" l="1"/>
  <c r="N8423" i="12" s="1"/>
  <c r="O8421" i="12"/>
  <c r="M8424" i="12" l="1"/>
  <c r="N8424" i="12" s="1"/>
  <c r="O8422" i="12"/>
  <c r="M8425" i="12" l="1"/>
  <c r="N8425" i="12" s="1"/>
  <c r="O8423" i="12"/>
  <c r="M8426" i="12" l="1"/>
  <c r="N8426" i="12" s="1"/>
  <c r="O8424" i="12"/>
  <c r="M8427" i="12" l="1"/>
  <c r="N8427" i="12" s="1"/>
  <c r="O8425" i="12"/>
  <c r="M8428" i="12" l="1"/>
  <c r="N8428" i="12" s="1"/>
  <c r="O8426" i="12"/>
  <c r="M8429" i="12" l="1"/>
  <c r="N8429" i="12" s="1"/>
  <c r="O8427" i="12"/>
  <c r="M8430" i="12" l="1"/>
  <c r="N8430" i="12" s="1"/>
  <c r="O8428" i="12"/>
  <c r="M8431" i="12" l="1"/>
  <c r="N8431" i="12" s="1"/>
  <c r="O8429" i="12"/>
  <c r="M8432" i="12" l="1"/>
  <c r="N8432" i="12" s="1"/>
  <c r="O8430" i="12"/>
  <c r="M8433" i="12" l="1"/>
  <c r="N8433" i="12" s="1"/>
  <c r="O8431" i="12"/>
  <c r="M8434" i="12" l="1"/>
  <c r="N8434" i="12" s="1"/>
  <c r="O8432" i="12"/>
  <c r="M8435" i="12" l="1"/>
  <c r="N8435" i="12" s="1"/>
  <c r="O8433" i="12"/>
  <c r="M8436" i="12" l="1"/>
  <c r="N8436" i="12" s="1"/>
  <c r="O8434" i="12"/>
  <c r="M8437" i="12" l="1"/>
  <c r="N8437" i="12" s="1"/>
  <c r="O8435" i="12"/>
  <c r="M8438" i="12" l="1"/>
  <c r="N8438" i="12" s="1"/>
  <c r="O8436" i="12"/>
  <c r="M8439" i="12" l="1"/>
  <c r="N8439" i="12" s="1"/>
  <c r="O8437" i="12"/>
  <c r="M8440" i="12" l="1"/>
  <c r="N8440" i="12" s="1"/>
  <c r="O8438" i="12"/>
  <c r="M8441" i="12" l="1"/>
  <c r="N8441" i="12" s="1"/>
  <c r="O8439" i="12"/>
  <c r="M8442" i="12" l="1"/>
  <c r="N8442" i="12" s="1"/>
  <c r="O8440" i="12"/>
  <c r="M8443" i="12" l="1"/>
  <c r="N8443" i="12" s="1"/>
  <c r="O8441" i="12"/>
  <c r="M8444" i="12" l="1"/>
  <c r="N8444" i="12" s="1"/>
  <c r="O8442" i="12"/>
  <c r="M8445" i="12" l="1"/>
  <c r="N8445" i="12" s="1"/>
  <c r="O8443" i="12"/>
  <c r="M8446" i="12" l="1"/>
  <c r="N8446" i="12" s="1"/>
  <c r="O8444" i="12"/>
  <c r="M8447" i="12" l="1"/>
  <c r="N8447" i="12" s="1"/>
  <c r="O8445" i="12"/>
  <c r="M8448" i="12" l="1"/>
  <c r="N8448" i="12" s="1"/>
  <c r="O8446" i="12"/>
  <c r="M8449" i="12" l="1"/>
  <c r="N8449" i="12" s="1"/>
  <c r="O8447" i="12"/>
  <c r="M8450" i="12" l="1"/>
  <c r="N8450" i="12" s="1"/>
  <c r="O8448" i="12"/>
  <c r="M8451" i="12" l="1"/>
  <c r="N8451" i="12" s="1"/>
  <c r="O8449" i="12"/>
  <c r="M8452" i="12" l="1"/>
  <c r="N8452" i="12" s="1"/>
  <c r="O8450" i="12"/>
  <c r="M8453" i="12" l="1"/>
  <c r="N8453" i="12" s="1"/>
  <c r="O8451" i="12"/>
  <c r="M8454" i="12" l="1"/>
  <c r="N8454" i="12" s="1"/>
  <c r="O8452" i="12"/>
  <c r="M8455" i="12" l="1"/>
  <c r="N8455" i="12" s="1"/>
  <c r="O8453" i="12"/>
  <c r="M8456" i="12" l="1"/>
  <c r="N8456" i="12" s="1"/>
  <c r="O8454" i="12"/>
  <c r="M8457" i="12" l="1"/>
  <c r="N8457" i="12" s="1"/>
  <c r="O8455" i="12"/>
  <c r="M8458" i="12" l="1"/>
  <c r="N8458" i="12" s="1"/>
  <c r="O8456" i="12"/>
  <c r="M8459" i="12" l="1"/>
  <c r="N8459" i="12" s="1"/>
  <c r="O8457" i="12"/>
  <c r="M8460" i="12" l="1"/>
  <c r="N8460" i="12" s="1"/>
  <c r="O8458" i="12"/>
  <c r="M8461" i="12" l="1"/>
  <c r="N8461" i="12" s="1"/>
  <c r="O8459" i="12"/>
  <c r="M8462" i="12" l="1"/>
  <c r="N8462" i="12" s="1"/>
  <c r="O8460" i="12"/>
  <c r="M8463" i="12" l="1"/>
  <c r="N8463" i="12" s="1"/>
  <c r="O8461" i="12"/>
  <c r="M8464" i="12" l="1"/>
  <c r="N8464" i="12" s="1"/>
  <c r="O8462" i="12"/>
  <c r="M8465" i="12" l="1"/>
  <c r="N8465" i="12" s="1"/>
  <c r="O8463" i="12"/>
  <c r="M8466" i="12" l="1"/>
  <c r="N8466" i="12" s="1"/>
  <c r="O8464" i="12"/>
  <c r="M8467" i="12" l="1"/>
  <c r="N8467" i="12" s="1"/>
  <c r="O8465" i="12"/>
  <c r="M8468" i="12" l="1"/>
  <c r="N8468" i="12" s="1"/>
  <c r="O8466" i="12"/>
  <c r="M8469" i="12" l="1"/>
  <c r="N8469" i="12" s="1"/>
  <c r="O8467" i="12"/>
  <c r="M8470" i="12" l="1"/>
  <c r="N8470" i="12" s="1"/>
  <c r="O8468" i="12"/>
  <c r="M8471" i="12" l="1"/>
  <c r="N8471" i="12" s="1"/>
  <c r="O8469" i="12"/>
  <c r="M8472" i="12" l="1"/>
  <c r="N8472" i="12" s="1"/>
  <c r="O8470" i="12"/>
  <c r="M8473" i="12" l="1"/>
  <c r="N8473" i="12" s="1"/>
  <c r="O8471" i="12"/>
  <c r="M8474" i="12" l="1"/>
  <c r="N8474" i="12" s="1"/>
  <c r="O8472" i="12"/>
  <c r="M8475" i="12" l="1"/>
  <c r="N8475" i="12" s="1"/>
  <c r="O8473" i="12"/>
  <c r="M8476" i="12" l="1"/>
  <c r="N8476" i="12" s="1"/>
  <c r="O8474" i="12"/>
  <c r="M8477" i="12" l="1"/>
  <c r="N8477" i="12" s="1"/>
  <c r="O8475" i="12"/>
  <c r="M8478" i="12" l="1"/>
  <c r="N8478" i="12" s="1"/>
  <c r="O8476" i="12"/>
  <c r="M8479" i="12" l="1"/>
  <c r="N8479" i="12" s="1"/>
  <c r="O8477" i="12"/>
  <c r="M8480" i="12" l="1"/>
  <c r="N8480" i="12" s="1"/>
  <c r="O8478" i="12"/>
  <c r="M8481" i="12" l="1"/>
  <c r="N8481" i="12" s="1"/>
  <c r="O8479" i="12"/>
  <c r="M8482" i="12" l="1"/>
  <c r="N8482" i="12" s="1"/>
  <c r="O8480" i="12"/>
  <c r="M8483" i="12" l="1"/>
  <c r="N8483" i="12" s="1"/>
  <c r="O8481" i="12"/>
  <c r="M8484" i="12" l="1"/>
  <c r="N8484" i="12" s="1"/>
  <c r="O8482" i="12"/>
  <c r="M8485" i="12" l="1"/>
  <c r="N8485" i="12" s="1"/>
  <c r="O8483" i="12"/>
  <c r="M8486" i="12" l="1"/>
  <c r="N8486" i="12" s="1"/>
  <c r="O8484" i="12"/>
  <c r="M8487" i="12" l="1"/>
  <c r="N8487" i="12" s="1"/>
  <c r="O8485" i="12"/>
  <c r="M8488" i="12" l="1"/>
  <c r="N8488" i="12" s="1"/>
  <c r="O8486" i="12"/>
  <c r="M8489" i="12" l="1"/>
  <c r="N8489" i="12" s="1"/>
  <c r="O8487" i="12"/>
  <c r="M8490" i="12" l="1"/>
  <c r="N8490" i="12" s="1"/>
  <c r="O8488" i="12"/>
  <c r="M8491" i="12" l="1"/>
  <c r="N8491" i="12" s="1"/>
  <c r="O8489" i="12"/>
  <c r="M8492" i="12" l="1"/>
  <c r="N8492" i="12" s="1"/>
  <c r="O8490" i="12"/>
  <c r="M8493" i="12" l="1"/>
  <c r="N8493" i="12" s="1"/>
  <c r="O8491" i="12"/>
  <c r="M8494" i="12" l="1"/>
  <c r="N8494" i="12" s="1"/>
  <c r="O8492" i="12"/>
  <c r="M8495" i="12" l="1"/>
  <c r="N8495" i="12" s="1"/>
  <c r="O8493" i="12"/>
  <c r="M8496" i="12" l="1"/>
  <c r="N8496" i="12" s="1"/>
  <c r="O8494" i="12"/>
  <c r="M8497" i="12" l="1"/>
  <c r="N8497" i="12" s="1"/>
  <c r="O8495" i="12"/>
  <c r="M8498" i="12" l="1"/>
  <c r="N8498" i="12" s="1"/>
  <c r="O8496" i="12"/>
  <c r="M8499" i="12" l="1"/>
  <c r="N8499" i="12" s="1"/>
  <c r="O8497" i="12"/>
  <c r="M8500" i="12" l="1"/>
  <c r="N8500" i="12" s="1"/>
  <c r="O8498" i="12"/>
  <c r="M8501" i="12" l="1"/>
  <c r="N8501" i="12" s="1"/>
  <c r="O8499" i="12"/>
  <c r="M8502" i="12" l="1"/>
  <c r="N8502" i="12" s="1"/>
  <c r="O8500" i="12"/>
  <c r="M8503" i="12" l="1"/>
  <c r="N8503" i="12" s="1"/>
  <c r="O8501" i="12"/>
  <c r="M8504" i="12" l="1"/>
  <c r="N8504" i="12" s="1"/>
  <c r="O8502" i="12"/>
  <c r="M8505" i="12" l="1"/>
  <c r="N8505" i="12" s="1"/>
  <c r="O8503" i="12"/>
  <c r="M8506" i="12" l="1"/>
  <c r="N8506" i="12" s="1"/>
  <c r="O8504" i="12"/>
  <c r="M8507" i="12" l="1"/>
  <c r="N8507" i="12" s="1"/>
  <c r="O8505" i="12"/>
  <c r="M8508" i="12" l="1"/>
  <c r="N8508" i="12" s="1"/>
  <c r="O8506" i="12"/>
  <c r="M8509" i="12" l="1"/>
  <c r="N8509" i="12" s="1"/>
  <c r="O8507" i="12"/>
  <c r="M8510" i="12" l="1"/>
  <c r="N8510" i="12" s="1"/>
  <c r="O8508" i="12"/>
  <c r="M8511" i="12" l="1"/>
  <c r="N8511" i="12" s="1"/>
  <c r="O8509" i="12"/>
  <c r="M8512" i="12" l="1"/>
  <c r="N8512" i="12" s="1"/>
  <c r="O8510" i="12"/>
  <c r="M8513" i="12" l="1"/>
  <c r="N8513" i="12" s="1"/>
  <c r="O8511" i="12"/>
  <c r="M8514" i="12" l="1"/>
  <c r="N8514" i="12" s="1"/>
  <c r="O8512" i="12"/>
  <c r="M8515" i="12" l="1"/>
  <c r="N8515" i="12" s="1"/>
  <c r="O8513" i="12"/>
  <c r="M8516" i="12" l="1"/>
  <c r="N8516" i="12" s="1"/>
  <c r="O8514" i="12"/>
  <c r="M8517" i="12" l="1"/>
  <c r="N8517" i="12" s="1"/>
  <c r="O8515" i="12"/>
  <c r="M8518" i="12" l="1"/>
  <c r="N8518" i="12" s="1"/>
  <c r="O8516" i="12"/>
  <c r="M8519" i="12" l="1"/>
  <c r="N8519" i="12" s="1"/>
  <c r="O8517" i="12"/>
  <c r="M8520" i="12" l="1"/>
  <c r="N8520" i="12" s="1"/>
  <c r="O8518" i="12"/>
  <c r="M8521" i="12" l="1"/>
  <c r="N8521" i="12" s="1"/>
  <c r="O8519" i="12"/>
  <c r="M8522" i="12" l="1"/>
  <c r="N8522" i="12" s="1"/>
  <c r="O8520" i="12"/>
  <c r="M8523" i="12" l="1"/>
  <c r="N8523" i="12" s="1"/>
  <c r="O8521" i="12"/>
  <c r="M8524" i="12" l="1"/>
  <c r="N8524" i="12" s="1"/>
  <c r="O8522" i="12"/>
  <c r="M8525" i="12" l="1"/>
  <c r="N8525" i="12" s="1"/>
  <c r="O8523" i="12"/>
  <c r="M8526" i="12" l="1"/>
  <c r="N8526" i="12" s="1"/>
  <c r="O8524" i="12"/>
  <c r="M8527" i="12" l="1"/>
  <c r="N8527" i="12" s="1"/>
  <c r="O8525" i="12"/>
  <c r="M8528" i="12" l="1"/>
  <c r="N8528" i="12" s="1"/>
  <c r="O8526" i="12"/>
  <c r="M8529" i="12" l="1"/>
  <c r="N8529" i="12" s="1"/>
  <c r="O8527" i="12"/>
  <c r="M8530" i="12" l="1"/>
  <c r="N8530" i="12" s="1"/>
  <c r="O8528" i="12"/>
  <c r="M8531" i="12" l="1"/>
  <c r="N8531" i="12" s="1"/>
  <c r="O8529" i="12"/>
  <c r="M8532" i="12" l="1"/>
  <c r="N8532" i="12" s="1"/>
  <c r="O8530" i="12"/>
  <c r="M8533" i="12" l="1"/>
  <c r="N8533" i="12" s="1"/>
  <c r="O8531" i="12"/>
  <c r="M8534" i="12" l="1"/>
  <c r="N8534" i="12" s="1"/>
  <c r="O8532" i="12"/>
  <c r="M8535" i="12" l="1"/>
  <c r="N8535" i="12" s="1"/>
  <c r="O8533" i="12"/>
  <c r="M8536" i="12" l="1"/>
  <c r="N8536" i="12" s="1"/>
  <c r="O8534" i="12"/>
  <c r="M8537" i="12" l="1"/>
  <c r="N8537" i="12" s="1"/>
  <c r="O8535" i="12"/>
  <c r="M8538" i="12" l="1"/>
  <c r="N8538" i="12" s="1"/>
  <c r="O8536" i="12"/>
  <c r="M8539" i="12" l="1"/>
  <c r="N8539" i="12" s="1"/>
  <c r="O8537" i="12"/>
  <c r="M8540" i="12" l="1"/>
  <c r="N8540" i="12" s="1"/>
  <c r="O8538" i="12"/>
  <c r="M8541" i="12" l="1"/>
  <c r="N8541" i="12" s="1"/>
  <c r="O8539" i="12"/>
  <c r="M8542" i="12" l="1"/>
  <c r="N8542" i="12" s="1"/>
  <c r="O8540" i="12"/>
  <c r="M8543" i="12" l="1"/>
  <c r="N8543" i="12" s="1"/>
  <c r="O8541" i="12"/>
  <c r="M8544" i="12" l="1"/>
  <c r="N8544" i="12" s="1"/>
  <c r="O8542" i="12"/>
  <c r="M8545" i="12" l="1"/>
  <c r="N8545" i="12" s="1"/>
  <c r="O8543" i="12"/>
  <c r="M8546" i="12" l="1"/>
  <c r="N8546" i="12" s="1"/>
  <c r="O8544" i="12"/>
  <c r="M8547" i="12" l="1"/>
  <c r="N8547" i="12" s="1"/>
  <c r="O8545" i="12"/>
  <c r="M8548" i="12" l="1"/>
  <c r="N8548" i="12" s="1"/>
  <c r="O8546" i="12"/>
  <c r="M8549" i="12" l="1"/>
  <c r="N8549" i="12" s="1"/>
  <c r="O8547" i="12"/>
  <c r="M8550" i="12" l="1"/>
  <c r="N8550" i="12" s="1"/>
  <c r="O8548" i="12"/>
  <c r="M8551" i="12" l="1"/>
  <c r="N8551" i="12" s="1"/>
  <c r="O8549" i="12"/>
  <c r="M8552" i="12" l="1"/>
  <c r="N8552" i="12" s="1"/>
  <c r="O8550" i="12"/>
  <c r="M8553" i="12" l="1"/>
  <c r="N8553" i="12" s="1"/>
  <c r="O8551" i="12"/>
  <c r="M8554" i="12" l="1"/>
  <c r="N8554" i="12" s="1"/>
  <c r="O8552" i="12"/>
  <c r="M8555" i="12" l="1"/>
  <c r="N8555" i="12" s="1"/>
  <c r="O8553" i="12"/>
  <c r="M8556" i="12" l="1"/>
  <c r="N8556" i="12" s="1"/>
  <c r="O8554" i="12"/>
  <c r="M8557" i="12" l="1"/>
  <c r="N8557" i="12" s="1"/>
  <c r="O8555" i="12"/>
  <c r="M8558" i="12" l="1"/>
  <c r="N8558" i="12" s="1"/>
  <c r="O8556" i="12"/>
  <c r="M8559" i="12" l="1"/>
  <c r="N8559" i="12" s="1"/>
  <c r="O8557" i="12"/>
  <c r="M8560" i="12" l="1"/>
  <c r="N8560" i="12" s="1"/>
  <c r="O8558" i="12"/>
  <c r="M8561" i="12" l="1"/>
  <c r="N8561" i="12" s="1"/>
  <c r="O8559" i="12"/>
  <c r="M8562" i="12" l="1"/>
  <c r="N8562" i="12" s="1"/>
  <c r="O8560" i="12"/>
  <c r="M8563" i="12" l="1"/>
  <c r="N8563" i="12" s="1"/>
  <c r="O8561" i="12"/>
  <c r="M8564" i="12" l="1"/>
  <c r="N8564" i="12" s="1"/>
  <c r="O8562" i="12"/>
  <c r="M8565" i="12" l="1"/>
  <c r="N8565" i="12" s="1"/>
  <c r="O8563" i="12"/>
  <c r="M8566" i="12" l="1"/>
  <c r="N8566" i="12" s="1"/>
  <c r="O8564" i="12"/>
  <c r="M8567" i="12" l="1"/>
  <c r="N8567" i="12" s="1"/>
  <c r="O8565" i="12"/>
  <c r="M8568" i="12" l="1"/>
  <c r="N8568" i="12" s="1"/>
  <c r="O8566" i="12"/>
  <c r="M8569" i="12" l="1"/>
  <c r="N8569" i="12" s="1"/>
  <c r="O8567" i="12"/>
  <c r="M8570" i="12" l="1"/>
  <c r="N8570" i="12" s="1"/>
  <c r="O8568" i="12"/>
  <c r="M8571" i="12" l="1"/>
  <c r="N8571" i="12" s="1"/>
  <c r="O8569" i="12"/>
  <c r="M8572" i="12" l="1"/>
  <c r="N8572" i="12" s="1"/>
  <c r="O8570" i="12"/>
  <c r="M8573" i="12" l="1"/>
  <c r="N8573" i="12" s="1"/>
  <c r="O8571" i="12"/>
  <c r="M8574" i="12" l="1"/>
  <c r="N8574" i="12" s="1"/>
  <c r="O8572" i="12"/>
  <c r="M8575" i="12" l="1"/>
  <c r="N8575" i="12" s="1"/>
  <c r="O8573" i="12"/>
  <c r="M8576" i="12" l="1"/>
  <c r="N8576" i="12" s="1"/>
  <c r="O8574" i="12"/>
  <c r="M8577" i="12" l="1"/>
  <c r="N8577" i="12" s="1"/>
  <c r="O8575" i="12"/>
  <c r="M8578" i="12" l="1"/>
  <c r="N8578" i="12" s="1"/>
  <c r="O8576" i="12"/>
  <c r="M8579" i="12" l="1"/>
  <c r="N8579" i="12" s="1"/>
  <c r="O8577" i="12"/>
  <c r="M8580" i="12" l="1"/>
  <c r="N8580" i="12" s="1"/>
  <c r="O8578" i="12"/>
  <c r="M8581" i="12" l="1"/>
  <c r="N8581" i="12" s="1"/>
  <c r="O8579" i="12"/>
  <c r="M8582" i="12" l="1"/>
  <c r="N8582" i="12" s="1"/>
  <c r="O8580" i="12"/>
  <c r="M8583" i="12" l="1"/>
  <c r="N8583" i="12" s="1"/>
  <c r="O8581" i="12"/>
  <c r="M8584" i="12" l="1"/>
  <c r="N8584" i="12" s="1"/>
  <c r="O8582" i="12"/>
  <c r="M8585" i="12" l="1"/>
  <c r="N8585" i="12" s="1"/>
  <c r="O8583" i="12"/>
  <c r="M8586" i="12" l="1"/>
  <c r="N8586" i="12" s="1"/>
  <c r="O8584" i="12"/>
  <c r="M8587" i="12" l="1"/>
  <c r="N8587" i="12" s="1"/>
  <c r="O8585" i="12"/>
  <c r="M8588" i="12" l="1"/>
  <c r="N8588" i="12" s="1"/>
  <c r="O8586" i="12"/>
  <c r="M8589" i="12" l="1"/>
  <c r="N8589" i="12" s="1"/>
  <c r="O8587" i="12"/>
  <c r="M8590" i="12" l="1"/>
  <c r="N8590" i="12" s="1"/>
  <c r="O8588" i="12"/>
  <c r="M8591" i="12" l="1"/>
  <c r="N8591" i="12" s="1"/>
  <c r="O8589" i="12"/>
  <c r="M8592" i="12" l="1"/>
  <c r="N8592" i="12" s="1"/>
  <c r="O8590" i="12"/>
  <c r="M8593" i="12" l="1"/>
  <c r="N8593" i="12" s="1"/>
  <c r="O8591" i="12"/>
  <c r="M8594" i="12" l="1"/>
  <c r="N8594" i="12" s="1"/>
  <c r="O8592" i="12"/>
  <c r="M8595" i="12" l="1"/>
  <c r="N8595" i="12" s="1"/>
  <c r="O8593" i="12"/>
  <c r="M8596" i="12" l="1"/>
  <c r="N8596" i="12" s="1"/>
  <c r="O8594" i="12"/>
  <c r="M8597" i="12" l="1"/>
  <c r="N8597" i="12" s="1"/>
  <c r="O8595" i="12"/>
  <c r="M8598" i="12" l="1"/>
  <c r="N8598" i="12" s="1"/>
  <c r="O8596" i="12"/>
  <c r="M8599" i="12" l="1"/>
  <c r="N8599" i="12" s="1"/>
  <c r="O8597" i="12"/>
  <c r="M8600" i="12" l="1"/>
  <c r="N8600" i="12" s="1"/>
  <c r="O8598" i="12"/>
  <c r="M8601" i="12" l="1"/>
  <c r="N8601" i="12" s="1"/>
  <c r="O8599" i="12"/>
  <c r="M8602" i="12" l="1"/>
  <c r="N8602" i="12" s="1"/>
  <c r="O8600" i="12"/>
  <c r="M8603" i="12" l="1"/>
  <c r="N8603" i="12" s="1"/>
  <c r="O8601" i="12"/>
  <c r="M8604" i="12" l="1"/>
  <c r="N8604" i="12" s="1"/>
  <c r="O8602" i="12"/>
  <c r="M8605" i="12" l="1"/>
  <c r="N8605" i="12" s="1"/>
  <c r="O8603" i="12"/>
  <c r="M8606" i="12" l="1"/>
  <c r="N8606" i="12" s="1"/>
  <c r="O8604" i="12"/>
  <c r="M8607" i="12" l="1"/>
  <c r="N8607" i="12" s="1"/>
  <c r="O8605" i="12"/>
  <c r="M8608" i="12" l="1"/>
  <c r="N8608" i="12" s="1"/>
  <c r="O8606" i="12"/>
  <c r="M8609" i="12" l="1"/>
  <c r="N8609" i="12" s="1"/>
  <c r="O8607" i="12"/>
  <c r="M8610" i="12" l="1"/>
  <c r="N8610" i="12" s="1"/>
  <c r="O8608" i="12"/>
  <c r="M8611" i="12" l="1"/>
  <c r="N8611" i="12" s="1"/>
  <c r="O8609" i="12"/>
  <c r="M8612" i="12" l="1"/>
  <c r="N8612" i="12" s="1"/>
  <c r="O8610" i="12"/>
  <c r="M8613" i="12" l="1"/>
  <c r="N8613" i="12" s="1"/>
  <c r="O8611" i="12"/>
  <c r="M8614" i="12" l="1"/>
  <c r="N8614" i="12" s="1"/>
  <c r="O8612" i="12"/>
  <c r="M8615" i="12" l="1"/>
  <c r="N8615" i="12" s="1"/>
  <c r="O8613" i="12"/>
  <c r="M8616" i="12" l="1"/>
  <c r="N8616" i="12" s="1"/>
  <c r="O8614" i="12"/>
  <c r="M8617" i="12" l="1"/>
  <c r="N8617" i="12" s="1"/>
  <c r="O8615" i="12"/>
  <c r="M8618" i="12" l="1"/>
  <c r="N8618" i="12" s="1"/>
  <c r="O8616" i="12"/>
  <c r="M8619" i="12" l="1"/>
  <c r="N8619" i="12" s="1"/>
  <c r="O8617" i="12"/>
  <c r="M8620" i="12" l="1"/>
  <c r="N8620" i="12" s="1"/>
  <c r="O8618" i="12"/>
  <c r="M8621" i="12" l="1"/>
  <c r="N8621" i="12" s="1"/>
  <c r="O8619" i="12"/>
  <c r="M8622" i="12" l="1"/>
  <c r="N8622" i="12" s="1"/>
  <c r="O8620" i="12"/>
  <c r="M8623" i="12" l="1"/>
  <c r="N8623" i="12" s="1"/>
  <c r="O8621" i="12"/>
  <c r="M8624" i="12" l="1"/>
  <c r="N8624" i="12" s="1"/>
  <c r="O8622" i="12"/>
  <c r="M8625" i="12" l="1"/>
  <c r="N8625" i="12" s="1"/>
  <c r="O8623" i="12"/>
  <c r="M8626" i="12" l="1"/>
  <c r="N8626" i="12" s="1"/>
  <c r="O8624" i="12"/>
  <c r="M8627" i="12" l="1"/>
  <c r="N8627" i="12" s="1"/>
  <c r="O8625" i="12"/>
  <c r="M8628" i="12" l="1"/>
  <c r="N8628" i="12" s="1"/>
  <c r="O8626" i="12"/>
  <c r="M8629" i="12" l="1"/>
  <c r="N8629" i="12" s="1"/>
  <c r="O8627" i="12"/>
  <c r="M8630" i="12" l="1"/>
  <c r="N8630" i="12" s="1"/>
  <c r="O8628" i="12"/>
  <c r="M8631" i="12" l="1"/>
  <c r="N8631" i="12" s="1"/>
  <c r="O8629" i="12"/>
  <c r="M8632" i="12" l="1"/>
  <c r="N8632" i="12" s="1"/>
  <c r="O8630" i="12"/>
  <c r="M8633" i="12" l="1"/>
  <c r="N8633" i="12" s="1"/>
  <c r="O8631" i="12"/>
  <c r="M8634" i="12" l="1"/>
  <c r="N8634" i="12" s="1"/>
  <c r="O8632" i="12"/>
  <c r="M8635" i="12" l="1"/>
  <c r="N8635" i="12" s="1"/>
  <c r="O8633" i="12"/>
  <c r="M8636" i="12" l="1"/>
  <c r="N8636" i="12" s="1"/>
  <c r="O8634" i="12"/>
  <c r="M8637" i="12" l="1"/>
  <c r="N8637" i="12" s="1"/>
  <c r="O8635" i="12"/>
  <c r="M8638" i="12" l="1"/>
  <c r="N8638" i="12" s="1"/>
  <c r="O8636" i="12"/>
  <c r="M8639" i="12" l="1"/>
  <c r="N8639" i="12" s="1"/>
  <c r="O8637" i="12"/>
  <c r="M8640" i="12" l="1"/>
  <c r="N8640" i="12" s="1"/>
  <c r="O8638" i="12"/>
  <c r="M8641" i="12" l="1"/>
  <c r="N8641" i="12" s="1"/>
  <c r="O8639" i="12"/>
  <c r="M8642" i="12" l="1"/>
  <c r="N8642" i="12" s="1"/>
  <c r="O8640" i="12"/>
  <c r="M8643" i="12" l="1"/>
  <c r="N8643" i="12" s="1"/>
  <c r="O8641" i="12"/>
  <c r="M8644" i="12" l="1"/>
  <c r="N8644" i="12" s="1"/>
  <c r="O8642" i="12"/>
  <c r="M8645" i="12" l="1"/>
  <c r="N8645" i="12" s="1"/>
  <c r="O8643" i="12"/>
  <c r="M8646" i="12" l="1"/>
  <c r="N8646" i="12" s="1"/>
  <c r="O8644" i="12"/>
  <c r="M8647" i="12" l="1"/>
  <c r="N8647" i="12" s="1"/>
  <c r="O8645" i="12"/>
  <c r="M8648" i="12" l="1"/>
  <c r="N8648" i="12" s="1"/>
  <c r="O8646" i="12"/>
  <c r="M8649" i="12" l="1"/>
  <c r="N8649" i="12" s="1"/>
  <c r="O8647" i="12"/>
  <c r="M8650" i="12" l="1"/>
  <c r="N8650" i="12" s="1"/>
  <c r="O8648" i="12"/>
  <c r="M8651" i="12" l="1"/>
  <c r="N8651" i="12" s="1"/>
  <c r="O8649" i="12"/>
  <c r="M8652" i="12" l="1"/>
  <c r="N8652" i="12" s="1"/>
  <c r="O8650" i="12"/>
  <c r="M8653" i="12" l="1"/>
  <c r="N8653" i="12" s="1"/>
  <c r="O8651" i="12"/>
  <c r="M8654" i="12" l="1"/>
  <c r="N8654" i="12" s="1"/>
  <c r="O8652" i="12"/>
  <c r="M8655" i="12" l="1"/>
  <c r="N8655" i="12" s="1"/>
  <c r="O8653" i="12"/>
  <c r="M8656" i="12" l="1"/>
  <c r="N8656" i="12" s="1"/>
  <c r="O8654" i="12"/>
  <c r="M8657" i="12" l="1"/>
  <c r="N8657" i="12" s="1"/>
  <c r="O8655" i="12"/>
  <c r="M8658" i="12" l="1"/>
  <c r="N8658" i="12" s="1"/>
  <c r="O8656" i="12"/>
  <c r="M8659" i="12" l="1"/>
  <c r="N8659" i="12" s="1"/>
  <c r="O8657" i="12"/>
  <c r="M8660" i="12" l="1"/>
  <c r="N8660" i="12" s="1"/>
  <c r="O8658" i="12"/>
  <c r="M8661" i="12" l="1"/>
  <c r="N8661" i="12" s="1"/>
  <c r="O8659" i="12"/>
  <c r="M8662" i="12" l="1"/>
  <c r="N8662" i="12" s="1"/>
  <c r="O8660" i="12"/>
  <c r="M8663" i="12" l="1"/>
  <c r="N8663" i="12" s="1"/>
  <c r="O8661" i="12"/>
  <c r="M8664" i="12" l="1"/>
  <c r="N8664" i="12" s="1"/>
  <c r="O8662" i="12"/>
  <c r="M8665" i="12" l="1"/>
  <c r="N8665" i="12" s="1"/>
  <c r="O8663" i="12"/>
  <c r="M8666" i="12" l="1"/>
  <c r="N8666" i="12" s="1"/>
  <c r="O8664" i="12"/>
  <c r="M8667" i="12" l="1"/>
  <c r="N8667" i="12" s="1"/>
  <c r="O8665" i="12"/>
  <c r="M8668" i="12" l="1"/>
  <c r="N8668" i="12" s="1"/>
  <c r="O8666" i="12"/>
  <c r="M8669" i="12" l="1"/>
  <c r="N8669" i="12" s="1"/>
  <c r="O8667" i="12"/>
  <c r="M8670" i="12" l="1"/>
  <c r="N8670" i="12" s="1"/>
  <c r="O8668" i="12"/>
  <c r="M8671" i="12" l="1"/>
  <c r="N8671" i="12" s="1"/>
  <c r="O8669" i="12"/>
  <c r="M8672" i="12" l="1"/>
  <c r="N8672" i="12" s="1"/>
  <c r="O8670" i="12"/>
  <c r="M8673" i="12" l="1"/>
  <c r="N8673" i="12" s="1"/>
  <c r="O8671" i="12"/>
  <c r="M8674" i="12" l="1"/>
  <c r="N8674" i="12" s="1"/>
  <c r="O8672" i="12"/>
  <c r="M8675" i="12" l="1"/>
  <c r="N8675" i="12" s="1"/>
  <c r="O8673" i="12"/>
  <c r="M8676" i="12" l="1"/>
  <c r="N8676" i="12" s="1"/>
  <c r="O8674" i="12"/>
  <c r="M8677" i="12" l="1"/>
  <c r="N8677" i="12" s="1"/>
  <c r="O8675" i="12"/>
  <c r="M8678" i="12" l="1"/>
  <c r="N8678" i="12" s="1"/>
  <c r="O8676" i="12"/>
  <c r="M8679" i="12" l="1"/>
  <c r="N8679" i="12" s="1"/>
  <c r="O8677" i="12"/>
  <c r="M8680" i="12" l="1"/>
  <c r="N8680" i="12" s="1"/>
  <c r="O8678" i="12"/>
  <c r="M8681" i="12" l="1"/>
  <c r="N8681" i="12" s="1"/>
  <c r="O8679" i="12"/>
  <c r="M8682" i="12" l="1"/>
  <c r="N8682" i="12" s="1"/>
  <c r="O8680" i="12"/>
  <c r="M8683" i="12" l="1"/>
  <c r="N8683" i="12" s="1"/>
  <c r="O8681" i="12"/>
  <c r="M8684" i="12" l="1"/>
  <c r="N8684" i="12" s="1"/>
  <c r="O8682" i="12"/>
  <c r="M8685" i="12" l="1"/>
  <c r="N8685" i="12" s="1"/>
  <c r="O8683" i="12"/>
  <c r="M8686" i="12" l="1"/>
  <c r="N8686" i="12" s="1"/>
  <c r="O8684" i="12"/>
  <c r="M8687" i="12" l="1"/>
  <c r="N8687" i="12" s="1"/>
  <c r="O8685" i="12"/>
  <c r="M8688" i="12" l="1"/>
  <c r="N8688" i="12" s="1"/>
  <c r="O8686" i="12"/>
  <c r="M8689" i="12" l="1"/>
  <c r="N8689" i="12" s="1"/>
  <c r="O8687" i="12"/>
  <c r="M8690" i="12" l="1"/>
  <c r="N8690" i="12" s="1"/>
  <c r="O8688" i="12"/>
  <c r="M8691" i="12" l="1"/>
  <c r="N8691" i="12" s="1"/>
  <c r="O8689" i="12"/>
  <c r="M8692" i="12" l="1"/>
  <c r="N8692" i="12" s="1"/>
  <c r="O8690" i="12"/>
  <c r="M8693" i="12" l="1"/>
  <c r="N8693" i="12" s="1"/>
  <c r="O8691" i="12"/>
  <c r="M8694" i="12" l="1"/>
  <c r="N8694" i="12" s="1"/>
  <c r="O8692" i="12"/>
  <c r="M8695" i="12" l="1"/>
  <c r="N8695" i="12" s="1"/>
  <c r="O8693" i="12"/>
  <c r="M8696" i="12" l="1"/>
  <c r="N8696" i="12" s="1"/>
  <c r="O8694" i="12"/>
  <c r="M8697" i="12" l="1"/>
  <c r="N8697" i="12" s="1"/>
  <c r="O8695" i="12"/>
  <c r="M8698" i="12" l="1"/>
  <c r="N8698" i="12" s="1"/>
  <c r="O8696" i="12"/>
  <c r="M8699" i="12" l="1"/>
  <c r="N8699" i="12" s="1"/>
  <c r="O8697" i="12"/>
  <c r="M8700" i="12" l="1"/>
  <c r="N8700" i="12" s="1"/>
  <c r="O8698" i="12"/>
  <c r="M8701" i="12" l="1"/>
  <c r="N8701" i="12" s="1"/>
  <c r="O8699" i="12"/>
  <c r="M8702" i="12" l="1"/>
  <c r="N8702" i="12" s="1"/>
  <c r="O8700" i="12"/>
  <c r="M8703" i="12" l="1"/>
  <c r="N8703" i="12" s="1"/>
  <c r="O8701" i="12"/>
  <c r="M8704" i="12" l="1"/>
  <c r="N8704" i="12" s="1"/>
  <c r="O8702" i="12"/>
  <c r="M8705" i="12" l="1"/>
  <c r="N8705" i="12" s="1"/>
  <c r="O8703" i="12"/>
  <c r="M8706" i="12" l="1"/>
  <c r="N8706" i="12" s="1"/>
  <c r="O8704" i="12"/>
  <c r="M8707" i="12" l="1"/>
  <c r="N8707" i="12" s="1"/>
  <c r="O8705" i="12"/>
  <c r="M8708" i="12" l="1"/>
  <c r="N8708" i="12" s="1"/>
  <c r="O8706" i="12"/>
  <c r="M8709" i="12" l="1"/>
  <c r="N8709" i="12" s="1"/>
  <c r="O8707" i="12"/>
  <c r="M8710" i="12" l="1"/>
  <c r="N8710" i="12" s="1"/>
  <c r="O8708" i="12"/>
  <c r="M8711" i="12" l="1"/>
  <c r="N8711" i="12" s="1"/>
  <c r="O8709" i="12"/>
  <c r="M8712" i="12" l="1"/>
  <c r="N8712" i="12" s="1"/>
  <c r="O8710" i="12"/>
  <c r="M8713" i="12" l="1"/>
  <c r="N8713" i="12" s="1"/>
  <c r="O8711" i="12"/>
  <c r="M8714" i="12" l="1"/>
  <c r="N8714" i="12" s="1"/>
  <c r="O8712" i="12"/>
  <c r="M8715" i="12" l="1"/>
  <c r="N8715" i="12" s="1"/>
  <c r="O8713" i="12"/>
  <c r="M8716" i="12" l="1"/>
  <c r="N8716" i="12" s="1"/>
  <c r="O8714" i="12"/>
  <c r="M8717" i="12" l="1"/>
  <c r="N8717" i="12" s="1"/>
  <c r="O8715" i="12"/>
  <c r="M8718" i="12" l="1"/>
  <c r="N8718" i="12" s="1"/>
  <c r="O8716" i="12"/>
  <c r="M8719" i="12" l="1"/>
  <c r="N8719" i="12" s="1"/>
  <c r="O8717" i="12"/>
  <c r="M8720" i="12" l="1"/>
  <c r="N8720" i="12" s="1"/>
  <c r="O8718" i="12"/>
  <c r="M8721" i="12" l="1"/>
  <c r="N8721" i="12" s="1"/>
  <c r="O8719" i="12"/>
  <c r="M8722" i="12" l="1"/>
  <c r="N8722" i="12" s="1"/>
  <c r="O8720" i="12"/>
  <c r="M8723" i="12" l="1"/>
  <c r="N8723" i="12" s="1"/>
  <c r="O8721" i="12"/>
  <c r="M8724" i="12" l="1"/>
  <c r="N8724" i="12" s="1"/>
  <c r="O8722" i="12"/>
  <c r="M8725" i="12" l="1"/>
  <c r="N8725" i="12" s="1"/>
  <c r="O8723" i="12"/>
  <c r="M8726" i="12" l="1"/>
  <c r="N8726" i="12" s="1"/>
  <c r="O8724" i="12"/>
  <c r="M8727" i="12" l="1"/>
  <c r="N8727" i="12" s="1"/>
  <c r="O8725" i="12"/>
  <c r="M8728" i="12" l="1"/>
  <c r="N8728" i="12" s="1"/>
  <c r="O8726" i="12"/>
  <c r="M8729" i="12" l="1"/>
  <c r="N8729" i="12" s="1"/>
  <c r="O8727" i="12"/>
  <c r="M8730" i="12" l="1"/>
  <c r="N8730" i="12" s="1"/>
  <c r="O8728" i="12"/>
  <c r="M8731" i="12" l="1"/>
  <c r="N8731" i="12" s="1"/>
  <c r="O8729" i="12"/>
  <c r="M8732" i="12" l="1"/>
  <c r="N8732" i="12" s="1"/>
  <c r="O8730" i="12"/>
  <c r="M8733" i="12" l="1"/>
  <c r="N8733" i="12" s="1"/>
  <c r="O8731" i="12"/>
  <c r="M8734" i="12" l="1"/>
  <c r="N8734" i="12" s="1"/>
  <c r="O8732" i="12"/>
  <c r="M8735" i="12" l="1"/>
  <c r="N8735" i="12" s="1"/>
  <c r="O8733" i="12"/>
  <c r="M8736" i="12" l="1"/>
  <c r="N8736" i="12" s="1"/>
  <c r="O8734" i="12"/>
  <c r="M8737" i="12" l="1"/>
  <c r="N8737" i="12" s="1"/>
  <c r="O8735" i="12"/>
  <c r="M8738" i="12" l="1"/>
  <c r="N8738" i="12" s="1"/>
  <c r="O8736" i="12"/>
  <c r="M8739" i="12" l="1"/>
  <c r="N8739" i="12" s="1"/>
  <c r="O8737" i="12"/>
  <c r="M8740" i="12" l="1"/>
  <c r="N8740" i="12" s="1"/>
  <c r="O8738" i="12"/>
  <c r="M8741" i="12" l="1"/>
  <c r="N8741" i="12" s="1"/>
  <c r="O8739" i="12"/>
  <c r="M8742" i="12" l="1"/>
  <c r="N8742" i="12" s="1"/>
  <c r="O8740" i="12"/>
  <c r="M8743" i="12" l="1"/>
  <c r="N8743" i="12" s="1"/>
  <c r="O8741" i="12"/>
  <c r="M8744" i="12" l="1"/>
  <c r="N8744" i="12" s="1"/>
  <c r="O8742" i="12"/>
  <c r="M8745" i="12" l="1"/>
  <c r="N8745" i="12" s="1"/>
  <c r="O8743" i="12"/>
  <c r="M8746" i="12" l="1"/>
  <c r="N8746" i="12" s="1"/>
  <c r="O8744" i="12"/>
  <c r="M8747" i="12" l="1"/>
  <c r="N8747" i="12" s="1"/>
  <c r="O8745" i="12"/>
  <c r="M8748" i="12" l="1"/>
  <c r="N8748" i="12" s="1"/>
  <c r="O8746" i="12"/>
  <c r="M8749" i="12" l="1"/>
  <c r="N8749" i="12" s="1"/>
  <c r="O8747" i="12"/>
  <c r="M8750" i="12" l="1"/>
  <c r="N8750" i="12" s="1"/>
  <c r="O8748" i="12"/>
  <c r="M8751" i="12" l="1"/>
  <c r="N8751" i="12" s="1"/>
  <c r="O8749" i="12"/>
  <c r="M8752" i="12" l="1"/>
  <c r="N8752" i="12" s="1"/>
  <c r="O8750" i="12"/>
  <c r="M8753" i="12" l="1"/>
  <c r="N8753" i="12" s="1"/>
  <c r="O8751" i="12"/>
  <c r="M8754" i="12" l="1"/>
  <c r="N8754" i="12" s="1"/>
  <c r="O8752" i="12"/>
  <c r="M8755" i="12" l="1"/>
  <c r="N8755" i="12" s="1"/>
  <c r="O8753" i="12"/>
  <c r="M8756" i="12" l="1"/>
  <c r="N8756" i="12" s="1"/>
  <c r="O8754" i="12"/>
  <c r="M8757" i="12" l="1"/>
  <c r="N8757" i="12" s="1"/>
  <c r="O8755" i="12"/>
  <c r="M8758" i="12" l="1"/>
  <c r="N8758" i="12" s="1"/>
  <c r="O8756" i="12"/>
  <c r="M8759" i="12" l="1"/>
  <c r="N8759" i="12" s="1"/>
  <c r="O8757" i="12"/>
  <c r="M8760" i="12" l="1"/>
  <c r="N8760" i="12" s="1"/>
  <c r="O8758" i="12"/>
  <c r="M8761" i="12" l="1"/>
  <c r="N8761" i="12" s="1"/>
  <c r="O8759" i="12"/>
  <c r="M8762" i="12" l="1"/>
  <c r="N8762" i="12" s="1"/>
  <c r="O8760" i="12"/>
  <c r="O8761" i="12" l="1"/>
  <c r="O8762" i="12" l="1"/>
  <c r="B23" i="12"/>
  <c r="C23" i="12"/>
  <c r="D41" i="12" s="1"/>
  <c r="C27" i="12"/>
  <c r="C28" i="12" l="1"/>
  <c r="B41" i="12" s="1"/>
  <c r="D27" i="12"/>
  <c r="B27" i="12"/>
  <c r="B28" i="12" l="1"/>
  <c r="B43" i="12" s="1"/>
  <c r="D28"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Stoecker, Philipp</author>
  </authors>
  <commentList>
    <comment ref="O11" authorId="0" shapeId="0" xr:uid="{00000000-0006-0000-0200-000001000000}">
      <text>
        <r>
          <rPr>
            <b/>
            <sz val="9"/>
            <color indexed="81"/>
            <rFont val="Segoe UI"/>
            <charset val="1"/>
          </rPr>
          <t>Stoecker, Philipp:</t>
        </r>
        <r>
          <rPr>
            <sz val="9"/>
            <color indexed="81"/>
            <rFont val="Segoe UI"/>
            <charset val="1"/>
          </rPr>
          <t xml:space="preserve">
Wärmebedarf für die Dehydrierung (theor. 10kWh/kg_H2, hier angesetzt mit real 11220kWh/t_H2), auf einem Temperaturniveau von 300°C.</t>
        </r>
      </text>
    </comment>
    <comment ref="Q11" authorId="0" shapeId="0" xr:uid="{00000000-0006-0000-0200-000002000000}">
      <text>
        <r>
          <rPr>
            <b/>
            <sz val="9"/>
            <color indexed="81"/>
            <rFont val="Segoe UI"/>
            <charset val="1"/>
          </rPr>
          <t>Stoecker, Philipp:</t>
        </r>
        <r>
          <rPr>
            <sz val="9"/>
            <color indexed="81"/>
            <rFont val="Segoe UI"/>
            <charset val="1"/>
          </rPr>
          <t xml:space="preserve">
Wärmebedarf für die Dehydrierung (theor. 4,2kWh/kg_H2, hier angesetzt mit real 6650kWh/t_H2), auf einem Temperaturniveau von 900°C (ggf. zukünftig ~500°C bei Nutzung geeigneter Katalysatoren).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Wurbs, Sven</author>
    <author>Stoecker, Philipp</author>
  </authors>
  <commentList>
    <comment ref="Z5" authorId="0" shapeId="0" xr:uid="{00000000-0006-0000-0400-000001000000}">
      <text>
        <r>
          <rPr>
            <b/>
            <sz val="9"/>
            <color indexed="81"/>
            <rFont val="Segoe UI"/>
            <family val="2"/>
          </rPr>
          <t>XX:</t>
        </r>
        <r>
          <rPr>
            <sz val="9"/>
            <color indexed="81"/>
            <rFont val="Segoe UI"/>
            <family val="2"/>
          </rPr>
          <t xml:space="preserve">
exemplarisch für Rotterdam, nach: https://www.vdz-online.de/fileadmin/wissensportal/publikationen/zementindustrie/EU_ETS_Schaubilder_DE.pdf</t>
        </r>
      </text>
    </comment>
    <comment ref="BV6" authorId="1" shapeId="0" xr:uid="{00000000-0006-0000-0400-000002000000}">
      <text>
        <r>
          <rPr>
            <b/>
            <sz val="9"/>
            <color indexed="81"/>
            <rFont val="Segoe UI"/>
            <charset val="1"/>
          </rPr>
          <t>Stoecker, Philipp:</t>
        </r>
        <r>
          <rPr>
            <sz val="9"/>
            <color indexed="81"/>
            <rFont val="Segoe UI"/>
            <charset val="1"/>
          </rPr>
          <t xml:space="preserve">
Nur CO2, Methanschlupf wird nicht berücksichtigt.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Wurbs, Sven</author>
    <author>Stoecker, Philipp</author>
  </authors>
  <commentList>
    <comment ref="N3" authorId="0" shapeId="0" xr:uid="{00000000-0006-0000-0500-000001000000}">
      <text>
        <r>
          <rPr>
            <b/>
            <sz val="9"/>
            <color indexed="81"/>
            <rFont val="Segoe UI"/>
            <family val="2"/>
          </rPr>
          <t>XX:</t>
        </r>
        <r>
          <rPr>
            <sz val="9"/>
            <color indexed="81"/>
            <rFont val="Segoe UI"/>
            <family val="2"/>
          </rPr>
          <t xml:space="preserve">
&gt;300°C</t>
        </r>
      </text>
    </comment>
    <comment ref="J5" authorId="0" shapeId="0" xr:uid="{00000000-0006-0000-0500-000002000000}">
      <text>
        <r>
          <rPr>
            <b/>
            <sz val="9"/>
            <color indexed="81"/>
            <rFont val="Segoe UI"/>
            <family val="2"/>
          </rPr>
          <t>XX:</t>
        </r>
        <r>
          <rPr>
            <sz val="9"/>
            <color indexed="81"/>
            <rFont val="Segoe UI"/>
            <family val="2"/>
          </rPr>
          <t xml:space="preserve">
energetische Effizienz</t>
        </r>
      </text>
    </comment>
    <comment ref="A22" authorId="0" shapeId="0" xr:uid="{61D3B8AE-AE5A-4C6E-827E-E2C1D2A36206}">
      <text>
        <r>
          <rPr>
            <b/>
            <sz val="9"/>
            <color indexed="81"/>
            <rFont val="Segoe UI"/>
            <family val="2"/>
          </rPr>
          <t xml:space="preserve">XX:
</t>
        </r>
        <r>
          <rPr>
            <sz val="9"/>
            <color indexed="81"/>
            <rFont val="Segoe UI"/>
            <family val="2"/>
          </rPr>
          <t>Die Hilfsstoffe in dieser Zeile werden je nach Bedarf ausgewählt. Werden sie für die betrachteten Transportoptionen nicht benötigt, ist in dem jeweiligen Feld in Zeile 22 ein Strich einzutragen - daher die gelbe Markierung</t>
        </r>
        <r>
          <rPr>
            <b/>
            <sz val="9"/>
            <color indexed="81"/>
            <rFont val="Segoe UI"/>
            <family val="2"/>
          </rPr>
          <t xml:space="preserve">. </t>
        </r>
        <r>
          <rPr>
            <sz val="9"/>
            <color indexed="81"/>
            <rFont val="Segoe UI"/>
            <family val="2"/>
          </rPr>
          <t xml:space="preserve">
</t>
        </r>
      </text>
    </comment>
    <comment ref="A26" authorId="1" shapeId="0" xr:uid="{00000000-0006-0000-0500-000004000000}">
      <text>
        <r>
          <rPr>
            <b/>
            <sz val="9"/>
            <color indexed="81"/>
            <rFont val="Segoe UI"/>
            <charset val="1"/>
          </rPr>
          <t>Stoecker, Philipp:</t>
        </r>
        <r>
          <rPr>
            <sz val="9"/>
            <color indexed="81"/>
            <rFont val="Segoe UI"/>
            <charset val="1"/>
          </rPr>
          <t xml:space="preserve">
Für die Modellierung des Trägermediums sind Pfandgefäße die beste Analogie.
Material wird im Kreis geführt, um einen Strom eines anderen Gutes zu ermöglichen.
Der Träger/ das Pfandgefäß wandert dabei zwischen Erzeugern und Verbrauchern hin und her.
Seine Nutzungsrate bleibt dabei je nach Umständen mehr oder weniger deutlich hinter einer idealen Auslastung zurück.</t>
        </r>
      </text>
    </comment>
    <comment ref="A30" authorId="1" shapeId="0" xr:uid="{00000000-0006-0000-0500-000005000000}">
      <text>
        <r>
          <rPr>
            <b/>
            <sz val="9"/>
            <color indexed="81"/>
            <rFont val="Segoe UI"/>
            <family val="2"/>
          </rPr>
          <t>Stoecker, Philipp:</t>
        </r>
        <r>
          <rPr>
            <sz val="9"/>
            <color indexed="81"/>
            <rFont val="Segoe UI"/>
            <family val="2"/>
          </rPr>
          <t xml:space="preserve">
Achtung: Abweichende Formel für LOHC!</t>
        </r>
      </text>
    </comment>
    <comment ref="A38" authorId="1" shapeId="0" xr:uid="{00000000-0006-0000-0500-000006000000}">
      <text>
        <r>
          <rPr>
            <b/>
            <sz val="9"/>
            <color indexed="81"/>
            <rFont val="Segoe UI"/>
            <family val="2"/>
          </rPr>
          <t>Stoecker, Philipp:</t>
        </r>
        <r>
          <rPr>
            <sz val="9"/>
            <color indexed="81"/>
            <rFont val="Segoe UI"/>
            <family val="2"/>
          </rPr>
          <t xml:space="preserve">
Achtung: Unterschiedliche Formeln für Schiffe und Pipelines!</t>
        </r>
      </text>
    </comment>
    <comment ref="A44" authorId="1" shapeId="0" xr:uid="{00000000-0006-0000-0500-000007000000}">
      <text>
        <r>
          <rPr>
            <b/>
            <sz val="9"/>
            <color indexed="81"/>
            <rFont val="Segoe UI"/>
            <family val="2"/>
          </rPr>
          <t>Stoecker, Philipp:</t>
        </r>
        <r>
          <rPr>
            <sz val="9"/>
            <color indexed="81"/>
            <rFont val="Segoe UI"/>
            <family val="2"/>
          </rPr>
          <t xml:space="preserve">
Achtung: Unterschiedliche Formeln für Schiffe und Pipelines!</t>
        </r>
      </text>
    </comment>
    <comment ref="A50" authorId="1" shapeId="0" xr:uid="{00000000-0006-0000-0500-000008000000}">
      <text>
        <r>
          <rPr>
            <b/>
            <sz val="9"/>
            <color indexed="81"/>
            <rFont val="Segoe UI"/>
            <family val="2"/>
          </rPr>
          <t>Stoecker, Philipp:</t>
        </r>
        <r>
          <rPr>
            <sz val="9"/>
            <color indexed="81"/>
            <rFont val="Segoe UI"/>
            <family val="2"/>
          </rPr>
          <t xml:space="preserve">
Achtung: Unterschiedliche Formeln für Schiffe, Pipelines und LOHC!</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Wurbs, Sven</author>
    <author>Stoecker, Philipp</author>
  </authors>
  <commentList>
    <comment ref="G4" authorId="0" shapeId="0" xr:uid="{00000000-0006-0000-0600-000001000000}">
      <text>
        <r>
          <rPr>
            <b/>
            <sz val="9"/>
            <color indexed="81"/>
            <rFont val="Segoe UI"/>
            <family val="2"/>
          </rPr>
          <t>XX:</t>
        </r>
        <r>
          <rPr>
            <sz val="9"/>
            <color indexed="81"/>
            <rFont val="Segoe UI"/>
            <family val="2"/>
          </rPr>
          <t xml:space="preserve">
&gt;300°C</t>
        </r>
      </text>
    </comment>
    <comment ref="A19" authorId="1" shapeId="0" xr:uid="{00000000-0006-0000-0600-000002000000}">
      <text>
        <r>
          <rPr>
            <b/>
            <sz val="9"/>
            <color indexed="81"/>
            <rFont val="Segoe UI"/>
            <family val="2"/>
          </rPr>
          <t>Stoecker, Philipp:</t>
        </r>
        <r>
          <rPr>
            <sz val="9"/>
            <color indexed="81"/>
            <rFont val="Segoe UI"/>
            <family val="2"/>
          </rPr>
          <t xml:space="preserve">
Achtung: Abweichende Formel für LOHC!</t>
        </r>
      </text>
    </comment>
    <comment ref="A20" authorId="1" shapeId="0" xr:uid="{00000000-0006-0000-0600-000003000000}">
      <text>
        <r>
          <rPr>
            <b/>
            <sz val="9"/>
            <color indexed="81"/>
            <rFont val="Segoe UI"/>
            <family val="2"/>
          </rPr>
          <t>Stoecker, Philipp:</t>
        </r>
        <r>
          <rPr>
            <sz val="9"/>
            <color indexed="81"/>
            <rFont val="Segoe UI"/>
            <family val="2"/>
          </rPr>
          <t xml:space="preserve">
Achtung: Unterschiedliche Formeln für Schiffe und Pipelines!</t>
        </r>
      </text>
    </comment>
    <comment ref="A25" authorId="1" shapeId="0" xr:uid="{00000000-0006-0000-0600-000004000000}">
      <text>
        <r>
          <rPr>
            <b/>
            <sz val="9"/>
            <color indexed="81"/>
            <rFont val="Segoe UI"/>
            <family val="2"/>
          </rPr>
          <t>Stoecker, Philipp:</t>
        </r>
        <r>
          <rPr>
            <sz val="9"/>
            <color indexed="81"/>
            <rFont val="Segoe UI"/>
            <family val="2"/>
          </rPr>
          <t xml:space="preserve">
Achtung: Unterschiedliche Formeln für Schiffe und Pipelines!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Wurbs, Sven</author>
  </authors>
  <commentList>
    <comment ref="C4" authorId="0" shapeId="0" xr:uid="{00000000-0006-0000-0C00-000001000000}">
      <text>
        <r>
          <rPr>
            <b/>
            <sz val="9"/>
            <color indexed="81"/>
            <rFont val="Segoe UI"/>
            <family val="2"/>
          </rPr>
          <t>XX:</t>
        </r>
        <r>
          <rPr>
            <sz val="9"/>
            <color indexed="81"/>
            <rFont val="Segoe UI"/>
            <family val="2"/>
          </rPr>
          <t xml:space="preserve">
pauschal 25% Aufschlag</t>
        </r>
      </text>
    </comment>
    <comment ref="D27" authorId="0" shapeId="0" xr:uid="{00000000-0006-0000-0C00-000002000000}">
      <text>
        <r>
          <rPr>
            <b/>
            <sz val="9"/>
            <color indexed="81"/>
            <rFont val="Segoe UI"/>
            <family val="2"/>
          </rPr>
          <t>XX:</t>
        </r>
        <r>
          <rPr>
            <sz val="9"/>
            <color indexed="81"/>
            <rFont val="Segoe UI"/>
            <family val="2"/>
          </rPr>
          <t xml:space="preserve">
Die Werte für CH4 ab 300bar stehen in einer eigenen Spalte, damit diese in der Grafik mit anderer Farbe dargestellt werden, um die Zusammensetzung der Kurve aus zwei Abschnitten mit eigener mathematischer Formel zu verdeutlichen.</t>
        </r>
      </text>
    </comment>
    <comment ref="F34" authorId="0" shapeId="0" xr:uid="{00000000-0006-0000-0C00-000003000000}">
      <text>
        <r>
          <rPr>
            <b/>
            <sz val="9"/>
            <color indexed="81"/>
            <rFont val="Segoe UI"/>
            <family val="2"/>
          </rPr>
          <t>XX:</t>
        </r>
        <r>
          <rPr>
            <sz val="9"/>
            <color indexed="81"/>
            <rFont val="Segoe UI"/>
            <family val="2"/>
          </rPr>
          <t xml:space="preserve">
aus Tabelle 48</t>
        </r>
      </text>
    </comment>
    <comment ref="F44" authorId="0" shapeId="0" xr:uid="{00000000-0006-0000-0C00-000004000000}">
      <text>
        <r>
          <rPr>
            <b/>
            <sz val="9"/>
            <color indexed="81"/>
            <rFont val="Segoe UI"/>
            <family val="2"/>
          </rPr>
          <t>XX:</t>
        </r>
        <r>
          <rPr>
            <sz val="9"/>
            <color indexed="81"/>
            <rFont val="Segoe UI"/>
            <family val="2"/>
          </rPr>
          <t xml:space="preserve">
aus Tabelle 49</t>
        </r>
      </text>
    </comment>
    <comment ref="G80" authorId="0" shapeId="0" xr:uid="{00000000-0006-0000-0C00-000005000000}">
      <text>
        <r>
          <rPr>
            <b/>
            <sz val="9"/>
            <color indexed="81"/>
            <rFont val="Segoe UI"/>
            <family val="2"/>
          </rPr>
          <t xml:space="preserve">XX:
</t>
        </r>
        <r>
          <rPr>
            <sz val="9"/>
            <color indexed="81"/>
            <rFont val="Segoe UI"/>
            <family val="2"/>
          </rPr>
          <t>siehe auch http://www.lampferding.de/sonst/tal.htm</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Wurbs, Sven</author>
  </authors>
  <commentList>
    <comment ref="P4" authorId="0" shapeId="0" xr:uid="{00000000-0006-0000-0E00-000001000000}">
      <text>
        <r>
          <rPr>
            <b/>
            <sz val="9"/>
            <color indexed="81"/>
            <rFont val="Segoe UI"/>
            <family val="2"/>
          </rPr>
          <t>XX:</t>
        </r>
        <r>
          <rPr>
            <sz val="9"/>
            <color indexed="81"/>
            <rFont val="Segoe UI"/>
            <family val="2"/>
          </rPr>
          <t xml:space="preserve">
Werte aus Datenblatt "Schätzung EE-Strom &amp; Hilfsstoff" (Zelle C57) übernommen</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Fuel_Consumption_Ship" type="6" refreshedVersion="6" deleted="1" background="1" saveData="1">
    <textPr sourceFile="C:\Users\pst.ISEA\Downloads\Fuel_Consumption_Ship.txt" decimal="," thousands="." tab="0" semicolon="1">
      <textFields count="10">
        <textField/>
        <textField/>
        <textField/>
        <textField/>
        <textField/>
        <textField/>
        <textField/>
        <textField/>
        <textField/>
        <textField/>
      </textFields>
    </textPr>
  </connection>
  <connection id="2" xr16:uid="{00000000-0015-0000-FFFF-FFFF01000000}" name="hafen-hamburg_Containerschiffe_processed" type="6" refreshedVersion="6" deleted="1" background="1" saveData="1">
    <textPr sourceFile="C:\Users\pst.ISEA\Downloads\hafen-hamburg_Containerschiffe_processed.txt" decimal="," thousands="." tab="0" semicolon="1">
      <textFields count="9">
        <textField/>
        <textField/>
        <textField/>
        <textField/>
        <textField/>
        <textField/>
        <textField/>
        <textField/>
        <textField/>
      </textFields>
    </textPr>
  </connection>
</connections>
</file>

<file path=xl/sharedStrings.xml><?xml version="1.0" encoding="utf-8"?>
<sst xmlns="http://schemas.openxmlformats.org/spreadsheetml/2006/main" count="4752" uniqueCount="2395">
  <si>
    <t>Parameter</t>
  </si>
  <si>
    <t>Lebensdauer</t>
  </si>
  <si>
    <t>WACC</t>
  </si>
  <si>
    <t>a</t>
  </si>
  <si>
    <t>Einheit/ggf. Anmerkung</t>
  </si>
  <si>
    <t>Transportmedium</t>
  </si>
  <si>
    <t>Transportmittel</t>
  </si>
  <si>
    <t>LH2</t>
  </si>
  <si>
    <t>Schiff</t>
  </si>
  <si>
    <t>NH3</t>
  </si>
  <si>
    <t>€/kWh</t>
  </si>
  <si>
    <t>€/t</t>
  </si>
  <si>
    <t>km</t>
  </si>
  <si>
    <t>m^3</t>
  </si>
  <si>
    <t>t</t>
  </si>
  <si>
    <t>%/a</t>
  </si>
  <si>
    <t>Transportgeschwindigkeit</t>
  </si>
  <si>
    <t>Rohöltanker</t>
  </si>
  <si>
    <t>Pipeline</t>
  </si>
  <si>
    <t>dwt</t>
  </si>
  <si>
    <t>Länge</t>
  </si>
  <si>
    <t>m</t>
  </si>
  <si>
    <t>vol. Kapazität</t>
  </si>
  <si>
    <t>grav. Kapazität</t>
  </si>
  <si>
    <t>km/h</t>
  </si>
  <si>
    <t>Energiebedarf auf Fahrt</t>
  </si>
  <si>
    <t>MWh_mech/d</t>
  </si>
  <si>
    <t>Effizienz Antrieb</t>
  </si>
  <si>
    <t>%</t>
  </si>
  <si>
    <t>Heuer</t>
  </si>
  <si>
    <t>Investition</t>
  </si>
  <si>
    <t>O&amp;M-Rate</t>
  </si>
  <si>
    <t>%Inv./a</t>
  </si>
  <si>
    <t>d/a</t>
  </si>
  <si>
    <t>Kosten Treibstoff</t>
  </si>
  <si>
    <t>€/MWh_LHV</t>
  </si>
  <si>
    <t>mio. €</t>
  </si>
  <si>
    <t>€/a</t>
  </si>
  <si>
    <t>variable Kosten</t>
  </si>
  <si>
    <t>€/km</t>
  </si>
  <si>
    <t>2000-3000</t>
  </si>
  <si>
    <t>3000-4000</t>
  </si>
  <si>
    <t>4000-5000</t>
  </si>
  <si>
    <t>5000-6000</t>
  </si>
  <si>
    <t>6000-7000</t>
  </si>
  <si>
    <t>7000-8000</t>
  </si>
  <si>
    <t>8000-9000</t>
  </si>
  <si>
    <t>9000-10000</t>
  </si>
  <si>
    <t>10000+</t>
  </si>
  <si>
    <t>N/A</t>
  </si>
  <si>
    <t>FCmi1 in tonnes/day (c)</t>
  </si>
  <si>
    <t>-</t>
  </si>
  <si>
    <t>Treibstoffverbrauch Containerschiffe über Schiffsgröße und -geschwindigkeit</t>
  </si>
  <si>
    <t>typ. dwt</t>
  </si>
  <si>
    <t>typ. Länge</t>
  </si>
  <si>
    <t>Quelle: Notteboom, Cariou: Fuel surcharge practices of container shipping lines: Is it about cost recovery or revenue-making, 2009</t>
  </si>
  <si>
    <t>TEU</t>
  </si>
  <si>
    <t>Tiefgang</t>
  </si>
  <si>
    <t>BRZ</t>
  </si>
  <si>
    <t>Schiffsname</t>
  </si>
  <si>
    <t>IMO</t>
  </si>
  <si>
    <t>Schiffstyp</t>
  </si>
  <si>
    <t>A.P. Moeller</t>
  </si>
  <si>
    <t>Containerschiff</t>
  </si>
  <si>
    <t>Abidjan Express</t>
  </si>
  <si>
    <t>Abu Dhabi</t>
  </si>
  <si>
    <t>Adelheid-S</t>
  </si>
  <si>
    <t>Adrian Maersk</t>
  </si>
  <si>
    <t>Aegiali</t>
  </si>
  <si>
    <t>Aeneas</t>
  </si>
  <si>
    <t>Aenne Rickmers</t>
  </si>
  <si>
    <t>Afif</t>
  </si>
  <si>
    <t>Agios Dimitrios</t>
  </si>
  <si>
    <t>Agios Dimitrios 1</t>
  </si>
  <si>
    <t>Agrolikos</t>
  </si>
  <si>
    <t>Ain Snan</t>
  </si>
  <si>
    <t>Al Bahia</t>
  </si>
  <si>
    <t>Al Dahna</t>
  </si>
  <si>
    <t>Al Dhail</t>
  </si>
  <si>
    <t>Al Farahidi</t>
  </si>
  <si>
    <t>Al Hilal</t>
  </si>
  <si>
    <t>Al Jasrah</t>
  </si>
  <si>
    <t>Al Jmeliyah</t>
  </si>
  <si>
    <t>Al Kharj</t>
  </si>
  <si>
    <t>Al Manamah</t>
  </si>
  <si>
    <t>Al Mashrab</t>
  </si>
  <si>
    <t>Al Murabba</t>
  </si>
  <si>
    <t>Al Muraykh</t>
  </si>
  <si>
    <t>Al Nasriyah</t>
  </si>
  <si>
    <t>Al Nefud</t>
  </si>
  <si>
    <t>Al Qibla</t>
  </si>
  <si>
    <t>Al Rawdah</t>
  </si>
  <si>
    <t>Al Riffa</t>
  </si>
  <si>
    <t>Al Safat</t>
  </si>
  <si>
    <t>Al Zubara</t>
  </si>
  <si>
    <t>Albert Maersk</t>
  </si>
  <si>
    <t>Aldebaran</t>
  </si>
  <si>
    <t>Alexandra Rickmers</t>
  </si>
  <si>
    <t>Alexis</t>
  </si>
  <si>
    <t>Alianca San Martin</t>
  </si>
  <si>
    <t>Allegoria</t>
  </si>
  <si>
    <t>ALS Juno</t>
  </si>
  <si>
    <t>Alula</t>
  </si>
  <si>
    <t>America</t>
  </si>
  <si>
    <t>Andre Rickmers</t>
  </si>
  <si>
    <t>Angol</t>
  </si>
  <si>
    <t>ANL Bindaree</t>
  </si>
  <si>
    <t>ANL Werribee</t>
  </si>
  <si>
    <t>Anna Maersk</t>
  </si>
  <si>
    <t>Anton Schulte</t>
  </si>
  <si>
    <t>Antwerp Trader</t>
  </si>
  <si>
    <t>Antwerpen Express</t>
  </si>
  <si>
    <t>APL Austria</t>
  </si>
  <si>
    <t>APL Barcelona</t>
  </si>
  <si>
    <t>APL Changi</t>
  </si>
  <si>
    <t>APL Chongqing</t>
  </si>
  <si>
    <t>APL Danube</t>
  </si>
  <si>
    <t>APL Detroit</t>
  </si>
  <si>
    <t>APL Dublin</t>
  </si>
  <si>
    <t>APL England</t>
  </si>
  <si>
    <t>APL Florida</t>
  </si>
  <si>
    <t>APL Fullerton</t>
  </si>
  <si>
    <t>APL Gwangyang</t>
  </si>
  <si>
    <t>APL Hawaii</t>
  </si>
  <si>
    <t>APL Le Havre</t>
  </si>
  <si>
    <t>APL Lion City</t>
  </si>
  <si>
    <t>APL Los Angeles</t>
  </si>
  <si>
    <t>APL Manila</t>
  </si>
  <si>
    <t>APL Merlion</t>
  </si>
  <si>
    <t>APL Mexico City</t>
  </si>
  <si>
    <t>APL Miami</t>
  </si>
  <si>
    <t>APL Minnesota</t>
  </si>
  <si>
    <t>APL New Jersey</t>
  </si>
  <si>
    <t>APL Norway</t>
  </si>
  <si>
    <t>APL Oregon</t>
  </si>
  <si>
    <t>APL Paris</t>
  </si>
  <si>
    <t>APL Phoenix</t>
  </si>
  <si>
    <t>APL Portugal</t>
  </si>
  <si>
    <t>APL Qingdao</t>
  </si>
  <si>
    <t>APL Raffles</t>
  </si>
  <si>
    <t>APL Salalah</t>
  </si>
  <si>
    <t>APL Savannah</t>
  </si>
  <si>
    <t>APL Sentosa</t>
  </si>
  <si>
    <t>APL Singapura</t>
  </si>
  <si>
    <t>APL Southampton</t>
  </si>
  <si>
    <t>APL Temasek</t>
  </si>
  <si>
    <t>APL Turkey</t>
  </si>
  <si>
    <t>APL Vanda</t>
  </si>
  <si>
    <t>APL Yangshan</t>
  </si>
  <si>
    <t>Archimidis</t>
  </si>
  <si>
    <t>Arosia</t>
  </si>
  <si>
    <t>Artabaz</t>
  </si>
  <si>
    <t>Artam</t>
  </si>
  <si>
    <t>Artenos</t>
  </si>
  <si>
    <t>Arthur Maersk</t>
  </si>
  <si>
    <t>Arzin</t>
  </si>
  <si>
    <t>AS Carelia</t>
  </si>
  <si>
    <t>AS Cypria</t>
  </si>
  <si>
    <t>As Magnolia</t>
  </si>
  <si>
    <t>AS Palina</t>
  </si>
  <si>
    <t>AS Paulina</t>
  </si>
  <si>
    <t>As Petronia</t>
  </si>
  <si>
    <t>As Tamina</t>
  </si>
  <si>
    <t>Atacama</t>
  </si>
  <si>
    <t>Athenian</t>
  </si>
  <si>
    <t>Athos</t>
  </si>
  <si>
    <t>Atlantic Voyager</t>
  </si>
  <si>
    <t>Austral</t>
  </si>
  <si>
    <t>Axel Maersk</t>
  </si>
  <si>
    <t>Azargoun</t>
  </si>
  <si>
    <t>Balbina</t>
  </si>
  <si>
    <t>Balthasar Schulte</t>
  </si>
  <si>
    <t>Baltic Bridge</t>
  </si>
  <si>
    <t>Bangkok Express</t>
  </si>
  <si>
    <t>Barbara</t>
  </si>
  <si>
    <t>Barzan</t>
  </si>
  <si>
    <t>Basle Express</t>
  </si>
  <si>
    <t>Bavaria Express</t>
  </si>
  <si>
    <t>Beatrice Schulte</t>
  </si>
  <si>
    <t>Beijing Bridge</t>
  </si>
  <si>
    <t>Bella Schulte</t>
  </si>
  <si>
    <t>Berlin Bridge</t>
  </si>
  <si>
    <t>Bernadette</t>
  </si>
  <si>
    <t>Berwick</t>
  </si>
  <si>
    <t>Bilbao Bridge</t>
  </si>
  <si>
    <t>Blandine</t>
  </si>
  <si>
    <t>Bodo Schulte</t>
  </si>
  <si>
    <t>Bomar Caen</t>
  </si>
  <si>
    <t>Bomar Calais</t>
  </si>
  <si>
    <t>Bomar Juliana</t>
  </si>
  <si>
    <t>Bomar Resilient</t>
  </si>
  <si>
    <t>Bomar Resolute</t>
  </si>
  <si>
    <t>Bosun</t>
  </si>
  <si>
    <t>Botswana</t>
  </si>
  <si>
    <t>Box Emma</t>
  </si>
  <si>
    <t>Box Queen</t>
  </si>
  <si>
    <t>Box Trader</t>
  </si>
  <si>
    <t>Box Voyager</t>
  </si>
  <si>
    <t>Bremen Belle</t>
  </si>
  <si>
    <t>Bremen Express</t>
  </si>
  <si>
    <t>Brevik Bridge</t>
  </si>
  <si>
    <t>Brussels</t>
  </si>
  <si>
    <t>Bsl Cape Town</t>
  </si>
  <si>
    <t>Budapest Bridge</t>
  </si>
  <si>
    <t>Budapest Express</t>
  </si>
  <si>
    <t>Bunga Seroja Dua</t>
  </si>
  <si>
    <t>Busan Express</t>
  </si>
  <si>
    <t>Butterfly</t>
  </si>
  <si>
    <t>Buxcliff</t>
  </si>
  <si>
    <t>Buxcoast</t>
  </si>
  <si>
    <t>Buxtaurus</t>
  </si>
  <si>
    <t>Callao Express</t>
  </si>
  <si>
    <t>Cap Andreas</t>
  </si>
  <si>
    <t>Cap Beatrice</t>
  </si>
  <si>
    <t>Cap Doukato</t>
  </si>
  <si>
    <t>Cap Jervis</t>
  </si>
  <si>
    <t>Cap Reinga</t>
  </si>
  <si>
    <t>Cap Roberta</t>
  </si>
  <si>
    <t>Cap San Antonio</t>
  </si>
  <si>
    <t>Cap San Artemissio</t>
  </si>
  <si>
    <t>Cap San Augustin</t>
  </si>
  <si>
    <t>Cap San Juan</t>
  </si>
  <si>
    <t>Cap San Lazaro</t>
  </si>
  <si>
    <t>Cap San Lorenzo</t>
  </si>
  <si>
    <t>Cap San Maleas</t>
  </si>
  <si>
    <t>Cap San Marco</t>
  </si>
  <si>
    <t>Cap San Nicolas</t>
  </si>
  <si>
    <t>Cap San Raphael</t>
  </si>
  <si>
    <t>Cap San Sounio</t>
  </si>
  <si>
    <t>Cap San Tainaro</t>
  </si>
  <si>
    <t>Cap Talbot</t>
  </si>
  <si>
    <t>Cape Chronos</t>
  </si>
  <si>
    <t>Cape Manila</t>
  </si>
  <si>
    <t>Cape Mayor</t>
  </si>
  <si>
    <t>Cape Melville</t>
  </si>
  <si>
    <t>Cardiff</t>
  </si>
  <si>
    <t>Carlotta Star</t>
  </si>
  <si>
    <t>Carolina Star</t>
  </si>
  <si>
    <t>Cartagena Express</t>
  </si>
  <si>
    <t>Catharina Schulte</t>
  </si>
  <si>
    <t>Catherine C</t>
  </si>
  <si>
    <t>CCNI Andes</t>
  </si>
  <si>
    <t>CCNI Arauco</t>
  </si>
  <si>
    <t>Celina Star</t>
  </si>
  <si>
    <t>Chacabuco</t>
  </si>
  <si>
    <t>Charleston Express</t>
  </si>
  <si>
    <t>Chicago Express</t>
  </si>
  <si>
    <t>Chiloe Island</t>
  </si>
  <si>
    <t>Chiquita Progress</t>
  </si>
  <si>
    <t>Chittagong</t>
  </si>
  <si>
    <t>Chopin</t>
  </si>
  <si>
    <t>Cielo Di Rabat</t>
  </si>
  <si>
    <t>Cinzia A</t>
  </si>
  <si>
    <t>CMA CGM Alaska</t>
  </si>
  <si>
    <t>CMA CGM Alcazar</t>
  </si>
  <si>
    <t>CMA CGM Alexander von Humboldt</t>
  </si>
  <si>
    <t>CMA CGM Amazon</t>
  </si>
  <si>
    <t>CMA CGM America</t>
  </si>
  <si>
    <t>CMA CGM Amerigo Vespucci</t>
  </si>
  <si>
    <t>CMA CGM Andromeda</t>
  </si>
  <si>
    <t>CMA CGM Anemone</t>
  </si>
  <si>
    <t>CMA CGM Antoine de Saint Exupery</t>
  </si>
  <si>
    <t>CMA CGM Aquila</t>
  </si>
  <si>
    <t>CMA CGM Argentina</t>
  </si>
  <si>
    <t>CMA CGM Bahia</t>
  </si>
  <si>
    <t>CMA CGM Bellini</t>
  </si>
  <si>
    <t>CMA CGM Benjamin Franklin</t>
  </si>
  <si>
    <t>CMA CGM Berlioz</t>
  </si>
  <si>
    <t>CMA CGM Bougainville</t>
  </si>
  <si>
    <t>CMA CGM Callisto</t>
  </si>
  <si>
    <t>CMA CGM Cassiopeia</t>
  </si>
  <si>
    <t>CMA CGM Centaurus</t>
  </si>
  <si>
    <t>CMA CGM Champs Elysees</t>
  </si>
  <si>
    <t>CMA CGM Chile</t>
  </si>
  <si>
    <t>CMA CGM Chopin</t>
  </si>
  <si>
    <t>CMA CGM Christophe Colomb</t>
  </si>
  <si>
    <t>CMA CGM Columba</t>
  </si>
  <si>
    <t>CMA CGM Coral</t>
  </si>
  <si>
    <t>CMA CGM Corneille</t>
  </si>
  <si>
    <t>CMA CGM Corte Real</t>
  </si>
  <si>
    <t>CMA CGM Esperanza</t>
  </si>
  <si>
    <t>CMA CGM Fidelio</t>
  </si>
  <si>
    <t>CMA CGM Fort St Georg</t>
  </si>
  <si>
    <t>CMA CGM Fort St Louis</t>
  </si>
  <si>
    <t>CMA CGM Fort St Marie</t>
  </si>
  <si>
    <t>CMA CGM Fort St Pierre</t>
  </si>
  <si>
    <t>CMA CGM Gemini</t>
  </si>
  <si>
    <t>CMA CGM Georg Forster</t>
  </si>
  <si>
    <t>CMA CGM Hydra</t>
  </si>
  <si>
    <t>CMA CGM Ivanhoe</t>
  </si>
  <si>
    <t>CMA CGM Jacques SaadÃ©</t>
  </si>
  <si>
    <t>CMA CGM Jamaica</t>
  </si>
  <si>
    <t>CMA CGM Jasper</t>
  </si>
  <si>
    <t>CMA CGM Jean Gabriel</t>
  </si>
  <si>
    <t>CMA CGM Jean Mermoz</t>
  </si>
  <si>
    <t>CMA CGM Jules Verne</t>
  </si>
  <si>
    <t>CMA CGM Kerguelen</t>
  </si>
  <si>
    <t>CMA CGM La Traviata</t>
  </si>
  <si>
    <t>CMA CGM Lamartine</t>
  </si>
  <si>
    <t>CMA CGM Laperouse</t>
  </si>
  <si>
    <t>CMA CGM Lapis</t>
  </si>
  <si>
    <t>CMA CGM Leo</t>
  </si>
  <si>
    <t>CMA CGM Letoile</t>
  </si>
  <si>
    <t>CMA CGM Libra</t>
  </si>
  <si>
    <t>CMA CGM Louis Bleriot</t>
  </si>
  <si>
    <t>CMA CGM Louvre</t>
  </si>
  <si>
    <t>CMA CGM Lyra</t>
  </si>
  <si>
    <t>CMA CGM Magellan</t>
  </si>
  <si>
    <t>CMA CGM Marco Polo</t>
  </si>
  <si>
    <t>CMA CGM Maupassant</t>
  </si>
  <si>
    <t>CMA CGM Medea</t>
  </si>
  <si>
    <t>CMA CGM Mexico</t>
  </si>
  <si>
    <t>CMA CGM Moliere</t>
  </si>
  <si>
    <t>CMA CGM Mozart</t>
  </si>
  <si>
    <t>CMA CGM Mumbai</t>
  </si>
  <si>
    <t>CMA CGM Musca</t>
  </si>
  <si>
    <t>CMA CGM Musset</t>
  </si>
  <si>
    <t>CMA CGM Nabucco</t>
  </si>
  <si>
    <t>CMA CGM Nerval</t>
  </si>
  <si>
    <t>CMA CGM Neva</t>
  </si>
  <si>
    <t>CMA CGM Nevada</t>
  </si>
  <si>
    <t>CMA CGM Niagara</t>
  </si>
  <si>
    <t>CMA CGM Norma</t>
  </si>
  <si>
    <t>CMA CGM Opal</t>
  </si>
  <si>
    <t>CMA CGM Orfeo</t>
  </si>
  <si>
    <t>CMA CGM Otello</t>
  </si>
  <si>
    <t>CMA CGM Palais Royal</t>
  </si>
  <si>
    <t>CMA CGM Panama</t>
  </si>
  <si>
    <t>CMA CGM Pegasus</t>
  </si>
  <si>
    <t>CMA CGM Pelleas</t>
  </si>
  <si>
    <t>CMA CGM Pointe des Colibris</t>
  </si>
  <si>
    <t>CMA CGM Pointe Du Diamant</t>
  </si>
  <si>
    <t>CMA CGM Puccini</t>
  </si>
  <si>
    <t>CMA CGM Rabelais</t>
  </si>
  <si>
    <t>CMA CGM Rhone</t>
  </si>
  <si>
    <t>CMA CGM Rigoletto</t>
  </si>
  <si>
    <t>CMA CGM Rivoli</t>
  </si>
  <si>
    <t>CMA CGM Rose</t>
  </si>
  <si>
    <t>CMA CGM Rossini</t>
  </si>
  <si>
    <t>CMA CGM Sambhar</t>
  </si>
  <si>
    <t>CMA CGM Samson</t>
  </si>
  <si>
    <t>CMA CGM Strauss</t>
  </si>
  <si>
    <t>CMA CGM Tanya</t>
  </si>
  <si>
    <t>CMA CGM Tenere</t>
  </si>
  <si>
    <t>CMA CGM Thalassa</t>
  </si>
  <si>
    <t>CMA CGM Thames</t>
  </si>
  <si>
    <t>CMA CGM Titan</t>
  </si>
  <si>
    <t>CMA CGM Topaz</t>
  </si>
  <si>
    <t>CMA CGM Tosca</t>
  </si>
  <si>
    <t>CMA CGM Turquoise</t>
  </si>
  <si>
    <t>CMA CGM Uruguay</t>
  </si>
  <si>
    <t>CMA CGM Vela</t>
  </si>
  <si>
    <t>CMA CGM Verdi</t>
  </si>
  <si>
    <t>CMA CGM Whiteshark</t>
  </si>
  <si>
    <t>CMA CGM Zheng He</t>
  </si>
  <si>
    <t>CMACGM Vasco De Gama</t>
  </si>
  <si>
    <t>Colette</t>
  </si>
  <si>
    <t>Colombo Express</t>
  </si>
  <si>
    <t>Columba</t>
  </si>
  <si>
    <t>Conti Annapurna</t>
  </si>
  <si>
    <t>Conti Canberra</t>
  </si>
  <si>
    <t>Conti Contessa</t>
  </si>
  <si>
    <t>Conti Courage</t>
  </si>
  <si>
    <t>Conti Emden</t>
  </si>
  <si>
    <t>Conti Everest</t>
  </si>
  <si>
    <t>Conti Le Havre</t>
  </si>
  <si>
    <t>Conti Lyon</t>
  </si>
  <si>
    <t>Conti Makalu</t>
  </si>
  <si>
    <t>Conti Paris</t>
  </si>
  <si>
    <t>Conti Salome</t>
  </si>
  <si>
    <t>Conti Sharjah</t>
  </si>
  <si>
    <t>Conti Singa</t>
  </si>
  <si>
    <t>Conti Stockholm</t>
  </si>
  <si>
    <t>Cornelia I</t>
  </si>
  <si>
    <t>Cornelia Maersk</t>
  </si>
  <si>
    <t>COSCO Shipping Gemini</t>
  </si>
  <si>
    <t>COSCO Africa</t>
  </si>
  <si>
    <t>COSCO America</t>
  </si>
  <si>
    <t>COSCO Asia</t>
  </si>
  <si>
    <t>COSCO Beijing</t>
  </si>
  <si>
    <t>COSCO Belgium</t>
  </si>
  <si>
    <t>COSCO Denmark</t>
  </si>
  <si>
    <t>COSCO Development</t>
  </si>
  <si>
    <t>Cosco England</t>
  </si>
  <si>
    <t>COSCO Europe</t>
  </si>
  <si>
    <t>COSCO Excellence</t>
  </si>
  <si>
    <t>COSCO Faith</t>
  </si>
  <si>
    <t>Cosco Fortune</t>
  </si>
  <si>
    <t>Cosco France</t>
  </si>
  <si>
    <t>COSCO Glory</t>
  </si>
  <si>
    <t>COSCO Guangzhou</t>
  </si>
  <si>
    <t>COSCO Harmony</t>
  </si>
  <si>
    <t>COSCO Hellas</t>
  </si>
  <si>
    <t>COSCO Himalayas</t>
  </si>
  <si>
    <t>Cosco Hope</t>
  </si>
  <si>
    <t>Cosco Indonesia</t>
  </si>
  <si>
    <t>COSCO Italy</t>
  </si>
  <si>
    <t>Cosco Japan</t>
  </si>
  <si>
    <t>COSCO Kaohsiung</t>
  </si>
  <si>
    <t>COSCO Korea</t>
  </si>
  <si>
    <t>Cosco Netherlands</t>
  </si>
  <si>
    <t>COSCO Ningbo</t>
  </si>
  <si>
    <t>COSCO Oceania</t>
  </si>
  <si>
    <t>COSCO Pacific</t>
  </si>
  <si>
    <t>COSCO Philippines</t>
  </si>
  <si>
    <t>COSCO Portugal</t>
  </si>
  <si>
    <t>COSCO Pride</t>
  </si>
  <si>
    <t>Cosco Prince Rupert</t>
  </si>
  <si>
    <t>Cosco Sagittarius</t>
  </si>
  <si>
    <t>COSCO Shipping Alps</t>
  </si>
  <si>
    <t>Cosco Shipping Andes</t>
  </si>
  <si>
    <t>COSCO Shipping Aries</t>
  </si>
  <si>
    <t>Cosco Shipping Azalea</t>
  </si>
  <si>
    <t>COSCO Shipping Capricorn</t>
  </si>
  <si>
    <t>Cosco Shipping Danube</t>
  </si>
  <si>
    <t>Cosco Shipping Denali</t>
  </si>
  <si>
    <t>COSCO Shipping Leo</t>
  </si>
  <si>
    <t>COSCO Shipping Libra</t>
  </si>
  <si>
    <t>Cosco Shipping Nebula</t>
  </si>
  <si>
    <t>Cosco Shipping Pisces</t>
  </si>
  <si>
    <t>Cosco Shipping Rhine</t>
  </si>
  <si>
    <t>Cosco Shipping Rose</t>
  </si>
  <si>
    <t>COSCO Shipping Scorpio</t>
  </si>
  <si>
    <t>COSCO Shipping Taurus</t>
  </si>
  <si>
    <t>COSCO Shipping Universe</t>
  </si>
  <si>
    <t>COSCO Shipping Virgo</t>
  </si>
  <si>
    <t>COSCO Spain</t>
  </si>
  <si>
    <t>COSCO Taicang</t>
  </si>
  <si>
    <t>Cosco Thailand</t>
  </si>
  <si>
    <t>COSCO Vietnam</t>
  </si>
  <si>
    <t>CPO Baltimore</t>
  </si>
  <si>
    <t>CPO Bremen</t>
  </si>
  <si>
    <t>CSAV Toconao</t>
  </si>
  <si>
    <t>CSAV Tyndall</t>
  </si>
  <si>
    <t>CSCL Africa</t>
  </si>
  <si>
    <t>CSCL Arctic Ocean</t>
  </si>
  <si>
    <t>CSCL Asia</t>
  </si>
  <si>
    <t>CSCL Atlantic Ocean</t>
  </si>
  <si>
    <t>CSCL East China Sea</t>
  </si>
  <si>
    <t>CSCL Globe</t>
  </si>
  <si>
    <t>CSCL Indian Ocean</t>
  </si>
  <si>
    <t>CSCL Jupiter</t>
  </si>
  <si>
    <t>CSCL Kobe</t>
  </si>
  <si>
    <t>CSCL Long Beach</t>
  </si>
  <si>
    <t>CSCL Mars</t>
  </si>
  <si>
    <t>CSCL Mercury</t>
  </si>
  <si>
    <t>CSCL Pacific Ocean</t>
  </si>
  <si>
    <t>CSCL Saturn</t>
  </si>
  <si>
    <t>CSCL South China Sea</t>
  </si>
  <si>
    <t>CSCL Star</t>
  </si>
  <si>
    <t>CSCL Uranus</t>
  </si>
  <si>
    <t>CSCL Venus</t>
  </si>
  <si>
    <t>CSCL Zeebrugge</t>
  </si>
  <si>
    <t>CSL Manhatton</t>
  </si>
  <si>
    <t>Cuckoo Hunter</t>
  </si>
  <si>
    <t>Dahlia</t>
  </si>
  <si>
    <t>Dali</t>
  </si>
  <si>
    <t>Dalian Express</t>
  </si>
  <si>
    <t>Dallas Express</t>
  </si>
  <si>
    <t>Darwin</t>
  </si>
  <si>
    <t>Deira</t>
  </si>
  <si>
    <t>Delos Wave</t>
  </si>
  <si>
    <t>Demeter</t>
  </si>
  <si>
    <t>Devon Trader</t>
  </si>
  <si>
    <t>Diaporos</t>
  </si>
  <si>
    <t>Dimitris C</t>
  </si>
  <si>
    <t>Dimitris Y</t>
  </si>
  <si>
    <t>Dolphin II</t>
  </si>
  <si>
    <t>Domingo</t>
  </si>
  <si>
    <t>Dublin Express</t>
  </si>
  <si>
    <t>Duesseldorf Express</t>
  </si>
  <si>
    <t>E.R. Amsterdam</t>
  </si>
  <si>
    <t>E.R. Berlin</t>
  </si>
  <si>
    <t>E.R. Denmark</t>
  </si>
  <si>
    <t>E.R. Felixstowe</t>
  </si>
  <si>
    <t>E.R. France</t>
  </si>
  <si>
    <t>E.R. London</t>
  </si>
  <si>
    <t>E.R. Long Beach</t>
  </si>
  <si>
    <t>E.R. Los Angeles</t>
  </si>
  <si>
    <t>E.R. Montpellier</t>
  </si>
  <si>
    <t>E.R. Pusan</t>
  </si>
  <si>
    <t>E.R. Soul</t>
  </si>
  <si>
    <t>E.R. Tianan</t>
  </si>
  <si>
    <t>E.R. Tianping</t>
  </si>
  <si>
    <t>E.R. Tianshan</t>
  </si>
  <si>
    <t>E.R. Tokyo</t>
  </si>
  <si>
    <t>E.R. Vancouver</t>
  </si>
  <si>
    <t>Easter Island</t>
  </si>
  <si>
    <t>Ebba Maersk</t>
  </si>
  <si>
    <t>Edison</t>
  </si>
  <si>
    <t>Edith Maersk</t>
  </si>
  <si>
    <t>Elbsun</t>
  </si>
  <si>
    <t>Eleonora Maersk</t>
  </si>
  <si>
    <t>Elisabeth-S</t>
  </si>
  <si>
    <t>Elly Maersk</t>
  </si>
  <si>
    <t>EM Corfu</t>
  </si>
  <si>
    <t>EM Ithaki</t>
  </si>
  <si>
    <t>EM Oinousses</t>
  </si>
  <si>
    <t>Emma Maersk</t>
  </si>
  <si>
    <t>Ensenada</t>
  </si>
  <si>
    <t>Ernest Hemingway</t>
  </si>
  <si>
    <t>Erving</t>
  </si>
  <si>
    <t>Essen Express</t>
  </si>
  <si>
    <t>Estelle Maersk</t>
  </si>
  <si>
    <t>Eugen Maersk</t>
  </si>
  <si>
    <t>Euro Max</t>
  </si>
  <si>
    <t>Europe</t>
  </si>
  <si>
    <t>Evelyn Maersk</t>
  </si>
  <si>
    <t>Ever Charming</t>
  </si>
  <si>
    <t>Ever Chivalry</t>
  </si>
  <si>
    <t>Ever Conquest</t>
  </si>
  <si>
    <t>Ever Eagle</t>
  </si>
  <si>
    <t>Ever Ethic</t>
  </si>
  <si>
    <t>Ever Excel</t>
  </si>
  <si>
    <t>Ever Genius</t>
  </si>
  <si>
    <t>Ever Gentle</t>
  </si>
  <si>
    <t>Ever Gifted</t>
  </si>
  <si>
    <t>Ever Given</t>
  </si>
  <si>
    <t>Ever Globe</t>
  </si>
  <si>
    <t>Ever Glory</t>
  </si>
  <si>
    <t>Ever Golden</t>
  </si>
  <si>
    <t>Ever Goods</t>
  </si>
  <si>
    <t>Ever Govern</t>
  </si>
  <si>
    <t>Ever Grade</t>
  </si>
  <si>
    <t>Ever Greet</t>
  </si>
  <si>
    <t>Ever Laden</t>
  </si>
  <si>
    <t>Ever Lambent</t>
  </si>
  <si>
    <t>Ever Lasting</t>
  </si>
  <si>
    <t>Ever Laurel</t>
  </si>
  <si>
    <t>Ever Lawful</t>
  </si>
  <si>
    <t>Ever Leader</t>
  </si>
  <si>
    <t>Ever Leading</t>
  </si>
  <si>
    <t>Ever Learned</t>
  </si>
  <si>
    <t>Ever Legacy</t>
  </si>
  <si>
    <t>Ever Legend</t>
  </si>
  <si>
    <t>Ever Legion</t>
  </si>
  <si>
    <t>Ever Lenient</t>
  </si>
  <si>
    <t>Ever Liberal</t>
  </si>
  <si>
    <t>Ever Libra</t>
  </si>
  <si>
    <t>Ever Lifting</t>
  </si>
  <si>
    <t>Ever Linking</t>
  </si>
  <si>
    <t>Ever Lively</t>
  </si>
  <si>
    <t>Ever Liven</t>
  </si>
  <si>
    <t>Ever Living</t>
  </si>
  <si>
    <t>Ever Loading</t>
  </si>
  <si>
    <t>Ever Logic</t>
  </si>
  <si>
    <t>Ever Lotus</t>
  </si>
  <si>
    <t>Ever Lovely</t>
  </si>
  <si>
    <t>Ever Lucent</t>
  </si>
  <si>
    <t>Ever Lucid</t>
  </si>
  <si>
    <t>Ever Lunar</t>
  </si>
  <si>
    <t>Ever Lyric</t>
  </si>
  <si>
    <t>Ever Safety</t>
  </si>
  <si>
    <t>Ever Salute</t>
  </si>
  <si>
    <t>Ever Shine</t>
  </si>
  <si>
    <t>Ever Sigma</t>
  </si>
  <si>
    <t>Ever Smart</t>
  </si>
  <si>
    <t>Ever Smile</t>
  </si>
  <si>
    <t>Ever Steady</t>
  </si>
  <si>
    <t>Ever Strong</t>
  </si>
  <si>
    <t>Ever Summit</t>
  </si>
  <si>
    <t>Ever Superb</t>
  </si>
  <si>
    <t>Ever Ulysses</t>
  </si>
  <si>
    <t>Ever Unific</t>
  </si>
  <si>
    <t>Ever United</t>
  </si>
  <si>
    <t>Ever Ursula</t>
  </si>
  <si>
    <t>Evridiki G</t>
  </si>
  <si>
    <t>Express Athens</t>
  </si>
  <si>
    <t>Express Berlin</t>
  </si>
  <si>
    <t>Express Rome</t>
  </si>
  <si>
    <t>Felixstowe Bridge</t>
  </si>
  <si>
    <t>Folegandros</t>
  </si>
  <si>
    <t>Fortunate</t>
  </si>
  <si>
    <t>Fos Express</t>
  </si>
  <si>
    <t>Fowairet</t>
  </si>
  <si>
    <t>Frankfurt Express</t>
  </si>
  <si>
    <t>Fred</t>
  </si>
  <si>
    <t>Frisia Goteborg</t>
  </si>
  <si>
    <t>Frisia Hannover</t>
  </si>
  <si>
    <t>Frisia Helsinki</t>
  </si>
  <si>
    <t>Frisia Lubeck</t>
  </si>
  <si>
    <t>Frisia Oslo</t>
  </si>
  <si>
    <t>Genoa</t>
  </si>
  <si>
    <t>Georg Maersk</t>
  </si>
  <si>
    <t>George Washington Bridge</t>
  </si>
  <si>
    <t>Gerd Maersk</t>
  </si>
  <si>
    <t>Gerda Maersk</t>
  </si>
  <si>
    <t>Gerhard Schulte</t>
  </si>
  <si>
    <t>Gerner Maersk</t>
  </si>
  <si>
    <t>Gisele A</t>
  </si>
  <si>
    <t>Gjertrud Maersk</t>
  </si>
  <si>
    <t>Glasgow Express</t>
  </si>
  <si>
    <t>Golbon</t>
  </si>
  <si>
    <t>Grand Vision</t>
  </si>
  <si>
    <t>Green Mountain</t>
  </si>
  <si>
    <t>Grete Maersk</t>
  </si>
  <si>
    <t>Guayaquil Express</t>
  </si>
  <si>
    <t>Gudrun Maersk</t>
  </si>
  <si>
    <t>Gunde Maersk</t>
  </si>
  <si>
    <t>Gunhilde Maersk</t>
  </si>
  <si>
    <t>Gunvor Maersk</t>
  </si>
  <si>
    <t>Gustav Maersk</t>
  </si>
  <si>
    <t>Guthorm Maersk</t>
  </si>
  <si>
    <t>Halifax Express</t>
  </si>
  <si>
    <t>Hamburg Bay</t>
  </si>
  <si>
    <t>Hamburg Express</t>
  </si>
  <si>
    <t>Hammonia Africum</t>
  </si>
  <si>
    <t>Hammonia Antofagasta</t>
  </si>
  <si>
    <t>Hammonia Baltica</t>
  </si>
  <si>
    <t>Hammonia Emden</t>
  </si>
  <si>
    <t>Hammonia Francia</t>
  </si>
  <si>
    <t>Hammonia Galicia</t>
  </si>
  <si>
    <t>Hammonia Husum</t>
  </si>
  <si>
    <t>Hanjin Bremerhaven</t>
  </si>
  <si>
    <t>Hanjin Budapest</t>
  </si>
  <si>
    <t>Hanjin Buenos Aires</t>
  </si>
  <si>
    <t>Hanjin Chennai</t>
  </si>
  <si>
    <t>Hanjin Colombo</t>
  </si>
  <si>
    <t>Hanjin Hamburg</t>
  </si>
  <si>
    <t>Hanjin Netherlands</t>
  </si>
  <si>
    <t>Hanjin Port Kelang</t>
  </si>
  <si>
    <t>Hanjin Spain</t>
  </si>
  <si>
    <t>Hanjin Tianjin</t>
  </si>
  <si>
    <t>Hanjin Vienna</t>
  </si>
  <si>
    <t>Hanjin Xiamen</t>
  </si>
  <si>
    <t>Hannah Schulte</t>
  </si>
  <si>
    <t>Hanoi Bridge</t>
  </si>
  <si>
    <t>Hanover Express</t>
  </si>
  <si>
    <t>Hansa Asia</t>
  </si>
  <si>
    <t>Hansa Atlantic</t>
  </si>
  <si>
    <t>Hansa Europe</t>
  </si>
  <si>
    <t>Harbour Bridge</t>
  </si>
  <si>
    <t>Harmony N</t>
  </si>
  <si>
    <t>Harrier Hunter</t>
  </si>
  <si>
    <t>Hatsu Crystal</t>
  </si>
  <si>
    <t>Hawk Hunter</t>
  </si>
  <si>
    <t>Hebe</t>
  </si>
  <si>
    <t>Helsinki Bridge</t>
  </si>
  <si>
    <t>Henry Hudson Bridge</t>
  </si>
  <si>
    <t>Hermann Wulff</t>
  </si>
  <si>
    <t>Heron Hunter</t>
  </si>
  <si>
    <t>HMM Algeciras</t>
  </si>
  <si>
    <t>HMM Copenhagen</t>
  </si>
  <si>
    <t>HMM Dublin</t>
  </si>
  <si>
    <t>HMM Gdansk</t>
  </si>
  <si>
    <t>HMM Hamburg</t>
  </si>
  <si>
    <t>HMM Helsinki</t>
  </si>
  <si>
    <t>HMM Le Havre</t>
  </si>
  <si>
    <t>HMM Oslo</t>
  </si>
  <si>
    <t>HMM Rotterdam</t>
  </si>
  <si>
    <t>HMM Southampton</t>
  </si>
  <si>
    <t>HMM St Petersburg</t>
  </si>
  <si>
    <t>HMM Stockholm</t>
  </si>
  <si>
    <t>Hobby Hunter</t>
  </si>
  <si>
    <t>Hong Kong Express</t>
  </si>
  <si>
    <t>Honolulu Bridge</t>
  </si>
  <si>
    <t>Houston Bridge</t>
  </si>
  <si>
    <t>HS Bach</t>
  </si>
  <si>
    <t>HS Beethoven</t>
  </si>
  <si>
    <t>HS Caribe</t>
  </si>
  <si>
    <t>HS Chopin</t>
  </si>
  <si>
    <t>HS Columbia</t>
  </si>
  <si>
    <t>HS Debussy</t>
  </si>
  <si>
    <t>HS Discoverer</t>
  </si>
  <si>
    <t>HS Mozart</t>
  </si>
  <si>
    <t>HS Rome</t>
  </si>
  <si>
    <t>Humen Bridge</t>
  </si>
  <si>
    <t>Hungary</t>
  </si>
  <si>
    <t>Hyundai Ambition</t>
  </si>
  <si>
    <t>Hyundai Bangkok</t>
  </si>
  <si>
    <t>Hyundai Brave</t>
  </si>
  <si>
    <t>Hyundai Busan</t>
  </si>
  <si>
    <t>Hyundai Confidence</t>
  </si>
  <si>
    <t>Hyundai Courage</t>
  </si>
  <si>
    <t>Hyundai Dream</t>
  </si>
  <si>
    <t>Hyundai Drive</t>
  </si>
  <si>
    <t>Hyundai Dynasty</t>
  </si>
  <si>
    <t>Hyundai Faith</t>
  </si>
  <si>
    <t>Hyundai Force</t>
  </si>
  <si>
    <t>Hyundai Forward</t>
  </si>
  <si>
    <t>Hyundai Global</t>
  </si>
  <si>
    <t>Hyundai Goodwill</t>
  </si>
  <si>
    <t>Hyundai Grace</t>
  </si>
  <si>
    <t>Hyundai Highness</t>
  </si>
  <si>
    <t>Hyundai Hongkong</t>
  </si>
  <si>
    <t>Hyundai Hope</t>
  </si>
  <si>
    <t>Hyundai Integral</t>
  </si>
  <si>
    <t>Hyundai Loyalty</t>
  </si>
  <si>
    <t>Hyundai Mercury</t>
  </si>
  <si>
    <t>Hyundai Prestige</t>
  </si>
  <si>
    <t>Hyundai Pride</t>
  </si>
  <si>
    <t>Hyundai Singapore</t>
  </si>
  <si>
    <t>Hyundai Smart</t>
  </si>
  <si>
    <t>Hyundai Speed</t>
  </si>
  <si>
    <t>Hyundai Splendor</t>
  </si>
  <si>
    <t>Hyundai Supreme</t>
  </si>
  <si>
    <t>Hyundai Tenacity</t>
  </si>
  <si>
    <t>Hyundai Together</t>
  </si>
  <si>
    <t>Hyundai Unity</t>
  </si>
  <si>
    <t>Hyundai Vancouver</t>
  </si>
  <si>
    <t>Hyundai Victory</t>
  </si>
  <si>
    <t>Hyundai Voyager</t>
  </si>
  <si>
    <t>Ikaria</t>
  </si>
  <si>
    <t>Ilse Wulff</t>
  </si>
  <si>
    <t>Irenes Dream</t>
  </si>
  <si>
    <t>Irenes Remedy</t>
  </si>
  <si>
    <t>Irenes Respect</t>
  </si>
  <si>
    <t>Irenes Warwick</t>
  </si>
  <si>
    <t>Irenes Wave</t>
  </si>
  <si>
    <t>Isao</t>
  </si>
  <si>
    <t>Itea</t>
  </si>
  <si>
    <t>Jack London</t>
  </si>
  <si>
    <t>Jakarta Tower</t>
  </si>
  <si>
    <t>Jazan</t>
  </si>
  <si>
    <t>Jebel Ali</t>
  </si>
  <si>
    <t>Jens Maersk</t>
  </si>
  <si>
    <t>Johannes Maersk</t>
  </si>
  <si>
    <t>John Ud Page</t>
  </si>
  <si>
    <t>Jpo Canopus</t>
  </si>
  <si>
    <t>Jpo Pisces</t>
  </si>
  <si>
    <t>Jpo Vela</t>
  </si>
  <si>
    <t>Jpo Vulpecula</t>
  </si>
  <si>
    <t>Jules Verne</t>
  </si>
  <si>
    <t>Julius S</t>
  </si>
  <si>
    <t>Kaethe C Rickmers</t>
  </si>
  <si>
    <t>Kaethe P</t>
  </si>
  <si>
    <t>Kanaga Island</t>
  </si>
  <si>
    <t>Karen Maersk</t>
  </si>
  <si>
    <t>Katharina S</t>
  </si>
  <si>
    <t>Katherine</t>
  </si>
  <si>
    <t>Kea</t>
  </si>
  <si>
    <t>Kiel Express</t>
  </si>
  <si>
    <t>Kmtc Hochiminh</t>
  </si>
  <si>
    <t>Kobe Express</t>
  </si>
  <si>
    <t>Kokura</t>
  </si>
  <si>
    <t>Kota Fajar</t>
  </si>
  <si>
    <t>Kota Lahir</t>
  </si>
  <si>
    <t>Kota Lambai</t>
  </si>
  <si>
    <t>Kota Latif</t>
  </si>
  <si>
    <t>Kota Lawa</t>
  </si>
  <si>
    <t>Kota Lukis</t>
  </si>
  <si>
    <t>Kota Lumba</t>
  </si>
  <si>
    <t>Kuala Lumpur Express</t>
  </si>
  <si>
    <t>Kyoto Express</t>
  </si>
  <si>
    <t>Laila</t>
  </si>
  <si>
    <t>Lana</t>
  </si>
  <si>
    <t>Lars Maersk</t>
  </si>
  <si>
    <t>Laura Maersk</t>
  </si>
  <si>
    <t>Laust Maersk</t>
  </si>
  <si>
    <t>Le Havre</t>
  </si>
  <si>
    <t>Leo C</t>
  </si>
  <si>
    <t>Lesotho</t>
  </si>
  <si>
    <t>Leto</t>
  </si>
  <si>
    <t>Leverkusen Express</t>
  </si>
  <si>
    <t>Lexa Maersk</t>
  </si>
  <si>
    <t>Lica Maersk</t>
  </si>
  <si>
    <t>Lila London</t>
  </si>
  <si>
    <t>Linah</t>
  </si>
  <si>
    <t>Liverpool Express</t>
  </si>
  <si>
    <t>Lloyd Don Carlos</t>
  </si>
  <si>
    <t>Lloyd Don Giovanni</t>
  </si>
  <si>
    <t>Lloyd Don Pascuale</t>
  </si>
  <si>
    <t>Loa</t>
  </si>
  <si>
    <t>London Express</t>
  </si>
  <si>
    <t>Lorraine</t>
  </si>
  <si>
    <t>Louds Island</t>
  </si>
  <si>
    <t>Lt Cortesia</t>
  </si>
  <si>
    <t>Lucie Schulte</t>
  </si>
  <si>
    <t>Ludwigshafen Express</t>
  </si>
  <si>
    <t>Luna Maersk</t>
  </si>
  <si>
    <t>Lutetia</t>
  </si>
  <si>
    <t>Mackinac Bridge</t>
  </si>
  <si>
    <t>Madison Maersk</t>
  </si>
  <si>
    <t>Madrid Bridge</t>
  </si>
  <si>
    <t>Madrid Express</t>
  </si>
  <si>
    <t>Madrid Maersk</t>
  </si>
  <si>
    <t>Maersk Alfirk</t>
  </si>
  <si>
    <t>Maersk Algol</t>
  </si>
  <si>
    <t>Maersk Altair</t>
  </si>
  <si>
    <t>Maersk Antares</t>
  </si>
  <si>
    <t>Maersk Atlanta</t>
  </si>
  <si>
    <t>Maersk Bogor</t>
  </si>
  <si>
    <t>Maersk Brani</t>
  </si>
  <si>
    <t>Maersk Bulan</t>
  </si>
  <si>
    <t>Maersk Columbus</t>
  </si>
  <si>
    <t>Maersk Edinburgh</t>
  </si>
  <si>
    <t>Maersk Edirne</t>
  </si>
  <si>
    <t>Maersk Edmonton</t>
  </si>
  <si>
    <t>Maersk Effingham</t>
  </si>
  <si>
    <t>Maersk Eindhoven</t>
  </si>
  <si>
    <t>Maersk Elba</t>
  </si>
  <si>
    <t>Maersk Emden</t>
  </si>
  <si>
    <t>Maersk Emerald</t>
  </si>
  <si>
    <t>Maersk Ensenada</t>
  </si>
  <si>
    <t>Maersk Enshi</t>
  </si>
  <si>
    <t>Maersk Esmeraldas</t>
  </si>
  <si>
    <t>Maersk Essen</t>
  </si>
  <si>
    <t>Maersk Essex</t>
  </si>
  <si>
    <t>Maersk Eubank</t>
  </si>
  <si>
    <t>Maersk Eureka</t>
  </si>
  <si>
    <t>Maersk Evora</t>
  </si>
  <si>
    <t>Maersk Gateshead</t>
  </si>
  <si>
    <t>Maersk Genoa</t>
  </si>
  <si>
    <t>Maersk Gibraltar</t>
  </si>
  <si>
    <t>Maersk Guatemala</t>
  </si>
  <si>
    <t>Maersk Guayaquil</t>
  </si>
  <si>
    <t>Maersk Horsburgh</t>
  </si>
  <si>
    <t>Maersk Idaho</t>
  </si>
  <si>
    <t>Maersk Jubail</t>
  </si>
  <si>
    <t>Maersk Kawasaki</t>
  </si>
  <si>
    <t>Maersk Kensington</t>
  </si>
  <si>
    <t>Maersk Kingston</t>
  </si>
  <si>
    <t>Maersk Kotka</t>
  </si>
  <si>
    <t>Maersk Kowloon</t>
  </si>
  <si>
    <t>Maersk Lanco</t>
  </si>
  <si>
    <t>Maersk Lavras</t>
  </si>
  <si>
    <t>Maersk Lima</t>
  </si>
  <si>
    <t>Maersk Mc Kinney Moller</t>
  </si>
  <si>
    <t>Maersk Neston</t>
  </si>
  <si>
    <t>Maersk Newbury</t>
  </si>
  <si>
    <t>Maersk Newcastle</t>
  </si>
  <si>
    <t>Maersk Niagara</t>
  </si>
  <si>
    <t>Maersk Niamey</t>
  </si>
  <si>
    <t>Maersk Nienburg</t>
  </si>
  <si>
    <t>Maersk Nijmegen</t>
  </si>
  <si>
    <t>Maersk Nimes</t>
  </si>
  <si>
    <t>Maersk Niteroi</t>
  </si>
  <si>
    <t>Maersk Northampton</t>
  </si>
  <si>
    <t>Maersk Northwood</t>
  </si>
  <si>
    <t>Maersk Nottingham</t>
  </si>
  <si>
    <t>Maersk Saigon</t>
  </si>
  <si>
    <t>Maersk Salalah</t>
  </si>
  <si>
    <t>Maersk Salina</t>
  </si>
  <si>
    <t>Maersk Saltoro</t>
  </si>
  <si>
    <t>Maersk Santana</t>
  </si>
  <si>
    <t>Maersk Sarat</t>
  </si>
  <si>
    <t>Maersk Savannah</t>
  </si>
  <si>
    <t>Maersk Sebarok</t>
  </si>
  <si>
    <t>Maersk Semarang</t>
  </si>
  <si>
    <t>Maersk Seoul</t>
  </si>
  <si>
    <t>Maersk Seville</t>
  </si>
  <si>
    <t>Maersk Sheerness</t>
  </si>
  <si>
    <t>Maersk Singapore</t>
  </si>
  <si>
    <t>Maersk Sofia</t>
  </si>
  <si>
    <t>Maersk Stadelhorn</t>
  </si>
  <si>
    <t>Maersk Stepnica</t>
  </si>
  <si>
    <t>Maersk Stockholm</t>
  </si>
  <si>
    <t>Maersk Stralsund</t>
  </si>
  <si>
    <t>Maersk Surabaya</t>
  </si>
  <si>
    <t>Maersk Sydney</t>
  </si>
  <si>
    <t>Maersk Taikung</t>
  </si>
  <si>
    <t>Maersk Tanjong</t>
  </si>
  <si>
    <t>Maersk Taurus</t>
  </si>
  <si>
    <t>Maersk Tukang</t>
  </si>
  <si>
    <t>Maersk Utah</t>
  </si>
  <si>
    <t>Maine Trader</t>
  </si>
  <si>
    <t>Maira Xl</t>
  </si>
  <si>
    <t>Malik Al Ashtar</t>
  </si>
  <si>
    <t>Malleco</t>
  </si>
  <si>
    <t>Manchester Bridge</t>
  </si>
  <si>
    <t>Manchester Maersk</t>
  </si>
  <si>
    <t>Manhattan Bridge</t>
  </si>
  <si>
    <t>Manila Express</t>
  </si>
  <si>
    <t>Manila Maersk</t>
  </si>
  <si>
    <t>Marchen Maersk</t>
  </si>
  <si>
    <t>Mare Atlanticum</t>
  </si>
  <si>
    <t>Maren Maersk</t>
  </si>
  <si>
    <t>Margarete Schulte</t>
  </si>
  <si>
    <t>Margrethe Maersk</t>
  </si>
  <si>
    <t>Maribo Maersk</t>
  </si>
  <si>
    <t>Marie Maersk</t>
  </si>
  <si>
    <t>Marit Maersk</t>
  </si>
  <si>
    <t>Marivia</t>
  </si>
  <si>
    <t>Marseille Maersk</t>
  </si>
  <si>
    <t>Martha A</t>
  </si>
  <si>
    <t>Martha Schulte</t>
  </si>
  <si>
    <t>Mary</t>
  </si>
  <si>
    <t>Mary Maersk</t>
  </si>
  <si>
    <t>Mataquito</t>
  </si>
  <si>
    <t>Mathilde Maersk</t>
  </si>
  <si>
    <t>Matz Maersk</t>
  </si>
  <si>
    <t>Mayssan</t>
  </si>
  <si>
    <t>Mayview Maersk</t>
  </si>
  <si>
    <t>Melina</t>
  </si>
  <si>
    <t>Merete Maersk</t>
  </si>
  <si>
    <t>Messologi</t>
  </si>
  <si>
    <t>Meta</t>
  </si>
  <si>
    <t>Mette Maersk</t>
  </si>
  <si>
    <t>MH Hamburg</t>
  </si>
  <si>
    <t>Milan Express</t>
  </si>
  <si>
    <t>Milan Maersk</t>
  </si>
  <si>
    <t>Millau Bridge</t>
  </si>
  <si>
    <t>Minerva</t>
  </si>
  <si>
    <t>Miramarin</t>
  </si>
  <si>
    <t>Mississauga Express</t>
  </si>
  <si>
    <t>Moen Island</t>
  </si>
  <si>
    <t>Mogens Maersk</t>
  </si>
  <si>
    <t>MOL Beacon</t>
  </si>
  <si>
    <t>MOL Beauty</t>
  </si>
  <si>
    <t>MOL Belief</t>
  </si>
  <si>
    <t>MOL Beyond</t>
  </si>
  <si>
    <t>MOL Bravo</t>
  </si>
  <si>
    <t>MOL Breeze</t>
  </si>
  <si>
    <t>MOL Brightness</t>
  </si>
  <si>
    <t>MOL Brilliance</t>
  </si>
  <si>
    <t>MOL Celebration</t>
  </si>
  <si>
    <t>MOL Charisma</t>
  </si>
  <si>
    <t>MOL Comfort</t>
  </si>
  <si>
    <t>MOL Commitment</t>
  </si>
  <si>
    <t>MOL Competence</t>
  </si>
  <si>
    <t>MOL Cosmos</t>
  </si>
  <si>
    <t>MOL Courage</t>
  </si>
  <si>
    <t>MOL Creation</t>
  </si>
  <si>
    <t>MOL Destiny</t>
  </si>
  <si>
    <t>MOL Emissary</t>
  </si>
  <si>
    <t>MOL Empire</t>
  </si>
  <si>
    <t>MOL Experience</t>
  </si>
  <si>
    <t>MOL Genesis</t>
  </si>
  <si>
    <t>MOL Glide</t>
  </si>
  <si>
    <t>MOL Gratitude</t>
  </si>
  <si>
    <t>MOL Guardian</t>
  </si>
  <si>
    <t>MOL Maestro</t>
  </si>
  <si>
    <t>MOL Magnificence</t>
  </si>
  <si>
    <t>MOL Majesty</t>
  </si>
  <si>
    <t>MOL Maneuver</t>
  </si>
  <si>
    <t>MOL Marvel</t>
  </si>
  <si>
    <t>MOL Matrix</t>
  </si>
  <si>
    <t>MOL Maxim</t>
  </si>
  <si>
    <t>MOL Mission</t>
  </si>
  <si>
    <t>MOL Modern</t>
  </si>
  <si>
    <t>MOL Motivator</t>
  </si>
  <si>
    <t>MOL Precision</t>
  </si>
  <si>
    <t>MOL Prestige</t>
  </si>
  <si>
    <t>MOL Quintet</t>
  </si>
  <si>
    <t>MOL Seabreeze</t>
  </si>
  <si>
    <t>MOL Tradition</t>
  </si>
  <si>
    <t>MOL Treasure</t>
  </si>
  <si>
    <t>MOL Tribute</t>
  </si>
  <si>
    <t>MOL Triumph</t>
  </si>
  <si>
    <t>MOL Trust</t>
  </si>
  <si>
    <t>MOL Truth</t>
  </si>
  <si>
    <t>Mona Lisa</t>
  </si>
  <si>
    <t>Monaco</t>
  </si>
  <si>
    <t>Monaco Bridge</t>
  </si>
  <si>
    <t>Monaco Maersk</t>
  </si>
  <si>
    <t>Monte Alegre</t>
  </si>
  <si>
    <t>Monte Azul</t>
  </si>
  <si>
    <t>Monte Cervantes</t>
  </si>
  <si>
    <t>Monte Olivia</t>
  </si>
  <si>
    <t>Monte Pascoal</t>
  </si>
  <si>
    <t>Monte Rosa</t>
  </si>
  <si>
    <t>Monte Verde</t>
  </si>
  <si>
    <t>Montreal Express</t>
  </si>
  <si>
    <t>Morten Maersk</t>
  </si>
  <si>
    <t>Mozambique</t>
  </si>
  <si>
    <t>Mozart</t>
  </si>
  <si>
    <t>MP The Gronk</t>
  </si>
  <si>
    <t>MSC Abidjan</t>
  </si>
  <si>
    <t>MSC Adelaide</t>
  </si>
  <si>
    <t>MSC Aditi</t>
  </si>
  <si>
    <t>MSC Agadir</t>
  </si>
  <si>
    <t>MSC Aino</t>
  </si>
  <si>
    <t>MSC Ajaccio</t>
  </si>
  <si>
    <t>MSC Alabama</t>
  </si>
  <si>
    <t>MSC Alessia</t>
  </si>
  <si>
    <t>MSC Alexa</t>
  </si>
  <si>
    <t>MSC Alexandra</t>
  </si>
  <si>
    <t>MSC Algeciras</t>
  </si>
  <si>
    <t>MSC Alicante</t>
  </si>
  <si>
    <t>MSC Alice</t>
  </si>
  <si>
    <t>MSC Altair</t>
  </si>
  <si>
    <t>MSC Altamira</t>
  </si>
  <si>
    <t>MSC Amalfi</t>
  </si>
  <si>
    <t>MSC America</t>
  </si>
  <si>
    <t>MSC Amsterdam</t>
  </si>
  <si>
    <t>MSC Anahita</t>
  </si>
  <si>
    <t>MSC Anchorage</t>
  </si>
  <si>
    <t>MSC Angela</t>
  </si>
  <si>
    <t>MSC Anisha R</t>
  </si>
  <si>
    <t>MSC Anna</t>
  </si>
  <si>
    <t>MSC Annick</t>
  </si>
  <si>
    <t>MSC Ans</t>
  </si>
  <si>
    <t>MSC Antalya</t>
  </si>
  <si>
    <t>MSC Antigua</t>
  </si>
  <si>
    <t>MSC Antonella</t>
  </si>
  <si>
    <t>MSC Antwerp</t>
  </si>
  <si>
    <t>MSC Anya</t>
  </si>
  <si>
    <t>MSC Anzu</t>
  </si>
  <si>
    <t>MSC Apollo</t>
  </si>
  <si>
    <t>MSC Arbatax</t>
  </si>
  <si>
    <t>MSC Ariane</t>
  </si>
  <si>
    <t>MSC Arica</t>
  </si>
  <si>
    <t>MSC Astrid</t>
  </si>
  <si>
    <t>MSC Asya</t>
  </si>
  <si>
    <t>MSC Athens</t>
  </si>
  <si>
    <t>MSC Athos</t>
  </si>
  <si>
    <t>MSC Atlantic</t>
  </si>
  <si>
    <t>MSC Aurora</t>
  </si>
  <si>
    <t>MSC Avni</t>
  </si>
  <si>
    <t>MSC Azov</t>
  </si>
  <si>
    <t>MSC Barbara</t>
  </si>
  <si>
    <t>MSC Barcelona</t>
  </si>
  <si>
    <t>MSC Bari</t>
  </si>
  <si>
    <t>MSC Beatrice</t>
  </si>
  <si>
    <t>MSC Beijing</t>
  </si>
  <si>
    <t>MSC Benedetta</t>
  </si>
  <si>
    <t>MSC Beryl</t>
  </si>
  <si>
    <t>MSC Bettina</t>
  </si>
  <si>
    <t>MSC Bhavya</t>
  </si>
  <si>
    <t>MSC Bianca</t>
  </si>
  <si>
    <t>MSC Bilbao</t>
  </si>
  <si>
    <t>MSC Bosphorus</t>
  </si>
  <si>
    <t>MSC Branka</t>
  </si>
  <si>
    <t>MSC Bremen</t>
  </si>
  <si>
    <t>MSC Brianna</t>
  </si>
  <si>
    <t>MSC Brunella</t>
  </si>
  <si>
    <t>MSC Camille</t>
  </si>
  <si>
    <t>MSC Candice</t>
  </si>
  <si>
    <t>MSC Carina</t>
  </si>
  <si>
    <t>MSC Carlotta</t>
  </si>
  <si>
    <t>MSC Carmen</t>
  </si>
  <si>
    <t>MSC Carole</t>
  </si>
  <si>
    <t>MSC Carolina</t>
  </si>
  <si>
    <t>MSC Carouge</t>
  </si>
  <si>
    <t>MSC Catania</t>
  </si>
  <si>
    <t>MSC Caterina</t>
  </si>
  <si>
    <t>MSC Charleston</t>
  </si>
  <si>
    <t>MSC Chicago</t>
  </si>
  <si>
    <t>MSC Chloe</t>
  </si>
  <si>
    <t>MSC Clara</t>
  </si>
  <si>
    <t>MSC Clorinda</t>
  </si>
  <si>
    <t>MSC Cordoba</t>
  </si>
  <si>
    <t>MSC Coruna</t>
  </si>
  <si>
    <t>MSC Cristina</t>
  </si>
  <si>
    <t>MSC Damla</t>
  </si>
  <si>
    <t>MSC Daniela</t>
  </si>
  <si>
    <t>MSC Dardanelles</t>
  </si>
  <si>
    <t>MSC Deila</t>
  </si>
  <si>
    <t>MSC Desiree</t>
  </si>
  <si>
    <t>MSC Diana</t>
  </si>
  <si>
    <t>MSC Diego</t>
  </si>
  <si>
    <t>MSC Ditte</t>
  </si>
  <si>
    <t>MSC Domitille</t>
  </si>
  <si>
    <t>MSC Donata</t>
  </si>
  <si>
    <t>MSC Dymphna</t>
  </si>
  <si>
    <t>MSC Elbe</t>
  </si>
  <si>
    <t>MSC Eleni</t>
  </si>
  <si>
    <t>MSC Elma</t>
  </si>
  <si>
    <t>MSC Eloane</t>
  </si>
  <si>
    <t>MSC Elodie</t>
  </si>
  <si>
    <t>MSC Eloise</t>
  </si>
  <si>
    <t>MSC Emanuela</t>
  </si>
  <si>
    <t>MSC Emma</t>
  </si>
  <si>
    <t>MSC Erica</t>
  </si>
  <si>
    <t>MSC Esthi</t>
  </si>
  <si>
    <t>MSC Eugenia</t>
  </si>
  <si>
    <t>MSC Eva</t>
  </si>
  <si>
    <t>MSC Fabienne</t>
  </si>
  <si>
    <t>MSC Federica</t>
  </si>
  <si>
    <t>MSC Fiammetta</t>
  </si>
  <si>
    <t>MSC Flaminia</t>
  </si>
  <si>
    <t>MSC Flavia</t>
  </si>
  <si>
    <t>MSC Florentina</t>
  </si>
  <si>
    <t>MSC Florida</t>
  </si>
  <si>
    <t>MSC Francesca</t>
  </si>
  <si>
    <t>MSC Gaia</t>
  </si>
  <si>
    <t>MSC Gayane</t>
  </si>
  <si>
    <t>MSC Geneva</t>
  </si>
  <si>
    <t>MSC Genova</t>
  </si>
  <si>
    <t>MSC Giannina</t>
  </si>
  <si>
    <t>MSC Giselle</t>
  </si>
  <si>
    <t>MSC Hamburg</t>
  </si>
  <si>
    <t>MSC Ilona</t>
  </si>
  <si>
    <t>MSC Ines</t>
  </si>
  <si>
    <t>MSC Ingrid</t>
  </si>
  <si>
    <t>MSC Ingy</t>
  </si>
  <si>
    <t>MSC Irene</t>
  </si>
  <si>
    <t>MSC Istanbul</t>
  </si>
  <si>
    <t>MSC Ivana</t>
  </si>
  <si>
    <t>MSC JADE</t>
  </si>
  <si>
    <t>MSC Jeanne</t>
  </si>
  <si>
    <t>MSC Jenny</t>
  </si>
  <si>
    <t>MSC Joanna</t>
  </si>
  <si>
    <t>MSC Judith</t>
  </si>
  <si>
    <t>MSC Julia R</t>
  </si>
  <si>
    <t>MSC Julie</t>
  </si>
  <si>
    <t>MSC Kalina</t>
  </si>
  <si>
    <t>MSC Karlskrona</t>
  </si>
  <si>
    <t>MSC Katie</t>
  </si>
  <si>
    <t>MSC Katrina</t>
  </si>
  <si>
    <t>MSC Katya R.</t>
  </si>
  <si>
    <t>MSC Katyayni</t>
  </si>
  <si>
    <t>MSC Kerry</t>
  </si>
  <si>
    <t>MSC Kim</t>
  </si>
  <si>
    <t>MSC Kleven</t>
  </si>
  <si>
    <t>MSC Krystal</t>
  </si>
  <si>
    <t>MSC Kwangyang</t>
  </si>
  <si>
    <t>MSC La Spezia</t>
  </si>
  <si>
    <t>MSC Laura</t>
  </si>
  <si>
    <t>MSC Lauren</t>
  </si>
  <si>
    <t>MSC Laurence</t>
  </si>
  <si>
    <t>MSC Lausanne</t>
  </si>
  <si>
    <t>MSC Leanne</t>
  </si>
  <si>
    <t>MSC Leigh</t>
  </si>
  <si>
    <t>MSC Lily</t>
  </si>
  <si>
    <t>MSC Lisa</t>
  </si>
  <si>
    <t>MSC Lisbon</t>
  </si>
  <si>
    <t>MSC Livorno</t>
  </si>
  <si>
    <t>MSC London</t>
  </si>
  <si>
    <t>MSC Lorena</t>
  </si>
  <si>
    <t>MSC Loretta</t>
  </si>
  <si>
    <t>MSC Los Angeles</t>
  </si>
  <si>
    <t>MSC Luciana</t>
  </si>
  <si>
    <t>MSC Lucy</t>
  </si>
  <si>
    <t>MSC Ludovica</t>
  </si>
  <si>
    <t>MSC Luisa</t>
  </si>
  <si>
    <t>MSC Madeleine</t>
  </si>
  <si>
    <t>MSC Madhu B</t>
  </si>
  <si>
    <t>MSC Madrid</t>
  </si>
  <si>
    <t>MSC Maeva</t>
  </si>
  <si>
    <t>MSC Mandraki</t>
  </si>
  <si>
    <t>MSC Mandy</t>
  </si>
  <si>
    <t>MSC Manu</t>
  </si>
  <si>
    <t>MSC Margarita</t>
  </si>
  <si>
    <t>MSC Margrit</t>
  </si>
  <si>
    <t>MSC Maria Elena</t>
  </si>
  <si>
    <t>MSC Maria Laura</t>
  </si>
  <si>
    <t>MSC Maria Pia</t>
  </si>
  <si>
    <t>MSC Maria Saveria</t>
  </si>
  <si>
    <t>MSC Marianna</t>
  </si>
  <si>
    <t>MSC Marina</t>
  </si>
  <si>
    <t>MSC Mars</t>
  </si>
  <si>
    <t>MSC Marta</t>
  </si>
  <si>
    <t>MSC Matilde</t>
  </si>
  <si>
    <t>MSC Maureen</t>
  </si>
  <si>
    <t>MSC Maya</t>
  </si>
  <si>
    <t>MSC Mediterranean</t>
  </si>
  <si>
    <t>MSC Melatilde</t>
  </si>
  <si>
    <t>MSC Melissa</t>
  </si>
  <si>
    <t>MSC Messina</t>
  </si>
  <si>
    <t>MSC Methoni</t>
  </si>
  <si>
    <t>MSC Michaela</t>
  </si>
  <si>
    <t>MSC Michela</t>
  </si>
  <si>
    <t>MSC Mirja</t>
  </si>
  <si>
    <t>MSC Mirjam</t>
  </si>
  <si>
    <t>MSC Monica</t>
  </si>
  <si>
    <t>MSC Monterey</t>
  </si>
  <si>
    <t>MSC Mykonos</t>
  </si>
  <si>
    <t>MSC Nerissa</t>
  </si>
  <si>
    <t>MSC New York</t>
  </si>
  <si>
    <t>MSC Ningbo</t>
  </si>
  <si>
    <t>MSC Nitya B</t>
  </si>
  <si>
    <t>MSC Nuria</t>
  </si>
  <si>
    <t>MSC Oliver</t>
  </si>
  <si>
    <t>MSC Oriane</t>
  </si>
  <si>
    <t>MSC Ornella</t>
  </si>
  <si>
    <t>MSC Oscar</t>
  </si>
  <si>
    <t>MSC Palak</t>
  </si>
  <si>
    <t>MSC Pamela</t>
  </si>
  <si>
    <t>MSC Paola</t>
  </si>
  <si>
    <t>MSC Paris</t>
  </si>
  <si>
    <t>MSC Pegasus</t>
  </si>
  <si>
    <t>MSC Perle</t>
  </si>
  <si>
    <t>MSC Phoenix</t>
  </si>
  <si>
    <t>MSC Pilar</t>
  </si>
  <si>
    <t>MSC Pina</t>
  </si>
  <si>
    <t>MSC Portugal</t>
  </si>
  <si>
    <t>MSC Rachele</t>
  </si>
  <si>
    <t>MSC Rafaela</t>
  </si>
  <si>
    <t>MSC Rania</t>
  </si>
  <si>
    <t>MSC Rapallo</t>
  </si>
  <si>
    <t>MSC Ravenna</t>
  </si>
  <si>
    <t>MSC Rebecca</t>
  </si>
  <si>
    <t>MSC Regulus</t>
  </si>
  <si>
    <t>MSC Renee</t>
  </si>
  <si>
    <t>MSC Rifaya</t>
  </si>
  <si>
    <t>MSC Rita</t>
  </si>
  <si>
    <t>MSC Roberta</t>
  </si>
  <si>
    <t>MSC Rochelle</t>
  </si>
  <si>
    <t>MSC Roma</t>
  </si>
  <si>
    <t>MSC Romane</t>
  </si>
  <si>
    <t>MSC Romanos</t>
  </si>
  <si>
    <t>MSC Rosa M</t>
  </si>
  <si>
    <t>MSC Rosaria</t>
  </si>
  <si>
    <t>MSC Rossella</t>
  </si>
  <si>
    <t>MSC Ruby</t>
  </si>
  <si>
    <t>MSC Samantha</t>
  </si>
  <si>
    <t>MSC Sandra</t>
  </si>
  <si>
    <t>MSC Santhya</t>
  </si>
  <si>
    <t>MSC Sao Paulo</t>
  </si>
  <si>
    <t>MSC Sarah</t>
  </si>
  <si>
    <t>MSC Sariska</t>
  </si>
  <si>
    <t>MSC Sasha</t>
  </si>
  <si>
    <t>MSC Saturn</t>
  </si>
  <si>
    <t>MSC Savannah</t>
  </si>
  <si>
    <t>MSC Savona</t>
  </si>
  <si>
    <t>MSC Scotland</t>
  </si>
  <si>
    <t>MSC Seattle</t>
  </si>
  <si>
    <t>MSC Sena</t>
  </si>
  <si>
    <t>MSC Shanghai</t>
  </si>
  <si>
    <t>MSC Shaula</t>
  </si>
  <si>
    <t>MSC Shreya B</t>
  </si>
  <si>
    <t>MSC Shuba B</t>
  </si>
  <si>
    <t>MSC Silvana</t>
  </si>
  <si>
    <t>MSC Silvia</t>
  </si>
  <si>
    <t>MSC Sindy</t>
  </si>
  <si>
    <t>MSC Socotra</t>
  </si>
  <si>
    <t>MSC Sofia Celeste</t>
  </si>
  <si>
    <t>MSC Sola</t>
  </si>
  <si>
    <t>MSC Sonia</t>
  </si>
  <si>
    <t>MSC Soraya</t>
  </si>
  <si>
    <t>MSC Spain</t>
  </si>
  <si>
    <t>MSC Stella</t>
  </si>
  <si>
    <t>MSC Suez</t>
  </si>
  <si>
    <t>MSC Susanna</t>
  </si>
  <si>
    <t>MSC Sveva</t>
  </si>
  <si>
    <t>MSC Tamara</t>
  </si>
  <si>
    <t>MSC Taranto</t>
  </si>
  <si>
    <t>MSC Tianjin</t>
  </si>
  <si>
    <t>MSC Tina</t>
  </si>
  <si>
    <t>MSC Tokyo</t>
  </si>
  <si>
    <t>MSC Tomoko</t>
  </si>
  <si>
    <t>MSC Topaz</t>
  </si>
  <si>
    <t>MSC Toronto</t>
  </si>
  <si>
    <t>MSC Trieste</t>
  </si>
  <si>
    <t>MSC Ulsan</t>
  </si>
  <si>
    <t>MSC Vaishnavi R</t>
  </si>
  <si>
    <t>MSC Valencia</t>
  </si>
  <si>
    <t>MSC Vandya</t>
  </si>
  <si>
    <t>MSC Vanessa</t>
  </si>
  <si>
    <t>MSC Vega</t>
  </si>
  <si>
    <t>MSC Venezuela</t>
  </si>
  <si>
    <t>MSC Venice</t>
  </si>
  <si>
    <t>MSC Veronique</t>
  </si>
  <si>
    <t>MSC Vidhi</t>
  </si>
  <si>
    <t>MSC Vidisha R.</t>
  </si>
  <si>
    <t>MSC Vigo</t>
  </si>
  <si>
    <t>MSC Vittoria</t>
  </si>
  <si>
    <t>MSC Viviana</t>
  </si>
  <si>
    <t>MSC Yashi B</t>
  </si>
  <si>
    <t>MSC Zoe</t>
  </si>
  <si>
    <t>Mumbai Maersk</t>
  </si>
  <si>
    <t>Munchen Bridge</t>
  </si>
  <si>
    <t>Munich Maersk</t>
  </si>
  <si>
    <t>Murcia Maersk</t>
  </si>
  <si>
    <t>My Ny</t>
  </si>
  <si>
    <t>Nagoya Express</t>
  </si>
  <si>
    <t>Nansen Strait</t>
  </si>
  <si>
    <t>Navarino</t>
  </si>
  <si>
    <t>Navio Vermilion</t>
  </si>
  <si>
    <t>Navios Amaranth</t>
  </si>
  <si>
    <t>Navios Amarillo</t>
  </si>
  <si>
    <t>Navios Azure</t>
  </si>
  <si>
    <t>Navios Indigo</t>
  </si>
  <si>
    <t>Navios Unison</t>
  </si>
  <si>
    <t>New Orleans Express</t>
  </si>
  <si>
    <t>New York Express</t>
  </si>
  <si>
    <t>Newyorker</t>
  </si>
  <si>
    <t>Nicolas Delmas</t>
  </si>
  <si>
    <t>Niledutch Okapi</t>
  </si>
  <si>
    <t>Ningbo Express</t>
  </si>
  <si>
    <t>Nora Maersk</t>
  </si>
  <si>
    <t>Norasia Alya</t>
  </si>
  <si>
    <t>Nordautumn</t>
  </si>
  <si>
    <t>Nordisabella</t>
  </si>
  <si>
    <t>Nordsummer</t>
  </si>
  <si>
    <t>North Bridge</t>
  </si>
  <si>
    <t>Northern Debonair</t>
  </si>
  <si>
    <t>Northern Decency</t>
  </si>
  <si>
    <t>Northern Decision</t>
  </si>
  <si>
    <t>Northern Defender</t>
  </si>
  <si>
    <t>Northern Delegation</t>
  </si>
  <si>
    <t>Northern Delicacy</t>
  </si>
  <si>
    <t>Northern Dexterity</t>
  </si>
  <si>
    <t>Northern Dignity</t>
  </si>
  <si>
    <t>Northern General</t>
  </si>
  <si>
    <t>Northern Genius</t>
  </si>
  <si>
    <t>Northern Guard</t>
  </si>
  <si>
    <t>Northern Jade</t>
  </si>
  <si>
    <t>Northern Javelin</t>
  </si>
  <si>
    <t>Northern Jubilee</t>
  </si>
  <si>
    <t>Northern Jupiter</t>
  </si>
  <si>
    <t>Northern Magnum</t>
  </si>
  <si>
    <t>Northern Power</t>
  </si>
  <si>
    <t>NYK Adonis</t>
  </si>
  <si>
    <t>NYK Altair</t>
  </si>
  <si>
    <t>NYK Arcadia</t>
  </si>
  <si>
    <t>NYK Clara</t>
  </si>
  <si>
    <t>NYK Constellation</t>
  </si>
  <si>
    <t>NYK Daedalus</t>
  </si>
  <si>
    <t>NYK Delphinus</t>
  </si>
  <si>
    <t>NYK Deneb</t>
  </si>
  <si>
    <t>NYK Lynx</t>
  </si>
  <si>
    <t>NYK Lyra</t>
  </si>
  <si>
    <t>NYK Meteor</t>
  </si>
  <si>
    <t>NYK Nebula</t>
  </si>
  <si>
    <t>NYK Oceanus</t>
  </si>
  <si>
    <t>NYK Orion</t>
  </si>
  <si>
    <t>NYK Orpheus</t>
  </si>
  <si>
    <t>NYK Owl</t>
  </si>
  <si>
    <t>NYK Remus</t>
  </si>
  <si>
    <t>NYK Rigel</t>
  </si>
  <si>
    <t>NYK Romulus</t>
  </si>
  <si>
    <t>NYK Rumina</t>
  </si>
  <si>
    <t>NYK Swan</t>
  </si>
  <si>
    <t>NYK Themis</t>
  </si>
  <si>
    <t>NYK Vega</t>
  </si>
  <si>
    <t>NYK Venus</t>
  </si>
  <si>
    <t>NYK Vesta</t>
  </si>
  <si>
    <t>NYK Virgo</t>
  </si>
  <si>
    <t>NYK Wren</t>
  </si>
  <si>
    <t>Nysted Maersk</t>
  </si>
  <si>
    <t>Oakland Express</t>
  </si>
  <si>
    <t>Ocean Promise</t>
  </si>
  <si>
    <t>Oel Emirates</t>
  </si>
  <si>
    <t>Olivia Maersk</t>
  </si>
  <si>
    <t>One Apus</t>
  </si>
  <si>
    <t>One Aquila</t>
  </si>
  <si>
    <t>ONE Blue Jay</t>
  </si>
  <si>
    <t>ONE Columba</t>
  </si>
  <si>
    <t>ONE Continuity</t>
  </si>
  <si>
    <t>ONE Crane</t>
  </si>
  <si>
    <t>ONE Cygnus</t>
  </si>
  <si>
    <t>ONE Eagle</t>
  </si>
  <si>
    <t>ONE Falcon</t>
  </si>
  <si>
    <t>One Grus</t>
  </si>
  <si>
    <t>ONE Hamburg</t>
  </si>
  <si>
    <t>One Hammersmith</t>
  </si>
  <si>
    <t>One Hannover</t>
  </si>
  <si>
    <t>ONE Hawk</t>
  </si>
  <si>
    <t>One Hong Kong</t>
  </si>
  <si>
    <t>One Humber</t>
  </si>
  <si>
    <t>ONE Ibis</t>
  </si>
  <si>
    <t>One Minato</t>
  </si>
  <si>
    <t>ONE Olympus</t>
  </si>
  <si>
    <t>ONE Stork</t>
  </si>
  <si>
    <t>OOCL America</t>
  </si>
  <si>
    <t>OOCL Antwerp</t>
  </si>
  <si>
    <t>OOCL Asia</t>
  </si>
  <si>
    <t>OOCL Bangkok</t>
  </si>
  <si>
    <t>OOCL Berlin</t>
  </si>
  <si>
    <t>OOCL Brussels</t>
  </si>
  <si>
    <t>OOCL California</t>
  </si>
  <si>
    <t>OOCL Chicago</t>
  </si>
  <si>
    <t>OOCL Chongqing</t>
  </si>
  <si>
    <t>OOCL Egypt</t>
  </si>
  <si>
    <t>OOCL France</t>
  </si>
  <si>
    <t>OOCL Hamburg</t>
  </si>
  <si>
    <t>OOCL Italy</t>
  </si>
  <si>
    <t>OOCL Kaohsiung</t>
  </si>
  <si>
    <t>OOCL Kobe</t>
  </si>
  <si>
    <t>OOCL Korea</t>
  </si>
  <si>
    <t>OOCL Kuala Lumpur</t>
  </si>
  <si>
    <t>OOCL London</t>
  </si>
  <si>
    <t>OOCL Luxembourg</t>
  </si>
  <si>
    <t>OOCL Malaysia</t>
  </si>
  <si>
    <t>OOCL Montreal</t>
  </si>
  <si>
    <t>OOCL Nagoya</t>
  </si>
  <si>
    <t>OOCL Norfolk</t>
  </si>
  <si>
    <t>OOCL Poland</t>
  </si>
  <si>
    <t>OOCL Qingdao</t>
  </si>
  <si>
    <t>OOCL Rotterdam</t>
  </si>
  <si>
    <t>OOCL San Francisco</t>
  </si>
  <si>
    <t>OOCL Seoul</t>
  </si>
  <si>
    <t>OOCL Shanghai</t>
  </si>
  <si>
    <t>OOCL Shenzhen</t>
  </si>
  <si>
    <t>OOCL Singapore</t>
  </si>
  <si>
    <t>OOCL Southampton</t>
  </si>
  <si>
    <t>OOCL Utah</t>
  </si>
  <si>
    <t>OOCL Washington</t>
  </si>
  <si>
    <t>Oregon Trader</t>
  </si>
  <si>
    <t>Oriental Diamond</t>
  </si>
  <si>
    <t>Ortolan Gamma</t>
  </si>
  <si>
    <t>Osaka Express</t>
  </si>
  <si>
    <t>Ottawa Express</t>
  </si>
  <si>
    <t>Palena</t>
  </si>
  <si>
    <t>Pamba 1</t>
  </si>
  <si>
    <t>Pamina</t>
  </si>
  <si>
    <t>Paris Express</t>
  </si>
  <si>
    <t>Paxi</t>
  </si>
  <si>
    <t>Penelope</t>
  </si>
  <si>
    <t>Performance</t>
  </si>
  <si>
    <t>Philadelphia Express</t>
  </si>
  <si>
    <t>Phoenix 1</t>
  </si>
  <si>
    <t>Pinehurst Kontor</t>
  </si>
  <si>
    <t>Pohorje</t>
  </si>
  <si>
    <t>Polar Argentina</t>
  </si>
  <si>
    <t>Polar Brasil</t>
  </si>
  <si>
    <t>Polar Chile</t>
  </si>
  <si>
    <t>Polar Colombia</t>
  </si>
  <si>
    <t>Polar Costa Rica</t>
  </si>
  <si>
    <t>Polar Ecuador</t>
  </si>
  <si>
    <t>Polar Mexico</t>
  </si>
  <si>
    <t>Polar Peru</t>
  </si>
  <si>
    <t>Pomerenia Sky</t>
  </si>
  <si>
    <t>Portland Express</t>
  </si>
  <si>
    <t>Porto</t>
  </si>
  <si>
    <t>Prague Express</t>
  </si>
  <si>
    <t>President Cleveland</t>
  </si>
  <si>
    <t>Priority</t>
  </si>
  <si>
    <t>Pucon</t>
  </si>
  <si>
    <t>Puelo</t>
  </si>
  <si>
    <t>Pusan C</t>
  </si>
  <si>
    <t>Quadriga</t>
  </si>
  <si>
    <t>Quebec Express</t>
  </si>
  <si>
    <t>Rdo Concert</t>
  </si>
  <si>
    <t>RDO Concord</t>
  </si>
  <si>
    <t>RDO Fortune</t>
  </si>
  <si>
    <t>Ren Jian 10</t>
  </si>
  <si>
    <t>Rio Barrow</t>
  </si>
  <si>
    <t>Rio Blackwater</t>
  </si>
  <si>
    <t>Rio Blanco</t>
  </si>
  <si>
    <t>Rio Bravo</t>
  </si>
  <si>
    <t>Rio Cadiz</t>
  </si>
  <si>
    <t>Rio De Janeiro</t>
  </si>
  <si>
    <t>Rio de Janeiro Express</t>
  </si>
  <si>
    <t>Rio de la Plata</t>
  </si>
  <si>
    <t>Rio Grande Express</t>
  </si>
  <si>
    <t>Rio Madeira</t>
  </si>
  <si>
    <t>Rio Negro</t>
  </si>
  <si>
    <t>Rio Thelon</t>
  </si>
  <si>
    <t>Robin I</t>
  </si>
  <si>
    <t>Rome Express</t>
  </si>
  <si>
    <t>Rotterdam Bridge</t>
  </si>
  <si>
    <t>Rotterdam Express</t>
  </si>
  <si>
    <t>Rotterdam Star</t>
  </si>
  <si>
    <t>S Santiago</t>
  </si>
  <si>
    <t>Safmarine Nokwanda</t>
  </si>
  <si>
    <t>Safmarine Nomazwe</t>
  </si>
  <si>
    <t>Sagitta</t>
  </si>
  <si>
    <t>Sajir</t>
  </si>
  <si>
    <t>Salahuddin</t>
  </si>
  <si>
    <t>San Christobal</t>
  </si>
  <si>
    <t>San Clemente</t>
  </si>
  <si>
    <t>San Diego Bridge</t>
  </si>
  <si>
    <t>San Felipe</t>
  </si>
  <si>
    <t>San Felix</t>
  </si>
  <si>
    <t>San Francisca</t>
  </si>
  <si>
    <t>San Francisco Bridge</t>
  </si>
  <si>
    <t>Santa Bettina</t>
  </si>
  <si>
    <t>Santa Catarina</t>
  </si>
  <si>
    <t>Santa Clara</t>
  </si>
  <si>
    <t>Santa Cruz</t>
  </si>
  <si>
    <t>Santa Francesca</t>
  </si>
  <si>
    <t>Santa Giovanna</t>
  </si>
  <si>
    <t>Santa Giuliana</t>
  </si>
  <si>
    <t>Santa Isabel</t>
  </si>
  <si>
    <t>Santa Regula</t>
  </si>
  <si>
    <t>Santa Rita</t>
  </si>
  <si>
    <t>Santa Rosa</t>
  </si>
  <si>
    <t>Santa Teresa</t>
  </si>
  <si>
    <t>Santos Express</t>
  </si>
  <si>
    <t>Sarah Schulte</t>
  </si>
  <si>
    <t>Satie</t>
  </si>
  <si>
    <t>Schubert</t>
  </si>
  <si>
    <t>SCI Chennai</t>
  </si>
  <si>
    <t>SCI Mumbai</t>
  </si>
  <si>
    <t>Sea Land Meteor</t>
  </si>
  <si>
    <t>Seago Bremerhaven</t>
  </si>
  <si>
    <t>Seago Felixstowe</t>
  </si>
  <si>
    <t>Sealand Eagle</t>
  </si>
  <si>
    <t>Sealand Guayaquil</t>
  </si>
  <si>
    <t>Sealand Michigan</t>
  </si>
  <si>
    <t>Seamax Bridgeport</t>
  </si>
  <si>
    <t>Seamax Greenwich</t>
  </si>
  <si>
    <t>Seamax Norwalk</t>
  </si>
  <si>
    <t>Seaspan Amazon</t>
  </si>
  <si>
    <t>Seaspan Dalian</t>
  </si>
  <si>
    <t>Seaspan Felixstowe</t>
  </si>
  <si>
    <t>Seaspan Ganges</t>
  </si>
  <si>
    <t>Seaspan Hudson</t>
  </si>
  <si>
    <t>Seaspan Jakarta</t>
  </si>
  <si>
    <t>Seaspan Lahore</t>
  </si>
  <si>
    <t>Seaspan Lebu</t>
  </si>
  <si>
    <t>Seaspan Ningbo</t>
  </si>
  <si>
    <t>Seaspan Oceania</t>
  </si>
  <si>
    <t>Seaspan Saigon</t>
  </si>
  <si>
    <t>Seaspan Santos</t>
  </si>
  <si>
    <t>Seaspan Thames</t>
  </si>
  <si>
    <t>Seaspan Yangtze</t>
  </si>
  <si>
    <t>Seaspan Zambezi</t>
  </si>
  <si>
    <t>Seattle Bridge</t>
  </si>
  <si>
    <t>Seattle Express</t>
  </si>
  <si>
    <t>Seoul Express</t>
  </si>
  <si>
    <t>Seroja Empat</t>
  </si>
  <si>
    <t>Seroja Lima</t>
  </si>
  <si>
    <t>Seroja Tiga</t>
  </si>
  <si>
    <t>Shanghai Express</t>
  </si>
  <si>
    <t>Shanghai Trader</t>
  </si>
  <si>
    <t>Shiba</t>
  </si>
  <si>
    <t>Singapore Express</t>
  </si>
  <si>
    <t>Sino Bridge</t>
  </si>
  <si>
    <t>Skyros</t>
  </si>
  <si>
    <t>Sm New York</t>
  </si>
  <si>
    <t>SM Savannah</t>
  </si>
  <si>
    <t>SM Tacoma</t>
  </si>
  <si>
    <t>Sofia Express</t>
  </si>
  <si>
    <t>Sofie Maersk</t>
  </si>
  <si>
    <t>Solstice N</t>
  </si>
  <si>
    <t>Songa Calabria</t>
  </si>
  <si>
    <t>Southampton Express</t>
  </si>
  <si>
    <t>Spirit Of Hamburg</t>
  </si>
  <si>
    <t>Spirit Of Manila</t>
  </si>
  <si>
    <t>Spirit Of Shanghai</t>
  </si>
  <si>
    <t>Spirit Of Singapore</t>
  </si>
  <si>
    <t>Spirit of Tokyo</t>
  </si>
  <si>
    <t>Ssg Edward A Carter</t>
  </si>
  <si>
    <t>St Louis Express</t>
  </si>
  <si>
    <t>Stadt Freiburg</t>
  </si>
  <si>
    <t>Stadt Sevilla</t>
  </si>
  <si>
    <t>Suez Canal</t>
  </si>
  <si>
    <t>Sungai Mas</t>
  </si>
  <si>
    <t>Sydney Trader</t>
  </si>
  <si>
    <t>Synergy Busan</t>
  </si>
  <si>
    <t>Tabea</t>
  </si>
  <si>
    <t>Taipei Triumph</t>
  </si>
  <si>
    <t>Talassa</t>
  </si>
  <si>
    <t>Talos</t>
  </si>
  <si>
    <t>Tamina</t>
  </si>
  <si>
    <t>Tampa Triumph</t>
  </si>
  <si>
    <t>Tanja Rickmers</t>
  </si>
  <si>
    <t>Taurus</t>
  </si>
  <si>
    <t>Tayma</t>
  </si>
  <si>
    <t>Tegesos</t>
  </si>
  <si>
    <t>Tempanos</t>
  </si>
  <si>
    <t>Teno</t>
  </si>
  <si>
    <t>Tessa</t>
  </si>
  <si>
    <t>Texas Trader</t>
  </si>
  <si>
    <t>Texas Triumph</t>
  </si>
  <si>
    <t>Tg Nike</t>
  </si>
  <si>
    <t>Thalassa Avra</t>
  </si>
  <si>
    <t>Thalassa Axia</t>
  </si>
  <si>
    <t>Thalassa Doxa</t>
  </si>
  <si>
    <t>Thalassa Elpida</t>
  </si>
  <si>
    <t>Thalassa Hellas</t>
  </si>
  <si>
    <t>Thalassa Mana</t>
  </si>
  <si>
    <t>Thalassa Niki</t>
  </si>
  <si>
    <t>Thalassa Patris</t>
  </si>
  <si>
    <t>Thalassa Pistis</t>
  </si>
  <si>
    <t>Thalassa Tyhi</t>
  </si>
  <si>
    <t>Theseus</t>
  </si>
  <si>
    <t>Thira</t>
  </si>
  <si>
    <t>Thuringia Express</t>
  </si>
  <si>
    <t>Tian Fu He</t>
  </si>
  <si>
    <t>Tianjin</t>
  </si>
  <si>
    <t>Tihama</t>
  </si>
  <si>
    <t>Tim S</t>
  </si>
  <si>
    <t>Titan</t>
  </si>
  <si>
    <t>Tokyo Bay</t>
  </si>
  <si>
    <t>Tokyo Express</t>
  </si>
  <si>
    <t>Tokyo Triumph</t>
  </si>
  <si>
    <t>Toledo Triumph</t>
  </si>
  <si>
    <t>Tolten</t>
  </si>
  <si>
    <t>Toronto Express</t>
  </si>
  <si>
    <t>Torrente</t>
  </si>
  <si>
    <t>Trf Partici</t>
  </si>
  <si>
    <t>Triton</t>
  </si>
  <si>
    <t>Tsingtao Express</t>
  </si>
  <si>
    <t>UASC Al Khor</t>
  </si>
  <si>
    <t>Uasc Umm Qasr</t>
  </si>
  <si>
    <t>Uasc Zamzam</t>
  </si>
  <si>
    <t>Ulsan Express</t>
  </si>
  <si>
    <t>Ulysses</t>
  </si>
  <si>
    <t>Umm Qarn</t>
  </si>
  <si>
    <t>Umm Salal</t>
  </si>
  <si>
    <t>Valencia Express</t>
  </si>
  <si>
    <t>Valerie Schulte</t>
  </si>
  <si>
    <t>Valparaiso Express</t>
  </si>
  <si>
    <t>Vantage</t>
  </si>
  <si>
    <t>Venetia</t>
  </si>
  <si>
    <t>Venetiko</t>
  </si>
  <si>
    <t>Venezia</t>
  </si>
  <si>
    <t>Venice Bridge</t>
  </si>
  <si>
    <t>Venta Maersk</t>
  </si>
  <si>
    <t>Vienna Express</t>
  </si>
  <si>
    <t>Vilano</t>
  </si>
  <si>
    <t>Vivien A</t>
  </si>
  <si>
    <t>Vuoksi Maersk</t>
  </si>
  <si>
    <t>Wan Hai 501</t>
  </si>
  <si>
    <t>Wan Hai 503</t>
  </si>
  <si>
    <t>Wan Hai 509</t>
  </si>
  <si>
    <t>Wan Hai 510</t>
  </si>
  <si>
    <t>Wan Hai 801</t>
  </si>
  <si>
    <t>Wan Hai 803</t>
  </si>
  <si>
    <t>Washington Express</t>
  </si>
  <si>
    <t>Westerhamm</t>
  </si>
  <si>
    <t>Westerland</t>
  </si>
  <si>
    <t>Westermoor</t>
  </si>
  <si>
    <t>Wide India</t>
  </si>
  <si>
    <t>Widukind</t>
  </si>
  <si>
    <t>X-Press Annapurna</t>
  </si>
  <si>
    <t>X-Press Makalu</t>
  </si>
  <si>
    <t>Xin Beijing</t>
  </si>
  <si>
    <t>Xin Bin Zhou</t>
  </si>
  <si>
    <t>Xin Chang Sha</t>
  </si>
  <si>
    <t>Xin Chang Shu</t>
  </si>
  <si>
    <t>Xin Da Yang Zhou</t>
  </si>
  <si>
    <t>Xin Dan Dong</t>
  </si>
  <si>
    <t>Xin Fei Zhou</t>
  </si>
  <si>
    <t>Xin Hong Kong</t>
  </si>
  <si>
    <t>Xin Huang Pu</t>
  </si>
  <si>
    <t>Xin Los Angeles</t>
  </si>
  <si>
    <t>Xin Mei Zhou</t>
  </si>
  <si>
    <t>Xin Ou Zhou</t>
  </si>
  <si>
    <t>Xin Qin Huang Dao</t>
  </si>
  <si>
    <t>Xin Qing Dao</t>
  </si>
  <si>
    <t>Xin Shanghai</t>
  </si>
  <si>
    <t>Xin Ya Zhou</t>
  </si>
  <si>
    <t>Xin Yan Tai</t>
  </si>
  <si>
    <t>Xin Yang Pu</t>
  </si>
  <si>
    <t>Xin Zhan Jiang</t>
  </si>
  <si>
    <t>Yantian</t>
  </si>
  <si>
    <t>YM Antwerp</t>
  </si>
  <si>
    <t>YM Enlightenment</t>
  </si>
  <si>
    <t>YM Essence</t>
  </si>
  <si>
    <t>YM Evolution</t>
  </si>
  <si>
    <t>YM Express</t>
  </si>
  <si>
    <t>YM Mandate</t>
  </si>
  <si>
    <t>YM Masculinity</t>
  </si>
  <si>
    <t>YM Maturity</t>
  </si>
  <si>
    <t>YM Mobility</t>
  </si>
  <si>
    <t>YM Moderation</t>
  </si>
  <si>
    <t>YM Seattle</t>
  </si>
  <si>
    <t>YM Uberty</t>
  </si>
  <si>
    <t>YM Ubiquity</t>
  </si>
  <si>
    <t>YM Ultimate</t>
  </si>
  <si>
    <t>YM Unanimity</t>
  </si>
  <si>
    <t>YM Unicorn</t>
  </si>
  <si>
    <t>YM Uniform</t>
  </si>
  <si>
    <t>YM Uniformity</t>
  </si>
  <si>
    <t>YM Unison</t>
  </si>
  <si>
    <t>YM Unity</t>
  </si>
  <si>
    <t>YM Upsurgence</t>
  </si>
  <si>
    <t>YM Upward</t>
  </si>
  <si>
    <t>YM Utility</t>
  </si>
  <si>
    <t>YM Utmost</t>
  </si>
  <si>
    <t>YM Utopia</t>
  </si>
  <si>
    <t>YM Warmth</t>
  </si>
  <si>
    <t>YM Wellhead</t>
  </si>
  <si>
    <t>YM Wellness</t>
  </si>
  <si>
    <t>YM Wellspring</t>
  </si>
  <si>
    <t>YM Wholesome</t>
  </si>
  <si>
    <t>YM Width</t>
  </si>
  <si>
    <t>YM Wind</t>
  </si>
  <si>
    <t>YM Window</t>
  </si>
  <si>
    <t>YM Winner</t>
  </si>
  <si>
    <t>YM Wisdom</t>
  </si>
  <si>
    <t>YM Wish</t>
  </si>
  <si>
    <t>YM Witness</t>
  </si>
  <si>
    <t>YM Wonderland</t>
  </si>
  <si>
    <t>YM Wondrous</t>
  </si>
  <si>
    <t>YM World</t>
  </si>
  <si>
    <t>YM Worth</t>
  </si>
  <si>
    <t>YM Wreath</t>
  </si>
  <si>
    <t>Yorktown Express</t>
  </si>
  <si>
    <t>Zante</t>
  </si>
  <si>
    <t>Zhonggu liao ning</t>
  </si>
  <si>
    <t>Zim Antwerp</t>
  </si>
  <si>
    <t>Zim Constanza</t>
  </si>
  <si>
    <t>Zim Djibouti</t>
  </si>
  <si>
    <t>Zim Genova</t>
  </si>
  <si>
    <t>Zim Iberia</t>
  </si>
  <si>
    <t>Zim India</t>
  </si>
  <si>
    <t>Zim Jamaica</t>
  </si>
  <si>
    <t>Zim London</t>
  </si>
  <si>
    <t>Zim Moskva</t>
  </si>
  <si>
    <t>Zim Qingdao</t>
  </si>
  <si>
    <t>Zim Rio Grande</t>
  </si>
  <si>
    <t>Zim Rotterdam</t>
  </si>
  <si>
    <t>Zim San Diego</t>
  </si>
  <si>
    <t>Zim Shekou</t>
  </si>
  <si>
    <t>Zim Usa</t>
  </si>
  <si>
    <t>Zim Vancouver</t>
  </si>
  <si>
    <t>Zim Xiamen</t>
  </si>
  <si>
    <t>Containerschiffsgrößen</t>
  </si>
  <si>
    <t>Admiral Santosh</t>
  </si>
  <si>
    <t>Allegro</t>
  </si>
  <si>
    <t>Amanda D</t>
  </si>
  <si>
    <t>AS Aries</t>
  </si>
  <si>
    <t>AS Vega</t>
  </si>
  <si>
    <t>BF Ipanema</t>
  </si>
  <si>
    <t>Bomar Valour</t>
  </si>
  <si>
    <t>Bomar Vanquish</t>
  </si>
  <si>
    <t>Bomar Victory</t>
  </si>
  <si>
    <t>Camilla</t>
  </si>
  <si>
    <t>Cap Palliser</t>
  </si>
  <si>
    <t>Cap Palmerston</t>
  </si>
  <si>
    <t>Cap Pasley</t>
  </si>
  <si>
    <t>Cap Patton</t>
  </si>
  <si>
    <t>Cap Portland</t>
  </si>
  <si>
    <t>Cap Preston</t>
  </si>
  <si>
    <t>Caribbean Sea</t>
  </si>
  <si>
    <t>Cnp Paita</t>
  </si>
  <si>
    <t>Delphis Finland</t>
  </si>
  <si>
    <t>EF Eldra</t>
  </si>
  <si>
    <t>Esperanza N</t>
  </si>
  <si>
    <t>Frisia Bonn</t>
  </si>
  <si>
    <t>Fritz Reuter</t>
  </si>
  <si>
    <t>Galani</t>
  </si>
  <si>
    <t>Hansa Neuburg</t>
  </si>
  <si>
    <t>Helle Ritscher</t>
  </si>
  <si>
    <t>John</t>
  </si>
  <si>
    <t>Jona</t>
  </si>
  <si>
    <t>Jonni Ritscher</t>
  </si>
  <si>
    <t>JSP Slidur</t>
  </si>
  <si>
    <t>Miltiadis Junior III</t>
  </si>
  <si>
    <t>MSC Amy</t>
  </si>
  <si>
    <t>MSC Edith</t>
  </si>
  <si>
    <t>MSC Eyra</t>
  </si>
  <si>
    <t>MSC Hina</t>
  </si>
  <si>
    <t>MSC Iris</t>
  </si>
  <si>
    <t>MSC Joy</t>
  </si>
  <si>
    <t>MSC Malin</t>
  </si>
  <si>
    <t>Mukaddes Kalkavan</t>
  </si>
  <si>
    <t>Mustafa Dayi</t>
  </si>
  <si>
    <t>O.M. Agarum</t>
  </si>
  <si>
    <t>Portofino</t>
  </si>
  <si>
    <t>Queen B III</t>
  </si>
  <si>
    <t>RHL Agilitas</t>
  </si>
  <si>
    <t>Rijnborg</t>
  </si>
  <si>
    <t>Samaria</t>
  </si>
  <si>
    <t>San Amerigo</t>
  </si>
  <si>
    <t>San Andres</t>
  </si>
  <si>
    <t>San Antonio</t>
  </si>
  <si>
    <t>Valentina</t>
  </si>
  <si>
    <t>Violetta</t>
  </si>
  <si>
    <t>Vitim</t>
  </si>
  <si>
    <t>Voronezh</t>
  </si>
  <si>
    <t>lambda</t>
  </si>
  <si>
    <t>kn</t>
  </si>
  <si>
    <t>Diff</t>
  </si>
  <si>
    <t>(charakteristischer Motorparameter)</t>
  </si>
  <si>
    <t>Min Diff</t>
  </si>
  <si>
    <t>Max Diff</t>
  </si>
  <si>
    <t>d</t>
  </si>
  <si>
    <t>pro Umlauf</t>
  </si>
  <si>
    <t>Kosten bei Distanz in km</t>
  </si>
  <si>
    <t>Bow Pioneer</t>
  </si>
  <si>
    <t>https://www.hellenicshippingnews.com/qatars-giant-lng-fleet-expansion-to-shape-market-in-coming-decade/</t>
  </si>
  <si>
    <t>Wandstärke</t>
  </si>
  <si>
    <t>(Innen-)Durchmesser</t>
  </si>
  <si>
    <t>mm</t>
  </si>
  <si>
    <t>min. Druck</t>
  </si>
  <si>
    <t>max. Druck</t>
  </si>
  <si>
    <t>bar</t>
  </si>
  <si>
    <t>dyn. Viskosität</t>
  </si>
  <si>
    <t>m/s</t>
  </si>
  <si>
    <t>t/km</t>
  </si>
  <si>
    <t>kg/m^3</t>
  </si>
  <si>
    <t>t/m^3</t>
  </si>
  <si>
    <t>Sicherheitsfaktor</t>
  </si>
  <si>
    <t>Reynoldszahl</t>
  </si>
  <si>
    <t>Rauheit der Rohrwand</t>
  </si>
  <si>
    <t>spez. Kosten Kompressor</t>
  </si>
  <si>
    <t>€/(t/d); je Durchsatz</t>
  </si>
  <si>
    <t>Verlegekosten</t>
  </si>
  <si>
    <t>t/d</t>
  </si>
  <si>
    <t>Energiebedarf Kompressor</t>
  </si>
  <si>
    <t>O&amp;M Rate</t>
  </si>
  <si>
    <t>€/(km*a)</t>
  </si>
  <si>
    <t>Pumpdistanz</t>
  </si>
  <si>
    <t>€/M</t>
  </si>
  <si>
    <t>bei Ammoniak</t>
  </si>
  <si>
    <t>https://juser.fz-juelich.de/record/136392/files/Energie&amp;Umwelt_144.pdf</t>
  </si>
  <si>
    <t>Durchmesser (mm)</t>
  </si>
  <si>
    <t>Pa*s; bei 30bar, 10°C</t>
  </si>
  <si>
    <t>TK-Tanker klein</t>
  </si>
  <si>
    <t>Tragfähigkeit</t>
  </si>
  <si>
    <t>Einheit</t>
  </si>
  <si>
    <t>Wert</t>
  </si>
  <si>
    <t xml:space="preserve">Offiziere: </t>
  </si>
  <si>
    <t xml:space="preserve">Officers: </t>
  </si>
  <si>
    <t xml:space="preserve">Kapitän </t>
  </si>
  <si>
    <t xml:space="preserve">Captain / Master </t>
  </si>
  <si>
    <t xml:space="preserve">Leitender Ingenieur </t>
  </si>
  <si>
    <t xml:space="preserve">Chief Engineer / Chief </t>
  </si>
  <si>
    <t xml:space="preserve">Erster Nautischer Offizier </t>
  </si>
  <si>
    <t xml:space="preserve">Chief Officer / Chief Mate </t>
  </si>
  <si>
    <t xml:space="preserve">Zweiter Technischer Offizier / Ingenieur, Elektrischer Ingenieur </t>
  </si>
  <si>
    <t xml:space="preserve">2nd Engineer, Electric Engineer </t>
  </si>
  <si>
    <t xml:space="preserve">Zweiter Nautischer Offizier </t>
  </si>
  <si>
    <t xml:space="preserve">2nd Officer, 2nd Mate </t>
  </si>
  <si>
    <t xml:space="preserve">Dritter Technischer Offizier / Ingenieur </t>
  </si>
  <si>
    <t xml:space="preserve">3rd Engineer </t>
  </si>
  <si>
    <t xml:space="preserve">Dritter Nautischer Offizier </t>
  </si>
  <si>
    <t xml:space="preserve">3rd Officer, 3rd Mate </t>
  </si>
  <si>
    <t xml:space="preserve">Mannschaftsgrade: </t>
  </si>
  <si>
    <t xml:space="preserve">Ratings: </t>
  </si>
  <si>
    <t xml:space="preserve">Schiffsbetriebsmeister / Bootsmann </t>
  </si>
  <si>
    <t xml:space="preserve">Boatswain / Bosun </t>
  </si>
  <si>
    <t xml:space="preserve">Schiffsmechaniker </t>
  </si>
  <si>
    <t xml:space="preserve">Ship mechanic / Multi-Purpose-Crew (MPC) </t>
  </si>
  <si>
    <t xml:space="preserve">≈ Vollmatrose, Öler </t>
  </si>
  <si>
    <t xml:space="preserve">Able Bodied Seaman (AB) </t>
  </si>
  <si>
    <t xml:space="preserve">≈ Leichtmatrose, Wischer </t>
  </si>
  <si>
    <t xml:space="preserve">Ordinary Seaman (OS) </t>
  </si>
  <si>
    <t xml:space="preserve">Schweißer, Öler, Wischer </t>
  </si>
  <si>
    <t xml:space="preserve">Fitter, Oiler, Wiper </t>
  </si>
  <si>
    <t xml:space="preserve">Koch </t>
  </si>
  <si>
    <t xml:space="preserve">Chief Cook / Cook </t>
  </si>
  <si>
    <t xml:space="preserve">Steward </t>
  </si>
  <si>
    <t xml:space="preserve">Steward / Messman </t>
  </si>
  <si>
    <t xml:space="preserve">Funktion (Rang/Dienstgrad) </t>
  </si>
  <si>
    <t xml:space="preserve">Mindestanzahl </t>
  </si>
  <si>
    <t>großes Handelsschiff</t>
  </si>
  <si>
    <t>Anzahl</t>
  </si>
  <si>
    <t>Heuer pro Kopf</t>
  </si>
  <si>
    <t>eigene Schätzung (siehe Blatt "Schätzungen Schiff")</t>
  </si>
  <si>
    <t>Quelle:</t>
  </si>
  <si>
    <t>https://de.wikipedia.org/wiki/Schiffsbesatzung#Containerschiff_im_21._Jahrhundert</t>
  </si>
  <si>
    <t>eigene Schätzung</t>
  </si>
  <si>
    <t>https://de.wikipedia.org/wiki/Tanker#%C3%96ltanker</t>
  </si>
  <si>
    <t>https://www.motorship.com/news101/ships-and-shipyards/odfjell-brings-new-scale-to-chemical-trades</t>
  </si>
  <si>
    <t>u.a. Angabe hier: https://www.tunechemicaltankers.nl/fleet</t>
  </si>
  <si>
    <t>Datenblatt von Odfjell</t>
  </si>
  <si>
    <t>https://www.odfjell.com/about/our-stories/big-is-beautiful/</t>
  </si>
  <si>
    <t>bei FT-Produkt</t>
  </si>
  <si>
    <t>€ pro kWh Medium</t>
  </si>
  <si>
    <t>€/MWh</t>
  </si>
  <si>
    <t>fixe jährliche Kosten Rohr</t>
  </si>
  <si>
    <t>fixe jährliche Kosten Pumpen</t>
  </si>
  <si>
    <t>€/(t/d*a)</t>
  </si>
  <si>
    <t>Kostenanteile</t>
  </si>
  <si>
    <t>bei km</t>
  </si>
  <si>
    <t>Invest + O&amp;M</t>
  </si>
  <si>
    <t>Treibstoff</t>
  </si>
  <si>
    <t>Umläufe bei Distanz in km</t>
  </si>
  <si>
    <t>pro Jahr</t>
  </si>
  <si>
    <t>Annuität + O&amp;M</t>
  </si>
  <si>
    <t>spez. Kosten Rohrmaterial</t>
  </si>
  <si>
    <t>Kosten Strom Kompressor</t>
  </si>
  <si>
    <t>Dichte Rohrmaterial</t>
  </si>
  <si>
    <t>Rohrmaterialmenge</t>
  </si>
  <si>
    <t>Kosten Rohrmaterial</t>
  </si>
  <si>
    <t>bei H2 (Suiso Frontier x2)</t>
  </si>
  <si>
    <t>Neubau km</t>
  </si>
  <si>
    <t>Umstellung km</t>
  </si>
  <si>
    <t>DN</t>
  </si>
  <si>
    <t>DP 100</t>
  </si>
  <si>
    <t>DP 70</t>
  </si>
  <si>
    <t>DP 80</t>
  </si>
  <si>
    <t>€/m</t>
  </si>
  <si>
    <t>Kostenangaben zu Flüssigpipelines</t>
  </si>
  <si>
    <t>Name</t>
  </si>
  <si>
    <t>Ethylen-Pipeline Süd</t>
  </si>
  <si>
    <t>Fertigstellung</t>
  </si>
  <si>
    <t>Länge (km)</t>
  </si>
  <si>
    <t>Central European Line</t>
  </si>
  <si>
    <t>Transapline Ölleitung Triest - Lenting</t>
  </si>
  <si>
    <t>Transapline Ölleitung Lenting - Neustadt und Lenting - Karlsruhe</t>
  </si>
  <si>
    <t>Südeuropäische Pipeline</t>
  </si>
  <si>
    <t>RMR Venlo - Ludwigshafen</t>
  </si>
  <si>
    <t>Nord-West Oelleitung</t>
  </si>
  <si>
    <t>Norddeutsche Oelleitung</t>
  </si>
  <si>
    <t>https://www.zeelink.de/projekt-zeelink/technische-fakten/</t>
  </si>
  <si>
    <t>Auslegungsdruck (bar)</t>
  </si>
  <si>
    <t>Kostenangaben zu ZEELINK (H-Erdgas)</t>
  </si>
  <si>
    <t>Wandstärke Stahl (mm)</t>
  </si>
  <si>
    <t>Gesamtkosten (Mio. €)</t>
  </si>
  <si>
    <t>Baujahr (Fertigstellung)</t>
  </si>
  <si>
    <t>(zwei Verdichterstationen, einmal mit Gas- und einmal mit Elektroantrieb)</t>
  </si>
  <si>
    <t>Wandstärke Stahl sind 9-17 mm</t>
  </si>
  <si>
    <t>Trassierung</t>
  </si>
  <si>
    <t>Pumparbeit</t>
  </si>
  <si>
    <t>spez. Trassierungskosten</t>
  </si>
  <si>
    <t>MWh_el/t_Medium</t>
  </si>
  <si>
    <t>pro t_Medium</t>
  </si>
  <si>
    <t>CH3OH</t>
  </si>
  <si>
    <t>Kosten frei Landesgrenze</t>
  </si>
  <si>
    <t>€/t_Medium</t>
  </si>
  <si>
    <t>O&amp;M</t>
  </si>
  <si>
    <t>mio. €/(t_H2*h) (Eingangsstrom an Wasserstoff)</t>
  </si>
  <si>
    <t>spez. Investition</t>
  </si>
  <si>
    <t>O&amp;M Kosten</t>
  </si>
  <si>
    <t>kWh_el/t_H2</t>
  </si>
  <si>
    <t>kWh/kg</t>
  </si>
  <si>
    <t>grav. Energiedichte</t>
  </si>
  <si>
    <t>Dichte</t>
  </si>
  <si>
    <t>H2</t>
  </si>
  <si>
    <t>CH4</t>
  </si>
  <si>
    <t>Rohrreibungszahl</t>
  </si>
  <si>
    <t>anfängliche Dichte Medium</t>
  </si>
  <si>
    <t>generische Annahmen:</t>
  </si>
  <si>
    <t>Auslastung</t>
  </si>
  <si>
    <t>Distanz (km)</t>
  </si>
  <si>
    <t>Produkten-/Chemikalientanker</t>
  </si>
  <si>
    <t>€/t_H2</t>
  </si>
  <si>
    <t>Syntheseverhältnis H2</t>
  </si>
  <si>
    <t>kg_Medium/kg_H2_ein</t>
  </si>
  <si>
    <t>€/t_H2_ein</t>
  </si>
  <si>
    <t>€/kWh_H2_ein</t>
  </si>
  <si>
    <t>Umrechnung aus Knoten</t>
  </si>
  <si>
    <t>kWh_el/t_N2</t>
  </si>
  <si>
    <t>Invest</t>
  </si>
  <si>
    <t>https://www.process.vogel.de/linde-startet-luftzerleger-fuer-die-fluessiggas-produktion-bei-nuernberg-a-832579/</t>
  </si>
  <si>
    <t>Mio. €/(t_N2*h)</t>
  </si>
  <si>
    <t>% Inv./a</t>
  </si>
  <si>
    <t>Nennvolumen</t>
  </si>
  <si>
    <t>m^3 Luft/h</t>
  </si>
  <si>
    <t>Anteil N2 in Luft</t>
  </si>
  <si>
    <t>https://gestis.dguv.de/data?name=007070</t>
  </si>
  <si>
    <t>% vol.</t>
  </si>
  <si>
    <t>https://de.wikipedia.org/wiki/Luft, mit weiterführender Quellenangabe</t>
  </si>
  <si>
    <t>Kosten pro t_N2</t>
  </si>
  <si>
    <t>€/t_N2</t>
  </si>
  <si>
    <t>Stromkosten</t>
  </si>
  <si>
    <t>N2-Produktion</t>
  </si>
  <si>
    <t>t_N2/h</t>
  </si>
  <si>
    <t>LNG</t>
  </si>
  <si>
    <t>Schweröl</t>
  </si>
  <si>
    <t>Dichte N2 Normbedingungen</t>
  </si>
  <si>
    <t>Kosten (€/kWh)</t>
  </si>
  <si>
    <t>Transport</t>
  </si>
  <si>
    <t>Hilfsstoffe</t>
  </si>
  <si>
    <t>Strombedarf Exportland</t>
  </si>
  <si>
    <t>Strombedarf Deutschland</t>
  </si>
  <si>
    <t>Wärmebedarf Deutschland</t>
  </si>
  <si>
    <t>kWh_th/t_H2</t>
  </si>
  <si>
    <t>€/kWh_nutzbar</t>
  </si>
  <si>
    <t>kWh_el/t_CO2</t>
  </si>
  <si>
    <t>Mio. €/(t_CO2*h)</t>
  </si>
  <si>
    <t>stark abhängig von der Größe der Anlage, siehe z.B.: https://www.probas.umweltbundesamt.de/php/prozessdetails.php?id=%7B0E0B2E02-9043-11D3-B2C8-0080C8941B49%7D; https://onlinelibrary.wiley.com/doi/full/10.1002/ange.201510618</t>
  </si>
  <si>
    <t>LOHC</t>
  </si>
  <si>
    <t>NH3 HC</t>
  </si>
  <si>
    <t>Kostenanteile je kWh</t>
  </si>
  <si>
    <t>Hilfsenergie</t>
  </si>
  <si>
    <t>H2-Gaspipeline, neue Trasse</t>
  </si>
  <si>
    <t>H2-Gaspipeline, bestehende Trasse</t>
  </si>
  <si>
    <t>kg CO2-Emission aus Treibstoff pro km</t>
  </si>
  <si>
    <t>LOHC Abwärmenutzung</t>
  </si>
  <si>
    <t>NH3 HC Abwärmenutzung</t>
  </si>
  <si>
    <t>LOHC Nutzungsgrade</t>
  </si>
  <si>
    <t>Anzahl Schiffe</t>
  </si>
  <si>
    <t>Faktor Transportkapazität pro Umlauf</t>
  </si>
  <si>
    <t>Faktor Medium im Einsatz</t>
  </si>
  <si>
    <t>direkte Dehydrierung</t>
  </si>
  <si>
    <t>Dehydrierung bei Nutzung</t>
  </si>
  <si>
    <t>zusätzlich benötigtes Medium in Schiffseinheiten</t>
  </si>
  <si>
    <t>Umlauffaktor Medium</t>
  </si>
  <si>
    <t>Überdruck (bar)</t>
  </si>
  <si>
    <t>Effizienz Kompressor</t>
  </si>
  <si>
    <t>Mio. €/(t_H2*h)</t>
  </si>
  <si>
    <t>€/t_CO2</t>
  </si>
  <si>
    <t>H2 Verflüssigung</t>
  </si>
  <si>
    <t>Methanisierung</t>
  </si>
  <si>
    <t>Methanolsynthese</t>
  </si>
  <si>
    <t>flüssiger Wasserstoff</t>
  </si>
  <si>
    <t>Methan</t>
  </si>
  <si>
    <t>Methanol</t>
  </si>
  <si>
    <t>Ammoniak</t>
  </si>
  <si>
    <t>Fischer-Tropsch-Synthese</t>
  </si>
  <si>
    <t>Fischer-Tropsch-Produkt</t>
  </si>
  <si>
    <t>LOHC Hydrierung und Dehydrierung</t>
  </si>
  <si>
    <t>Ammoniak als H2-Träger</t>
  </si>
  <si>
    <t>Umrechnung aus Syntheseverhältnis</t>
  </si>
  <si>
    <t>CO2 + 4 H2 werden zu CH4 + 2 H2O</t>
  </si>
  <si>
    <t>CO2 + 3 H2 werden zu CH3OH + H2O</t>
  </si>
  <si>
    <t>N2 + 3 H2 werden zu 2 NH3</t>
  </si>
  <si>
    <t>Hilfsstoff zu H2 Verhältnis</t>
  </si>
  <si>
    <t>kg_Hilfsstoff/kg_H2</t>
  </si>
  <si>
    <t>siehe darüber</t>
  </si>
  <si>
    <t>Effizienz Wandlung Exportland</t>
  </si>
  <si>
    <t>Effizienz Transport</t>
  </si>
  <si>
    <t>Effizienz Rückwandlung</t>
  </si>
  <si>
    <t>Distanz</t>
  </si>
  <si>
    <t>FT-Produkt</t>
  </si>
  <si>
    <t>siehe oben bei Ammoniak</t>
  </si>
  <si>
    <t>Exportregion</t>
  </si>
  <si>
    <t>Iberische Halbinsel</t>
  </si>
  <si>
    <t>CH2</t>
  </si>
  <si>
    <t>Osteuropa</t>
  </si>
  <si>
    <t>Maghreb</t>
  </si>
  <si>
    <t>Arabische Halbinsel</t>
  </si>
  <si>
    <t>Südafrika</t>
  </si>
  <si>
    <t>Südamerika</t>
  </si>
  <si>
    <t>mio. €/(t_H2_ein*h) (Eingangsstrom an Wasserstoff)</t>
  </si>
  <si>
    <t>kWh_el/t_H2_ein</t>
  </si>
  <si>
    <t>kWh_th/t_H2_ein</t>
  </si>
  <si>
    <t>kWh/kg_Medium</t>
  </si>
  <si>
    <t>CO2</t>
  </si>
  <si>
    <t>N2</t>
  </si>
  <si>
    <t>Strom Exportland</t>
  </si>
  <si>
    <t>Strom Deutschland</t>
  </si>
  <si>
    <t>Hilfsstoff</t>
  </si>
  <si>
    <t>Preis (€/kWh)</t>
  </si>
  <si>
    <t>Bedarf Hilfsstoff</t>
  </si>
  <si>
    <t>t/t_H2_ein</t>
  </si>
  <si>
    <t>spez. Kosten Hilfsstoff</t>
  </si>
  <si>
    <t>LOHC: Umlauffaktor</t>
  </si>
  <si>
    <t>spez. Investition Trägermedium</t>
  </si>
  <si>
    <t>€/kg</t>
  </si>
  <si>
    <t>Kosten Aufbereitung</t>
  </si>
  <si>
    <t>€/Nutzung</t>
  </si>
  <si>
    <t>CAPEX + O&amp;M Wandlungsanlagen</t>
  </si>
  <si>
    <t>Kosten je kWh_nutzbar skaliert über Entfernung</t>
  </si>
  <si>
    <t>a/km</t>
  </si>
  <si>
    <t>Zeit im Hafen</t>
  </si>
  <si>
    <t>a/Umlauf</t>
  </si>
  <si>
    <t>Strombedarf</t>
  </si>
  <si>
    <t>Wärmebedarf</t>
  </si>
  <si>
    <t>kWh_th/t_CO2</t>
  </si>
  <si>
    <t>Wärmekosten</t>
  </si>
  <si>
    <t>TK-Tanker</t>
  </si>
  <si>
    <t>Faktoren für die weitere Berechnung</t>
  </si>
  <si>
    <t>distanzunabhängige Kosten</t>
  </si>
  <si>
    <t>distanzabhängige Kosten</t>
  </si>
  <si>
    <t>€/Umlauf</t>
  </si>
  <si>
    <t>€/km_Distanz</t>
  </si>
  <si>
    <t>CH4-Gaspipeline, bestehende Trasse</t>
  </si>
  <si>
    <t>Viebahn et. al., ET 2019; Fasihi et. al. (2019)</t>
  </si>
  <si>
    <t>Kosten H2</t>
  </si>
  <si>
    <t>Kosten Hilfsstrom</t>
  </si>
  <si>
    <t>Gesamtkosten</t>
  </si>
  <si>
    <t>(inkl. H2-Basis)</t>
  </si>
  <si>
    <t>aktuell maximal 300mm realisiert, bis 600mm sollte die Rechnung problemlos darstellen können, wahrscheinlich auch darüber hinaus</t>
  </si>
  <si>
    <t>VLS</t>
  </si>
  <si>
    <t>€/kW</t>
  </si>
  <si>
    <t>VLS/ Stromkosten Hilfsstrom Exportland</t>
  </si>
  <si>
    <t>Kosten pro t_H2</t>
  </si>
  <si>
    <t>spez. Umlaufzeit</t>
  </si>
  <si>
    <t>https://www.ship-technology.com/projects/coralmethane/</t>
  </si>
  <si>
    <t>HHI VLCC</t>
  </si>
  <si>
    <t>http://www.atheniangroup.com/pdf/Specs.pdf</t>
  </si>
  <si>
    <t>Umrechnung mit 1,20$/€ aus https://www.offshore-energy.biz/hyundai-heavy-books-360-million-order-for-vlcc-quartet/</t>
  </si>
  <si>
    <t>http://www.aukevisser.nl/supertankers/gas-2/id522.htm</t>
  </si>
  <si>
    <t>https://www.sintef.no/globalassets/project/hyper/presentations-day-1/day1_1510_taira_kawasakihi.pdf; http://www.aukevisser.nl/supertankers/gas-2/id522.htm</t>
  </si>
  <si>
    <t>Hafengebühren</t>
  </si>
  <si>
    <t>€</t>
  </si>
  <si>
    <t>https://www.loopllc.com/Services/Vessel-Loading und https://www.loopllc.com/Services/Tanker-Offloading</t>
  </si>
  <si>
    <t>Zugfestigkeit Rohrmaterial</t>
  </si>
  <si>
    <t>MPa</t>
  </si>
  <si>
    <t>anfängliche Transportgeschwindigkeit</t>
  </si>
  <si>
    <t>Temperatur</t>
  </si>
  <si>
    <t>J/(kg*K)</t>
  </si>
  <si>
    <t>K</t>
  </si>
  <si>
    <t>Isentropenexponent</t>
  </si>
  <si>
    <t>Stoff</t>
  </si>
  <si>
    <t>Wasserstoff</t>
  </si>
  <si>
    <t>Benzyltoluol</t>
  </si>
  <si>
    <t>Kohlenstoff</t>
  </si>
  <si>
    <t>Kohlenstoffdioxid</t>
  </si>
  <si>
    <t>Stickstoff</t>
  </si>
  <si>
    <t>C14H14</t>
  </si>
  <si>
    <t>C</t>
  </si>
  <si>
    <t>https://webbook.nist.gov/cgi/inchi/InChI%3D1S/H2/h1H</t>
  </si>
  <si>
    <t>https://webbook.nist.gov/cgi/inchi/InChI%3D1S/CH4/h1H4</t>
  </si>
  <si>
    <t>https://webbook.nist.gov/cgi/inchi/InChI%3D1S/CH4O/c1-2/h2H%2C1H3</t>
  </si>
  <si>
    <t>https://webbook.nist.gov/cgi/inchi/InChI%3D1S/H3N/h1H3</t>
  </si>
  <si>
    <t>https://webbook.nist.gov/cgi/inchi/InChI%3D1S/CO2/c2-1-3</t>
  </si>
  <si>
    <t>H</t>
  </si>
  <si>
    <t>www.ciaaw.org/pubs/TSAW2013_xls.xls</t>
  </si>
  <si>
    <t>N</t>
  </si>
  <si>
    <t>Sauerstoff</t>
  </si>
  <si>
    <t>O</t>
  </si>
  <si>
    <t>gemäß Summenformel</t>
  </si>
  <si>
    <t>Wasser</t>
  </si>
  <si>
    <t>H2O</t>
  </si>
  <si>
    <t>per Definition</t>
  </si>
  <si>
    <t>https://webbook.nist.gov/cgi/inchi/InChI%3D1S/H2O/h1H2</t>
  </si>
  <si>
    <t>--</t>
  </si>
  <si>
    <t>nicht relevant, da Verwendung als Trägermaterial</t>
  </si>
  <si>
    <t>gleich wie LH2 oben</t>
  </si>
  <si>
    <t>CH3OH + 1,5 O2 werden zu CO2 + 2 H2O</t>
  </si>
  <si>
    <t>2 NH3 + 1,5 O2 werden zu N2 + 3 H2O</t>
  </si>
  <si>
    <t>CH4 + 2 O2 werden zu CO2 + 2 H2O</t>
  </si>
  <si>
    <t>2 H2 + O2 werden zu 2 H2O</t>
  </si>
  <si>
    <t>bei 100bar Überdruck und 283K; nur informativ, wird für die Rechnung nicht benötigt; https://webbook.nist.gov/cgi/inchi/InChI%3D1S/H2/h1H</t>
  </si>
  <si>
    <t>bei 100bar; nur informativ, wird für die Rechnung nicht benötigt; https://webbook.nist.gov/cgi/inchi/InChI%3D1S/CH4/h1H4</t>
  </si>
  <si>
    <t>bei Normaldruck und 283K; https://webbook.nist.gov/cgi/inchi/InChI%3D1S/CH4O/c1-2/h2H%2C1H3</t>
  </si>
  <si>
    <t>bei 8bar und 283K; https://webbook.nist.gov/cgi/inchi/InChI%3D1S/H3N/h1H3</t>
  </si>
  <si>
    <t>aus Definition allgemeine Gaskonstante und molare Masse H2</t>
  </si>
  <si>
    <t>aus Definition allgemeine Gaskonstante und molare Masse CH4</t>
  </si>
  <si>
    <t>Realgasfaktor z</t>
  </si>
  <si>
    <t>bei 85bar Überdruck und 283K; geringe Schwankung im umliegenden Bereich; https://webbook.nist.gov/cgi/inchi/InChI%3D1S/H2/h1H</t>
  </si>
  <si>
    <t>bei 85bar Überdruck und 283K; geringe Schwankung im umliegenden Bereich; kappa = C_p/C_v; https://webbook.nist.gov/cgi/inchi/InChI%3D1S/H2/h1H</t>
  </si>
  <si>
    <t>bei 85bar Überdruck und 283K; mäßige Schwankung im umliegenden Bereich, zur Vereinfachung trotzdem auf einen festen Wert gesetzt; kappa = C_p/C_v; https://webbook.nist.gov/cgi/inchi/InChI%3D1S/CH4/h1H4</t>
  </si>
  <si>
    <t>bei 85bar Überdruck und 283K; mäßige Schwankung im umliegenden Bereich, zur Vereinfachung trotzdem auf einen festen Wert gesetzt; https://webbook.nist.gov/cgi/inchi/InChI%3D1S/CH4/h1H4</t>
  </si>
  <si>
    <t>DIN EN 1594 fordert mindestens 1,39; DVGW legt mindestens 1,6 fest; für H2 mit Sicherheitsaufschlag</t>
  </si>
  <si>
    <t>https://mediatum.ub.tum.de/doc/1442078/1442078.pdf</t>
  </si>
  <si>
    <t>Bartels: A feasability study of implementing an Ammonia Economy, 2008; https://lib.dr.iastate.edu/cgi/viewcontent.cgi?article=2119&amp;context=etd; ist auch die Quelle für DNV GL</t>
  </si>
  <si>
    <t>Gosnell: Efficient Ammonia Production, 2005; https://p2infohouse.org/ref/50/49574.pdf; abzüglich der elektrischen Energie für die ASU von 100kWh/t_N2; ist indirekt auch die Quelle für DNV GL</t>
  </si>
  <si>
    <t>Berechnung von DNV GL, basierend auf Bellotti; zur besseren Vergleichbarkeit Wert der Ammoniaksynthese unten übernommen.</t>
  </si>
  <si>
    <t>zur besseren Vergleichbarkeit Wert der Ammoniaksynthese unten übernommen.</t>
  </si>
  <si>
    <t>weniger als bei Methanol und Ammoniak, weil deutlich niedrigeres Druckniveau.</t>
  </si>
  <si>
    <t>Sekkesæter 2019, Evaluation of Concepts and Systems for Marine Transportation of Hydrogen</t>
  </si>
  <si>
    <t>Quelle: DNV GL</t>
  </si>
  <si>
    <t>Mpa</t>
  </si>
  <si>
    <t>Kosten pro t_CO2</t>
  </si>
  <si>
    <t>Umstellung Investition Mio. €</t>
  </si>
  <si>
    <t>Neubau Investition Mio. €</t>
  </si>
  <si>
    <t>bis 2025</t>
  </si>
  <si>
    <t>bis 2030</t>
  </si>
  <si>
    <t>Abschätzung aus FNB NEP 2020</t>
  </si>
  <si>
    <t>technische Lebensdauer idR höher, aber Abschreibungen werden kaum über mehr als 40 Jahre gestreckt</t>
  </si>
  <si>
    <t>Kosten Umstellung / Kosten Neubau</t>
  </si>
  <si>
    <t>Nenndurchsatz</t>
  </si>
  <si>
    <t>Rohr und Verlegung</t>
  </si>
  <si>
    <t>Pumpen</t>
  </si>
  <si>
    <t>(gemittelt über p_min bis p_max)</t>
  </si>
  <si>
    <t>Umrechnung mit 1,10$/€ aus https://www.hellenicshippingnews.com/qatars-giant-lng-fleet-expansion-to-shape-market-in-coming-decade/</t>
  </si>
  <si>
    <t>variable Kosten Pumpenergie</t>
  </si>
  <si>
    <t>Fazit:</t>
  </si>
  <si>
    <t>Wandlungsverluste H2</t>
  </si>
  <si>
    <t>Kosten (€/t)</t>
  </si>
  <si>
    <t>https://www.ise.fraunhofer.de/content/dam/ise/de/documents/presseinformationen/2022/2021-11-17_CATF_Report_Electrolysis_final.pdf; https://www.now-gmbh.de/wp-content/uploads/2020/09/now-studie-wasserelektrolyse-2011.pdf</t>
  </si>
  <si>
    <t>Elektrolyse</t>
  </si>
  <si>
    <t>Kosten pro kWh_H2</t>
  </si>
  <si>
    <t>€/kWh_H2</t>
  </si>
  <si>
    <t>Wandlungsverluste</t>
  </si>
  <si>
    <t>CAPEX + O&amp;M Wandlung</t>
  </si>
  <si>
    <t>EE-Strom:</t>
  </si>
  <si>
    <t>Zins</t>
  </si>
  <si>
    <t>Ertrag</t>
  </si>
  <si>
    <t>Annuität</t>
  </si>
  <si>
    <t>spez. Kosten</t>
  </si>
  <si>
    <t>VLS/a</t>
  </si>
  <si>
    <t>€/(kW*a)</t>
  </si>
  <si>
    <t>Leistungsanteil PV</t>
  </si>
  <si>
    <t>Leistungsanteil Wind</t>
  </si>
  <si>
    <t>Kosten PV</t>
  </si>
  <si>
    <t>Kosten Wind</t>
  </si>
  <si>
    <t>VLS PV</t>
  </si>
  <si>
    <t>VLS Wind</t>
  </si>
  <si>
    <t>Energieanteil PV</t>
  </si>
  <si>
    <t>Energieanteil Wind</t>
  </si>
  <si>
    <t>komb. VLS</t>
  </si>
  <si>
    <t>Nutzung</t>
  </si>
  <si>
    <t>Überschuss</t>
  </si>
  <si>
    <t>Abregelung</t>
  </si>
  <si>
    <t>VLS über Batterie</t>
  </si>
  <si>
    <t>Annuität Batterie</t>
  </si>
  <si>
    <t>Round-Trip Effizienz</t>
  </si>
  <si>
    <t>Kosten gesamt</t>
  </si>
  <si>
    <t>Wandlung und Transport</t>
  </si>
  <si>
    <t>Betrachtet man nur Wandlung und Transport, dann sind maximale VBS kostenoptimal. Für Vollkosten kommt aber noch die Wasserstoffgestehung dazu, damit ergibt sich folgendes Bild:</t>
  </si>
  <si>
    <t>Erzeugung</t>
  </si>
  <si>
    <t>bzgl. Nennleistung EE</t>
  </si>
  <si>
    <t>Stunden/Jahr</t>
  </si>
  <si>
    <t>exponentielle Überhöhung</t>
  </si>
  <si>
    <t>konstanter Offset</t>
  </si>
  <si>
    <t>Ende Kurve</t>
  </si>
  <si>
    <t>-&gt; Festlegung der generischen Parameter auf:</t>
  </si>
  <si>
    <t>Hilfsstoffe:</t>
  </si>
  <si>
    <t>Quellen:</t>
  </si>
  <si>
    <t>inst. Leistung</t>
  </si>
  <si>
    <t>Volllaststunden</t>
  </si>
  <si>
    <t>Vollbenutzungsstunden</t>
  </si>
  <si>
    <t>Linearteil - y-Achsenabschnitt</t>
  </si>
  <si>
    <t>Exponentialteil - y-Achsenabschnitt</t>
  </si>
  <si>
    <t>relativ</t>
  </si>
  <si>
    <t>Invest Leistung</t>
  </si>
  <si>
    <t>Invest Energie</t>
  </si>
  <si>
    <t>E2P</t>
  </si>
  <si>
    <t>h</t>
  </si>
  <si>
    <t>Invest gesamt</t>
  </si>
  <si>
    <t>Kosten Leitungen, Netzführung etc.:</t>
  </si>
  <si>
    <t>(alle Parameter Batteriespeicher sind eigene Schätzung)</t>
  </si>
  <si>
    <t>direkte Nutzung</t>
  </si>
  <si>
    <t>Anteil des Überschuss durch Batterie genutzt</t>
  </si>
  <si>
    <t>absolut (VLS)</t>
  </si>
  <si>
    <t>absolut (VBS)</t>
  </si>
  <si>
    <t>3000/0,0401</t>
  </si>
  <si>
    <t>(&lt;=200xE2P)</t>
  </si>
  <si>
    <t>H2 Kompressor</t>
  </si>
  <si>
    <t>Annahme: Druckelektrolyse</t>
  </si>
  <si>
    <t>siehe Blatt "Eingaben Pipeline"</t>
  </si>
  <si>
    <t>- 4000VBS oder weniger lohnen sich nicht, da die spezifischen Kosten für alle Optionen höher sind und auch bei der H2-Produktion die Kosten stagnieren bzw. sogar wieder ansteigen.</t>
  </si>
  <si>
    <t>(&lt;=60%)</t>
  </si>
  <si>
    <t>Vollkosten</t>
  </si>
  <si>
    <t>Effizienz</t>
  </si>
  <si>
    <t>Gesamteffizienz (von Eingang H2/N2/CO2 bis Grenze Deutschland)</t>
  </si>
  <si>
    <t>Gesamteffizienz ab Eingang Strom</t>
  </si>
  <si>
    <t>PV 1$ct/kWh</t>
  </si>
  <si>
    <t>Wind 2$ct/kWh</t>
  </si>
  <si>
    <t>(graue Werte sind aus IRENA 2020 und http://pubs.sciepub.com/ajer/9/1/3/ entnommen)</t>
  </si>
  <si>
    <t>(1,2$/€ im Frühjahr 2021)</t>
  </si>
  <si>
    <t>Zielwert</t>
  </si>
  <si>
    <t>(1,12$/€ im Sommer 2019)</t>
  </si>
  <si>
    <t>(graue Werte sind aus IRENA 2020, https://powersaudiarabia.com.sa/web/attach/news/Dumat-Al-Jandal-Lowest-LCOE.pdf und https://www.power-technology.com/projects/dumat-al-jandal-wind-farm/ entnommen)</t>
  </si>
  <si>
    <t>(Dumat al Jandal)</t>
  </si>
  <si>
    <t>(Al-Shuaiba)</t>
  </si>
  <si>
    <t>PV optimal</t>
  </si>
  <si>
    <t>PV normal</t>
  </si>
  <si>
    <t>Wind optimal</t>
  </si>
  <si>
    <t>Wind normal</t>
  </si>
  <si>
    <t>Kombi PV normal/Wind optimal</t>
  </si>
  <si>
    <t>Kombi PV optimal/Wind normal</t>
  </si>
  <si>
    <t>Fasihi 2020; https://www.sciencedirect.com/science/article/pii/S0959652619333360 und Ludwig 2020; https://www.aimspress.com/article/id/5f859256ba35de64f8a67487</t>
  </si>
  <si>
    <t>4000/0,0418</t>
  </si>
  <si>
    <t>5000/0,0453</t>
  </si>
  <si>
    <t>6000/0,0514</t>
  </si>
  <si>
    <t>7000/0,0540</t>
  </si>
  <si>
    <t>8000/0,0566</t>
  </si>
  <si>
    <t>- 6000VBS lohnen sich ökonomisch nicht.</t>
  </si>
  <si>
    <t>- 5000VBS sind ein Optimum für alle Optionen mit Ausnahme der kleinen Pipeline oder zumindest nahe am Optimum. Daher als generische Referenz gesetzt.</t>
  </si>
  <si>
    <t>für den Cracker; Quelle: https://www.h21.green/app/uploads/2019/01/H21-NoE-PRINT-PDF-FINAL-1.pdf</t>
  </si>
  <si>
    <t>im Mittel bei anteiliger Zusammensetzung wie auf Wikipedia angegeben; Einfluss der Zusammensetzung auf den Wert ist auch hier begrenzt</t>
  </si>
  <si>
    <t>CO2 + H2 wird zu CO + H2O; CO + 2 H2 wird zu -CH2- + H2O; n -CH2- + H2 wird zu CnH2n+2; summarisch: x CO2 + (3x+1) H2 werden zu CxH2x+2 + 2x H2O</t>
  </si>
  <si>
    <t>cos^2 Stauchung</t>
  </si>
  <si>
    <t>cos^2-Anteil - y-Achsenabschnitt</t>
  </si>
  <si>
    <t>cos^2 Wendepunktlage</t>
  </si>
  <si>
    <t>original 7500; https://www.ship-technology.com/projects/coralmethane/</t>
  </si>
  <si>
    <t>Suiso Frontier</t>
  </si>
  <si>
    <t>https://www.motorship.com/news101/ships-and-shipyards/kick-start-for-new-clean-energy-trade</t>
  </si>
  <si>
    <t>nur einer von zwei möglichen Tanks installiert; https://www.motorship.com/news101/ships-and-shipyards/kick-start-for-new-clean-energy-trade</t>
  </si>
  <si>
    <t>kostenminimal; Maximalwert von 15,5 siehe https://www.ship-technology.com/projects/coralmethane/</t>
  </si>
  <si>
    <t>kostenminimal; Maximalwert von 19,5 siehe http://www.aukevisser.nl/supertankers/gas-2/id522.htm</t>
  </si>
  <si>
    <t>kostenminimal; Maximalwert von 15,5 siehe http://www.atheniangroup.com/pdf/Specs.pdf</t>
  </si>
  <si>
    <t>kostenminimal; Maximalwert von 16,5 siehe https://www.marinelink.com/news/pioneer-ships-great362848</t>
  </si>
  <si>
    <t>analog zu Chemikalientanker</t>
  </si>
  <si>
    <t>eigene Annahme</t>
  </si>
  <si>
    <t>eigene Schätzung, dwt abzüglich Bunkerung zur Selbstversorgung</t>
  </si>
  <si>
    <t>Annahme 400$/t IFO380, Umrechnung mit 1,20$/€ und 11MWh/t</t>
  </si>
  <si>
    <t>Zeit in Wartung</t>
  </si>
  <si>
    <t>https://www.scitepress.org/Papers/2018/85421/85421.pdf; Umrechnungskurs nicht berücksichtigt (ca. 1,2€/$), aber LH2 (aktuell) teurer als LNG</t>
  </si>
  <si>
    <t>mehr als 100bar sind an Land nicht üblich aus technisch-regulatorischen Gründen, eine nachvollziehbare Begründung konnte hierfür bisher nicht gefunden werden</t>
  </si>
  <si>
    <t>kostenminimal</t>
  </si>
  <si>
    <t>Umrechnung aus m/s</t>
  </si>
  <si>
    <t>H2-fester Stahl; https://juser.fz-juelich.de/record/136392/files/Energie&amp;Umwelt_144.pdf</t>
  </si>
  <si>
    <t>Kosten halbiert, da ursprünglich für eine Verdichtung von 30 auf 100 bar angesetzt; https://juser.fz-juelich.de/record/136392/files/Energie&amp;Umwelt_144.pdf</t>
  </si>
  <si>
    <t>gegenüber der Quelle etwas herabgesetzt, um vorgelagerte Verluste (E-Motor und dessen Ansteuerung mit angenommen 90% Effizienz) abzubilden.</t>
  </si>
  <si>
    <t>Neubau auf neuer Trasse mit D=300mm</t>
  </si>
  <si>
    <t>Umrüstung bestehender Erdgaspipeline mit D=300mm</t>
  </si>
  <si>
    <t>Neubau auf neuer Trasse mit D=1016mm</t>
  </si>
  <si>
    <t>Umrüstung bestehender Erdgaspipeline mit D=1016mm</t>
  </si>
  <si>
    <t>gleich wie zuvor, sofern nicht extra vermerkt</t>
  </si>
  <si>
    <t>Neubau bedeutet volle Kosten</t>
  </si>
  <si>
    <t>Umrüstung entspricht ca. 10% der Kosten eines Neubaus</t>
  </si>
  <si>
    <t>normaler Rohrstahl</t>
  </si>
  <si>
    <t>eigene Abschätzung, ohne Quelle</t>
  </si>
  <si>
    <t>Weiternutzung einer vorhandenen Pipeline mit D=1016mm</t>
  </si>
  <si>
    <t>kein Invest, da Weiternutzung</t>
  </si>
  <si>
    <t>H2-Gaspipeline Neubau, 300mm</t>
  </si>
  <si>
    <t>H2-Gaspipeline Umrüstung, 300mm</t>
  </si>
  <si>
    <t>H2-Gaspipeline Neubau, 1016mm</t>
  </si>
  <si>
    <t>H2-Gaspipeline Umrüstung, 1016mm</t>
  </si>
  <si>
    <t>CH4-Gaspipeline Neubau, 1016mm</t>
  </si>
  <si>
    <t>CH4-Gaspipeline Weiternutzung, 1016mm</t>
  </si>
  <si>
    <t>anfängliche Transportgeschwindigkeit in km/h</t>
  </si>
  <si>
    <t>Anteil Investitionskosten an einer gleichen neugebauten Pipeline (alles außer Kompressoren)</t>
  </si>
  <si>
    <t>Anteil Investitionskosten an einer gleichen neugebauten Pipeline (Kompressoren)</t>
  </si>
  <si>
    <t>Umrüstung benötigt neue Kompressoren</t>
  </si>
  <si>
    <t>- 8000VBS mit Batteriespeicher lohnen sich ökonomisch nicht. Im Bereich konkurrenzfähiger Systeme ergibt sich kein Vorteil ggü. 5000VBS (Die Ausnahme ist die kleine Pipeline).</t>
  </si>
  <si>
    <t>- 7000VBS mit Batteriespeicher stellen für auf Kohlenstoffdioxid basierende Optionen eines von zwei Optima dar (und bei Methanol und FT-Produkt sogar knapp das globale Optimum).</t>
  </si>
  <si>
    <t>teilw. verlinkt von Blatt "Eingaben Transportmittel"</t>
  </si>
  <si>
    <t>Die Werte sind aus den rechts aufgeführten Primärparametern berechnet.</t>
  </si>
  <si>
    <t>Hydriergrad von 0,93</t>
  </si>
  <si>
    <t>kg CO2-Emissionen aus Treibstoff pro kWh Medium</t>
  </si>
  <si>
    <t>bei H2</t>
  </si>
  <si>
    <t>Druck ex Elektrolyse (bar)</t>
  </si>
  <si>
    <t>unteres Druckniveau Pipeline (bar)</t>
  </si>
  <si>
    <t>Hilfsgröße/Umrechnung 1</t>
  </si>
  <si>
    <t>Hilfsgröße/Umrechnung 2</t>
  </si>
  <si>
    <t>(Invest)</t>
  </si>
  <si>
    <t>(Strombedarf)</t>
  </si>
  <si>
    <t>Quelle: Bellotti et al., 2019; https://www.sciencedirect.com/science/article/pii/S1876610219307684</t>
  </si>
  <si>
    <t>(Wärmebedarf); kWh/t_H2 theoretisches Minimum; Quelle: https://opus4.kobv.de/opus4-fau/frontdoor/index/index/year/2019/docId/11314</t>
  </si>
  <si>
    <t>(Wärmebedarf); kWh/t_H2 theoretisches Minimum; aus Daten im Blatt "Eingabe Stoffparameter" berechnet</t>
  </si>
  <si>
    <t>bis hier können weitere Schiffstypen eingetragen werden ohne die Verweise in den weiteren Tabellen anpassen zu müssen</t>
  </si>
  <si>
    <t>bis hier können weitere Pieplinekonfigurationen eingetragen werden ohne die Verweise in den weiteren Tabellen anpassen zu müssen</t>
  </si>
  <si>
    <t>Umwandlung</t>
  </si>
  <si>
    <t>bis hier können weitere Wandlungssysteme eingetragen werden ohne die Verweise in den weiteren Tabellen anpassen zu müssen</t>
  </si>
  <si>
    <t>Haber-Bosch-Synthese</t>
  </si>
  <si>
    <t>Stoffparameter</t>
  </si>
  <si>
    <t>Parameter für Hilfsstoffbedarf</t>
  </si>
  <si>
    <t>Kostenrechnung bezogen auf den Wasserstoffinput</t>
  </si>
  <si>
    <t>Kostenrechnung bezogen auf die gelieferte Energiemenge</t>
  </si>
  <si>
    <t>Energetische Effizienz</t>
  </si>
  <si>
    <t>Auswertungstabellen für die Grafiken</t>
  </si>
  <si>
    <t>Kosten Hilfsstoffe</t>
  </si>
  <si>
    <t>spez. Energiebedarf</t>
  </si>
  <si>
    <t>kWh/t</t>
  </si>
  <si>
    <t>Energiebedarf (kWh/t)</t>
  </si>
  <si>
    <t>€/kWh_geliefert</t>
  </si>
  <si>
    <t>Diagrammtitel:</t>
  </si>
  <si>
    <t>Inhalt</t>
  </si>
  <si>
    <t>Zielsetzung</t>
  </si>
  <si>
    <r>
      <t xml:space="preserve">Diese Datei enthält </t>
    </r>
    <r>
      <rPr>
        <b/>
        <sz val="11"/>
        <color theme="1"/>
        <rFont val="Calibri"/>
        <family val="2"/>
        <scheme val="minor"/>
      </rPr>
      <t>Berechnungen</t>
    </r>
    <r>
      <rPr>
        <sz val="11"/>
        <color theme="1"/>
        <rFont val="Calibri"/>
        <family val="2"/>
        <scheme val="minor"/>
      </rPr>
      <t xml:space="preserve">, um verschiedene </t>
    </r>
    <r>
      <rPr>
        <b/>
        <sz val="11"/>
        <color theme="1"/>
        <rFont val="Calibri"/>
        <family val="2"/>
        <scheme val="minor"/>
      </rPr>
      <t>Transportoptionen für grünen Wasserstoff</t>
    </r>
    <r>
      <rPr>
        <sz val="11"/>
        <color theme="1"/>
        <rFont val="Calibri"/>
        <family val="2"/>
        <scheme val="minor"/>
      </rPr>
      <t xml:space="preserve"> quantitativ miteinander vergleichen zu können.</t>
    </r>
  </si>
  <si>
    <r>
      <t xml:space="preserve">Der </t>
    </r>
    <r>
      <rPr>
        <b/>
        <sz val="11"/>
        <color theme="1"/>
        <rFont val="Calibri"/>
        <family val="2"/>
        <scheme val="minor"/>
      </rPr>
      <t>Vergleich</t>
    </r>
    <r>
      <rPr>
        <sz val="11"/>
        <color theme="1"/>
        <rFont val="Calibri"/>
        <family val="2"/>
        <scheme val="minor"/>
      </rPr>
      <t xml:space="preserve"> zielt insbesondere auf die Gegenüberstellung der </t>
    </r>
    <r>
      <rPr>
        <b/>
        <sz val="11"/>
        <color theme="1"/>
        <rFont val="Calibri"/>
        <family val="2"/>
        <scheme val="minor"/>
      </rPr>
      <t>Kosten</t>
    </r>
    <r>
      <rPr>
        <sz val="11"/>
        <color theme="1"/>
        <rFont val="Calibri"/>
        <family val="2"/>
        <scheme val="minor"/>
      </rPr>
      <t xml:space="preserve"> ab, betrachtet darüber hinaus aber auch die </t>
    </r>
    <r>
      <rPr>
        <b/>
        <sz val="11"/>
        <color theme="1"/>
        <rFont val="Calibri"/>
        <family val="2"/>
        <scheme val="minor"/>
      </rPr>
      <t>Wirkungsgrade der Transportketten</t>
    </r>
    <r>
      <rPr>
        <sz val="11"/>
        <color theme="1"/>
        <rFont val="Calibri"/>
        <family val="2"/>
        <scheme val="minor"/>
      </rPr>
      <t>. Die CO</t>
    </r>
    <r>
      <rPr>
        <sz val="11"/>
        <color theme="1"/>
        <rFont val="Calibri"/>
        <family val="2"/>
      </rPr>
      <t>₂</t>
    </r>
    <r>
      <rPr>
        <sz val="11"/>
        <color theme="1"/>
        <rFont val="Calibri"/>
        <family val="2"/>
        <scheme val="minor"/>
      </rPr>
      <t>-Emissionen sind nur für den Transport per Schiff dargestellt.</t>
    </r>
  </si>
  <si>
    <t>Bezugsrahmen</t>
  </si>
  <si>
    <r>
      <t xml:space="preserve">Betrachtet wird ein </t>
    </r>
    <r>
      <rPr>
        <b/>
        <sz val="11"/>
        <color theme="1"/>
        <rFont val="Calibri"/>
        <family val="2"/>
        <scheme val="minor"/>
      </rPr>
      <t>System</t>
    </r>
    <r>
      <rPr>
        <sz val="11"/>
        <color theme="1"/>
        <rFont val="Calibri"/>
        <family val="2"/>
        <scheme val="minor"/>
      </rPr>
      <t xml:space="preserve">, das </t>
    </r>
    <r>
      <rPr>
        <b/>
        <sz val="11"/>
        <color theme="1"/>
        <rFont val="Calibri"/>
        <family val="2"/>
        <scheme val="minor"/>
      </rPr>
      <t>nach der Erzeugung des Wasserstoffs</t>
    </r>
    <r>
      <rPr>
        <sz val="11"/>
        <color theme="1"/>
        <rFont val="Calibri"/>
        <family val="2"/>
        <scheme val="minor"/>
      </rPr>
      <t xml:space="preserve"> beginnt und mit der Anlieferung </t>
    </r>
    <r>
      <rPr>
        <b/>
        <sz val="11"/>
        <color theme="1"/>
        <rFont val="Calibri"/>
        <family val="2"/>
        <scheme val="minor"/>
      </rPr>
      <t>an der Landesgrenze Deutschlands endet</t>
    </r>
    <r>
      <rPr>
        <sz val="11"/>
        <color theme="1"/>
        <rFont val="Calibri"/>
        <family val="2"/>
        <scheme val="minor"/>
      </rPr>
      <t xml:space="preserve">. Eine </t>
    </r>
    <r>
      <rPr>
        <b/>
        <sz val="11"/>
        <color theme="1"/>
        <rFont val="Calibri"/>
        <family val="2"/>
        <scheme val="minor"/>
      </rPr>
      <t>Ausnahme</t>
    </r>
    <r>
      <rPr>
        <sz val="11"/>
        <color theme="1"/>
        <rFont val="Calibri"/>
        <family val="2"/>
        <scheme val="minor"/>
      </rPr>
      <t xml:space="preserve"> machen die </t>
    </r>
    <r>
      <rPr>
        <b/>
        <sz val="11"/>
        <color theme="1"/>
        <rFont val="Calibri"/>
        <family val="2"/>
        <scheme val="minor"/>
      </rPr>
      <t>Beispielketten</t>
    </r>
    <r>
      <rPr>
        <sz val="11"/>
        <color theme="1"/>
        <rFont val="Calibri"/>
        <family val="2"/>
        <scheme val="minor"/>
      </rPr>
      <t xml:space="preserve"> (= beispielhafte Darstellung von länderbezogenen Transportrouten), die auch die Wasserstoffgestehung in die Betrachtung mit einbeziehen.</t>
    </r>
  </si>
  <si>
    <r>
      <t xml:space="preserve">Die Berechnungen beinhalten eine Reihe von </t>
    </r>
    <r>
      <rPr>
        <b/>
        <sz val="11"/>
        <color theme="1"/>
        <rFont val="Calibri"/>
        <family val="2"/>
        <scheme val="minor"/>
      </rPr>
      <t>Vereinfachungen</t>
    </r>
    <r>
      <rPr>
        <sz val="11"/>
        <color theme="1"/>
        <rFont val="Calibri"/>
        <family val="2"/>
        <scheme val="minor"/>
      </rPr>
      <t xml:space="preserve"> und Vernachlässigungen, die sich insbesondere durch die Ausklammerung von Speichern ergeben. Alle vernachlässigten Elemente üben nach eigener Einschätzung einen nur überschaubaren Einfluss auf die Ergebnisse aus. Darüber hinaus dienen Speicher in einem Importland in der Regel mehr als einem Zweck und sind daher in einer Betrachtung nur eines Teils des Gesamtsystems schlecht korrekt zu bilanzieren.</t>
    </r>
  </si>
  <si>
    <t>Aufbau</t>
  </si>
  <si>
    <t>Quelle/Anm.</t>
  </si>
  <si>
    <t xml:space="preserve"> </t>
  </si>
  <si>
    <r>
      <t>Coral Methane auf H</t>
    </r>
    <r>
      <rPr>
        <b/>
        <sz val="11"/>
        <color theme="1"/>
        <rFont val="Calibri"/>
        <family val="2"/>
      </rPr>
      <t>₂</t>
    </r>
  </si>
  <si>
    <r>
      <t>Q-max-Klasse auf H</t>
    </r>
    <r>
      <rPr>
        <b/>
        <sz val="11"/>
        <color theme="1"/>
        <rFont val="Calibri"/>
        <family val="2"/>
      </rPr>
      <t>₂</t>
    </r>
  </si>
  <si>
    <t>…</t>
  </si>
  <si>
    <r>
      <t>erstes einsatzfähiges H</t>
    </r>
    <r>
      <rPr>
        <b/>
        <sz val="11"/>
        <color theme="1"/>
        <rFont val="Calibri"/>
        <family val="2"/>
      </rPr>
      <t>₂</t>
    </r>
    <r>
      <rPr>
        <b/>
        <sz val="11"/>
        <color theme="1"/>
        <rFont val="Calibri"/>
        <family val="2"/>
        <scheme val="minor"/>
      </rPr>
      <t xml:space="preserve">-Schiff </t>
    </r>
    <r>
      <rPr>
        <sz val="9"/>
        <color theme="1"/>
        <rFont val="Calibri"/>
        <family val="2"/>
        <scheme val="minor"/>
      </rPr>
      <t>(zum Vergleich)</t>
    </r>
  </si>
  <si>
    <t>spezifische Gaskonstante</t>
  </si>
  <si>
    <r>
      <t xml:space="preserve">H2-Gaspipeline Neubau, </t>
    </r>
    <r>
      <rPr>
        <sz val="11"/>
        <color theme="1"/>
        <rFont val="Calibri"/>
        <family val="2"/>
        <scheme val="minor"/>
      </rPr>
      <t>300mm</t>
    </r>
  </si>
  <si>
    <r>
      <t xml:space="preserve">H2-Gaspipeline Umrüstung, </t>
    </r>
    <r>
      <rPr>
        <sz val="11"/>
        <color theme="1"/>
        <rFont val="Calibri"/>
        <family val="2"/>
        <scheme val="minor"/>
      </rPr>
      <t>300mm</t>
    </r>
  </si>
  <si>
    <r>
      <t xml:space="preserve">H2-Gaspipeline Neubau, </t>
    </r>
    <r>
      <rPr>
        <sz val="11"/>
        <color theme="1"/>
        <rFont val="Calibri"/>
        <family val="2"/>
        <scheme val="minor"/>
      </rPr>
      <t>1016mm</t>
    </r>
  </si>
  <si>
    <r>
      <t xml:space="preserve">H2-Gaspipeline Umrüstung, </t>
    </r>
    <r>
      <rPr>
        <sz val="11"/>
        <color theme="1"/>
        <rFont val="Calibri"/>
        <family val="2"/>
        <scheme val="minor"/>
      </rPr>
      <t>1016mm</t>
    </r>
  </si>
  <si>
    <r>
      <t>CH4-Gaspipeline Neubau,</t>
    </r>
    <r>
      <rPr>
        <sz val="11"/>
        <color theme="1"/>
        <rFont val="Calibri"/>
        <family val="2"/>
        <scheme val="minor"/>
      </rPr>
      <t xml:space="preserve"> 1016mm</t>
    </r>
  </si>
  <si>
    <r>
      <t xml:space="preserve">CH4-Gaspipeline Weiternutzung, </t>
    </r>
    <r>
      <rPr>
        <sz val="11"/>
        <color theme="1"/>
        <rFont val="Calibri"/>
        <family val="2"/>
        <scheme val="minor"/>
      </rPr>
      <t>1016mm</t>
    </r>
  </si>
  <si>
    <t>Art der Pipeline</t>
  </si>
  <si>
    <t>Wandlungsschritt</t>
  </si>
  <si>
    <r>
      <t>ohne Aufbereitung/Reinigung des H</t>
    </r>
    <r>
      <rPr>
        <sz val="10"/>
        <color theme="1"/>
        <rFont val="Calibri"/>
        <family val="2"/>
      </rPr>
      <t>₂</t>
    </r>
  </si>
  <si>
    <r>
      <t>Annahme: doppelte Verluste ggü. LOHC, Energiebedarf ebenfalls ohne Aufbereitung/ Reinigung des H</t>
    </r>
    <r>
      <rPr>
        <sz val="10"/>
        <color theme="1"/>
        <rFont val="Calibri"/>
        <family val="2"/>
      </rPr>
      <t>₂</t>
    </r>
  </si>
  <si>
    <t>analog zur Ammoniak-Synthese (siehe Haber-Bosch-Synthese)</t>
  </si>
  <si>
    <t>50t_H2/d</t>
  </si>
  <si>
    <t>Quelle: Prof. Dr. Peter Wasserscheid (FAU Erlangen-Nürnberg), soweit nicht anders angegeben</t>
  </si>
  <si>
    <t>1200t_H2/d</t>
  </si>
  <si>
    <t>2200t_NH3/d, entspricht 390t_H2/d</t>
  </si>
  <si>
    <t>29t_H2/d</t>
  </si>
  <si>
    <t>unbekannte Anlagengröße</t>
  </si>
  <si>
    <t>1000t_H2/d</t>
  </si>
  <si>
    <t>240t_H2/d</t>
  </si>
  <si>
    <r>
      <t xml:space="preserve">In diesem Blatt werden die </t>
    </r>
    <r>
      <rPr>
        <b/>
        <sz val="11"/>
        <rFont val="Calibri"/>
        <family val="2"/>
        <scheme val="minor"/>
      </rPr>
      <t>Eingangsdaten</t>
    </r>
    <r>
      <rPr>
        <sz val="11"/>
        <rFont val="Calibri"/>
        <family val="2"/>
        <scheme val="minor"/>
      </rPr>
      <t xml:space="preserve"> für die </t>
    </r>
    <r>
      <rPr>
        <b/>
        <sz val="11"/>
        <rFont val="Calibri"/>
        <family val="2"/>
        <scheme val="minor"/>
      </rPr>
      <t>Stoffparameter</t>
    </r>
    <r>
      <rPr>
        <sz val="11"/>
        <rFont val="Calibri"/>
        <family val="2"/>
        <scheme val="minor"/>
      </rPr>
      <t xml:space="preserve"> aufgelistet.</t>
    </r>
  </si>
  <si>
    <r>
      <t xml:space="preserve">In diesem Blatt werden die </t>
    </r>
    <r>
      <rPr>
        <b/>
        <sz val="11"/>
        <rFont val="Calibri"/>
        <family val="2"/>
        <scheme val="minor"/>
      </rPr>
      <t>Eingangsdaten</t>
    </r>
    <r>
      <rPr>
        <sz val="11"/>
        <rFont val="Calibri"/>
        <family val="2"/>
        <scheme val="minor"/>
      </rPr>
      <t xml:space="preserve"> für die </t>
    </r>
    <r>
      <rPr>
        <b/>
        <sz val="11"/>
        <rFont val="Calibri"/>
        <family val="2"/>
        <scheme val="minor"/>
      </rPr>
      <t>Wandlungsschritte zur Transportvorbereitung</t>
    </r>
    <r>
      <rPr>
        <sz val="11"/>
        <rFont val="Calibri"/>
        <family val="2"/>
        <scheme val="minor"/>
      </rPr>
      <t xml:space="preserve"> aufgelistet.</t>
    </r>
  </si>
  <si>
    <r>
      <t xml:space="preserve">In diesem Blatt werden die </t>
    </r>
    <r>
      <rPr>
        <b/>
        <sz val="11"/>
        <rFont val="Calibri"/>
        <family val="2"/>
        <scheme val="minor"/>
      </rPr>
      <t xml:space="preserve">Eingangsdaten </t>
    </r>
    <r>
      <rPr>
        <sz val="11"/>
        <rFont val="Calibri"/>
        <family val="2"/>
        <scheme val="minor"/>
      </rPr>
      <t xml:space="preserve">für die </t>
    </r>
    <r>
      <rPr>
        <b/>
        <sz val="11"/>
        <rFont val="Calibri"/>
        <family val="2"/>
        <scheme val="minor"/>
      </rPr>
      <t>Transportmittel</t>
    </r>
    <r>
      <rPr>
        <sz val="11"/>
        <rFont val="Calibri"/>
        <family val="2"/>
        <scheme val="minor"/>
      </rPr>
      <t xml:space="preserve"> </t>
    </r>
    <r>
      <rPr>
        <b/>
        <sz val="11"/>
        <color theme="8" tint="-0.249977111117893"/>
        <rFont val="Calibri"/>
        <family val="2"/>
        <scheme val="minor"/>
      </rPr>
      <t>Schiff</t>
    </r>
    <r>
      <rPr>
        <sz val="11"/>
        <rFont val="Calibri"/>
        <family val="2"/>
        <scheme val="minor"/>
      </rPr>
      <t xml:space="preserve"> und </t>
    </r>
    <r>
      <rPr>
        <b/>
        <sz val="11"/>
        <color theme="5" tint="-0.249977111117893"/>
        <rFont val="Calibri"/>
        <family val="2"/>
        <scheme val="minor"/>
      </rPr>
      <t>Pipeline</t>
    </r>
    <r>
      <rPr>
        <sz val="11"/>
        <rFont val="Calibri"/>
        <family val="2"/>
        <scheme val="minor"/>
      </rPr>
      <t xml:space="preserve"> aufgelistet.</t>
    </r>
  </si>
  <si>
    <t>Quelle/Anmerkung</t>
  </si>
  <si>
    <t>Primärparameter</t>
  </si>
  <si>
    <t>Standardbildungs-enthalpie in kJ/mol</t>
  </si>
  <si>
    <t>CH4OH</t>
  </si>
  <si>
    <r>
      <t xml:space="preserve">Wasserstoff </t>
    </r>
    <r>
      <rPr>
        <sz val="11"/>
        <color theme="1"/>
        <rFont val="Calibri"/>
        <family val="2"/>
        <scheme val="minor"/>
      </rPr>
      <t>komprimiert auf 100bar</t>
    </r>
  </si>
  <si>
    <t>anteilige Zusammensetzung von Wikipedia, aber ohne großen Einfluss auf den Wert (https://de.wikipedia.org/wiki/Fischer-Tropsch-Synthese#Produkte)</t>
  </si>
  <si>
    <t>molare Masse in g/mol</t>
  </si>
  <si>
    <r>
      <t xml:space="preserve">In diesem Blatt werden die </t>
    </r>
    <r>
      <rPr>
        <b/>
        <sz val="11"/>
        <rFont val="Calibri"/>
        <family val="2"/>
        <scheme val="minor"/>
      </rPr>
      <t>Ergebnisse</t>
    </r>
    <r>
      <rPr>
        <sz val="11"/>
        <rFont val="Calibri"/>
        <family val="2"/>
        <scheme val="minor"/>
      </rPr>
      <t xml:space="preserve"> für die </t>
    </r>
    <r>
      <rPr>
        <b/>
        <sz val="11"/>
        <rFont val="Calibri"/>
        <family val="2"/>
        <scheme val="minor"/>
      </rPr>
      <t xml:space="preserve">Transportoptionen </t>
    </r>
    <r>
      <rPr>
        <b/>
        <sz val="11"/>
        <color theme="8" tint="-0.249977111117893"/>
        <rFont val="Calibri"/>
        <family val="2"/>
        <scheme val="minor"/>
      </rPr>
      <t>Schiff</t>
    </r>
    <r>
      <rPr>
        <b/>
        <sz val="11"/>
        <rFont val="Calibri"/>
        <family val="2"/>
        <scheme val="minor"/>
      </rPr>
      <t xml:space="preserve"> und </t>
    </r>
    <r>
      <rPr>
        <b/>
        <sz val="11"/>
        <color theme="5" tint="-0.249977111117893"/>
        <rFont val="Calibri"/>
        <family val="2"/>
        <scheme val="minor"/>
      </rPr>
      <t>Pipeline</t>
    </r>
    <r>
      <rPr>
        <sz val="11"/>
        <rFont val="Calibri"/>
        <family val="2"/>
        <scheme val="minor"/>
      </rPr>
      <t xml:space="preserve"> berechnet. </t>
    </r>
  </si>
  <si>
    <t>Achtung: Verbrauchsformel gilt nur runter bis ca. 30.000 dwt, Internetsuche ergibt Angaben für gebrauchte Schiffe von ca. 5t/d bei ca. 3.000dwt</t>
  </si>
  <si>
    <r>
      <t xml:space="preserve">Alle Werte enthalten nicht die </t>
    </r>
    <r>
      <rPr>
        <b/>
        <sz val="11"/>
        <rFont val="Calibri"/>
        <family val="2"/>
        <scheme val="minor"/>
      </rPr>
      <t>Kosten des Wasserstoffinputs</t>
    </r>
    <r>
      <rPr>
        <sz val="11"/>
        <rFont val="Calibri"/>
        <family val="2"/>
        <scheme val="minor"/>
      </rPr>
      <t>. Aber: Syntheseverluste werden trotzdem mit den spezifischen Kosten des Wasserstoffinputs bilanziert.</t>
    </r>
  </si>
  <si>
    <t>Wärme Deutschland</t>
  </si>
  <si>
    <r>
      <rPr>
        <b/>
        <sz val="11"/>
        <color rgb="FFDBC80F"/>
        <rFont val="Calibri"/>
        <family val="2"/>
        <scheme val="minor"/>
      </rPr>
      <t>Gelb hinterlegte Felder</t>
    </r>
    <r>
      <rPr>
        <sz val="11"/>
        <color theme="1"/>
        <rFont val="Calibri"/>
        <family val="2"/>
        <scheme val="minor"/>
      </rPr>
      <t xml:space="preserve"> sind händisch in diesem Tabellenblatt einzutragen, ebenso wie die Werte der </t>
    </r>
    <r>
      <rPr>
        <b/>
        <sz val="11"/>
        <color rgb="FFDBC80F"/>
        <rFont val="Calibri"/>
        <family val="2"/>
        <scheme val="minor"/>
      </rPr>
      <t>Parameter für die generischen Angaben</t>
    </r>
    <r>
      <rPr>
        <sz val="11"/>
        <color theme="1"/>
        <rFont val="Calibri"/>
        <family val="2"/>
        <scheme val="minor"/>
      </rPr>
      <t xml:space="preserve"> (siehe oberer Teil, ebenfalls gelb hinterlegt).</t>
    </r>
  </si>
  <si>
    <r>
      <t xml:space="preserve">Die </t>
    </r>
    <r>
      <rPr>
        <b/>
        <sz val="11"/>
        <color theme="1"/>
        <rFont val="Calibri"/>
        <family val="2"/>
        <scheme val="minor"/>
      </rPr>
      <t xml:space="preserve">Kosten </t>
    </r>
    <r>
      <rPr>
        <sz val="11"/>
        <color theme="1"/>
        <rFont val="Calibri"/>
        <family val="2"/>
        <scheme val="minor"/>
      </rPr>
      <t xml:space="preserve">für die </t>
    </r>
    <r>
      <rPr>
        <b/>
        <sz val="11"/>
        <color theme="1"/>
        <rFont val="Calibri"/>
        <family val="2"/>
        <scheme val="minor"/>
      </rPr>
      <t>Hilfsstoffe</t>
    </r>
    <r>
      <rPr>
        <sz val="11"/>
        <color theme="1"/>
        <rFont val="Calibri"/>
        <family val="2"/>
        <scheme val="minor"/>
      </rPr>
      <t xml:space="preserve"> werden </t>
    </r>
    <r>
      <rPr>
        <b/>
        <sz val="11"/>
        <color theme="1"/>
        <rFont val="Calibri"/>
        <family val="2"/>
        <scheme val="minor"/>
      </rPr>
      <t>aus</t>
    </r>
    <r>
      <rPr>
        <sz val="11"/>
        <color theme="1"/>
        <rFont val="Calibri"/>
        <family val="2"/>
        <scheme val="minor"/>
      </rPr>
      <t xml:space="preserve"> dem </t>
    </r>
    <r>
      <rPr>
        <b/>
        <sz val="11"/>
        <color theme="1"/>
        <rFont val="Calibri"/>
        <family val="2"/>
        <scheme val="minor"/>
      </rPr>
      <t>Blatt "Transportoptionen"</t>
    </r>
    <r>
      <rPr>
        <sz val="11"/>
        <color theme="1"/>
        <rFont val="Calibri"/>
        <family val="2"/>
        <scheme val="minor"/>
      </rPr>
      <t xml:space="preserve"> übernommen.</t>
    </r>
  </si>
  <si>
    <r>
      <t xml:space="preserve">Für die </t>
    </r>
    <r>
      <rPr>
        <b/>
        <sz val="11"/>
        <color theme="1"/>
        <rFont val="Calibri"/>
        <family val="2"/>
        <scheme val="minor"/>
      </rPr>
      <t>beispielhaften Transportrouten</t>
    </r>
    <r>
      <rPr>
        <sz val="11"/>
        <color theme="1"/>
        <rFont val="Calibri"/>
        <family val="2"/>
        <scheme val="minor"/>
      </rPr>
      <t xml:space="preserve"> sind die </t>
    </r>
    <r>
      <rPr>
        <sz val="11"/>
        <color rgb="FFC4B30E"/>
        <rFont val="Calibri"/>
        <family val="2"/>
        <scheme val="minor"/>
      </rPr>
      <t xml:space="preserve">gelb hinterlegten </t>
    </r>
    <r>
      <rPr>
        <b/>
        <sz val="11"/>
        <rFont val="Calibri"/>
        <family val="2"/>
        <scheme val="minor"/>
      </rPr>
      <t xml:space="preserve">generischen Angaben </t>
    </r>
    <r>
      <rPr>
        <b/>
        <sz val="11"/>
        <color theme="1"/>
        <rFont val="Calibri"/>
        <family val="2"/>
        <scheme val="minor"/>
      </rPr>
      <t xml:space="preserve">sowie </t>
    </r>
    <r>
      <rPr>
        <sz val="11"/>
        <color theme="1"/>
        <rFont val="Calibri"/>
        <family val="2"/>
        <scheme val="minor"/>
      </rPr>
      <t xml:space="preserve">die </t>
    </r>
    <r>
      <rPr>
        <b/>
        <sz val="11"/>
        <color rgb="FFC4B30E"/>
        <rFont val="Calibri"/>
        <family val="2"/>
        <scheme val="minor"/>
      </rPr>
      <t>gelb markierten</t>
    </r>
    <r>
      <rPr>
        <b/>
        <sz val="11"/>
        <color theme="1"/>
        <rFont val="Calibri"/>
        <family val="2"/>
        <scheme val="minor"/>
      </rPr>
      <t xml:space="preserve"> länderspezifischen Parameter</t>
    </r>
    <r>
      <rPr>
        <sz val="11"/>
        <color theme="1"/>
        <rFont val="Calibri"/>
        <family val="2"/>
        <scheme val="minor"/>
      </rPr>
      <t xml:space="preserve"> im oberen Teil der Tabelle </t>
    </r>
    <r>
      <rPr>
        <b/>
        <sz val="11"/>
        <color theme="1"/>
        <rFont val="Calibri"/>
        <family val="2"/>
        <scheme val="minor"/>
      </rPr>
      <t>händisch</t>
    </r>
    <r>
      <rPr>
        <sz val="11"/>
        <color theme="1"/>
        <rFont val="Calibri"/>
        <family val="2"/>
        <scheme val="minor"/>
      </rPr>
      <t xml:space="preserve"> einzutragen.</t>
    </r>
  </si>
  <si>
    <t>für eine grundsätzlichen Überblick über die technisch-wirtschaftlichen Zusammenhänge zur Schiffsgeschwindigkeit siehe auch https://transportgeography.org/contents/chapter4/transportation-and-energy/fuel-consumption-containerships/</t>
  </si>
  <si>
    <r>
      <rPr>
        <b/>
        <sz val="11"/>
        <color theme="0"/>
        <rFont val="Calibri"/>
        <family val="2"/>
        <scheme val="minor"/>
      </rPr>
      <t>Formel</t>
    </r>
    <r>
      <rPr>
        <sz val="11"/>
        <color theme="0"/>
        <rFont val="Calibri"/>
        <family val="2"/>
        <scheme val="minor"/>
      </rPr>
      <t xml:space="preserve"> nach Barras, Ship design and performance for masters and mates, 2004</t>
    </r>
  </si>
  <si>
    <t>(zur Ermittlung der typ. dwt und typ. Länge für gegebene TEU in obiger Tabelle)</t>
  </si>
  <si>
    <t>category (TEU)</t>
  </si>
  <si>
    <t>number of vessels #</t>
  </si>
  <si>
    <t>mean size (TEU)</t>
  </si>
  <si>
    <t>mean design speed (nm) - v0</t>
  </si>
  <si>
    <t>mean age (year)</t>
  </si>
  <si>
    <t>mean main engine (kW)</t>
  </si>
  <si>
    <t>engine type</t>
  </si>
  <si>
    <t>two stroke/slow speed (%)</t>
  </si>
  <si>
    <t>other (a) (%)</t>
  </si>
  <si>
    <t>fuel consumption in tonnes/day (b)</t>
  </si>
  <si>
    <t>fuel consumption in grams//teu/mile</t>
  </si>
  <si>
    <t>vessel speed (knots):</t>
  </si>
  <si>
    <t>exp. Speed</t>
  </si>
  <si>
    <t>exp. dwt</t>
  </si>
  <si>
    <t>mittlere Diff</t>
  </si>
  <si>
    <r>
      <rPr>
        <b/>
        <sz val="11"/>
        <color theme="1"/>
        <rFont val="Calibri"/>
        <family val="2"/>
        <scheme val="minor"/>
      </rPr>
      <t>Quelle:</t>
    </r>
    <r>
      <rPr>
        <sz val="11"/>
        <color theme="1"/>
        <rFont val="Calibri"/>
        <family val="2"/>
        <scheme val="minor"/>
      </rPr>
      <t xml:space="preserve"> https://www.hafen-hamburg.de/de/schiffe/containerschiffe?view=grid</t>
    </r>
  </si>
  <si>
    <t>Heuer Schätzung</t>
  </si>
  <si>
    <t xml:space="preserve">englische gebräuchliche Rangbezeichnung </t>
  </si>
  <si>
    <t>Summe Anzahl:</t>
  </si>
  <si>
    <t>Summe Heuer:</t>
  </si>
  <si>
    <t>entnommen aus:</t>
  </si>
  <si>
    <r>
      <t>Durchmesser</t>
    </r>
    <r>
      <rPr>
        <sz val="11"/>
        <color theme="0"/>
        <rFont val="Calibri"/>
        <family val="2"/>
        <scheme val="minor"/>
      </rPr>
      <t xml:space="preserve"> (mm)</t>
    </r>
  </si>
  <si>
    <t>Min. Werte genommen, da mutmaßlich FNB im NEP 2018 mit nochmals etwas niedrigeren Werten rechnen</t>
  </si>
  <si>
    <r>
      <t xml:space="preserve">Kompressionsfaktor </t>
    </r>
    <r>
      <rPr>
        <b/>
        <i/>
        <sz val="11"/>
        <color theme="0"/>
        <rFont val="Calibri"/>
        <family val="2"/>
        <scheme val="minor"/>
      </rPr>
      <t>z</t>
    </r>
    <r>
      <rPr>
        <b/>
        <sz val="11"/>
        <color theme="0"/>
        <rFont val="Calibri"/>
        <family val="2"/>
        <scheme val="minor"/>
      </rPr>
      <t xml:space="preserve"> bei 10°C</t>
    </r>
  </si>
  <si>
    <r>
      <t xml:space="preserve">herkömmliche Rohrleitung Mitteldruck </t>
    </r>
    <r>
      <rPr>
        <sz val="11"/>
        <rFont val="Calibri"/>
        <family val="2"/>
        <scheme val="minor"/>
      </rPr>
      <t>(30bar)</t>
    </r>
  </si>
  <si>
    <r>
      <t>H2 Leitung Hochdruck</t>
    </r>
    <r>
      <rPr>
        <sz val="11"/>
        <rFont val="Calibri"/>
        <family val="2"/>
        <scheme val="minor"/>
      </rPr>
      <t xml:space="preserve"> (100bar)</t>
    </r>
  </si>
  <si>
    <r>
      <t xml:space="preserve">Verlegekosten </t>
    </r>
    <r>
      <rPr>
        <sz val="11"/>
        <color theme="0"/>
        <rFont val="Calibri"/>
        <family val="2"/>
        <scheme val="minor"/>
      </rPr>
      <t>in €/m</t>
    </r>
  </si>
  <si>
    <t xml:space="preserve">Kostenannahmen aus FNB Gas NEP 2020 </t>
  </si>
  <si>
    <t xml:space="preserve">entnommen aus: </t>
  </si>
  <si>
    <t>https://fnb-gas.de/wp-content/uploads/2021/09/fnb_gas_nep_gas_2020_de-1.pdf</t>
  </si>
  <si>
    <t>Plankostensätze neue Erdgasleitungen aus FNB NEP 2020</t>
  </si>
  <si>
    <t>Zugfestigkeit:</t>
  </si>
  <si>
    <r>
      <t xml:space="preserve">Rohrmaterialmenge </t>
    </r>
    <r>
      <rPr>
        <sz val="11"/>
        <color theme="0"/>
        <rFont val="Calibri"/>
        <family val="2"/>
        <scheme val="minor"/>
      </rPr>
      <t>(t/km)</t>
    </r>
  </si>
  <si>
    <r>
      <t xml:space="preserve">Wandstärke </t>
    </r>
    <r>
      <rPr>
        <sz val="11"/>
        <color theme="0"/>
        <rFont val="Calibri"/>
        <family val="2"/>
        <scheme val="minor"/>
      </rPr>
      <t>(mm)</t>
    </r>
  </si>
  <si>
    <r>
      <t>Kosten Rohrmaterial</t>
    </r>
    <r>
      <rPr>
        <sz val="11"/>
        <color theme="0"/>
        <rFont val="Calibri"/>
        <family val="2"/>
        <scheme val="minor"/>
      </rPr>
      <t xml:space="preserve"> (€/km)</t>
    </r>
  </si>
  <si>
    <r>
      <t xml:space="preserve">Invest ohne Material </t>
    </r>
    <r>
      <rPr>
        <sz val="11"/>
        <color theme="0"/>
        <rFont val="Calibri"/>
        <family val="2"/>
        <scheme val="minor"/>
      </rPr>
      <t>(€/km)</t>
    </r>
  </si>
  <si>
    <r>
      <t xml:space="preserve">Verlegekosten </t>
    </r>
    <r>
      <rPr>
        <sz val="11"/>
        <color theme="0"/>
        <rFont val="Calibri"/>
        <family val="2"/>
        <scheme val="minor"/>
      </rPr>
      <t>(€/km)</t>
    </r>
  </si>
  <si>
    <r>
      <t>Invest ohne Material- und Verlegekosten</t>
    </r>
    <r>
      <rPr>
        <sz val="11"/>
        <color theme="0"/>
        <rFont val="Calibri"/>
        <family val="2"/>
        <scheme val="minor"/>
      </rPr>
      <t xml:space="preserve"> (€/km)</t>
    </r>
  </si>
  <si>
    <r>
      <t xml:space="preserve">Länge </t>
    </r>
    <r>
      <rPr>
        <sz val="11"/>
        <color theme="0"/>
        <rFont val="Calibri"/>
        <family val="2"/>
        <scheme val="minor"/>
      </rPr>
      <t>(km)</t>
    </r>
  </si>
  <si>
    <r>
      <t xml:space="preserve">Preis </t>
    </r>
    <r>
      <rPr>
        <sz val="11"/>
        <color theme="0"/>
        <rFont val="Calibri"/>
        <family val="2"/>
        <scheme val="minor"/>
      </rPr>
      <t>(Mio. €)</t>
    </r>
  </si>
  <si>
    <t>192 Mio. $ zur Bauzeit</t>
  </si>
  <si>
    <t>Anmerkungen</t>
  </si>
  <si>
    <t>Hilfsspalten für die Darstellung der Jahresdauerline:</t>
  </si>
  <si>
    <t>Generische Angebotsstruktur und Bestimmung des Verhältnisses Leistung EE-Erzeugung zu weiterverarbeitenden Anlagen:</t>
  </si>
  <si>
    <t>Anmerkung</t>
  </si>
  <si>
    <t>umgelegt auf Energie</t>
  </si>
  <si>
    <t>Kurvenparameter</t>
  </si>
  <si>
    <t>ggf. Parameter Batteriespeicher</t>
  </si>
  <si>
    <t>Anmerkung/Quellen</t>
  </si>
  <si>
    <t>Daten</t>
  </si>
  <si>
    <t>für Großanlage</t>
  </si>
  <si>
    <t>H2-Gaspipeline groß, bestehende Trasse</t>
  </si>
  <si>
    <t>für Vollkosten: plus</t>
  </si>
  <si>
    <t>also called "critical overlap" für 50% installierte Nutzung bzgl. Nennleistung EE</t>
  </si>
  <si>
    <r>
      <rPr>
        <sz val="11"/>
        <color rgb="FFC4B30E"/>
        <rFont val="Calibri"/>
        <family val="2"/>
        <scheme val="minor"/>
      </rPr>
      <t>Gelb hinterlegte Zellen</t>
    </r>
    <r>
      <rPr>
        <sz val="11"/>
        <rFont val="Calibri"/>
        <family val="2"/>
        <scheme val="minor"/>
      </rPr>
      <t xml:space="preserve"> enthalten von den Eingabeblättern abweichende, händisch eingetragene Werte.</t>
    </r>
  </si>
  <si>
    <t>mittlere Kettenlänge (Annahme: mittlere Kettenlänge = 6 für eine typische Schulz-Flory-Verteilung)</t>
  </si>
  <si>
    <r>
      <t>Symbol bzw.</t>
    </r>
    <r>
      <rPr>
        <sz val="11"/>
        <rFont val="Calibri"/>
        <family val="2"/>
        <scheme val="minor"/>
      </rPr>
      <t xml:space="preserve"> </t>
    </r>
    <r>
      <rPr>
        <sz val="11"/>
        <color theme="0"/>
        <rFont val="Calibri"/>
        <family val="2"/>
        <scheme val="minor"/>
      </rPr>
      <t>Summenformel</t>
    </r>
  </si>
  <si>
    <r>
      <t xml:space="preserve">im beladenen Zustand laut Angaben von </t>
    </r>
    <r>
      <rPr>
        <i/>
        <sz val="10"/>
        <rFont val="Calibri"/>
        <family val="2"/>
        <scheme val="minor"/>
      </rPr>
      <t>Prof. Dr. Peter Wasserscheid (FAU Erlangen-Nürnberg), ent</t>
    </r>
    <r>
      <rPr>
        <i/>
        <sz val="10"/>
        <color theme="1"/>
        <rFont val="Calibri"/>
        <family val="2"/>
        <scheme val="minor"/>
      </rPr>
      <t>laden sind es 995kg/m^3; https://echa.europa.eu/de/brief-profile/-/briefprofile/100.044.216</t>
    </r>
  </si>
  <si>
    <r>
      <t xml:space="preserve">spezifische Kosten </t>
    </r>
    <r>
      <rPr>
        <sz val="11"/>
        <rFont val="Calibri"/>
        <family val="2"/>
        <scheme val="minor"/>
      </rPr>
      <t>Mio. €/km</t>
    </r>
  </si>
  <si>
    <r>
      <rPr>
        <sz val="11"/>
        <color rgb="FFC4B30E"/>
        <rFont val="Calibri"/>
        <family val="2"/>
        <scheme val="minor"/>
      </rPr>
      <t>Gelb hinterlegte Zellen</t>
    </r>
    <r>
      <rPr>
        <sz val="11"/>
        <rFont val="Calibri"/>
        <family val="2"/>
        <scheme val="minor"/>
      </rPr>
      <t xml:space="preserve"> sind händisch auszufüllen.</t>
    </r>
  </si>
  <si>
    <t>wichtig: beim Einfügen die ursprüngliche Zellformatierung zum Erhalt der Bezüge beibehalten</t>
  </si>
  <si>
    <r>
      <rPr>
        <b/>
        <sz val="11"/>
        <color theme="1"/>
        <rFont val="Calibri"/>
        <family val="2"/>
        <scheme val="minor"/>
      </rPr>
      <t>Zahlen</t>
    </r>
    <r>
      <rPr>
        <sz val="11"/>
        <color theme="1"/>
        <rFont val="Calibri"/>
        <family val="2"/>
        <scheme val="minor"/>
      </rPr>
      <t xml:space="preserve"> sind </t>
    </r>
    <r>
      <rPr>
        <b/>
        <sz val="11"/>
        <color theme="1"/>
        <rFont val="Calibri"/>
        <family val="2"/>
        <scheme val="minor"/>
      </rPr>
      <t>manuell</t>
    </r>
    <r>
      <rPr>
        <sz val="11"/>
        <color theme="1"/>
        <rFont val="Calibri"/>
        <family val="2"/>
        <scheme val="minor"/>
      </rPr>
      <t xml:space="preserve"> </t>
    </r>
    <r>
      <rPr>
        <b/>
        <sz val="11"/>
        <rFont val="Calibri"/>
        <family val="2"/>
        <scheme val="minor"/>
      </rPr>
      <t>aus Datenblatt "Transportoptionen" (Zeile 41)</t>
    </r>
    <r>
      <rPr>
        <sz val="11"/>
        <color theme="1"/>
        <rFont val="Calibri"/>
        <family val="2"/>
        <scheme val="minor"/>
      </rPr>
      <t xml:space="preserve"> zu </t>
    </r>
    <r>
      <rPr>
        <b/>
        <sz val="11"/>
        <color theme="1"/>
        <rFont val="Calibri"/>
        <family val="2"/>
        <scheme val="minor"/>
      </rPr>
      <t>übernehmen</t>
    </r>
    <r>
      <rPr>
        <sz val="11"/>
        <color theme="1"/>
        <rFont val="Calibri"/>
        <family val="2"/>
        <scheme val="minor"/>
      </rPr>
      <t xml:space="preserve"> (aktuell sind </t>
    </r>
    <r>
      <rPr>
        <b/>
        <sz val="11"/>
        <color theme="1"/>
        <rFont val="Calibri"/>
        <family val="2"/>
        <scheme val="minor"/>
      </rPr>
      <t>2000 km Distanz</t>
    </r>
    <r>
      <rPr>
        <sz val="11"/>
        <color theme="1"/>
        <rFont val="Calibri"/>
        <family val="2"/>
        <scheme val="minor"/>
      </rPr>
      <t xml:space="preserve"> angesetzt).</t>
    </r>
  </si>
  <si>
    <t>Invest pro kW = 500mio$/1,1€/$/99 Stück/4200kW/Stück</t>
  </si>
  <si>
    <r>
      <rPr>
        <i/>
        <sz val="11"/>
        <color rgb="FFC00000"/>
        <rFont val="Calibri"/>
        <family val="2"/>
        <scheme val="minor"/>
      </rPr>
      <t>!Achtung</t>
    </r>
    <r>
      <rPr>
        <i/>
        <sz val="11"/>
        <color theme="2" tint="-0.749992370372631"/>
        <rFont val="Calibri"/>
        <family val="2"/>
        <scheme val="minor"/>
      </rPr>
      <t xml:space="preserve">: Dieser </t>
    </r>
    <r>
      <rPr>
        <b/>
        <i/>
        <sz val="11"/>
        <color theme="2" tint="-0.749992370372631"/>
        <rFont val="Calibri"/>
        <family val="2"/>
        <scheme val="minor"/>
      </rPr>
      <t>Wert</t>
    </r>
    <r>
      <rPr>
        <i/>
        <sz val="11"/>
        <color theme="2" tint="-0.749992370372631"/>
        <rFont val="Calibri"/>
        <family val="2"/>
        <scheme val="minor"/>
      </rPr>
      <t xml:space="preserve"> muss, </t>
    </r>
    <r>
      <rPr>
        <b/>
        <i/>
        <sz val="11"/>
        <color theme="2" tint="-0.749992370372631"/>
        <rFont val="Calibri"/>
        <family val="2"/>
        <scheme val="minor"/>
      </rPr>
      <t>wie auch</t>
    </r>
    <r>
      <rPr>
        <i/>
        <sz val="11"/>
        <color theme="2" tint="-0.749992370372631"/>
        <rFont val="Calibri"/>
        <family val="2"/>
        <scheme val="minor"/>
      </rPr>
      <t xml:space="preserve"> die </t>
    </r>
    <r>
      <rPr>
        <b/>
        <i/>
        <sz val="11"/>
        <color theme="2" tint="-0.749992370372631"/>
        <rFont val="Calibri"/>
        <family val="2"/>
        <scheme val="minor"/>
      </rPr>
      <t>VBS, manuell an</t>
    </r>
    <r>
      <rPr>
        <i/>
        <sz val="11"/>
        <color theme="2" tint="-0.749992370372631"/>
        <rFont val="Calibri"/>
        <family val="2"/>
        <scheme val="minor"/>
      </rPr>
      <t xml:space="preserve"> die </t>
    </r>
    <r>
      <rPr>
        <b/>
        <i/>
        <sz val="11"/>
        <color theme="2" tint="-0.749992370372631"/>
        <rFont val="Calibri"/>
        <family val="2"/>
        <scheme val="minor"/>
      </rPr>
      <t>entsprechenden Stellen unten und</t>
    </r>
    <r>
      <rPr>
        <i/>
        <sz val="11"/>
        <color theme="2" tint="-0.749992370372631"/>
        <rFont val="Calibri"/>
        <family val="2"/>
        <scheme val="minor"/>
      </rPr>
      <t xml:space="preserve"> in den anderen Datenblättern</t>
    </r>
    <r>
      <rPr>
        <b/>
        <i/>
        <sz val="11"/>
        <color theme="2" tint="-0.749992370372631"/>
        <rFont val="Calibri"/>
        <family val="2"/>
        <scheme val="minor"/>
      </rPr>
      <t xml:space="preserve"> übertragen </t>
    </r>
    <r>
      <rPr>
        <i/>
        <sz val="11"/>
        <color theme="2" tint="-0.749992370372631"/>
        <rFont val="Calibri"/>
        <family val="2"/>
        <scheme val="minor"/>
      </rPr>
      <t xml:space="preserve">werden, da keine Verknüpfungen bestehen. </t>
    </r>
  </si>
  <si>
    <r>
      <t xml:space="preserve">Die Struktur dieser Datei gliedert sich in die </t>
    </r>
    <r>
      <rPr>
        <b/>
        <sz val="11"/>
        <color theme="1"/>
        <rFont val="Calibri"/>
        <family val="2"/>
        <scheme val="minor"/>
      </rPr>
      <t>Blatttypen "Eingaben", "Berechnung/Auswertung" und "Schätzungen"</t>
    </r>
    <r>
      <rPr>
        <sz val="11"/>
        <color theme="1"/>
        <rFont val="Calibri"/>
        <family val="2"/>
        <scheme val="minor"/>
      </rPr>
      <t xml:space="preserve">. Die Eingaben machen den Beginn, gefolgt von den Berechnungen und Auswertungsgrafiken (deren Blattbenennung kein Schlüsselwort enthält) und zum Schluss folgen die Schätzungen. Die einzelnen </t>
    </r>
    <r>
      <rPr>
        <b/>
        <sz val="11"/>
        <color theme="1"/>
        <rFont val="Calibri"/>
        <family val="2"/>
        <scheme val="minor"/>
      </rPr>
      <t>Berechnungsschritte</t>
    </r>
    <r>
      <rPr>
        <sz val="11"/>
        <color theme="1"/>
        <rFont val="Calibri"/>
        <family val="2"/>
        <scheme val="minor"/>
      </rPr>
      <t xml:space="preserve"> sind </t>
    </r>
    <r>
      <rPr>
        <b/>
        <sz val="11"/>
        <color theme="1"/>
        <rFont val="Calibri"/>
        <family val="2"/>
        <scheme val="minor"/>
      </rPr>
      <t>"Transportmittel" - "Transportoptionen" - "Beispielketten"</t>
    </r>
    <r>
      <rPr>
        <sz val="11"/>
        <color theme="1"/>
        <rFont val="Calibri"/>
        <family val="2"/>
        <scheme val="minor"/>
      </rPr>
      <t xml:space="preserve">. Die </t>
    </r>
    <r>
      <rPr>
        <b/>
        <sz val="11"/>
        <color theme="1"/>
        <rFont val="Calibri"/>
        <family val="2"/>
        <scheme val="minor"/>
      </rPr>
      <t>Eingabewerte</t>
    </r>
    <r>
      <rPr>
        <sz val="11"/>
        <color theme="1"/>
        <rFont val="Calibri"/>
        <family val="2"/>
        <scheme val="minor"/>
      </rPr>
      <t xml:space="preserve"> zur numerischen Beschreibung werden </t>
    </r>
    <r>
      <rPr>
        <b/>
        <sz val="11"/>
        <color theme="1"/>
        <rFont val="Calibri"/>
        <family val="2"/>
        <scheme val="minor"/>
      </rPr>
      <t>in den Blättern "Eingabe"</t>
    </r>
    <r>
      <rPr>
        <sz val="11"/>
        <color theme="1"/>
        <rFont val="Calibri"/>
        <family val="2"/>
        <scheme val="minor"/>
      </rPr>
      <t xml:space="preserve"> eingetragen. Die </t>
    </r>
    <r>
      <rPr>
        <b/>
        <sz val="11"/>
        <color theme="1"/>
        <rFont val="Calibri"/>
        <family val="2"/>
        <scheme val="minor"/>
      </rPr>
      <t>Blätter "Schätzung"</t>
    </r>
    <r>
      <rPr>
        <sz val="11"/>
        <color theme="1"/>
        <rFont val="Calibri"/>
        <family val="2"/>
        <scheme val="minor"/>
      </rPr>
      <t xml:space="preserve"> dienen der Darstellung notwendiger </t>
    </r>
    <r>
      <rPr>
        <b/>
        <sz val="11"/>
        <color theme="1"/>
        <rFont val="Calibri"/>
        <family val="2"/>
        <scheme val="minor"/>
      </rPr>
      <t>Abschätzungen</t>
    </r>
    <r>
      <rPr>
        <sz val="11"/>
        <color theme="1"/>
        <rFont val="Calibri"/>
        <family val="2"/>
        <scheme val="minor"/>
      </rPr>
      <t xml:space="preserve"> bei einigen Parametern und zur </t>
    </r>
    <r>
      <rPr>
        <b/>
        <sz val="11"/>
        <color theme="1"/>
        <rFont val="Calibri"/>
        <family val="2"/>
        <scheme val="minor"/>
      </rPr>
      <t>Ablage von vorgelagerten Rechnungen</t>
    </r>
    <r>
      <rPr>
        <sz val="11"/>
        <color theme="1"/>
        <rFont val="Calibri"/>
        <family val="2"/>
        <scheme val="minor"/>
      </rPr>
      <t>. Die Blätter "</t>
    </r>
    <r>
      <rPr>
        <sz val="11"/>
        <rFont val="Calibri"/>
        <family val="2"/>
        <scheme val="minor"/>
      </rPr>
      <t>Schätzung" stehen isoliert ohne Verknüpfungen zu anderen Datenblättern. Veränderte Werte, die sich aus vorgenommenen Anpassungen in den Blättern "Schätzungen" ergeben, müssen bei Bedarf manuell in die übrigen Blätter übertragen werden.</t>
    </r>
  </si>
  <si>
    <t>Quelle:  D. Baumstark, 2021: Technologievergleich zur Herstellung synthetischer Energieträger aus
erneuerbarem Strom in Nordafrika - Eine techno-ökonomische Analyse am Fallbeispiel Senegal
(Karlsruhe,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</si>
</sst>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0.00\ &quot;€&quot;;[Red]\-#,##0.00\ &quot;€&quot;"/>
    <numFmt numFmtId="44" formatCode="_-* #,##0.00\ &quot;€&quot;_-;\-* #,##0.00\ &quot;€&quot;_-;_-* &quot;-&quot;??\ &quot;€&quot;_-;_-@_-"/>
    <numFmt numFmtId="164" formatCode="#,##0.00\ &quot;€&quot;"/>
    <numFmt numFmtId="165" formatCode="0.0%"/>
    <numFmt numFmtId="166" formatCode="0.000000"/>
    <numFmt numFmtId="167" formatCode="#,##0.0000\ &quot;€&quot;;[Red]\-#,##0.0000\ &quot;€&quot;"/>
    <numFmt numFmtId="168" formatCode="_-* #,##0.000\ &quot;€&quot;_-;\-* #,##0.000\ &quot;€&quot;_-;_-* &quot;-&quot;??\ &quot;€&quot;_-;_-@_-"/>
    <numFmt numFmtId="169" formatCode="0.000000%"/>
    <numFmt numFmtId="170" formatCode="_-* #,##0.0000\ &quot;€&quot;_-;\-* #,##0.0000\ &quot;€&quot;_-;_-* &quot;-&quot;??\ &quot;€&quot;_-;_-@_-"/>
  </numFmts>
  <fonts count="46">
    <font>
      <sz val="11"/>
      <color theme="1"/>
      <name val="Calibri"/>
      <family val="2"/>
      <scheme val="minor"/>
    </font>
    <font>
      <sz val="11"/>
      <color theme="1"/>
      <name val="Calibri"/>
      <family val="2"/>
      <scheme val="minor"/>
    </font>
    <font>
      <sz val="11"/>
      <color theme="0" tint="-0.499984740745262"/>
      <name val="Calibri"/>
      <family val="2"/>
      <scheme val="minor"/>
    </font>
    <font>
      <sz val="9"/>
      <color rgb="FF595959"/>
      <name val="Calibri"/>
      <family val="2"/>
      <scheme val="minor"/>
    </font>
    <font>
      <b/>
      <sz val="11"/>
      <color theme="1"/>
      <name val="Calibri"/>
      <family val="2"/>
      <scheme val="minor"/>
    </font>
    <font>
      <sz val="11"/>
      <name val="Calibri"/>
      <family val="2"/>
      <scheme val="minor"/>
    </font>
    <font>
      <sz val="9"/>
      <color indexed="81"/>
      <name val="Segoe UI"/>
      <charset val="1"/>
    </font>
    <font>
      <b/>
      <sz val="9"/>
      <color indexed="81"/>
      <name val="Segoe UI"/>
      <charset val="1"/>
    </font>
    <font>
      <sz val="9"/>
      <color indexed="81"/>
      <name val="Segoe UI"/>
      <family val="2"/>
    </font>
    <font>
      <b/>
      <sz val="9"/>
      <color indexed="81"/>
      <name val="Segoe UI"/>
      <family val="2"/>
    </font>
    <font>
      <sz val="12"/>
      <color theme="1"/>
      <name val="Calibri"/>
      <family val="2"/>
      <scheme val="minor"/>
    </font>
    <font>
      <sz val="12"/>
      <name val="Calibri"/>
      <family val="2"/>
      <scheme val="minor"/>
    </font>
    <font>
      <sz val="11"/>
      <color rgb="FFFF0000"/>
      <name val="Calibri"/>
      <family val="2"/>
      <scheme val="minor"/>
    </font>
    <font>
      <sz val="11"/>
      <color theme="1" tint="0.499984740745262"/>
      <name val="Calibri"/>
      <family val="2"/>
      <scheme val="minor"/>
    </font>
    <font>
      <b/>
      <sz val="11"/>
      <color theme="0"/>
      <name val="Calibri"/>
      <family val="2"/>
      <scheme val="minor"/>
    </font>
    <font>
      <sz val="11"/>
      <color theme="0"/>
      <name val="Calibri"/>
      <family val="2"/>
      <scheme val="minor"/>
    </font>
    <font>
      <b/>
      <sz val="12"/>
      <color theme="0"/>
      <name val="Calibri"/>
      <family val="2"/>
      <scheme val="minor"/>
    </font>
    <font>
      <sz val="11"/>
      <color theme="1"/>
      <name val="Calibri"/>
      <family val="2"/>
    </font>
    <font>
      <b/>
      <sz val="11"/>
      <color theme="8" tint="-0.249977111117893"/>
      <name val="Calibri"/>
      <family val="2"/>
      <scheme val="minor"/>
    </font>
    <font>
      <b/>
      <sz val="11"/>
      <color theme="1"/>
      <name val="Calibri"/>
      <family val="2"/>
    </font>
    <font>
      <i/>
      <sz val="11"/>
      <color theme="0"/>
      <name val="Calibri"/>
      <family val="2"/>
      <scheme val="minor"/>
    </font>
    <font>
      <i/>
      <sz val="11"/>
      <color theme="1"/>
      <name val="Calibri"/>
      <family val="2"/>
      <scheme val="minor"/>
    </font>
    <font>
      <i/>
      <sz val="10"/>
      <color theme="1"/>
      <name val="Calibri"/>
      <family val="2"/>
      <scheme val="minor"/>
    </font>
    <font>
      <sz val="9"/>
      <color theme="1"/>
      <name val="Calibri"/>
      <family val="2"/>
      <scheme val="minor"/>
    </font>
    <font>
      <b/>
      <sz val="11"/>
      <color theme="5" tint="-0.249977111117893"/>
      <name val="Calibri"/>
      <family val="2"/>
      <scheme val="minor"/>
    </font>
    <font>
      <b/>
      <sz val="11"/>
      <name val="Calibri"/>
      <family val="2"/>
      <scheme val="minor"/>
    </font>
    <font>
      <sz val="10"/>
      <color theme="1"/>
      <name val="Calibri"/>
      <family val="2"/>
    </font>
    <font>
      <b/>
      <i/>
      <sz val="11"/>
      <color theme="1"/>
      <name val="Calibri"/>
      <family val="2"/>
      <scheme val="minor"/>
    </font>
    <font>
      <u/>
      <sz val="11"/>
      <color theme="10"/>
      <name val="Calibri"/>
      <family val="2"/>
      <scheme val="minor"/>
    </font>
    <font>
      <b/>
      <sz val="11"/>
      <color rgb="FFDBC80F"/>
      <name val="Calibri"/>
      <family val="2"/>
      <scheme val="minor"/>
    </font>
    <font>
      <i/>
      <sz val="11"/>
      <color theme="1"/>
      <name val="Calibri"/>
      <family val="1"/>
      <charset val="2"/>
      <scheme val="minor"/>
    </font>
    <font>
      <b/>
      <sz val="11.5"/>
      <color theme="0"/>
      <name val="Calibri"/>
      <family val="2"/>
      <scheme val="minor"/>
    </font>
    <font>
      <sz val="11"/>
      <color rgb="FFC4B30E"/>
      <name val="Calibri"/>
      <family val="2"/>
      <scheme val="minor"/>
    </font>
    <font>
      <b/>
      <i/>
      <sz val="11"/>
      <color theme="0"/>
      <name val="Calibri"/>
      <family val="2"/>
      <scheme val="minor"/>
    </font>
    <font>
      <b/>
      <i/>
      <sz val="11.5"/>
      <color theme="0"/>
      <name val="Calibri"/>
      <family val="2"/>
      <scheme val="minor"/>
    </font>
    <font>
      <b/>
      <sz val="11"/>
      <color rgb="FFC4B30E"/>
      <name val="Calibri"/>
      <family val="2"/>
      <scheme val="minor"/>
    </font>
    <font>
      <i/>
      <sz val="11"/>
      <name val="Calibri"/>
      <family val="2"/>
      <scheme val="minor"/>
    </font>
    <font>
      <i/>
      <sz val="11"/>
      <color rgb="FFC00000"/>
      <name val="Calibri"/>
      <family val="2"/>
      <scheme val="minor"/>
    </font>
    <font>
      <i/>
      <sz val="11.5"/>
      <color theme="0"/>
      <name val="Calibri"/>
      <family val="2"/>
      <scheme val="minor"/>
    </font>
    <font>
      <b/>
      <sz val="11"/>
      <color theme="2" tint="-0.749992370372631"/>
      <name val="Calibri"/>
      <family val="2"/>
      <scheme val="minor"/>
    </font>
    <font>
      <sz val="11"/>
      <color theme="2" tint="-0.749992370372631"/>
      <name val="Calibri"/>
      <family val="2"/>
      <scheme val="minor"/>
    </font>
    <font>
      <i/>
      <sz val="11"/>
      <color theme="2" tint="-0.749992370372631"/>
      <name val="Calibri"/>
      <family val="2"/>
      <scheme val="minor"/>
    </font>
    <font>
      <b/>
      <i/>
      <sz val="11"/>
      <color theme="2" tint="-0.749992370372631"/>
      <name val="Calibri"/>
      <family val="2"/>
      <scheme val="minor"/>
    </font>
    <font>
      <i/>
      <sz val="10"/>
      <name val="Calibri"/>
      <family val="2"/>
      <scheme val="minor"/>
    </font>
    <font>
      <sz val="10"/>
      <color theme="1"/>
      <name val="Calibri"/>
      <family val="2"/>
      <scheme val="minor"/>
    </font>
    <font>
      <b/>
      <i/>
      <sz val="11"/>
      <name val="Calibri"/>
      <family val="2"/>
      <scheme val="minor"/>
    </font>
  </fonts>
  <fills count="30">
    <fill>
      <patternFill patternType="none"/>
    </fill>
    <fill>
      <patternFill patternType="gray125"/>
    </fill>
    <fill>
      <patternFill patternType="solid">
        <fgColor rgb="FFFFFF00"/>
        <bgColor indexed="64"/>
      </patternFill>
    </fill>
    <fill>
      <patternFill patternType="solid">
        <fgColor rgb="FF32578C"/>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2" tint="-0.49998474074526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bgColor indexed="64"/>
      </patternFill>
    </fill>
    <fill>
      <patternFill patternType="solid">
        <fgColor rgb="FFFFFF99"/>
        <bgColor indexed="64"/>
      </patternFill>
    </fill>
    <fill>
      <patternFill patternType="solid">
        <fgColor rgb="FF4170B5"/>
        <bgColor indexed="64"/>
      </patternFill>
    </fill>
    <fill>
      <patternFill patternType="solid">
        <fgColor rgb="FFFFFF47"/>
        <bgColor indexed="64"/>
      </patternFill>
    </fill>
    <fill>
      <patternFill patternType="solid">
        <fgColor rgb="FF415063"/>
        <bgColor indexed="64"/>
      </patternFill>
    </fill>
    <fill>
      <patternFill patternType="solid">
        <fgColor rgb="FFE6E9EE"/>
        <bgColor indexed="64"/>
      </patternFill>
    </fill>
    <fill>
      <patternFill patternType="solid">
        <fgColor theme="8" tint="-0.249977111117893"/>
        <bgColor indexed="64"/>
      </patternFill>
    </fill>
    <fill>
      <patternFill patternType="solid">
        <fgColor rgb="FF50637C"/>
        <bgColor indexed="64"/>
      </patternFill>
    </fill>
    <fill>
      <patternFill patternType="solid">
        <fgColor rgb="FF618AC7"/>
        <bgColor indexed="64"/>
      </patternFill>
    </fill>
    <fill>
      <patternFill patternType="solid">
        <fgColor theme="8" tint="-0.499984740745262"/>
        <bgColor indexed="64"/>
      </patternFill>
    </fill>
    <fill>
      <patternFill patternType="solid">
        <fgColor theme="6" tint="0.39997558519241921"/>
        <bgColor indexed="64"/>
      </patternFill>
    </fill>
    <fill>
      <patternFill patternType="solid">
        <fgColor rgb="FF5F7593"/>
        <bgColor indexed="64"/>
      </patternFill>
    </fill>
    <fill>
      <patternFill patternType="solid">
        <fgColor theme="2"/>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right style="double">
        <color indexed="64"/>
      </right>
      <top/>
      <bottom/>
      <diagonal/>
    </border>
    <border>
      <left/>
      <right style="double">
        <color indexed="64"/>
      </right>
      <top/>
      <bottom style="thin">
        <color indexed="64"/>
      </bottom>
      <diagonal/>
    </border>
    <border>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double">
        <color indexed="64"/>
      </left>
      <right style="thin">
        <color indexed="64"/>
      </right>
      <top style="thin">
        <color theme="0" tint="-0.14999847407452621"/>
      </top>
      <bottom/>
      <diagonal/>
    </border>
    <border>
      <left style="double">
        <color indexed="64"/>
      </left>
      <right style="thin">
        <color indexed="64"/>
      </right>
      <top style="double">
        <color indexed="64"/>
      </top>
      <bottom/>
      <diagonal/>
    </border>
    <border>
      <left style="double">
        <color indexed="64"/>
      </left>
      <right style="thin">
        <color indexed="64"/>
      </right>
      <top style="thin">
        <color theme="0" tint="-0.14999847407452621"/>
      </top>
      <bottom style="thin">
        <color theme="0" tint="-0.14999847407452621"/>
      </bottom>
      <diagonal/>
    </border>
    <border>
      <left style="double">
        <color indexed="64"/>
      </left>
      <right style="thin">
        <color indexed="64"/>
      </right>
      <top style="thin">
        <color theme="0" tint="-0.14999847407452621"/>
      </top>
      <bottom style="thin">
        <color indexed="64"/>
      </bottom>
      <diagonal/>
    </border>
    <border>
      <left style="thin">
        <color indexed="64"/>
      </left>
      <right style="thin">
        <color indexed="64"/>
      </right>
      <top style="thin">
        <color theme="0" tint="-0.14999847407452621"/>
      </top>
      <bottom style="thin">
        <color indexed="64"/>
      </bottom>
      <diagonal/>
    </border>
    <border>
      <left style="thin">
        <color indexed="64"/>
      </left>
      <right style="thin">
        <color indexed="64"/>
      </right>
      <top/>
      <bottom style="thin">
        <color theme="0" tint="-0.14999847407452621"/>
      </bottom>
      <diagonal/>
    </border>
    <border>
      <left style="thin">
        <color indexed="64"/>
      </left>
      <right style="thin">
        <color indexed="64"/>
      </right>
      <top style="thin">
        <color theme="0" tint="-0.14999847407452621"/>
      </top>
      <bottom style="thin">
        <color theme="0" tint="-0.14999847407452621"/>
      </bottom>
      <diagonal/>
    </border>
    <border>
      <left style="thin">
        <color indexed="64"/>
      </left>
      <right style="thin">
        <color indexed="64"/>
      </right>
      <top style="double">
        <color indexed="64"/>
      </top>
      <bottom style="thin">
        <color theme="0" tint="-0.14999847407452621"/>
      </bottom>
      <diagonal/>
    </border>
    <border>
      <left style="thin">
        <color indexed="64"/>
      </left>
      <right style="thin">
        <color indexed="64"/>
      </right>
      <top style="thin">
        <color theme="0" tint="-0.14999847407452621"/>
      </top>
      <bottom/>
      <diagonal/>
    </border>
    <border>
      <left style="double">
        <color indexed="64"/>
      </left>
      <right style="thin">
        <color indexed="64"/>
      </right>
      <top style="double">
        <color indexed="64"/>
      </top>
      <bottom style="thin">
        <color theme="0" tint="-0.14999847407452621"/>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style="double">
        <color indexed="64"/>
      </left>
      <right style="thin">
        <color indexed="64"/>
      </right>
      <top style="thin">
        <color theme="6" tint="0.39997558519241921"/>
      </top>
      <bottom/>
      <diagonal/>
    </border>
    <border>
      <left style="double">
        <color indexed="64"/>
      </left>
      <right style="thin">
        <color indexed="64"/>
      </right>
      <top style="thin">
        <color theme="6" tint="0.39997558519241921"/>
      </top>
      <bottom style="thin">
        <color theme="6" tint="0.39997558519241921"/>
      </bottom>
      <diagonal/>
    </border>
    <border>
      <left style="thin">
        <color indexed="64"/>
      </left>
      <right style="thin">
        <color indexed="64"/>
      </right>
      <top style="double">
        <color indexed="64"/>
      </top>
      <bottom style="thin">
        <color theme="6" tint="0.39997558519241921"/>
      </bottom>
      <diagonal/>
    </border>
    <border>
      <left style="thin">
        <color indexed="64"/>
      </left>
      <right style="thin">
        <color indexed="64"/>
      </right>
      <top style="thin">
        <color theme="6" tint="0.39997558519241921"/>
      </top>
      <bottom/>
      <diagonal/>
    </border>
    <border>
      <left style="thin">
        <color indexed="64"/>
      </left>
      <right style="thin">
        <color indexed="64"/>
      </right>
      <top style="thin">
        <color theme="6" tint="0.39997558519241921"/>
      </top>
      <bottom style="thin">
        <color theme="6" tint="0.39997558519241921"/>
      </bottom>
      <diagonal/>
    </border>
    <border>
      <left style="thin">
        <color indexed="64"/>
      </left>
      <right style="thin">
        <color indexed="64"/>
      </right>
      <top style="thin">
        <color theme="6" tint="0.39997558519241921"/>
      </top>
      <bottom style="thin">
        <color indexed="64"/>
      </bottom>
      <diagonal/>
    </border>
    <border>
      <left style="thin">
        <color indexed="64"/>
      </left>
      <right style="thin">
        <color indexed="64"/>
      </right>
      <top style="thin">
        <color indexed="64"/>
      </top>
      <bottom style="thin">
        <color theme="6" tint="0.39997558519241921"/>
      </bottom>
      <diagonal/>
    </border>
    <border>
      <left/>
      <right style="thin">
        <color indexed="64"/>
      </right>
      <top style="thin">
        <color theme="6" tint="0.39997558519241921"/>
      </top>
      <bottom/>
      <diagonal/>
    </border>
    <border>
      <left/>
      <right style="thin">
        <color indexed="64"/>
      </right>
      <top style="thin">
        <color theme="6" tint="0.39997558519241921"/>
      </top>
      <bottom style="thin">
        <color theme="6" tint="0.39997558519241921"/>
      </bottom>
      <diagonal/>
    </border>
    <border>
      <left style="thin">
        <color indexed="64"/>
      </left>
      <right style="double">
        <color indexed="64"/>
      </right>
      <top style="thin">
        <color theme="6" tint="0.39997558519241921"/>
      </top>
      <bottom/>
      <diagonal/>
    </border>
    <border>
      <left style="thin">
        <color indexed="64"/>
      </left>
      <right style="double">
        <color indexed="64"/>
      </right>
      <top style="thin">
        <color theme="6" tint="0.39997558519241921"/>
      </top>
      <bottom style="thin">
        <color theme="6" tint="0.39997558519241921"/>
      </bottom>
      <diagonal/>
    </border>
    <border>
      <left style="thin">
        <color indexed="64"/>
      </left>
      <right style="double">
        <color indexed="64"/>
      </right>
      <top style="thin">
        <color theme="6" tint="0.39997558519241921"/>
      </top>
      <bottom style="thin">
        <color indexed="64"/>
      </bottom>
      <diagonal/>
    </border>
    <border>
      <left style="thin">
        <color indexed="64"/>
      </left>
      <right style="thin">
        <color indexed="64"/>
      </right>
      <top/>
      <bottom style="thin">
        <color theme="6" tint="0.39997558519241921"/>
      </bottom>
      <diagonal/>
    </border>
    <border>
      <left style="double">
        <color indexed="64"/>
      </left>
      <right style="thin">
        <color indexed="64"/>
      </right>
      <top/>
      <bottom style="thin">
        <color theme="6" tint="0.39997558519241921"/>
      </bottom>
      <diagonal/>
    </border>
    <border>
      <left style="thin">
        <color indexed="64"/>
      </left>
      <right style="double">
        <color indexed="64"/>
      </right>
      <top style="thin">
        <color indexed="64"/>
      </top>
      <bottom style="thin">
        <color indexed="64"/>
      </bottom>
      <diagonal/>
    </border>
    <border>
      <left/>
      <right style="thin">
        <color indexed="64"/>
      </right>
      <top style="double">
        <color indexed="64"/>
      </top>
      <bottom style="thin">
        <color theme="6" tint="0.39994506668294322"/>
      </bottom>
      <diagonal/>
    </border>
    <border>
      <left style="thin">
        <color indexed="64"/>
      </left>
      <right style="hair">
        <color indexed="64"/>
      </right>
      <top style="double">
        <color indexed="64"/>
      </top>
      <bottom style="thin">
        <color theme="6" tint="0.39994506668294322"/>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diagonal/>
    </border>
    <border>
      <left style="double">
        <color indexed="64"/>
      </left>
      <right/>
      <top/>
      <bottom/>
      <diagonal/>
    </border>
    <border>
      <left style="double">
        <color indexed="64"/>
      </left>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thin">
        <color indexed="64"/>
      </right>
      <top style="double">
        <color indexed="64"/>
      </top>
      <bottom style="thin">
        <color indexed="64"/>
      </bottom>
      <diagonal/>
    </border>
    <border>
      <left/>
      <right style="thin">
        <color theme="2"/>
      </right>
      <top/>
      <bottom/>
      <diagonal/>
    </border>
    <border>
      <left/>
      <right style="thin">
        <color theme="2"/>
      </right>
      <top style="double">
        <color indexed="64"/>
      </top>
      <bottom/>
      <diagonal/>
    </border>
    <border>
      <left/>
      <right style="thin">
        <color theme="2"/>
      </right>
      <top/>
      <bottom style="thin">
        <color indexed="64"/>
      </bottom>
      <diagonal/>
    </border>
    <border>
      <left style="thin">
        <color theme="2"/>
      </left>
      <right style="thin">
        <color theme="2"/>
      </right>
      <top style="double">
        <color indexed="64"/>
      </top>
      <bottom/>
      <diagonal/>
    </border>
    <border>
      <left style="thin">
        <color theme="2"/>
      </left>
      <right style="thin">
        <color theme="2"/>
      </right>
      <top/>
      <bottom/>
      <diagonal/>
    </border>
    <border>
      <left style="thin">
        <color theme="2"/>
      </left>
      <right style="thin">
        <color theme="2"/>
      </right>
      <top/>
      <bottom style="thin">
        <color indexed="64"/>
      </bottom>
      <diagonal/>
    </border>
    <border>
      <left style="thin">
        <color theme="2"/>
      </left>
      <right style="thin">
        <color auto="1"/>
      </right>
      <top style="double">
        <color indexed="64"/>
      </top>
      <bottom/>
      <diagonal/>
    </border>
    <border>
      <left style="thin">
        <color theme="2"/>
      </left>
      <right style="thin">
        <color auto="1"/>
      </right>
      <top/>
      <bottom/>
      <diagonal/>
    </border>
    <border>
      <left style="thin">
        <color theme="2"/>
      </left>
      <right style="thin">
        <color auto="1"/>
      </right>
      <top/>
      <bottom style="thin">
        <color indexed="64"/>
      </bottom>
      <diagonal/>
    </border>
    <border>
      <left style="double">
        <color indexed="64"/>
      </left>
      <right/>
      <top style="double">
        <color indexed="64"/>
      </top>
      <bottom style="thin">
        <color indexed="64"/>
      </bottom>
      <diagonal/>
    </border>
    <border>
      <left style="thin">
        <color indexed="64"/>
      </left>
      <right style="double">
        <color indexed="64"/>
      </right>
      <top style="thin">
        <color indexed="64"/>
      </top>
      <bottom style="double">
        <color indexed="64"/>
      </bottom>
      <diagonal/>
    </border>
    <border>
      <left/>
      <right/>
      <top style="double">
        <color indexed="64"/>
      </top>
      <bottom style="thin">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top/>
      <bottom style="double">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ashed">
        <color auto="1"/>
      </right>
      <top/>
      <bottom/>
      <diagonal/>
    </border>
    <border>
      <left/>
      <right style="dotted">
        <color indexed="64"/>
      </right>
      <top/>
      <bottom style="thin">
        <color indexed="64"/>
      </bottom>
      <diagonal/>
    </border>
  </borders>
  <cellStyleXfs count="15">
    <xf numFmtId="0" fontId="0" fillId="0" borderId="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8" fillId="0" borderId="0" applyNumberFormat="0" applyFill="0" applyBorder="0" applyAlignment="0" applyProtection="0"/>
  </cellStyleXfs>
  <cellXfs count="862">
    <xf numFmtId="0" fontId="0" fillId="0" borderId="0" xfId="0"/>
    <xf numFmtId="8" fontId="0" fillId="0" borderId="0" xfId="0" applyNumberFormat="1"/>
    <xf numFmtId="9" fontId="0" fillId="0" borderId="0" xfId="1" applyFont="1"/>
    <xf numFmtId="2" fontId="0" fillId="0" borderId="0" xfId="0" applyNumberFormat="1"/>
    <xf numFmtId="164" fontId="0" fillId="0" borderId="0" xfId="0" applyNumberFormat="1"/>
    <xf numFmtId="44" fontId="0" fillId="0" borderId="0" xfId="2" applyFont="1"/>
    <xf numFmtId="0" fontId="2" fillId="0" borderId="0" xfId="0" applyFont="1"/>
    <xf numFmtId="0" fontId="3" fillId="0" borderId="0" xfId="0" quotePrefix="1" applyFont="1" applyAlignment="1">
      <alignment horizontal="center" vertical="center" readingOrder="1"/>
    </xf>
    <xf numFmtId="165" fontId="0" fillId="0" borderId="0" xfId="1" applyNumberFormat="1" applyFont="1"/>
    <xf numFmtId="44" fontId="0" fillId="0" borderId="0" xfId="0" applyNumberFormat="1"/>
    <xf numFmtId="0" fontId="0" fillId="0" borderId="0" xfId="1" applyNumberFormat="1" applyFont="1"/>
    <xf numFmtId="0" fontId="0" fillId="0" borderId="0" xfId="0" applyNumberFormat="1"/>
    <xf numFmtId="0" fontId="5" fillId="0" borderId="0" xfId="0" applyFont="1"/>
    <xf numFmtId="166" fontId="0" fillId="0" borderId="0" xfId="0" applyNumberFormat="1"/>
    <xf numFmtId="167" fontId="0" fillId="0" borderId="0" xfId="0" applyNumberFormat="1"/>
    <xf numFmtId="0" fontId="0" fillId="0" borderId="0" xfId="0" applyBorder="1"/>
    <xf numFmtId="0" fontId="0" fillId="0" borderId="0" xfId="0"/>
    <xf numFmtId="168" fontId="0" fillId="0" borderId="0" xfId="2" applyNumberFormat="1" applyFont="1"/>
    <xf numFmtId="0" fontId="0" fillId="0" borderId="0" xfId="0"/>
    <xf numFmtId="0" fontId="10" fillId="0" borderId="0" xfId="0" applyFont="1"/>
    <xf numFmtId="169" fontId="0" fillId="0" borderId="0" xfId="1" applyNumberFormat="1" applyFont="1"/>
    <xf numFmtId="11" fontId="0" fillId="0" borderId="0" xfId="0" applyNumberFormat="1"/>
    <xf numFmtId="0" fontId="11" fillId="0" borderId="0" xfId="0" applyFont="1"/>
    <xf numFmtId="0" fontId="0" fillId="0" borderId="0" xfId="0" applyFill="1"/>
    <xf numFmtId="9" fontId="0" fillId="0" borderId="0" xfId="1" applyFont="1" applyFill="1"/>
    <xf numFmtId="0" fontId="12" fillId="0" borderId="0" xfId="0" applyFont="1"/>
    <xf numFmtId="9" fontId="0" fillId="0" borderId="0" xfId="1" quotePrefix="1" applyFont="1"/>
    <xf numFmtId="0" fontId="0" fillId="0" borderId="0" xfId="0"/>
    <xf numFmtId="0" fontId="0" fillId="0" borderId="3" xfId="0" applyBorder="1"/>
    <xf numFmtId="0" fontId="0" fillId="0" borderId="4" xfId="0" applyBorder="1"/>
    <xf numFmtId="0" fontId="16" fillId="3" borderId="1" xfId="0" applyFont="1" applyFill="1" applyBorder="1" applyAlignment="1">
      <alignment horizontal="left" vertical="center" indent="1"/>
    </xf>
    <xf numFmtId="0" fontId="4" fillId="4" borderId="1" xfId="0" applyFont="1" applyFill="1" applyBorder="1" applyAlignment="1">
      <alignment horizontal="left" vertical="center" wrapText="1" indent="1"/>
    </xf>
    <xf numFmtId="0" fontId="0" fillId="3" borderId="7" xfId="0" applyFill="1" applyBorder="1"/>
    <xf numFmtId="0" fontId="14" fillId="3" borderId="2" xfId="0" applyFont="1" applyFill="1" applyBorder="1" applyAlignment="1">
      <alignment horizontal="left" indent="1"/>
    </xf>
    <xf numFmtId="0" fontId="20" fillId="7" borderId="0" xfId="0" applyFont="1" applyFill="1" applyBorder="1" applyAlignment="1">
      <alignment horizontal="center" vertical="center"/>
    </xf>
    <xf numFmtId="0" fontId="15" fillId="3" borderId="13" xfId="0" applyFont="1" applyFill="1" applyBorder="1"/>
    <xf numFmtId="0" fontId="15" fillId="3" borderId="14" xfId="0" applyFont="1" applyFill="1" applyBorder="1"/>
    <xf numFmtId="0" fontId="21" fillId="0" borderId="18" xfId="0" applyFont="1" applyBorder="1"/>
    <xf numFmtId="0" fontId="21" fillId="0" borderId="19" xfId="0" applyFont="1" applyBorder="1"/>
    <xf numFmtId="0" fontId="15" fillId="7" borderId="12" xfId="0" applyFont="1" applyFill="1" applyBorder="1"/>
    <xf numFmtId="0" fontId="0" fillId="9" borderId="12" xfId="0" applyFill="1" applyBorder="1"/>
    <xf numFmtId="0" fontId="0" fillId="9" borderId="3" xfId="0" applyFill="1" applyBorder="1"/>
    <xf numFmtId="9" fontId="0" fillId="9" borderId="3" xfId="1" applyFont="1" applyFill="1" applyBorder="1"/>
    <xf numFmtId="0" fontId="0" fillId="9" borderId="4" xfId="0" applyFill="1" applyBorder="1"/>
    <xf numFmtId="0" fontId="22" fillId="0" borderId="3" xfId="0" applyFont="1" applyBorder="1"/>
    <xf numFmtId="9" fontId="22" fillId="0" borderId="3" xfId="1" applyFont="1" applyBorder="1"/>
    <xf numFmtId="0" fontId="22" fillId="0" borderId="4" xfId="0" applyFont="1" applyBorder="1"/>
    <xf numFmtId="0" fontId="0" fillId="9" borderId="2" xfId="0" applyFill="1" applyBorder="1"/>
    <xf numFmtId="0" fontId="22" fillId="0" borderId="0" xfId="0" applyFont="1" applyBorder="1"/>
    <xf numFmtId="9" fontId="22" fillId="0" borderId="0" xfId="1" applyFont="1" applyBorder="1"/>
    <xf numFmtId="0" fontId="22" fillId="0" borderId="15" xfId="0" applyFont="1" applyBorder="1"/>
    <xf numFmtId="0" fontId="22" fillId="0" borderId="12" xfId="0" applyFont="1" applyBorder="1"/>
    <xf numFmtId="9" fontId="22" fillId="0" borderId="12" xfId="1" applyFont="1" applyBorder="1"/>
    <xf numFmtId="0" fontId="22" fillId="0" borderId="16" xfId="0" applyFont="1" applyBorder="1"/>
    <xf numFmtId="0" fontId="0" fillId="10" borderId="7" xfId="0" applyFill="1" applyBorder="1"/>
    <xf numFmtId="0" fontId="14" fillId="10" borderId="2" xfId="0" applyFont="1" applyFill="1" applyBorder="1" applyAlignment="1">
      <alignment horizontal="left" indent="1"/>
    </xf>
    <xf numFmtId="0" fontId="20" fillId="7" borderId="5" xfId="0" applyFont="1" applyFill="1" applyBorder="1" applyAlignment="1">
      <alignment horizontal="center" vertical="center"/>
    </xf>
    <xf numFmtId="0" fontId="20" fillId="7" borderId="7" xfId="0" applyFont="1" applyFill="1" applyBorder="1" applyAlignment="1">
      <alignment horizontal="center"/>
    </xf>
    <xf numFmtId="0" fontId="21" fillId="0" borderId="0" xfId="0" applyFont="1" applyBorder="1"/>
    <xf numFmtId="0" fontId="21" fillId="0" borderId="15" xfId="0" applyFont="1" applyBorder="1"/>
    <xf numFmtId="0" fontId="0" fillId="0" borderId="15" xfId="0" applyBorder="1"/>
    <xf numFmtId="0" fontId="0" fillId="0" borderId="16" xfId="0" applyBorder="1"/>
    <xf numFmtId="0" fontId="0" fillId="0" borderId="0" xfId="0" applyFill="1" applyBorder="1"/>
    <xf numFmtId="9" fontId="0" fillId="9" borderId="4" xfId="1" applyFont="1" applyFill="1" applyBorder="1"/>
    <xf numFmtId="0" fontId="14" fillId="10" borderId="5" xfId="0" applyFont="1" applyFill="1" applyBorder="1" applyAlignment="1">
      <alignment horizontal="left" vertical="center"/>
    </xf>
    <xf numFmtId="0" fontId="14" fillId="3" borderId="5" xfId="0" applyFont="1" applyFill="1" applyBorder="1" applyAlignment="1">
      <alignment horizontal="left" vertical="center"/>
    </xf>
    <xf numFmtId="0" fontId="15" fillId="10" borderId="3" xfId="0" applyFont="1" applyFill="1" applyBorder="1"/>
    <xf numFmtId="0" fontId="15" fillId="10" borderId="4" xfId="0" applyFont="1" applyFill="1" applyBorder="1"/>
    <xf numFmtId="0" fontId="14" fillId="7" borderId="4" xfId="0" applyFont="1" applyFill="1" applyBorder="1"/>
    <xf numFmtId="0" fontId="14" fillId="10" borderId="4" xfId="0" applyFont="1" applyFill="1" applyBorder="1" applyAlignment="1">
      <alignment horizontal="left" indent="1"/>
    </xf>
    <xf numFmtId="0" fontId="14" fillId="3" borderId="4" xfId="0" applyFont="1" applyFill="1" applyBorder="1" applyAlignment="1">
      <alignment horizontal="left"/>
    </xf>
    <xf numFmtId="0" fontId="15" fillId="13" borderId="0" xfId="0" applyFont="1" applyFill="1"/>
    <xf numFmtId="0" fontId="15" fillId="13" borderId="2" xfId="0" applyFont="1" applyFill="1" applyBorder="1"/>
    <xf numFmtId="0" fontId="15" fillId="7" borderId="2" xfId="0" applyFont="1" applyFill="1" applyBorder="1"/>
    <xf numFmtId="0" fontId="15" fillId="7" borderId="4" xfId="0" applyFont="1" applyFill="1" applyBorder="1"/>
    <xf numFmtId="0" fontId="15" fillId="7" borderId="0" xfId="0" applyFont="1" applyFill="1" applyBorder="1" applyAlignment="1">
      <alignment horizontal="center" vertical="center"/>
    </xf>
    <xf numFmtId="0" fontId="20" fillId="7" borderId="21" xfId="0" applyFont="1" applyFill="1" applyBorder="1" applyAlignment="1">
      <alignment horizontal="center"/>
    </xf>
    <xf numFmtId="0" fontId="20" fillId="7" borderId="21" xfId="0" applyFont="1" applyFill="1" applyBorder="1" applyAlignment="1">
      <alignment horizontal="center" vertical="center"/>
    </xf>
    <xf numFmtId="0" fontId="20" fillId="7" borderId="22" xfId="0" applyFont="1" applyFill="1" applyBorder="1" applyAlignment="1">
      <alignment horizontal="center" vertical="center"/>
    </xf>
    <xf numFmtId="0" fontId="0" fillId="9" borderId="24" xfId="0" applyFill="1" applyBorder="1"/>
    <xf numFmtId="0" fontId="0" fillId="9" borderId="23" xfId="0" applyFill="1" applyBorder="1"/>
    <xf numFmtId="0" fontId="0" fillId="9" borderId="25" xfId="0" applyFill="1" applyBorder="1"/>
    <xf numFmtId="9" fontId="0" fillId="9" borderId="23" xfId="1" applyFont="1" applyFill="1" applyBorder="1"/>
    <xf numFmtId="9" fontId="0" fillId="9" borderId="25" xfId="1" applyFont="1" applyFill="1" applyBorder="1"/>
    <xf numFmtId="0" fontId="0" fillId="9" borderId="26" xfId="0" applyFill="1" applyBorder="1"/>
    <xf numFmtId="0" fontId="0" fillId="9" borderId="27" xfId="0" applyFill="1" applyBorder="1"/>
    <xf numFmtId="9" fontId="0" fillId="9" borderId="28" xfId="1" applyFont="1" applyFill="1" applyBorder="1"/>
    <xf numFmtId="9" fontId="0" fillId="9" borderId="29" xfId="1" applyFont="1" applyFill="1" applyBorder="1"/>
    <xf numFmtId="0" fontId="0" fillId="9" borderId="29" xfId="0" applyFill="1" applyBorder="1"/>
    <xf numFmtId="0" fontId="0" fillId="9" borderId="28" xfId="0" applyFill="1" applyBorder="1"/>
    <xf numFmtId="0" fontId="0" fillId="9" borderId="30" xfId="0" applyFill="1" applyBorder="1"/>
    <xf numFmtId="0" fontId="0" fillId="9" borderId="31" xfId="0" applyFill="1" applyBorder="1"/>
    <xf numFmtId="9" fontId="0" fillId="9" borderId="31" xfId="1" applyFont="1" applyFill="1" applyBorder="1"/>
    <xf numFmtId="0" fontId="0" fillId="9" borderId="32" xfId="0" applyFill="1" applyBorder="1"/>
    <xf numFmtId="9" fontId="0" fillId="9" borderId="26" xfId="1" applyFont="1" applyFill="1" applyBorder="1"/>
    <xf numFmtId="9" fontId="0" fillId="9" borderId="27" xfId="1" applyFont="1" applyFill="1" applyBorder="1"/>
    <xf numFmtId="0" fontId="22" fillId="0" borderId="13" xfId="0" applyFont="1" applyBorder="1"/>
    <xf numFmtId="0" fontId="21" fillId="0" borderId="2" xfId="0" applyFont="1" applyBorder="1"/>
    <xf numFmtId="0" fontId="21" fillId="0" borderId="3" xfId="0" applyFont="1" applyBorder="1"/>
    <xf numFmtId="0" fontId="21" fillId="0" borderId="4" xfId="0" applyFont="1" applyBorder="1"/>
    <xf numFmtId="0" fontId="0" fillId="9" borderId="3" xfId="1" applyNumberFormat="1" applyFont="1" applyFill="1" applyBorder="1"/>
    <xf numFmtId="0" fontId="21" fillId="0" borderId="11" xfId="0" applyFont="1" applyBorder="1"/>
    <xf numFmtId="0" fontId="22" fillId="0" borderId="14" xfId="0" applyFont="1" applyBorder="1"/>
    <xf numFmtId="0" fontId="0" fillId="15" borderId="10" xfId="0" applyFill="1" applyBorder="1"/>
    <xf numFmtId="9" fontId="0" fillId="9" borderId="12" xfId="0" applyNumberFormat="1" applyFill="1" applyBorder="1"/>
    <xf numFmtId="1" fontId="0" fillId="9" borderId="16" xfId="0" applyNumberFormat="1" applyFill="1" applyBorder="1"/>
    <xf numFmtId="0" fontId="21" fillId="0" borderId="34" xfId="0" applyFont="1" applyBorder="1"/>
    <xf numFmtId="0" fontId="21" fillId="0" borderId="35" xfId="0" applyFont="1" applyBorder="1"/>
    <xf numFmtId="0" fontId="21" fillId="0" borderId="36" xfId="0" applyFont="1" applyBorder="1"/>
    <xf numFmtId="0" fontId="0" fillId="15" borderId="33" xfId="0" applyFill="1" applyBorder="1"/>
    <xf numFmtId="0" fontId="15" fillId="13" borderId="3" xfId="0" applyFont="1" applyFill="1" applyBorder="1"/>
    <xf numFmtId="0" fontId="14" fillId="13" borderId="4" xfId="0" applyFont="1" applyFill="1" applyBorder="1" applyAlignment="1">
      <alignment horizontal="left" vertical="center"/>
    </xf>
    <xf numFmtId="0" fontId="15" fillId="13" borderId="1" xfId="0" applyFont="1" applyFill="1" applyBorder="1"/>
    <xf numFmtId="0" fontId="0" fillId="9" borderId="37" xfId="0" applyFill="1" applyBorder="1"/>
    <xf numFmtId="0" fontId="0" fillId="9" borderId="38" xfId="0" applyFill="1" applyBorder="1"/>
    <xf numFmtId="1" fontId="0" fillId="9" borderId="38" xfId="0" applyNumberFormat="1" applyFill="1" applyBorder="1"/>
    <xf numFmtId="0" fontId="0" fillId="9" borderId="39" xfId="0" applyFill="1" applyBorder="1"/>
    <xf numFmtId="9" fontId="0" fillId="9" borderId="40" xfId="1" applyFont="1" applyFill="1" applyBorder="1"/>
    <xf numFmtId="0" fontId="0" fillId="9" borderId="40" xfId="1" applyNumberFormat="1" applyFont="1" applyFill="1" applyBorder="1"/>
    <xf numFmtId="0" fontId="0" fillId="9" borderId="40" xfId="0" applyFill="1" applyBorder="1"/>
    <xf numFmtId="0" fontId="0" fillId="9" borderId="41" xfId="0" applyFill="1" applyBorder="1"/>
    <xf numFmtId="0" fontId="0" fillId="9" borderId="42" xfId="0" applyFill="1" applyBorder="1"/>
    <xf numFmtId="9" fontId="0" fillId="9" borderId="41" xfId="1" applyFont="1" applyFill="1" applyBorder="1"/>
    <xf numFmtId="0" fontId="0" fillId="9" borderId="43" xfId="0" applyFill="1" applyBorder="1"/>
    <xf numFmtId="0" fontId="0" fillId="9" borderId="41" xfId="0" quotePrefix="1" applyFill="1" applyBorder="1" applyAlignment="1">
      <alignment horizontal="right"/>
    </xf>
    <xf numFmtId="0" fontId="0" fillId="9" borderId="12" xfId="0" applyFill="1" applyBorder="1" applyAlignment="1">
      <alignment horizontal="right"/>
    </xf>
    <xf numFmtId="0" fontId="0" fillId="9" borderId="44" xfId="0" applyFill="1" applyBorder="1" applyAlignment="1">
      <alignment horizontal="right"/>
    </xf>
    <xf numFmtId="0" fontId="0" fillId="9" borderId="45" xfId="0" applyFill="1" applyBorder="1" applyAlignment="1">
      <alignment horizontal="right"/>
    </xf>
    <xf numFmtId="0" fontId="0" fillId="9" borderId="16" xfId="0" applyFill="1" applyBorder="1" applyAlignment="1">
      <alignment horizontal="right"/>
    </xf>
    <xf numFmtId="0" fontId="4" fillId="16" borderId="34" xfId="0" applyFont="1" applyFill="1" applyBorder="1"/>
    <xf numFmtId="0" fontId="4" fillId="16" borderId="46" xfId="0" applyFont="1" applyFill="1" applyBorder="1"/>
    <xf numFmtId="0" fontId="4" fillId="16" borderId="47" xfId="0" applyFont="1" applyFill="1" applyBorder="1"/>
    <xf numFmtId="0" fontId="4" fillId="16" borderId="35" xfId="0" applyFont="1" applyFill="1" applyBorder="1"/>
    <xf numFmtId="0" fontId="4" fillId="16" borderId="48" xfId="0" applyFont="1" applyFill="1" applyBorder="1"/>
    <xf numFmtId="0" fontId="0" fillId="9" borderId="49" xfId="0" applyFill="1" applyBorder="1"/>
    <xf numFmtId="0" fontId="15" fillId="7" borderId="33" xfId="0" applyFont="1" applyFill="1" applyBorder="1" applyAlignment="1">
      <alignment horizontal="center" vertical="center" wrapText="1"/>
    </xf>
    <xf numFmtId="0" fontId="15" fillId="7" borderId="33" xfId="0" applyFont="1" applyFill="1" applyBorder="1" applyAlignment="1">
      <alignment horizontal="center" vertical="center"/>
    </xf>
    <xf numFmtId="0" fontId="22" fillId="0" borderId="40" xfId="0" applyFont="1" applyBorder="1"/>
    <xf numFmtId="0" fontId="22" fillId="17" borderId="3" xfId="0" applyFont="1" applyFill="1" applyBorder="1"/>
    <xf numFmtId="0" fontId="0" fillId="9" borderId="50" xfId="0" applyFill="1" applyBorder="1" applyAlignment="1">
      <alignment horizontal="right"/>
    </xf>
    <xf numFmtId="0" fontId="22" fillId="17" borderId="39" xfId="0" applyFont="1" applyFill="1" applyBorder="1"/>
    <xf numFmtId="0" fontId="15" fillId="7" borderId="3" xfId="0" applyFont="1" applyFill="1" applyBorder="1" applyAlignment="1">
      <alignment horizontal="center" vertical="center"/>
    </xf>
    <xf numFmtId="0" fontId="15" fillId="7" borderId="3" xfId="0" applyFont="1" applyFill="1" applyBorder="1" applyAlignment="1">
      <alignment horizontal="left" vertical="center"/>
    </xf>
    <xf numFmtId="0" fontId="15" fillId="13" borderId="8" xfId="0" applyFont="1" applyFill="1" applyBorder="1"/>
    <xf numFmtId="0" fontId="15" fillId="13" borderId="14" xfId="0" applyFont="1" applyFill="1" applyBorder="1"/>
    <xf numFmtId="0" fontId="0" fillId="17" borderId="0" xfId="0" applyFill="1" applyBorder="1"/>
    <xf numFmtId="0" fontId="0" fillId="17" borderId="0" xfId="1" applyNumberFormat="1" applyFont="1" applyFill="1" applyBorder="1"/>
    <xf numFmtId="0" fontId="0" fillId="17" borderId="13" xfId="0" applyFill="1" applyBorder="1"/>
    <xf numFmtId="0" fontId="0" fillId="17" borderId="12" xfId="0" applyFill="1" applyBorder="1"/>
    <xf numFmtId="0" fontId="0" fillId="9" borderId="4" xfId="1" applyNumberFormat="1" applyFont="1" applyFill="1" applyBorder="1"/>
    <xf numFmtId="0" fontId="0" fillId="0" borderId="0" xfId="0" applyBorder="1" applyAlignment="1">
      <alignment vertical="center"/>
    </xf>
    <xf numFmtId="0" fontId="0" fillId="0" borderId="0" xfId="0" applyBorder="1" applyAlignment="1">
      <alignment horizontal="right" vertical="center"/>
    </xf>
    <xf numFmtId="0" fontId="15" fillId="13" borderId="13" xfId="0" applyFont="1" applyFill="1" applyBorder="1"/>
    <xf numFmtId="0" fontId="0" fillId="9" borderId="41" xfId="1" applyNumberFormat="1" applyFont="1" applyFill="1" applyBorder="1"/>
    <xf numFmtId="0" fontId="0" fillId="9" borderId="42" xfId="1" applyNumberFormat="1" applyFont="1" applyFill="1" applyBorder="1"/>
    <xf numFmtId="0" fontId="12" fillId="0" borderId="0" xfId="0" applyFont="1" applyFill="1" applyBorder="1" applyAlignment="1">
      <alignment vertical="center" wrapText="1"/>
    </xf>
    <xf numFmtId="0" fontId="0" fillId="0" borderId="0" xfId="0" applyAlignment="1">
      <alignment horizontal="left"/>
    </xf>
    <xf numFmtId="0" fontId="14" fillId="3" borderId="8" xfId="0" applyFont="1" applyFill="1" applyBorder="1" applyAlignment="1">
      <alignment horizontal="left" vertical="center"/>
    </xf>
    <xf numFmtId="0" fontId="21" fillId="0" borderId="1" xfId="0" applyFont="1" applyBorder="1" applyAlignment="1">
      <alignment horizontal="center" vertical="center"/>
    </xf>
    <xf numFmtId="0" fontId="21" fillId="0" borderId="33" xfId="0" applyFont="1" applyBorder="1" applyAlignment="1">
      <alignment horizontal="center" vertical="center"/>
    </xf>
    <xf numFmtId="0" fontId="15" fillId="3" borderId="8" xfId="0" applyFont="1" applyFill="1" applyBorder="1" applyAlignment="1">
      <alignment horizontal="center"/>
    </xf>
    <xf numFmtId="0" fontId="15" fillId="3" borderId="8" xfId="0" applyFont="1" applyFill="1" applyBorder="1" applyAlignment="1">
      <alignment horizontal="left"/>
    </xf>
    <xf numFmtId="0" fontId="15" fillId="3" borderId="2" xfId="0" applyFont="1" applyFill="1" applyBorder="1" applyAlignment="1">
      <alignment horizontal="center"/>
    </xf>
    <xf numFmtId="0" fontId="15" fillId="3" borderId="5" xfId="0" applyFont="1" applyFill="1" applyBorder="1" applyAlignment="1">
      <alignment horizontal="left"/>
    </xf>
    <xf numFmtId="0" fontId="15" fillId="3" borderId="7" xfId="0" applyFont="1" applyFill="1" applyBorder="1" applyAlignment="1">
      <alignment horizontal="left"/>
    </xf>
    <xf numFmtId="0" fontId="0" fillId="0" borderId="12" xfId="0" applyBorder="1"/>
    <xf numFmtId="0" fontId="0" fillId="9" borderId="0" xfId="0" applyFill="1" applyBorder="1"/>
    <xf numFmtId="0" fontId="0" fillId="9" borderId="12" xfId="0" applyFill="1" applyBorder="1" applyAlignment="1">
      <alignment horizontal="right" vertical="center"/>
    </xf>
    <xf numFmtId="0" fontId="0" fillId="0" borderId="12" xfId="0" applyBorder="1" applyAlignment="1">
      <alignment horizontal="right" vertical="center"/>
    </xf>
    <xf numFmtId="0" fontId="0" fillId="0" borderId="16" xfId="0" applyBorder="1" applyAlignment="1">
      <alignment horizontal="right" vertical="center"/>
    </xf>
    <xf numFmtId="0" fontId="0" fillId="0" borderId="3" xfId="0" applyBorder="1" applyAlignment="1">
      <alignment horizontal="right" vertical="center"/>
    </xf>
    <xf numFmtId="0" fontId="0" fillId="9" borderId="3" xfId="0" applyFill="1" applyBorder="1" applyAlignment="1">
      <alignment horizontal="right" vertical="center"/>
    </xf>
    <xf numFmtId="0" fontId="0" fillId="0" borderId="4" xfId="0" applyBorder="1" applyAlignment="1">
      <alignment horizontal="right" vertical="center"/>
    </xf>
    <xf numFmtId="9" fontId="0" fillId="0" borderId="3" xfId="1" applyFont="1" applyBorder="1" applyAlignment="1">
      <alignment horizontal="right" vertical="center"/>
    </xf>
    <xf numFmtId="9" fontId="0" fillId="9" borderId="3" xfId="1" applyFont="1" applyFill="1" applyBorder="1" applyAlignment="1">
      <alignment horizontal="right" vertical="center"/>
    </xf>
    <xf numFmtId="9" fontId="0" fillId="0" borderId="4" xfId="1" applyFont="1" applyBorder="1" applyAlignment="1">
      <alignment horizontal="right" vertical="center"/>
    </xf>
    <xf numFmtId="0" fontId="0" fillId="18" borderId="53" xfId="0" applyFill="1" applyBorder="1"/>
    <xf numFmtId="0" fontId="0" fillId="0" borderId="54" xfId="0" applyBorder="1"/>
    <xf numFmtId="0" fontId="0" fillId="9" borderId="54" xfId="0" applyFill="1" applyBorder="1"/>
    <xf numFmtId="0" fontId="0" fillId="0" borderId="55" xfId="0" applyBorder="1"/>
    <xf numFmtId="2" fontId="0" fillId="0" borderId="0" xfId="0" applyNumberFormat="1" applyAlignment="1">
      <alignment horizontal="left"/>
    </xf>
    <xf numFmtId="164" fontId="0" fillId="0" borderId="13" xfId="0" applyNumberFormat="1" applyBorder="1"/>
    <xf numFmtId="44" fontId="0" fillId="0" borderId="0" xfId="2" applyFont="1" applyBorder="1"/>
    <xf numFmtId="164" fontId="0" fillId="0" borderId="14" xfId="0" applyNumberFormat="1" applyBorder="1"/>
    <xf numFmtId="44" fontId="0" fillId="0" borderId="15" xfId="2" applyFont="1" applyBorder="1"/>
    <xf numFmtId="164" fontId="0" fillId="9" borderId="13" xfId="0" applyNumberFormat="1" applyFill="1" applyBorder="1"/>
    <xf numFmtId="44" fontId="0" fillId="9" borderId="0" xfId="2" applyFont="1" applyFill="1" applyBorder="1"/>
    <xf numFmtId="0" fontId="22" fillId="9" borderId="52" xfId="0" applyFont="1" applyFill="1" applyBorder="1"/>
    <xf numFmtId="0" fontId="15" fillId="3" borderId="2" xfId="0" applyFont="1" applyFill="1" applyBorder="1" applyAlignment="1">
      <alignment horizontal="left"/>
    </xf>
    <xf numFmtId="0" fontId="21" fillId="0" borderId="5" xfId="0" applyFont="1" applyBorder="1" applyAlignment="1">
      <alignment horizontal="center" vertical="center"/>
    </xf>
    <xf numFmtId="0" fontId="4" fillId="8" borderId="2" xfId="0" applyFont="1" applyFill="1" applyBorder="1" applyAlignment="1">
      <alignment horizontal="center"/>
    </xf>
    <xf numFmtId="0" fontId="0" fillId="8" borderId="57" xfId="0" applyFill="1" applyBorder="1"/>
    <xf numFmtId="2" fontId="0" fillId="9" borderId="3" xfId="0" applyNumberFormat="1" applyFill="1" applyBorder="1" applyAlignment="1">
      <alignment horizontal="right"/>
    </xf>
    <xf numFmtId="2" fontId="0" fillId="0" borderId="3" xfId="0" applyNumberFormat="1" applyBorder="1" applyAlignment="1">
      <alignment horizontal="right"/>
    </xf>
    <xf numFmtId="2" fontId="0" fillId="0" borderId="4" xfId="0" applyNumberFormat="1" applyBorder="1" applyAlignment="1">
      <alignment horizontal="right"/>
    </xf>
    <xf numFmtId="2" fontId="0" fillId="9" borderId="13" xfId="0" applyNumberFormat="1" applyFill="1" applyBorder="1" applyAlignment="1">
      <alignment horizontal="right"/>
    </xf>
    <xf numFmtId="44" fontId="0" fillId="9" borderId="12" xfId="0" applyNumberFormat="1" applyFill="1" applyBorder="1" applyAlignment="1">
      <alignment horizontal="right"/>
    </xf>
    <xf numFmtId="2" fontId="0" fillId="0" borderId="13" xfId="0" applyNumberFormat="1" applyBorder="1" applyAlignment="1">
      <alignment horizontal="right"/>
    </xf>
    <xf numFmtId="44" fontId="0" fillId="0" borderId="12" xfId="0" applyNumberFormat="1" applyBorder="1" applyAlignment="1">
      <alignment horizontal="right"/>
    </xf>
    <xf numFmtId="2" fontId="0" fillId="0" borderId="14" xfId="0" applyNumberFormat="1" applyBorder="1" applyAlignment="1">
      <alignment horizontal="right"/>
    </xf>
    <xf numFmtId="44" fontId="0" fillId="0" borderId="16" xfId="0" applyNumberFormat="1" applyBorder="1" applyAlignment="1">
      <alignment horizontal="right"/>
    </xf>
    <xf numFmtId="44" fontId="0" fillId="0" borderId="13" xfId="2" applyFont="1" applyBorder="1"/>
    <xf numFmtId="44" fontId="0" fillId="0" borderId="12" xfId="2" applyFont="1" applyBorder="1"/>
    <xf numFmtId="44" fontId="0" fillId="0" borderId="14" xfId="2" applyFont="1" applyBorder="1"/>
    <xf numFmtId="44" fontId="0" fillId="0" borderId="16" xfId="2" applyFont="1" applyBorder="1"/>
    <xf numFmtId="44" fontId="0" fillId="9" borderId="56" xfId="2" applyFont="1" applyFill="1" applyBorder="1"/>
    <xf numFmtId="44" fontId="0" fillId="9" borderId="58" xfId="2" applyFont="1" applyFill="1" applyBorder="1"/>
    <xf numFmtId="44" fontId="0" fillId="9" borderId="59" xfId="2" applyFont="1" applyFill="1" applyBorder="1"/>
    <xf numFmtId="44" fontId="0" fillId="9" borderId="13" xfId="2" applyFont="1" applyFill="1" applyBorder="1"/>
    <xf numFmtId="44" fontId="0" fillId="9" borderId="12" xfId="2" applyFont="1" applyFill="1" applyBorder="1"/>
    <xf numFmtId="0" fontId="15" fillId="3" borderId="1" xfId="0" applyFont="1" applyFill="1" applyBorder="1" applyAlignment="1">
      <alignment horizontal="left" vertical="center"/>
    </xf>
    <xf numFmtId="0" fontId="4" fillId="6" borderId="5" xfId="0" applyFont="1" applyFill="1" applyBorder="1"/>
    <xf numFmtId="166" fontId="0" fillId="9" borderId="60" xfId="0" applyNumberFormat="1" applyFill="1" applyBorder="1"/>
    <xf numFmtId="166" fontId="0" fillId="0" borderId="61" xfId="0" applyNumberFormat="1" applyBorder="1"/>
    <xf numFmtId="166" fontId="0" fillId="9" borderId="61" xfId="0" applyNumberFormat="1" applyFill="1" applyBorder="1"/>
    <xf numFmtId="166" fontId="0" fillId="9" borderId="58" xfId="0" applyNumberFormat="1" applyFill="1" applyBorder="1"/>
    <xf numFmtId="166" fontId="0" fillId="9" borderId="59" xfId="0" applyNumberFormat="1" applyFill="1" applyBorder="1"/>
    <xf numFmtId="166" fontId="0" fillId="0" borderId="0" xfId="0" applyNumberFormat="1" applyBorder="1"/>
    <xf numFmtId="166" fontId="0" fillId="0" borderId="12" xfId="0" applyNumberFormat="1" applyBorder="1"/>
    <xf numFmtId="166" fontId="0" fillId="9" borderId="0" xfId="0" applyNumberFormat="1" applyFill="1" applyBorder="1"/>
    <xf numFmtId="166" fontId="0" fillId="9" borderId="12" xfId="0" applyNumberFormat="1" applyFill="1" applyBorder="1"/>
    <xf numFmtId="166" fontId="0" fillId="0" borderId="62" xfId="0" applyNumberFormat="1" applyBorder="1"/>
    <xf numFmtId="166" fontId="0" fillId="0" borderId="15" xfId="0" applyNumberFormat="1" applyBorder="1"/>
    <xf numFmtId="166" fontId="0" fillId="0" borderId="16" xfId="0" applyNumberFormat="1" applyBorder="1"/>
    <xf numFmtId="0" fontId="4" fillId="8" borderId="5" xfId="0" applyFont="1" applyFill="1" applyBorder="1" applyAlignment="1">
      <alignment horizontal="right"/>
    </xf>
    <xf numFmtId="0" fontId="4" fillId="8" borderId="7" xfId="0" applyFont="1" applyFill="1" applyBorder="1" applyAlignment="1">
      <alignment horizontal="left"/>
    </xf>
    <xf numFmtId="0" fontId="15" fillId="19" borderId="2" xfId="0" applyFont="1" applyFill="1" applyBorder="1" applyAlignment="1">
      <alignment horizontal="center" vertical="center"/>
    </xf>
    <xf numFmtId="0" fontId="15" fillId="19" borderId="2" xfId="0" applyFont="1" applyFill="1" applyBorder="1" applyAlignment="1">
      <alignment horizontal="center"/>
    </xf>
    <xf numFmtId="0" fontId="0" fillId="0" borderId="13" xfId="0" applyBorder="1"/>
    <xf numFmtId="0" fontId="0" fillId="0" borderId="14" xfId="0" applyBorder="1"/>
    <xf numFmtId="0" fontId="15" fillId="19" borderId="3" xfId="0" applyFont="1" applyFill="1" applyBorder="1" applyAlignment="1">
      <alignment horizontal="left" vertical="center"/>
    </xf>
    <xf numFmtId="0" fontId="0" fillId="9" borderId="56" xfId="0" applyFill="1" applyBorder="1"/>
    <xf numFmtId="0" fontId="0" fillId="9" borderId="13" xfId="0" applyFill="1" applyBorder="1"/>
    <xf numFmtId="165" fontId="0" fillId="0" borderId="13" xfId="1" applyNumberFormat="1" applyFont="1" applyBorder="1"/>
    <xf numFmtId="165" fontId="0" fillId="0" borderId="0" xfId="1" applyNumberFormat="1" applyFont="1" applyBorder="1"/>
    <xf numFmtId="165" fontId="0" fillId="0" borderId="12" xfId="1" applyNumberFormat="1" applyFont="1" applyBorder="1"/>
    <xf numFmtId="165" fontId="0" fillId="0" borderId="14" xfId="1" applyNumberFormat="1" applyFont="1" applyBorder="1"/>
    <xf numFmtId="165" fontId="0" fillId="0" borderId="15" xfId="1" applyNumberFormat="1" applyFont="1" applyBorder="1"/>
    <xf numFmtId="165" fontId="0" fillId="0" borderId="16" xfId="1" applyNumberFormat="1" applyFont="1" applyBorder="1"/>
    <xf numFmtId="165" fontId="0" fillId="9" borderId="56" xfId="1" applyNumberFormat="1" applyFont="1" applyFill="1" applyBorder="1"/>
    <xf numFmtId="165" fontId="0" fillId="9" borderId="58" xfId="1" applyNumberFormat="1" applyFont="1" applyFill="1" applyBorder="1"/>
    <xf numFmtId="165" fontId="0" fillId="9" borderId="59" xfId="1" applyNumberFormat="1" applyFont="1" applyFill="1" applyBorder="1"/>
    <xf numFmtId="165" fontId="0" fillId="9" borderId="13" xfId="1" applyNumberFormat="1" applyFont="1" applyFill="1" applyBorder="1"/>
    <xf numFmtId="165" fontId="0" fillId="9" borderId="0" xfId="1" applyNumberFormat="1" applyFont="1" applyFill="1" applyBorder="1"/>
    <xf numFmtId="165" fontId="0" fillId="9" borderId="12" xfId="1" applyNumberFormat="1" applyFont="1" applyFill="1" applyBorder="1"/>
    <xf numFmtId="0" fontId="28" fillId="0" borderId="0" xfId="14"/>
    <xf numFmtId="0" fontId="15" fillId="0" borderId="0" xfId="0" applyFont="1" applyFill="1"/>
    <xf numFmtId="0" fontId="15" fillId="3" borderId="5" xfId="0" applyFont="1" applyFill="1" applyBorder="1"/>
    <xf numFmtId="0" fontId="4" fillId="6" borderId="2" xfId="0" applyFont="1" applyFill="1" applyBorder="1" applyAlignment="1">
      <alignment horizontal="center"/>
    </xf>
    <xf numFmtId="0" fontId="0" fillId="9" borderId="58" xfId="0" applyFill="1" applyBorder="1"/>
    <xf numFmtId="0" fontId="27" fillId="6" borderId="1" xfId="0" applyFont="1" applyFill="1" applyBorder="1"/>
    <xf numFmtId="0" fontId="14" fillId="10" borderId="4" xfId="0" applyFont="1" applyFill="1" applyBorder="1" applyAlignment="1">
      <alignment horizontal="left" vertical="center"/>
    </xf>
    <xf numFmtId="0" fontId="14" fillId="10" borderId="2" xfId="0" applyFont="1" applyFill="1" applyBorder="1" applyAlignment="1">
      <alignment horizontal="left" vertical="center"/>
    </xf>
    <xf numFmtId="0" fontId="14" fillId="7" borderId="3" xfId="0" applyFont="1" applyFill="1" applyBorder="1"/>
    <xf numFmtId="0" fontId="15" fillId="10" borderId="3" xfId="0" applyFont="1" applyFill="1" applyBorder="1" applyAlignment="1">
      <alignment horizontal="left" vertical="center"/>
    </xf>
    <xf numFmtId="0" fontId="15" fillId="10" borderId="8" xfId="0" applyFont="1" applyFill="1" applyBorder="1" applyAlignment="1">
      <alignment horizontal="center"/>
    </xf>
    <xf numFmtId="0" fontId="15" fillId="10" borderId="8" xfId="0" applyFont="1" applyFill="1" applyBorder="1" applyAlignment="1">
      <alignment horizontal="left"/>
    </xf>
    <xf numFmtId="0" fontId="0" fillId="0" borderId="11" xfId="0" applyBorder="1"/>
    <xf numFmtId="9" fontId="0" fillId="0" borderId="11" xfId="1" applyFont="1" applyBorder="1"/>
    <xf numFmtId="0" fontId="0" fillId="0" borderId="20" xfId="0" applyBorder="1"/>
    <xf numFmtId="9" fontId="0" fillId="0" borderId="0" xfId="1" applyFont="1" applyBorder="1"/>
    <xf numFmtId="0" fontId="0" fillId="0" borderId="0" xfId="0" applyBorder="1" applyAlignment="1">
      <alignment horizontal="right"/>
    </xf>
    <xf numFmtId="9" fontId="0" fillId="0" borderId="15" xfId="1" applyFont="1" applyBorder="1"/>
    <xf numFmtId="0" fontId="0" fillId="0" borderId="15" xfId="0" applyBorder="1" applyAlignment="1">
      <alignment horizontal="right"/>
    </xf>
    <xf numFmtId="0" fontId="0" fillId="0" borderId="64" xfId="0" applyBorder="1"/>
    <xf numFmtId="0" fontId="0" fillId="0" borderId="65" xfId="0" applyBorder="1"/>
    <xf numFmtId="0" fontId="21" fillId="17" borderId="9" xfId="0" applyFont="1" applyFill="1" applyBorder="1" applyAlignment="1">
      <alignment horizontal="center" vertical="center"/>
    </xf>
    <xf numFmtId="0" fontId="21" fillId="17" borderId="10" xfId="0" applyFont="1" applyFill="1" applyBorder="1" applyAlignment="1">
      <alignment horizontal="center" vertical="center"/>
    </xf>
    <xf numFmtId="0" fontId="0" fillId="9" borderId="64" xfId="0" applyFill="1" applyBorder="1"/>
    <xf numFmtId="9" fontId="0" fillId="9" borderId="0" xfId="1" applyFont="1" applyFill="1" applyBorder="1"/>
    <xf numFmtId="0" fontId="0" fillId="9" borderId="0" xfId="0" applyFill="1" applyBorder="1" applyAlignment="1">
      <alignment horizontal="right"/>
    </xf>
    <xf numFmtId="0" fontId="15" fillId="10" borderId="1" xfId="0" applyFont="1" applyFill="1" applyBorder="1" applyAlignment="1">
      <alignment horizontal="center"/>
    </xf>
    <xf numFmtId="8" fontId="0" fillId="0" borderId="13" xfId="0" applyNumberFormat="1" applyFill="1" applyBorder="1"/>
    <xf numFmtId="8" fontId="0" fillId="0" borderId="14" xfId="0" applyNumberFormat="1" applyFill="1" applyBorder="1"/>
    <xf numFmtId="8" fontId="0" fillId="9" borderId="13" xfId="0" applyNumberFormat="1" applyFill="1" applyBorder="1"/>
    <xf numFmtId="8" fontId="0" fillId="0" borderId="13" xfId="0" applyNumberFormat="1" applyBorder="1"/>
    <xf numFmtId="8" fontId="0" fillId="0" borderId="0" xfId="0" applyNumberFormat="1" applyBorder="1"/>
    <xf numFmtId="8" fontId="0" fillId="0" borderId="12" xfId="0" applyNumberFormat="1" applyBorder="1"/>
    <xf numFmtId="8" fontId="0" fillId="0" borderId="14" xfId="0" applyNumberFormat="1" applyBorder="1"/>
    <xf numFmtId="8" fontId="0" fillId="0" borderId="15" xfId="0" applyNumberFormat="1" applyBorder="1"/>
    <xf numFmtId="8" fontId="0" fillId="0" borderId="16" xfId="0" applyNumberFormat="1" applyBorder="1"/>
    <xf numFmtId="8" fontId="0" fillId="9" borderId="0" xfId="0" applyNumberFormat="1" applyFill="1" applyBorder="1"/>
    <xf numFmtId="8" fontId="0" fillId="9" borderId="12" xfId="0" applyNumberFormat="1" applyFill="1" applyBorder="1"/>
    <xf numFmtId="0" fontId="15" fillId="10" borderId="2" xfId="0" applyFont="1" applyFill="1" applyBorder="1" applyAlignment="1">
      <alignment horizontal="left"/>
    </xf>
    <xf numFmtId="0" fontId="15" fillId="10" borderId="1" xfId="0" applyFont="1" applyFill="1" applyBorder="1" applyAlignment="1">
      <alignment horizontal="left" vertical="center"/>
    </xf>
    <xf numFmtId="166" fontId="0" fillId="0" borderId="13" xfId="0" applyNumberFormat="1" applyBorder="1"/>
    <xf numFmtId="166" fontId="0" fillId="0" borderId="14" xfId="0" applyNumberFormat="1" applyBorder="1"/>
    <xf numFmtId="166" fontId="0" fillId="9" borderId="8" xfId="0" applyNumberFormat="1" applyFill="1" applyBorder="1"/>
    <xf numFmtId="166" fontId="0" fillId="9" borderId="11" xfId="0" applyNumberFormat="1" applyFill="1" applyBorder="1"/>
    <xf numFmtId="166" fontId="0" fillId="9" borderId="20" xfId="0" applyNumberFormat="1" applyFill="1" applyBorder="1"/>
    <xf numFmtId="166" fontId="0" fillId="9" borderId="13" xfId="0" applyNumberFormat="1" applyFill="1" applyBorder="1"/>
    <xf numFmtId="0" fontId="15" fillId="10" borderId="2" xfId="0" applyFont="1" applyFill="1" applyBorder="1" applyAlignment="1">
      <alignment horizontal="center"/>
    </xf>
    <xf numFmtId="0" fontId="15" fillId="10" borderId="57" xfId="0" applyFont="1" applyFill="1" applyBorder="1" applyAlignment="1">
      <alignment horizontal="left" vertical="center"/>
    </xf>
    <xf numFmtId="0" fontId="14" fillId="13" borderId="5" xfId="0" applyFont="1" applyFill="1" applyBorder="1"/>
    <xf numFmtId="0" fontId="14" fillId="13" borderId="1" xfId="0" applyFont="1" applyFill="1" applyBorder="1"/>
    <xf numFmtId="0" fontId="0" fillId="18" borderId="15" xfId="0" applyFill="1" applyBorder="1"/>
    <xf numFmtId="0" fontId="30" fillId="0" borderId="0" xfId="0" applyFont="1"/>
    <xf numFmtId="0" fontId="21" fillId="0" borderId="0" xfId="0" applyFont="1" applyFill="1"/>
    <xf numFmtId="0" fontId="16" fillId="13" borderId="5" xfId="0" applyFont="1" applyFill="1" applyBorder="1"/>
    <xf numFmtId="0" fontId="21" fillId="0" borderId="0" xfId="0" applyFont="1" applyBorder="1" applyAlignment="1">
      <alignment horizontal="center"/>
    </xf>
    <xf numFmtId="0" fontId="15" fillId="7" borderId="1" xfId="0" applyFont="1" applyFill="1" applyBorder="1" applyAlignment="1">
      <alignment horizontal="left" vertical="center"/>
    </xf>
    <xf numFmtId="0" fontId="15" fillId="21" borderId="8" xfId="0" applyFont="1" applyFill="1" applyBorder="1"/>
    <xf numFmtId="0" fontId="15" fillId="21" borderId="13" xfId="0" applyFont="1" applyFill="1" applyBorder="1"/>
    <xf numFmtId="0" fontId="15" fillId="21" borderId="14" xfId="0" applyFont="1" applyFill="1" applyBorder="1"/>
    <xf numFmtId="0" fontId="15" fillId="7" borderId="1" xfId="0" applyFont="1" applyFill="1" applyBorder="1" applyAlignment="1">
      <alignment horizontal="center" vertical="center"/>
    </xf>
    <xf numFmtId="0" fontId="15" fillId="21" borderId="2" xfId="0" applyFont="1" applyFill="1" applyBorder="1"/>
    <xf numFmtId="0" fontId="15" fillId="21" borderId="3" xfId="0" applyFont="1" applyFill="1" applyBorder="1"/>
    <xf numFmtId="0" fontId="15" fillId="21" borderId="4" xfId="0" applyFont="1" applyFill="1" applyBorder="1"/>
    <xf numFmtId="0" fontId="15" fillId="13" borderId="5" xfId="0" applyFont="1" applyFill="1" applyBorder="1" applyAlignment="1">
      <alignment horizontal="right" indent="1"/>
    </xf>
    <xf numFmtId="0" fontId="15" fillId="7" borderId="34" xfId="0" applyFont="1" applyFill="1" applyBorder="1" applyAlignment="1">
      <alignment horizontal="right" indent="1"/>
    </xf>
    <xf numFmtId="0" fontId="4" fillId="16" borderId="33" xfId="0" applyFont="1" applyFill="1" applyBorder="1" applyAlignment="1">
      <alignment horizontal="center"/>
    </xf>
    <xf numFmtId="0" fontId="0" fillId="18" borderId="60" xfId="1" applyNumberFormat="1" applyFont="1" applyFill="1" applyBorder="1" applyAlignment="1">
      <alignment horizontal="center"/>
    </xf>
    <xf numFmtId="0" fontId="0" fillId="18" borderId="58" xfId="0" applyFill="1" applyBorder="1" applyAlignment="1">
      <alignment horizontal="center"/>
    </xf>
    <xf numFmtId="0" fontId="0" fillId="18" borderId="59" xfId="0" applyFill="1" applyBorder="1" applyAlignment="1">
      <alignment horizontal="center"/>
    </xf>
    <xf numFmtId="0" fontId="0" fillId="20" borderId="62" xfId="1" applyNumberFormat="1" applyFont="1" applyFill="1" applyBorder="1" applyAlignment="1">
      <alignment horizontal="center"/>
    </xf>
    <xf numFmtId="0" fontId="0" fillId="20" borderId="15" xfId="0" applyFill="1" applyBorder="1" applyAlignment="1">
      <alignment horizontal="center"/>
    </xf>
    <xf numFmtId="9" fontId="0" fillId="20" borderId="16" xfId="1" applyFont="1" applyFill="1" applyBorder="1" applyAlignment="1">
      <alignment horizontal="center"/>
    </xf>
    <xf numFmtId="0" fontId="0" fillId="18" borderId="15" xfId="0" applyFill="1" applyBorder="1" applyAlignment="1">
      <alignment horizontal="center"/>
    </xf>
    <xf numFmtId="0" fontId="0" fillId="18" borderId="16" xfId="0" applyFill="1" applyBorder="1" applyAlignment="1">
      <alignment horizontal="center"/>
    </xf>
    <xf numFmtId="0" fontId="15" fillId="7" borderId="51" xfId="0" applyFont="1" applyFill="1" applyBorder="1" applyAlignment="1">
      <alignment horizontal="right" indent="1"/>
    </xf>
    <xf numFmtId="0" fontId="15" fillId="13" borderId="51" xfId="0" applyFont="1" applyFill="1" applyBorder="1" applyAlignment="1">
      <alignment horizontal="right" indent="1"/>
    </xf>
    <xf numFmtId="0" fontId="0" fillId="15" borderId="57" xfId="0" applyFill="1" applyBorder="1"/>
    <xf numFmtId="0" fontId="21" fillId="0" borderId="66" xfId="0" applyFont="1" applyBorder="1" applyAlignment="1">
      <alignment horizontal="center"/>
    </xf>
    <xf numFmtId="0" fontId="21" fillId="0" borderId="18" xfId="0" applyFont="1" applyBorder="1" applyAlignment="1">
      <alignment horizontal="left"/>
    </xf>
    <xf numFmtId="0" fontId="21" fillId="0" borderId="18" xfId="0" applyFont="1" applyBorder="1" applyAlignment="1">
      <alignment horizontal="center"/>
    </xf>
    <xf numFmtId="0" fontId="0" fillId="9" borderId="61" xfId="0" applyFill="1" applyBorder="1"/>
    <xf numFmtId="9" fontId="0" fillId="0" borderId="12" xfId="1" applyFont="1" applyBorder="1"/>
    <xf numFmtId="0" fontId="0" fillId="9" borderId="15" xfId="0" applyFill="1" applyBorder="1"/>
    <xf numFmtId="0" fontId="0" fillId="9" borderId="16" xfId="0" applyFill="1" applyBorder="1"/>
    <xf numFmtId="0" fontId="21" fillId="0" borderId="19" xfId="0" applyFont="1" applyBorder="1" applyAlignment="1">
      <alignment horizontal="center"/>
    </xf>
    <xf numFmtId="0" fontId="0" fillId="0" borderId="67" xfId="0" applyBorder="1"/>
    <xf numFmtId="0" fontId="0" fillId="0" borderId="62" xfId="0" applyBorder="1"/>
    <xf numFmtId="0" fontId="0" fillId="0" borderId="0" xfId="0" applyNumberFormat="1" applyBorder="1"/>
    <xf numFmtId="0" fontId="0" fillId="0" borderId="12" xfId="0" applyNumberFormat="1" applyBorder="1"/>
    <xf numFmtId="0" fontId="0" fillId="18" borderId="15" xfId="0" applyNumberFormat="1" applyFill="1" applyBorder="1"/>
    <xf numFmtId="0" fontId="21" fillId="0" borderId="35" xfId="0" applyFont="1" applyBorder="1" applyAlignment="1">
      <alignment horizontal="center"/>
    </xf>
    <xf numFmtId="0" fontId="21" fillId="0" borderId="36" xfId="0" applyFont="1" applyBorder="1" applyAlignment="1">
      <alignment horizontal="center"/>
    </xf>
    <xf numFmtId="1" fontId="0" fillId="9" borderId="0" xfId="0" applyNumberFormat="1" applyFill="1" applyBorder="1"/>
    <xf numFmtId="1" fontId="0" fillId="9" borderId="12" xfId="0" applyNumberFormat="1" applyFill="1" applyBorder="1"/>
    <xf numFmtId="0" fontId="14" fillId="13" borderId="7" xfId="0" applyFont="1" applyFill="1" applyBorder="1"/>
    <xf numFmtId="0" fontId="14" fillId="13" borderId="16" xfId="0" applyFont="1" applyFill="1" applyBorder="1"/>
    <xf numFmtId="0" fontId="21" fillId="0" borderId="34" xfId="0" applyFont="1" applyBorder="1" applyAlignment="1">
      <alignment horizontal="center"/>
    </xf>
    <xf numFmtId="0" fontId="0" fillId="0" borderId="0" xfId="0" applyNumberFormat="1" applyFill="1" applyBorder="1"/>
    <xf numFmtId="1" fontId="0" fillId="0" borderId="0" xfId="0" applyNumberFormat="1" applyFill="1" applyBorder="1"/>
    <xf numFmtId="1" fontId="0" fillId="0" borderId="12" xfId="0" applyNumberFormat="1" applyFill="1" applyBorder="1"/>
    <xf numFmtId="0" fontId="0" fillId="9" borderId="15" xfId="0" applyNumberFormat="1" applyFill="1" applyBorder="1"/>
    <xf numFmtId="0" fontId="0" fillId="9" borderId="16" xfId="0" applyNumberFormat="1" applyFill="1" applyBorder="1"/>
    <xf numFmtId="164" fontId="0" fillId="0" borderId="11" xfId="0" applyNumberFormat="1" applyBorder="1"/>
    <xf numFmtId="164" fontId="0" fillId="0" borderId="20" xfId="0" applyNumberFormat="1" applyBorder="1"/>
    <xf numFmtId="164" fontId="0" fillId="0" borderId="0" xfId="0" applyNumberFormat="1" applyBorder="1"/>
    <xf numFmtId="164" fontId="0" fillId="0" borderId="12" xfId="0" applyNumberFormat="1" applyBorder="1"/>
    <xf numFmtId="164" fontId="0" fillId="0" borderId="15" xfId="0" applyNumberFormat="1" applyBorder="1"/>
    <xf numFmtId="164" fontId="0" fillId="0" borderId="16" xfId="0" applyNumberFormat="1" applyBorder="1"/>
    <xf numFmtId="0" fontId="0" fillId="0" borderId="0" xfId="1" applyNumberFormat="1" applyFont="1" applyFill="1" applyBorder="1"/>
    <xf numFmtId="0" fontId="0" fillId="0" borderId="12" xfId="0" applyNumberFormat="1" applyFill="1" applyBorder="1"/>
    <xf numFmtId="164" fontId="0" fillId="9" borderId="0" xfId="0" applyNumberFormat="1" applyFill="1" applyBorder="1"/>
    <xf numFmtId="164" fontId="0" fillId="9" borderId="12" xfId="0" applyNumberFormat="1" applyFill="1" applyBorder="1"/>
    <xf numFmtId="164" fontId="0" fillId="9" borderId="15" xfId="0" applyNumberFormat="1" applyFill="1" applyBorder="1"/>
    <xf numFmtId="164" fontId="0" fillId="9" borderId="16" xfId="0" applyNumberFormat="1" applyFill="1" applyBorder="1"/>
    <xf numFmtId="0" fontId="15" fillId="0" borderId="13" xfId="0" applyFont="1" applyFill="1" applyBorder="1"/>
    <xf numFmtId="9" fontId="0" fillId="0" borderId="20" xfId="1" applyFont="1" applyBorder="1"/>
    <xf numFmtId="9" fontId="0" fillId="0" borderId="15" xfId="1" applyFont="1" applyFill="1" applyBorder="1"/>
    <xf numFmtId="9" fontId="0" fillId="0" borderId="16" xfId="1" applyFont="1" applyFill="1" applyBorder="1"/>
    <xf numFmtId="9" fontId="0" fillId="9" borderId="12" xfId="1" applyFont="1" applyFill="1" applyBorder="1"/>
    <xf numFmtId="0" fontId="27" fillId="15" borderId="1" xfId="0" applyFont="1" applyFill="1" applyBorder="1" applyAlignment="1">
      <alignment horizontal="center"/>
    </xf>
    <xf numFmtId="0" fontId="0" fillId="15" borderId="8" xfId="0" applyFill="1" applyBorder="1" applyAlignment="1">
      <alignment horizontal="right"/>
    </xf>
    <xf numFmtId="0" fontId="0" fillId="15" borderId="13" xfId="0" applyFill="1" applyBorder="1" applyAlignment="1">
      <alignment horizontal="right"/>
    </xf>
    <xf numFmtId="0" fontId="0" fillId="15" borderId="14" xfId="0" applyFill="1" applyBorder="1" applyAlignment="1">
      <alignment horizontal="right"/>
    </xf>
    <xf numFmtId="0" fontId="21" fillId="15" borderId="66" xfId="0" applyFont="1" applyFill="1" applyBorder="1" applyAlignment="1">
      <alignment horizontal="left"/>
    </xf>
    <xf numFmtId="0" fontId="21" fillId="15" borderId="18" xfId="0" applyFont="1" applyFill="1" applyBorder="1" applyAlignment="1">
      <alignment horizontal="left"/>
    </xf>
    <xf numFmtId="0" fontId="21" fillId="15" borderId="19" xfId="0" applyFont="1" applyFill="1" applyBorder="1" applyAlignment="1">
      <alignment horizontal="left"/>
    </xf>
    <xf numFmtId="0" fontId="0" fillId="22" borderId="5" xfId="0" applyFill="1" applyBorder="1"/>
    <xf numFmtId="0" fontId="0" fillId="22" borderId="15" xfId="0" applyFill="1" applyBorder="1"/>
    <xf numFmtId="0" fontId="0" fillId="22" borderId="7" xfId="0" applyFill="1" applyBorder="1"/>
    <xf numFmtId="0" fontId="21" fillId="15" borderId="2" xfId="0" applyFont="1" applyFill="1" applyBorder="1" applyAlignment="1">
      <alignment horizontal="center" vertical="center" wrapText="1"/>
    </xf>
    <xf numFmtId="0" fontId="31" fillId="14" borderId="1" xfId="0" applyFont="1" applyFill="1" applyBorder="1" applyAlignment="1">
      <alignment horizontal="center" vertical="center" wrapText="1"/>
    </xf>
    <xf numFmtId="0" fontId="31" fillId="14" borderId="1" xfId="0" applyFont="1" applyFill="1" applyBorder="1" applyAlignment="1">
      <alignment horizontal="center" vertical="center"/>
    </xf>
    <xf numFmtId="0" fontId="25" fillId="16" borderId="33" xfId="0" applyFont="1" applyFill="1" applyBorder="1" applyAlignment="1">
      <alignment horizontal="left"/>
    </xf>
    <xf numFmtId="0" fontId="15" fillId="21" borderId="34" xfId="0" applyFont="1" applyFill="1" applyBorder="1"/>
    <xf numFmtId="0" fontId="15" fillId="21" borderId="35" xfId="0" applyFont="1" applyFill="1" applyBorder="1"/>
    <xf numFmtId="0" fontId="15" fillId="21" borderId="36" xfId="0" applyFont="1" applyFill="1" applyBorder="1"/>
    <xf numFmtId="0" fontId="15" fillId="7" borderId="14" xfId="0" applyFont="1" applyFill="1" applyBorder="1" applyAlignment="1"/>
    <xf numFmtId="9" fontId="0" fillId="18" borderId="16" xfId="1" applyFont="1" applyFill="1" applyBorder="1" applyAlignment="1">
      <alignment horizontal="center"/>
    </xf>
    <xf numFmtId="0" fontId="16" fillId="13" borderId="1" xfId="0" applyFont="1" applyFill="1" applyBorder="1"/>
    <xf numFmtId="9" fontId="0" fillId="20" borderId="20" xfId="1" applyFont="1" applyFill="1" applyBorder="1" applyAlignment="1">
      <alignment horizontal="center"/>
    </xf>
    <xf numFmtId="0" fontId="0" fillId="20" borderId="7" xfId="0" applyFill="1" applyBorder="1" applyAlignment="1">
      <alignment horizontal="center"/>
    </xf>
    <xf numFmtId="9" fontId="0" fillId="18" borderId="1" xfId="1" applyFont="1" applyFill="1" applyBorder="1" applyAlignment="1">
      <alignment horizontal="center"/>
    </xf>
    <xf numFmtId="0" fontId="21" fillId="0" borderId="9" xfId="0" applyFont="1" applyBorder="1" applyAlignment="1">
      <alignment horizontal="center" vertical="center"/>
    </xf>
    <xf numFmtId="0" fontId="14" fillId="13" borderId="1" xfId="0" applyFont="1" applyFill="1" applyBorder="1" applyAlignment="1">
      <alignment horizontal="left" vertical="center" indent="1"/>
    </xf>
    <xf numFmtId="0" fontId="0" fillId="6" borderId="34" xfId="0" applyFont="1" applyFill="1" applyBorder="1"/>
    <xf numFmtId="0" fontId="0" fillId="6" borderId="35" xfId="0" applyFont="1" applyFill="1" applyBorder="1"/>
    <xf numFmtId="0" fontId="0" fillId="6" borderId="36" xfId="0" applyFont="1" applyFill="1" applyBorder="1"/>
    <xf numFmtId="0" fontId="15" fillId="10" borderId="8" xfId="0" applyFont="1" applyFill="1" applyBorder="1" applyAlignment="1">
      <alignment horizontal="left" vertical="center"/>
    </xf>
    <xf numFmtId="0" fontId="15" fillId="10" borderId="13" xfId="0" applyFont="1" applyFill="1" applyBorder="1" applyAlignment="1">
      <alignment horizontal="left" vertical="center"/>
    </xf>
    <xf numFmtId="0" fontId="15" fillId="10" borderId="14" xfId="0" applyFont="1" applyFill="1" applyBorder="1" applyAlignment="1">
      <alignment horizontal="left" vertical="center"/>
    </xf>
    <xf numFmtId="0" fontId="15" fillId="13" borderId="1" xfId="0" applyFont="1" applyFill="1" applyBorder="1" applyAlignment="1">
      <alignment horizontal="left" vertical="center" indent="1"/>
    </xf>
    <xf numFmtId="0" fontId="20" fillId="23" borderId="1" xfId="0" applyFont="1" applyFill="1" applyBorder="1" applyAlignment="1">
      <alignment horizontal="center" vertical="center" wrapText="1"/>
    </xf>
    <xf numFmtId="0" fontId="20" fillId="10" borderId="1" xfId="0" applyFont="1" applyFill="1" applyBorder="1" applyAlignment="1">
      <alignment horizontal="center" vertical="center" wrapText="1"/>
    </xf>
    <xf numFmtId="0" fontId="15" fillId="13" borderId="1" xfId="0" applyFont="1" applyFill="1" applyBorder="1" applyAlignment="1">
      <alignment horizontal="right" indent="1"/>
    </xf>
    <xf numFmtId="0" fontId="31" fillId="24" borderId="1" xfId="0" applyFont="1" applyFill="1" applyBorder="1" applyAlignment="1">
      <alignment horizontal="center" vertical="center" wrapText="1"/>
    </xf>
    <xf numFmtId="0" fontId="15" fillId="7" borderId="1" xfId="0" applyFont="1" applyFill="1" applyBorder="1" applyAlignment="1">
      <alignment horizontal="right" indent="1"/>
    </xf>
    <xf numFmtId="0" fontId="20" fillId="10" borderId="2" xfId="0" applyFont="1" applyFill="1" applyBorder="1" applyAlignment="1">
      <alignment horizontal="center" vertical="center" wrapText="1"/>
    </xf>
    <xf numFmtId="0" fontId="20" fillId="10" borderId="57" xfId="0" applyFont="1" applyFill="1" applyBorder="1" applyAlignment="1">
      <alignment horizontal="center" vertical="center" wrapText="1"/>
    </xf>
    <xf numFmtId="0" fontId="20" fillId="23" borderId="2" xfId="0" applyFont="1" applyFill="1" applyBorder="1" applyAlignment="1">
      <alignment horizontal="center" vertical="center" wrapText="1"/>
    </xf>
    <xf numFmtId="0" fontId="20" fillId="23" borderId="57" xfId="0" applyFont="1" applyFill="1" applyBorder="1" applyAlignment="1">
      <alignment horizontal="center" vertical="center" wrapText="1"/>
    </xf>
    <xf numFmtId="0" fontId="14" fillId="7" borderId="1" xfId="0" applyFont="1" applyFill="1" applyBorder="1"/>
    <xf numFmtId="9" fontId="0" fillId="2" borderId="61" xfId="1" applyFont="1" applyFill="1" applyBorder="1"/>
    <xf numFmtId="0" fontId="0" fillId="2" borderId="61" xfId="0" applyFill="1" applyBorder="1"/>
    <xf numFmtId="0" fontId="0" fillId="18" borderId="60" xfId="0" applyFill="1" applyBorder="1"/>
    <xf numFmtId="0" fontId="0" fillId="18" borderId="61" xfId="0" applyFill="1" applyBorder="1"/>
    <xf numFmtId="0" fontId="0" fillId="18" borderId="70" xfId="0" applyFill="1" applyBorder="1"/>
    <xf numFmtId="9" fontId="0" fillId="20" borderId="69" xfId="1" applyFont="1" applyFill="1" applyBorder="1"/>
    <xf numFmtId="0" fontId="0" fillId="18" borderId="69" xfId="0" applyFill="1" applyBorder="1"/>
    <xf numFmtId="0" fontId="0" fillId="20" borderId="69" xfId="0" applyFill="1" applyBorder="1"/>
    <xf numFmtId="0" fontId="0" fillId="18" borderId="71" xfId="0" applyFill="1" applyBorder="1"/>
    <xf numFmtId="0" fontId="0" fillId="18" borderId="72" xfId="0" applyFill="1" applyBorder="1"/>
    <xf numFmtId="9" fontId="0" fillId="20" borderId="73" xfId="1" applyFont="1" applyFill="1" applyBorder="1"/>
    <xf numFmtId="0" fontId="0" fillId="18" borderId="73" xfId="0" applyFill="1" applyBorder="1"/>
    <xf numFmtId="0" fontId="0" fillId="20" borderId="73" xfId="0" applyFill="1" applyBorder="1"/>
    <xf numFmtId="0" fontId="0" fillId="18" borderId="74" xfId="0" applyFill="1" applyBorder="1"/>
    <xf numFmtId="0" fontId="0" fillId="18" borderId="75" xfId="0" applyFill="1" applyBorder="1"/>
    <xf numFmtId="9" fontId="0" fillId="20" borderId="76" xfId="1" applyFont="1" applyFill="1" applyBorder="1"/>
    <xf numFmtId="0" fontId="0" fillId="18" borderId="76" xfId="0" applyFill="1" applyBorder="1"/>
    <xf numFmtId="0" fontId="0" fillId="20" borderId="76" xfId="0" applyFill="1" applyBorder="1"/>
    <xf numFmtId="0" fontId="0" fillId="18" borderId="77" xfId="0" applyFill="1" applyBorder="1"/>
    <xf numFmtId="44" fontId="0" fillId="0" borderId="11" xfId="2" applyFont="1" applyBorder="1"/>
    <xf numFmtId="44" fontId="0" fillId="0" borderId="20" xfId="2" applyFont="1" applyBorder="1"/>
    <xf numFmtId="44" fontId="0" fillId="0" borderId="0" xfId="0" applyNumberFormat="1" applyBorder="1"/>
    <xf numFmtId="44" fontId="0" fillId="0" borderId="12" xfId="0" applyNumberFormat="1" applyBorder="1"/>
    <xf numFmtId="9" fontId="0" fillId="0" borderId="16" xfId="1" applyFont="1" applyBorder="1"/>
    <xf numFmtId="44" fontId="0" fillId="0" borderId="11" xfId="0" applyNumberFormat="1" applyBorder="1"/>
    <xf numFmtId="44" fontId="0" fillId="0" borderId="20" xfId="0" applyNumberFormat="1" applyBorder="1"/>
    <xf numFmtId="44" fontId="0" fillId="9" borderId="15" xfId="0" applyNumberFormat="1" applyFill="1" applyBorder="1"/>
    <xf numFmtId="44" fontId="0" fillId="9" borderId="16" xfId="0" applyNumberFormat="1" applyFill="1" applyBorder="1"/>
    <xf numFmtId="9" fontId="0" fillId="9" borderId="15" xfId="1" applyFont="1" applyFill="1" applyBorder="1"/>
    <xf numFmtId="9" fontId="0" fillId="9" borderId="16" xfId="1" applyFont="1" applyFill="1" applyBorder="1"/>
    <xf numFmtId="168" fontId="0" fillId="9" borderId="15" xfId="0" applyNumberFormat="1" applyFill="1" applyBorder="1"/>
    <xf numFmtId="168" fontId="0" fillId="9" borderId="16" xfId="0" applyNumberFormat="1" applyFill="1" applyBorder="1"/>
    <xf numFmtId="0" fontId="0" fillId="18" borderId="62" xfId="0" applyFill="1" applyBorder="1"/>
    <xf numFmtId="0" fontId="34" fillId="14" borderId="1" xfId="0" applyFont="1" applyFill="1" applyBorder="1" applyAlignment="1">
      <alignment horizontal="center" vertical="center" wrapText="1"/>
    </xf>
    <xf numFmtId="0" fontId="0" fillId="9" borderId="14" xfId="0" applyFill="1" applyBorder="1"/>
    <xf numFmtId="0" fontId="0" fillId="9" borderId="15" xfId="0" applyFill="1" applyBorder="1"/>
    <xf numFmtId="0" fontId="0" fillId="9" borderId="16" xfId="0" applyFill="1" applyBorder="1"/>
    <xf numFmtId="0" fontId="20" fillId="3" borderId="18" xfId="0" applyFont="1" applyFill="1" applyBorder="1" applyAlignment="1">
      <alignment horizontal="right" indent="1"/>
    </xf>
    <xf numFmtId="0" fontId="20" fillId="3" borderId="35" xfId="0" applyFont="1" applyFill="1" applyBorder="1" applyAlignment="1">
      <alignment horizontal="right" indent="1"/>
    </xf>
    <xf numFmtId="0" fontId="0" fillId="8" borderId="11" xfId="0" applyFill="1" applyBorder="1"/>
    <xf numFmtId="0" fontId="0" fillId="8" borderId="20" xfId="0" applyFill="1" applyBorder="1"/>
    <xf numFmtId="2" fontId="0" fillId="8" borderId="20" xfId="0" applyNumberFormat="1" applyFill="1" applyBorder="1"/>
    <xf numFmtId="0" fontId="36" fillId="8" borderId="34" xfId="0" applyFont="1" applyFill="1" applyBorder="1" applyAlignment="1"/>
    <xf numFmtId="0" fontId="36" fillId="8" borderId="35" xfId="0" applyFont="1" applyFill="1" applyBorder="1" applyAlignment="1"/>
    <xf numFmtId="0" fontId="36" fillId="8" borderId="36" xfId="0" applyFont="1" applyFill="1" applyBorder="1" applyAlignment="1"/>
    <xf numFmtId="0" fontId="0" fillId="0" borderId="60" xfId="0" applyBorder="1"/>
    <xf numFmtId="0" fontId="0" fillId="0" borderId="58" xfId="0" applyBorder="1"/>
    <xf numFmtId="0" fontId="0" fillId="0" borderId="59" xfId="0" applyBorder="1"/>
    <xf numFmtId="0" fontId="15" fillId="25" borderId="79" xfId="0" applyFont="1" applyFill="1" applyBorder="1" applyAlignment="1">
      <alignment horizontal="center"/>
    </xf>
    <xf numFmtId="0" fontId="0" fillId="8" borderId="10" xfId="0" applyFill="1" applyBorder="1"/>
    <xf numFmtId="0" fontId="15" fillId="25" borderId="79" xfId="0" applyFont="1" applyFill="1" applyBorder="1" applyAlignment="1">
      <alignment horizontal="right" indent="1"/>
    </xf>
    <xf numFmtId="0" fontId="15" fillId="3" borderId="34" xfId="0" applyFont="1" applyFill="1" applyBorder="1" applyAlignment="1">
      <alignment horizontal="right" indent="1"/>
    </xf>
    <xf numFmtId="0" fontId="0" fillId="9" borderId="78" xfId="0" applyFill="1" applyBorder="1"/>
    <xf numFmtId="0" fontId="0" fillId="9" borderId="80" xfId="0" applyFill="1" applyBorder="1"/>
    <xf numFmtId="0" fontId="0" fillId="9" borderId="68" xfId="0" applyFill="1" applyBorder="1"/>
    <xf numFmtId="0" fontId="14" fillId="3" borderId="5" xfId="0" applyFont="1" applyFill="1" applyBorder="1" applyAlignment="1">
      <alignment horizontal="left"/>
    </xf>
    <xf numFmtId="0" fontId="14" fillId="3" borderId="34" xfId="0" applyFont="1" applyFill="1" applyBorder="1" applyAlignment="1">
      <alignment horizontal="left"/>
    </xf>
    <xf numFmtId="0" fontId="14" fillId="3" borderId="35" xfId="0" applyFont="1" applyFill="1" applyBorder="1" applyAlignment="1">
      <alignment horizontal="left"/>
    </xf>
    <xf numFmtId="0" fontId="14" fillId="3" borderId="18" xfId="0" applyFont="1" applyFill="1" applyBorder="1" applyAlignment="1">
      <alignment horizontal="left"/>
    </xf>
    <xf numFmtId="0" fontId="14" fillId="3" borderId="51" xfId="0" applyFont="1" applyFill="1" applyBorder="1" applyAlignment="1">
      <alignment horizontal="center"/>
    </xf>
    <xf numFmtId="0" fontId="14" fillId="3" borderId="5" xfId="0" applyFont="1" applyFill="1" applyBorder="1" applyAlignment="1">
      <alignment horizontal="center"/>
    </xf>
    <xf numFmtId="0" fontId="14" fillId="3" borderId="1" xfId="0" applyFont="1" applyFill="1" applyBorder="1" applyAlignment="1">
      <alignment horizontal="left"/>
    </xf>
    <xf numFmtId="0" fontId="0" fillId="0" borderId="60" xfId="0" applyFill="1" applyBorder="1" applyAlignment="1">
      <alignment horizontal="right"/>
    </xf>
    <xf numFmtId="0" fontId="0" fillId="0" borderId="58" xfId="0" applyFill="1" applyBorder="1" applyAlignment="1">
      <alignment horizontal="right"/>
    </xf>
    <xf numFmtId="0" fontId="0" fillId="0" borderId="59" xfId="0" applyFill="1" applyBorder="1" applyAlignment="1">
      <alignment horizontal="right"/>
    </xf>
    <xf numFmtId="0" fontId="0" fillId="0" borderId="61" xfId="0" applyFill="1" applyBorder="1" applyAlignment="1">
      <alignment horizontal="right"/>
    </xf>
    <xf numFmtId="0" fontId="0" fillId="0" borderId="0" xfId="0" applyFill="1" applyBorder="1" applyAlignment="1">
      <alignment horizontal="right"/>
    </xf>
    <xf numFmtId="0" fontId="0" fillId="0" borderId="12" xfId="0" applyFill="1" applyBorder="1" applyAlignment="1">
      <alignment horizontal="right"/>
    </xf>
    <xf numFmtId="0" fontId="0" fillId="0" borderId="62" xfId="0" applyFill="1" applyBorder="1" applyAlignment="1">
      <alignment horizontal="right"/>
    </xf>
    <xf numFmtId="0" fontId="0" fillId="0" borderId="15" xfId="0" applyFill="1" applyBorder="1" applyAlignment="1">
      <alignment horizontal="right"/>
    </xf>
    <xf numFmtId="0" fontId="0" fillId="0" borderId="16" xfId="0" applyFill="1" applyBorder="1" applyAlignment="1">
      <alignment horizontal="right"/>
    </xf>
    <xf numFmtId="0" fontId="0" fillId="0" borderId="60" xfId="0" applyFill="1" applyBorder="1"/>
    <xf numFmtId="0" fontId="0" fillId="0" borderId="58" xfId="0" applyFill="1" applyBorder="1"/>
    <xf numFmtId="0" fontId="0" fillId="0" borderId="59" xfId="0" applyFill="1" applyBorder="1"/>
    <xf numFmtId="0" fontId="0" fillId="0" borderId="12" xfId="0" applyFill="1" applyBorder="1"/>
    <xf numFmtId="0" fontId="0" fillId="0" borderId="15" xfId="0" applyFill="1" applyBorder="1"/>
    <xf numFmtId="0" fontId="0" fillId="0" borderId="16" xfId="0" applyFill="1" applyBorder="1"/>
    <xf numFmtId="0" fontId="14" fillId="3" borderId="2" xfId="0" applyFont="1" applyFill="1" applyBorder="1" applyAlignment="1">
      <alignment horizontal="center" vertical="center"/>
    </xf>
    <xf numFmtId="0" fontId="15" fillId="7" borderId="5" xfId="0" applyFont="1" applyFill="1" applyBorder="1" applyAlignment="1">
      <alignment horizontal="right" indent="1"/>
    </xf>
    <xf numFmtId="0" fontId="14" fillId="3" borderId="2" xfId="0" applyFont="1" applyFill="1" applyBorder="1" applyAlignment="1">
      <alignment horizontal="left"/>
    </xf>
    <xf numFmtId="0" fontId="14" fillId="3" borderId="2" xfId="0" applyFont="1" applyFill="1" applyBorder="1" applyAlignment="1">
      <alignment horizontal="center"/>
    </xf>
    <xf numFmtId="0" fontId="25" fillId="8" borderId="1" xfId="0" applyFont="1" applyFill="1" applyBorder="1" applyAlignment="1">
      <alignment horizontal="center"/>
    </xf>
    <xf numFmtId="0" fontId="25" fillId="8" borderId="1" xfId="0" applyFont="1" applyFill="1" applyBorder="1" applyAlignment="1"/>
    <xf numFmtId="0" fontId="14" fillId="3" borderId="3" xfId="0" applyFont="1" applyFill="1" applyBorder="1" applyAlignment="1">
      <alignment horizontal="center"/>
    </xf>
    <xf numFmtId="0" fontId="25" fillId="8" borderId="7" xfId="0" applyFont="1" applyFill="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2" xfId="0" applyBorder="1"/>
    <xf numFmtId="0" fontId="0" fillId="0" borderId="34" xfId="0" applyBorder="1"/>
    <xf numFmtId="0" fontId="0" fillId="0" borderId="35" xfId="0" applyBorder="1"/>
    <xf numFmtId="0" fontId="25" fillId="8" borderId="2" xfId="0" applyFont="1" applyFill="1" applyBorder="1" applyAlignment="1">
      <alignment horizontal="center"/>
    </xf>
    <xf numFmtId="0" fontId="0" fillId="8" borderId="8" xfId="0" applyFill="1" applyBorder="1"/>
    <xf numFmtId="0" fontId="25" fillId="8" borderId="15" xfId="0" applyFont="1" applyFill="1" applyBorder="1" applyAlignment="1">
      <alignment horizontal="right" vertical="top"/>
    </xf>
    <xf numFmtId="0" fontId="0" fillId="8" borderId="14" xfId="0" applyFill="1" applyBorder="1"/>
    <xf numFmtId="0" fontId="0" fillId="8" borderId="15" xfId="0" applyFill="1" applyBorder="1"/>
    <xf numFmtId="0" fontId="0" fillId="0" borderId="58" xfId="0" applyBorder="1" applyAlignment="1">
      <alignment horizontal="right" indent="1"/>
    </xf>
    <xf numFmtId="0" fontId="0" fillId="0" borderId="0" xfId="0" applyBorder="1" applyAlignment="1">
      <alignment horizontal="right" indent="1"/>
    </xf>
    <xf numFmtId="0" fontId="0" fillId="0" borderId="59" xfId="0" applyBorder="1" applyAlignment="1">
      <alignment horizontal="right" indent="1"/>
    </xf>
    <xf numFmtId="0" fontId="0" fillId="0" borderId="12" xfId="0" applyBorder="1" applyAlignment="1">
      <alignment horizontal="right" indent="1"/>
    </xf>
    <xf numFmtId="0" fontId="25" fillId="8" borderId="16" xfId="0" applyFont="1" applyFill="1" applyBorder="1" applyAlignment="1">
      <alignment horizontal="right" vertical="top" indent="1"/>
    </xf>
    <xf numFmtId="0" fontId="0" fillId="0" borderId="60" xfId="0" applyBorder="1" applyAlignment="1">
      <alignment horizontal="right" indent="1"/>
    </xf>
    <xf numFmtId="0" fontId="0" fillId="0" borderId="61" xfId="0" applyBorder="1" applyAlignment="1">
      <alignment horizontal="right" indent="1"/>
    </xf>
    <xf numFmtId="0" fontId="25" fillId="8" borderId="15" xfId="0" applyFont="1" applyFill="1" applyBorder="1" applyAlignment="1">
      <alignment horizontal="right" vertical="top" indent="1"/>
    </xf>
    <xf numFmtId="0" fontId="16" fillId="10" borderId="4" xfId="0" applyFont="1" applyFill="1" applyBorder="1" applyAlignment="1">
      <alignment horizontal="left" vertical="center"/>
    </xf>
    <xf numFmtId="0" fontId="14" fillId="10" borderId="1" xfId="0" applyFont="1" applyFill="1" applyBorder="1" applyAlignment="1">
      <alignment horizontal="center" vertical="center" wrapText="1"/>
    </xf>
    <xf numFmtId="0" fontId="14" fillId="10" borderId="1" xfId="0" applyFont="1" applyFill="1" applyBorder="1" applyAlignment="1">
      <alignment horizontal="center" vertical="center"/>
    </xf>
    <xf numFmtId="0" fontId="0" fillId="0" borderId="34"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25" fillId="12" borderId="2" xfId="0" applyFont="1" applyFill="1" applyBorder="1" applyAlignment="1">
      <alignment horizontal="center" vertical="center" wrapText="1"/>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0" fontId="4" fillId="12" borderId="33" xfId="0" applyFont="1" applyFill="1" applyBorder="1" applyAlignment="1">
      <alignment horizontal="center" vertical="center"/>
    </xf>
    <xf numFmtId="0" fontId="0" fillId="12" borderId="34" xfId="0" applyFont="1" applyFill="1" applyBorder="1" applyAlignment="1">
      <alignment horizontal="left" vertical="center"/>
    </xf>
    <xf numFmtId="0" fontId="0" fillId="12" borderId="35" xfId="0" applyFont="1" applyFill="1" applyBorder="1" applyAlignment="1">
      <alignment horizontal="left" vertical="center"/>
    </xf>
    <xf numFmtId="0" fontId="10" fillId="10" borderId="3" xfId="0" applyFont="1" applyFill="1" applyBorder="1"/>
    <xf numFmtId="0" fontId="4" fillId="12" borderId="2" xfId="0" applyFont="1" applyFill="1" applyBorder="1" applyAlignment="1">
      <alignment horizontal="center" vertical="center"/>
    </xf>
    <xf numFmtId="0" fontId="0" fillId="12" borderId="36" xfId="0" applyFont="1" applyFill="1" applyBorder="1" applyAlignment="1">
      <alignment horizontal="left" vertical="center"/>
    </xf>
    <xf numFmtId="0" fontId="0" fillId="10" borderId="0" xfId="0" applyFill="1"/>
    <xf numFmtId="0" fontId="10" fillId="10" borderId="13" xfId="0" applyFont="1" applyFill="1" applyBorder="1"/>
    <xf numFmtId="0" fontId="0" fillId="10" borderId="0" xfId="0" quotePrefix="1" applyFill="1" applyBorder="1"/>
    <xf numFmtId="0" fontId="21" fillId="0" borderId="1" xfId="0" applyFont="1" applyBorder="1" applyAlignment="1">
      <alignment horizontal="center"/>
    </xf>
    <xf numFmtId="0" fontId="21" fillId="0" borderId="5" xfId="0" applyFont="1" applyBorder="1" applyAlignment="1">
      <alignment horizontal="right"/>
    </xf>
    <xf numFmtId="0" fontId="21" fillId="0" borderId="7" xfId="0" applyFont="1" applyBorder="1" applyAlignment="1">
      <alignment horizontal="right"/>
    </xf>
    <xf numFmtId="0" fontId="21" fillId="0" borderId="6" xfId="0" applyFont="1" applyBorder="1" applyAlignment="1">
      <alignment horizontal="right"/>
    </xf>
    <xf numFmtId="0" fontId="0" fillId="0" borderId="60" xfId="0" quotePrefix="1" applyBorder="1"/>
    <xf numFmtId="0" fontId="0" fillId="0" borderId="56" xfId="0" applyBorder="1"/>
    <xf numFmtId="0" fontId="0" fillId="12" borderId="51" xfId="0" applyFont="1" applyFill="1" applyBorder="1" applyAlignment="1">
      <alignment horizontal="left" vertical="center"/>
    </xf>
    <xf numFmtId="0" fontId="0" fillId="0" borderId="6" xfId="0" quotePrefix="1" applyBorder="1" applyAlignment="1">
      <alignment horizontal="right" indent="1"/>
    </xf>
    <xf numFmtId="0" fontId="0" fillId="0" borderId="11" xfId="0" quotePrefix="1" applyBorder="1" applyAlignment="1">
      <alignment horizontal="right" indent="1"/>
    </xf>
    <xf numFmtId="0" fontId="0" fillId="0" borderId="20" xfId="0" quotePrefix="1" applyBorder="1" applyAlignment="1">
      <alignment horizontal="right" indent="1"/>
    </xf>
    <xf numFmtId="0" fontId="14" fillId="10" borderId="33" xfId="0" applyFont="1" applyFill="1" applyBorder="1" applyAlignment="1">
      <alignment horizontal="center" vertical="center" wrapText="1"/>
    </xf>
    <xf numFmtId="0" fontId="14" fillId="10" borderId="2" xfId="0" applyFont="1" applyFill="1" applyBorder="1" applyAlignment="1">
      <alignment horizontal="left"/>
    </xf>
    <xf numFmtId="0" fontId="15" fillId="13" borderId="1" xfId="0" applyFont="1" applyFill="1" applyBorder="1" applyAlignment="1">
      <alignment horizontal="center" vertical="center"/>
    </xf>
    <xf numFmtId="0" fontId="16" fillId="13" borderId="2" xfId="0" applyFont="1" applyFill="1" applyBorder="1"/>
    <xf numFmtId="0" fontId="16" fillId="13" borderId="4" xfId="0" applyFont="1" applyFill="1" applyBorder="1"/>
    <xf numFmtId="0" fontId="13" fillId="0" borderId="11" xfId="0" applyFont="1" applyBorder="1"/>
    <xf numFmtId="170" fontId="0" fillId="0" borderId="11" xfId="2" applyNumberFormat="1" applyFont="1" applyBorder="1"/>
    <xf numFmtId="170" fontId="0" fillId="0" borderId="0" xfId="2" applyNumberFormat="1" applyFont="1" applyBorder="1"/>
    <xf numFmtId="0" fontId="13" fillId="9" borderId="0" xfId="0" applyFont="1" applyFill="1" applyBorder="1"/>
    <xf numFmtId="170" fontId="0" fillId="9" borderId="0" xfId="2" applyNumberFormat="1" applyFont="1" applyFill="1" applyBorder="1"/>
    <xf numFmtId="44" fontId="0" fillId="9" borderId="15" xfId="2" applyFont="1" applyFill="1" applyBorder="1"/>
    <xf numFmtId="170" fontId="0" fillId="9" borderId="15" xfId="2" applyNumberFormat="1" applyFont="1" applyFill="1" applyBorder="1"/>
    <xf numFmtId="0" fontId="0" fillId="27" borderId="15" xfId="0" applyFill="1" applyBorder="1"/>
    <xf numFmtId="9" fontId="0" fillId="27" borderId="15" xfId="1" applyFont="1" applyFill="1" applyBorder="1"/>
    <xf numFmtId="0" fontId="0" fillId="27" borderId="16" xfId="0" applyFill="1" applyBorder="1"/>
    <xf numFmtId="44" fontId="13" fillId="0" borderId="11" xfId="2" applyFont="1" applyBorder="1"/>
    <xf numFmtId="0" fontId="5" fillId="9" borderId="0" xfId="0" applyFont="1" applyFill="1" applyBorder="1"/>
    <xf numFmtId="0" fontId="0" fillId="27" borderId="0" xfId="0" applyFill="1" applyBorder="1"/>
    <xf numFmtId="9" fontId="0" fillId="27" borderId="0" xfId="1" quotePrefix="1" applyFont="1" applyFill="1" applyBorder="1"/>
    <xf numFmtId="0" fontId="0" fillId="27" borderId="12" xfId="0" applyFill="1" applyBorder="1"/>
    <xf numFmtId="0" fontId="0" fillId="0" borderId="13" xfId="0" applyBorder="1" applyAlignment="1">
      <alignment horizontal="center" vertical="center"/>
    </xf>
    <xf numFmtId="0" fontId="0" fillId="0" borderId="14" xfId="0" applyBorder="1" applyAlignment="1">
      <alignment horizontal="center" vertical="center"/>
    </xf>
    <xf numFmtId="0" fontId="14" fillId="13" borderId="13" xfId="0" applyFont="1" applyFill="1" applyBorder="1" applyAlignment="1">
      <alignment horizontal="left"/>
    </xf>
    <xf numFmtId="0" fontId="14" fillId="13" borderId="0" xfId="0" applyFont="1" applyFill="1" applyBorder="1" applyAlignment="1">
      <alignment horizontal="left"/>
    </xf>
    <xf numFmtId="165" fontId="13" fillId="9" borderId="0" xfId="1" applyNumberFormat="1" applyFont="1" applyFill="1" applyBorder="1" applyAlignment="1">
      <alignment horizontal="center" vertical="center"/>
    </xf>
    <xf numFmtId="9" fontId="0" fillId="0" borderId="0" xfId="1" applyFont="1" applyBorder="1" applyAlignment="1">
      <alignment horizontal="center" vertical="center"/>
    </xf>
    <xf numFmtId="9" fontId="0" fillId="0" borderId="8" xfId="1" applyFont="1" applyBorder="1" applyAlignment="1">
      <alignment horizontal="center" vertical="center"/>
    </xf>
    <xf numFmtId="9" fontId="0" fillId="9" borderId="14" xfId="1" applyFont="1" applyFill="1" applyBorder="1" applyAlignment="1">
      <alignment horizontal="center" vertical="center"/>
    </xf>
    <xf numFmtId="165" fontId="0" fillId="0" borderId="11" xfId="0" applyNumberFormat="1" applyBorder="1" applyAlignment="1">
      <alignment horizontal="center" vertical="center"/>
    </xf>
    <xf numFmtId="9" fontId="0" fillId="9" borderId="0" xfId="0" applyNumberFormat="1" applyFill="1" applyBorder="1" applyAlignment="1">
      <alignment horizontal="center" vertical="center"/>
    </xf>
    <xf numFmtId="9" fontId="0" fillId="0" borderId="0" xfId="0" applyNumberFormat="1" applyBorder="1" applyAlignment="1">
      <alignment horizontal="center" vertical="center"/>
    </xf>
    <xf numFmtId="9" fontId="0" fillId="9" borderId="15" xfId="0" applyNumberFormat="1" applyFill="1" applyBorder="1" applyAlignment="1">
      <alignment horizontal="center" vertical="center"/>
    </xf>
    <xf numFmtId="0" fontId="13" fillId="9" borderId="0" xfId="0" applyFont="1" applyFill="1"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0" fillId="9" borderId="15" xfId="0" applyFill="1" applyBorder="1" applyAlignment="1">
      <alignment horizontal="center" vertical="center"/>
    </xf>
    <xf numFmtId="0" fontId="13" fillId="0" borderId="11" xfId="0" applyFont="1" applyBorder="1" applyAlignment="1">
      <alignment horizontal="center" vertical="center"/>
    </xf>
    <xf numFmtId="0" fontId="0" fillId="9" borderId="0" xfId="0" applyFill="1" applyBorder="1" applyAlignment="1">
      <alignment horizontal="center" vertical="center"/>
    </xf>
    <xf numFmtId="9" fontId="5" fillId="9" borderId="0" xfId="1" applyFont="1" applyFill="1" applyBorder="1" applyAlignment="1">
      <alignment horizontal="center" vertical="center"/>
    </xf>
    <xf numFmtId="9" fontId="0" fillId="0" borderId="11" xfId="1" applyFont="1" applyBorder="1" applyAlignment="1">
      <alignment horizontal="center" vertical="center"/>
    </xf>
    <xf numFmtId="9" fontId="0" fillId="9" borderId="15" xfId="1" applyFont="1" applyFill="1" applyBorder="1" applyAlignment="1">
      <alignment horizontal="center" vertical="center"/>
    </xf>
    <xf numFmtId="165" fontId="5" fillId="0" borderId="11" xfId="1" applyNumberFormat="1" applyFont="1" applyBorder="1" applyAlignment="1">
      <alignment horizontal="center" vertical="center"/>
    </xf>
    <xf numFmtId="165" fontId="0" fillId="9" borderId="0" xfId="1" applyNumberFormat="1" applyFont="1" applyFill="1" applyBorder="1" applyAlignment="1">
      <alignment horizontal="center" vertical="center"/>
    </xf>
    <xf numFmtId="165" fontId="0" fillId="0" borderId="0" xfId="1" applyNumberFormat="1" applyFont="1" applyBorder="1" applyAlignment="1">
      <alignment horizontal="center" vertical="center"/>
    </xf>
    <xf numFmtId="165" fontId="0" fillId="9" borderId="15" xfId="1" applyNumberFormat="1" applyFont="1" applyFill="1" applyBorder="1" applyAlignment="1">
      <alignment horizontal="center" vertical="center"/>
    </xf>
    <xf numFmtId="0" fontId="15" fillId="13" borderId="33" xfId="0" applyFont="1" applyFill="1" applyBorder="1" applyAlignment="1">
      <alignment horizontal="center" vertical="center"/>
    </xf>
    <xf numFmtId="0" fontId="12" fillId="13" borderId="8" xfId="0" applyFont="1" applyFill="1" applyBorder="1"/>
    <xf numFmtId="0" fontId="0" fillId="0" borderId="0" xfId="0" applyBorder="1" applyAlignment="1">
      <alignment horizontal="center"/>
    </xf>
    <xf numFmtId="170" fontId="0" fillId="0" borderId="12" xfId="2" applyNumberFormat="1" applyFont="1" applyBorder="1"/>
    <xf numFmtId="0" fontId="0" fillId="9" borderId="15" xfId="0" applyFill="1" applyBorder="1" applyAlignment="1">
      <alignment horizontal="center"/>
    </xf>
    <xf numFmtId="170" fontId="0" fillId="9" borderId="16" xfId="2" applyNumberFormat="1" applyFont="1" applyFill="1" applyBorder="1"/>
    <xf numFmtId="0" fontId="21" fillId="0" borderId="7" xfId="0" applyFont="1" applyBorder="1" applyAlignment="1">
      <alignment horizontal="left" vertical="center"/>
    </xf>
    <xf numFmtId="0" fontId="15" fillId="13" borderId="17" xfId="0" applyFont="1" applyFill="1" applyBorder="1" applyAlignment="1">
      <alignment horizontal="center" vertical="center"/>
    </xf>
    <xf numFmtId="0" fontId="15" fillId="13" borderId="10" xfId="0" applyFont="1" applyFill="1" applyBorder="1" applyAlignment="1">
      <alignment horizontal="center" vertical="center"/>
    </xf>
    <xf numFmtId="0" fontId="21" fillId="17" borderId="6" xfId="0" applyFont="1" applyFill="1" applyBorder="1" applyAlignment="1">
      <alignment horizontal="left" vertical="center"/>
    </xf>
    <xf numFmtId="0" fontId="0" fillId="17" borderId="68" xfId="0" applyFill="1" applyBorder="1"/>
    <xf numFmtId="0" fontId="0" fillId="17" borderId="14" xfId="0" applyFill="1" applyBorder="1"/>
    <xf numFmtId="0" fontId="21" fillId="17" borderId="15" xfId="0" applyFont="1" applyFill="1" applyBorder="1" applyAlignment="1">
      <alignment horizontal="left" vertical="center"/>
    </xf>
    <xf numFmtId="0" fontId="21" fillId="17" borderId="16" xfId="0" applyFont="1" applyFill="1" applyBorder="1" applyAlignment="1">
      <alignment horizontal="left" vertical="center"/>
    </xf>
    <xf numFmtId="0" fontId="0" fillId="18" borderId="0" xfId="0" applyFill="1"/>
    <xf numFmtId="0" fontId="5" fillId="5" borderId="5" xfId="0" applyFont="1" applyFill="1" applyBorder="1"/>
    <xf numFmtId="0" fontId="5" fillId="5" borderId="6" xfId="0" applyFont="1" applyFill="1" applyBorder="1"/>
    <xf numFmtId="0" fontId="5" fillId="5" borderId="7" xfId="0" applyFont="1" applyFill="1" applyBorder="1"/>
    <xf numFmtId="0" fontId="0" fillId="20" borderId="0" xfId="0" applyFill="1"/>
    <xf numFmtId="9" fontId="0" fillId="18" borderId="15" xfId="1" applyFont="1" applyFill="1" applyBorder="1" applyAlignment="1">
      <alignment horizontal="center"/>
    </xf>
    <xf numFmtId="9" fontId="0" fillId="9" borderId="15" xfId="1" applyFont="1" applyFill="1" applyBorder="1" applyAlignment="1">
      <alignment horizontal="center"/>
    </xf>
    <xf numFmtId="10" fontId="0" fillId="0" borderId="0" xfId="1" applyNumberFormat="1" applyFont="1" applyBorder="1"/>
    <xf numFmtId="10" fontId="0" fillId="9" borderId="15" xfId="1" applyNumberFormat="1" applyFont="1" applyFill="1" applyBorder="1"/>
    <xf numFmtId="0" fontId="0" fillId="13" borderId="10" xfId="0" applyFill="1" applyBorder="1"/>
    <xf numFmtId="0" fontId="15" fillId="21" borderId="20" xfId="0" applyFont="1" applyFill="1" applyBorder="1"/>
    <xf numFmtId="0" fontId="15" fillId="21" borderId="16" xfId="0" applyFont="1" applyFill="1" applyBorder="1"/>
    <xf numFmtId="0" fontId="15" fillId="21" borderId="67" xfId="0" applyFont="1" applyFill="1" applyBorder="1"/>
    <xf numFmtId="44" fontId="0" fillId="0" borderId="8" xfId="2" applyFont="1" applyBorder="1"/>
    <xf numFmtId="0" fontId="0" fillId="18" borderId="11" xfId="0" applyFill="1" applyBorder="1"/>
    <xf numFmtId="0" fontId="21" fillId="0" borderId="20" xfId="0" applyFont="1" applyBorder="1"/>
    <xf numFmtId="0" fontId="21" fillId="0" borderId="16" xfId="0" applyFont="1" applyBorder="1"/>
    <xf numFmtId="0" fontId="21" fillId="0" borderId="12" xfId="0" applyFont="1" applyBorder="1"/>
    <xf numFmtId="0" fontId="21" fillId="9" borderId="16" xfId="0" applyFont="1" applyFill="1" applyBorder="1"/>
    <xf numFmtId="0" fontId="21" fillId="9" borderId="12" xfId="0" applyFont="1" applyFill="1" applyBorder="1"/>
    <xf numFmtId="9" fontId="21" fillId="27" borderId="62" xfId="1" quotePrefix="1" applyFont="1" applyFill="1" applyBorder="1"/>
    <xf numFmtId="9" fontId="21" fillId="27" borderId="0" xfId="1" quotePrefix="1" applyFont="1" applyFill="1" applyBorder="1"/>
    <xf numFmtId="0" fontId="16" fillId="13" borderId="8" xfId="0" applyFont="1" applyFill="1" applyBorder="1"/>
    <xf numFmtId="0" fontId="0" fillId="13" borderId="20" xfId="0" applyFill="1" applyBorder="1"/>
    <xf numFmtId="0" fontId="0" fillId="18" borderId="0" xfId="0" applyFill="1" applyBorder="1"/>
    <xf numFmtId="0" fontId="21" fillId="27" borderId="5" xfId="0" applyFont="1" applyFill="1" applyBorder="1"/>
    <xf numFmtId="0" fontId="15" fillId="21" borderId="36" xfId="0" applyFont="1" applyFill="1" applyBorder="1" applyAlignment="1">
      <alignment wrapText="1"/>
    </xf>
    <xf numFmtId="165" fontId="0" fillId="9" borderId="15" xfId="1" applyNumberFormat="1" applyFont="1" applyFill="1" applyBorder="1" applyAlignment="1">
      <alignment vertical="center"/>
    </xf>
    <xf numFmtId="0" fontId="21" fillId="9" borderId="16" xfId="0" applyFont="1" applyFill="1" applyBorder="1" applyAlignment="1">
      <alignment vertical="center"/>
    </xf>
    <xf numFmtId="44" fontId="0" fillId="9" borderId="14" xfId="2" applyFont="1" applyFill="1" applyBorder="1" applyAlignment="1">
      <alignment vertical="center"/>
    </xf>
    <xf numFmtId="0" fontId="15" fillId="21" borderId="62" xfId="0" applyFont="1" applyFill="1" applyBorder="1" applyAlignment="1">
      <alignment vertical="center"/>
    </xf>
    <xf numFmtId="0" fontId="14" fillId="13" borderId="5" xfId="0" applyFont="1" applyFill="1" applyBorder="1" applyAlignment="1">
      <alignment vertical="center"/>
    </xf>
    <xf numFmtId="0" fontId="14" fillId="13" borderId="2" xfId="0" applyFont="1" applyFill="1" applyBorder="1" applyAlignment="1">
      <alignment vertical="center"/>
    </xf>
    <xf numFmtId="0" fontId="15" fillId="13" borderId="5" xfId="0" applyFont="1" applyFill="1" applyBorder="1" applyAlignment="1">
      <alignment vertical="center"/>
    </xf>
    <xf numFmtId="170" fontId="0" fillId="0" borderId="5" xfId="0" applyNumberFormat="1" applyBorder="1" applyAlignment="1">
      <alignment horizontal="right" vertical="center"/>
    </xf>
    <xf numFmtId="0" fontId="21" fillId="0" borderId="60" xfId="0" applyFont="1" applyBorder="1" applyAlignment="1">
      <alignment horizontal="center" vertical="center"/>
    </xf>
    <xf numFmtId="0" fontId="21" fillId="0" borderId="61" xfId="0" applyFont="1" applyBorder="1" applyAlignment="1">
      <alignment horizontal="center" vertical="center"/>
    </xf>
    <xf numFmtId="0" fontId="21" fillId="0" borderId="62" xfId="0" applyFont="1" applyBorder="1" applyAlignment="1">
      <alignment horizontal="center" vertical="center"/>
    </xf>
    <xf numFmtId="0" fontId="15" fillId="13" borderId="8" xfId="0" applyFont="1" applyFill="1" applyBorder="1" applyAlignment="1">
      <alignment horizontal="center" vertical="center"/>
    </xf>
    <xf numFmtId="0" fontId="15" fillId="13" borderId="11" xfId="0" applyFont="1" applyFill="1" applyBorder="1" applyAlignment="1">
      <alignment horizontal="center" vertical="center"/>
    </xf>
    <xf numFmtId="0" fontId="15" fillId="13" borderId="5" xfId="0" applyFont="1" applyFill="1" applyBorder="1" applyAlignment="1">
      <alignment horizontal="center" vertical="center"/>
    </xf>
    <xf numFmtId="9" fontId="0" fillId="0" borderId="58" xfId="1" applyFont="1" applyBorder="1"/>
    <xf numFmtId="0" fontId="21" fillId="0" borderId="59" xfId="0" applyFont="1" applyBorder="1"/>
    <xf numFmtId="0" fontId="0" fillId="0" borderId="61" xfId="0" applyBorder="1"/>
    <xf numFmtId="9" fontId="12" fillId="0" borderId="0" xfId="1" applyFont="1"/>
    <xf numFmtId="0" fontId="21" fillId="0" borderId="66" xfId="0" applyFont="1" applyBorder="1" applyAlignment="1">
      <alignment horizontal="center" vertical="center"/>
    </xf>
    <xf numFmtId="0" fontId="21" fillId="0" borderId="18" xfId="0" applyFont="1" applyBorder="1" applyAlignment="1">
      <alignment horizontal="center" vertical="center"/>
    </xf>
    <xf numFmtId="0" fontId="21" fillId="0" borderId="19" xfId="0" applyFont="1" applyBorder="1" applyAlignment="1">
      <alignment horizontal="center" vertical="center"/>
    </xf>
    <xf numFmtId="0" fontId="0" fillId="7" borderId="81" xfId="0" applyFill="1" applyBorder="1"/>
    <xf numFmtId="0" fontId="0" fillId="7" borderId="82" xfId="0" applyFill="1" applyBorder="1"/>
    <xf numFmtId="168" fontId="0" fillId="0" borderId="60" xfId="2" applyNumberFormat="1" applyFont="1" applyBorder="1"/>
    <xf numFmtId="168" fontId="0" fillId="0" borderId="58" xfId="2" applyNumberFormat="1" applyFont="1" applyBorder="1"/>
    <xf numFmtId="168" fontId="0" fillId="0" borderId="59" xfId="2" applyNumberFormat="1" applyFont="1" applyBorder="1"/>
    <xf numFmtId="168" fontId="0" fillId="0" borderId="61" xfId="2" applyNumberFormat="1" applyFont="1" applyBorder="1"/>
    <xf numFmtId="168" fontId="0" fillId="0" borderId="0" xfId="2" applyNumberFormat="1" applyFont="1" applyBorder="1"/>
    <xf numFmtId="168" fontId="0" fillId="0" borderId="12" xfId="2" applyNumberFormat="1" applyFont="1" applyBorder="1"/>
    <xf numFmtId="168" fontId="0" fillId="0" borderId="62" xfId="2" applyNumberFormat="1" applyFont="1" applyBorder="1"/>
    <xf numFmtId="168" fontId="0" fillId="0" borderId="15" xfId="2" applyNumberFormat="1" applyFont="1" applyBorder="1"/>
    <xf numFmtId="168" fontId="0" fillId="0" borderId="16" xfId="2" applyNumberFormat="1" applyFont="1" applyBorder="1"/>
    <xf numFmtId="0" fontId="21" fillId="0" borderId="34" xfId="0" applyFont="1" applyBorder="1" applyAlignment="1">
      <alignment horizontal="center" vertical="center"/>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0" fillId="27" borderId="8" xfId="0" applyFill="1" applyBorder="1"/>
    <xf numFmtId="0" fontId="0" fillId="27" borderId="11" xfId="0" applyFill="1" applyBorder="1"/>
    <xf numFmtId="0" fontId="0" fillId="27" borderId="20" xfId="0" applyFill="1" applyBorder="1"/>
    <xf numFmtId="0" fontId="0" fillId="0" borderId="13" xfId="0" quotePrefix="1" applyBorder="1"/>
    <xf numFmtId="0" fontId="0" fillId="29" borderId="13" xfId="0" quotePrefix="1" applyFill="1" applyBorder="1"/>
    <xf numFmtId="0" fontId="0" fillId="29" borderId="0" xfId="0" applyFill="1" applyBorder="1"/>
    <xf numFmtId="0" fontId="0" fillId="29" borderId="12" xfId="0" applyFill="1" applyBorder="1"/>
    <xf numFmtId="0" fontId="0" fillId="0" borderId="14" xfId="0" quotePrefix="1" applyBorder="1"/>
    <xf numFmtId="0" fontId="39" fillId="27" borderId="5" xfId="0" applyFont="1" applyFill="1" applyBorder="1" applyAlignment="1">
      <alignment horizontal="right" vertical="center"/>
    </xf>
    <xf numFmtId="0" fontId="41" fillId="27" borderId="5" xfId="0" applyFont="1" applyFill="1" applyBorder="1"/>
    <xf numFmtId="0" fontId="40" fillId="27" borderId="6" xfId="0" applyFont="1" applyFill="1" applyBorder="1"/>
    <xf numFmtId="0" fontId="40" fillId="27" borderId="7" xfId="0" applyFont="1" applyFill="1" applyBorder="1"/>
    <xf numFmtId="0" fontId="39" fillId="27" borderId="5" xfId="0" applyFont="1" applyFill="1" applyBorder="1" applyAlignment="1">
      <alignment vertical="center"/>
    </xf>
    <xf numFmtId="0" fontId="39" fillId="27" borderId="5" xfId="0" applyFont="1" applyFill="1" applyBorder="1" applyAlignment="1">
      <alignment horizontal="left" vertical="center" indent="9"/>
    </xf>
    <xf numFmtId="0" fontId="39" fillId="27" borderId="5" xfId="0" applyFont="1" applyFill="1" applyBorder="1" applyAlignment="1">
      <alignment horizontal="left" vertical="center" indent="5"/>
    </xf>
    <xf numFmtId="0" fontId="21" fillId="27" borderId="6" xfId="0" applyFont="1" applyFill="1" applyBorder="1"/>
    <xf numFmtId="0" fontId="21" fillId="27" borderId="7" xfId="0" applyFont="1" applyFill="1" applyBorder="1"/>
    <xf numFmtId="0" fontId="39" fillId="27" borderId="8" xfId="0" applyFont="1" applyFill="1" applyBorder="1" applyAlignment="1">
      <alignment horizontal="center" vertical="center"/>
    </xf>
    <xf numFmtId="0" fontId="14" fillId="21" borderId="2" xfId="0" applyFont="1" applyFill="1" applyBorder="1" applyAlignment="1">
      <alignment horizontal="center" vertical="center"/>
    </xf>
    <xf numFmtId="0" fontId="14" fillId="21" borderId="3" xfId="0" applyFont="1" applyFill="1" applyBorder="1" applyAlignment="1">
      <alignment horizontal="center" vertical="center"/>
    </xf>
    <xf numFmtId="0" fontId="14" fillId="21" borderId="4" xfId="0" applyFont="1" applyFill="1" applyBorder="1" applyAlignment="1">
      <alignment horizontal="center" vertical="center"/>
    </xf>
    <xf numFmtId="0" fontId="31" fillId="14" borderId="5" xfId="0" applyFont="1" applyFill="1" applyBorder="1" applyAlignment="1">
      <alignment horizontal="center" vertical="center" wrapText="1"/>
    </xf>
    <xf numFmtId="0" fontId="20" fillId="23" borderId="5" xfId="0" applyFont="1" applyFill="1" applyBorder="1" applyAlignment="1">
      <alignment horizontal="center" vertical="center" wrapText="1"/>
    </xf>
    <xf numFmtId="0" fontId="14" fillId="13" borderId="84" xfId="0" applyFont="1" applyFill="1" applyBorder="1" applyAlignment="1">
      <alignment horizontal="center"/>
    </xf>
    <xf numFmtId="0" fontId="31" fillId="24" borderId="85" xfId="0" applyFont="1" applyFill="1" applyBorder="1" applyAlignment="1">
      <alignment horizontal="center" vertical="center" wrapText="1"/>
    </xf>
    <xf numFmtId="0" fontId="38" fillId="28" borderId="85" xfId="0" applyFont="1" applyFill="1" applyBorder="1" applyAlignment="1">
      <alignment horizontal="center" vertical="center" wrapText="1"/>
    </xf>
    <xf numFmtId="0" fontId="0" fillId="7" borderId="83" xfId="0" applyFill="1" applyBorder="1"/>
    <xf numFmtId="168" fontId="0" fillId="0" borderId="86" xfId="2" applyNumberFormat="1" applyFont="1" applyBorder="1"/>
    <xf numFmtId="168" fontId="0" fillId="0" borderId="87" xfId="2" applyNumberFormat="1" applyFont="1" applyBorder="1"/>
    <xf numFmtId="168" fontId="0" fillId="0" borderId="88" xfId="2" applyNumberFormat="1" applyFont="1" applyBorder="1"/>
    <xf numFmtId="0" fontId="21" fillId="0" borderId="20" xfId="0" applyFont="1" applyFill="1" applyBorder="1" applyAlignment="1">
      <alignment horizontal="left" vertical="center"/>
    </xf>
    <xf numFmtId="0" fontId="21" fillId="0" borderId="12" xfId="0" applyFont="1" applyFill="1" applyBorder="1" applyAlignment="1">
      <alignment horizontal="left" vertical="center"/>
    </xf>
    <xf numFmtId="0" fontId="21" fillId="9" borderId="12" xfId="0" applyFont="1" applyFill="1" applyBorder="1" applyAlignment="1">
      <alignment horizontal="left" vertical="center"/>
    </xf>
    <xf numFmtId="1" fontId="0" fillId="9" borderId="15" xfId="1" applyNumberFormat="1" applyFont="1" applyFill="1" applyBorder="1"/>
    <xf numFmtId="0" fontId="21" fillId="9" borderId="16" xfId="0" applyFont="1" applyFill="1" applyBorder="1" applyAlignment="1">
      <alignment horizontal="left" vertical="center"/>
    </xf>
    <xf numFmtId="0" fontId="15" fillId="13" borderId="4" xfId="0" applyFont="1" applyFill="1" applyBorder="1" applyAlignment="1">
      <alignment vertical="center"/>
    </xf>
    <xf numFmtId="0" fontId="4" fillId="6" borderId="63" xfId="0" applyFont="1" applyFill="1" applyBorder="1"/>
    <xf numFmtId="0" fontId="5" fillId="15" borderId="10" xfId="0" applyFont="1" applyFill="1" applyBorder="1"/>
    <xf numFmtId="0" fontId="5" fillId="15" borderId="33" xfId="0" applyFont="1" applyFill="1" applyBorder="1"/>
    <xf numFmtId="0" fontId="0" fillId="18" borderId="7" xfId="1" applyNumberFormat="1" applyFont="1" applyFill="1" applyBorder="1" applyAlignment="1">
      <alignment horizontal="center"/>
    </xf>
    <xf numFmtId="0" fontId="0" fillId="18" borderId="1" xfId="1" applyNumberFormat="1" applyFont="1" applyFill="1" applyBorder="1" applyAlignment="1">
      <alignment horizontal="center"/>
    </xf>
    <xf numFmtId="0" fontId="0" fillId="0" borderId="4" xfId="0" applyBorder="1" applyAlignment="1">
      <alignment horizontal="left" vertical="center" wrapText="1" indent="2"/>
    </xf>
    <xf numFmtId="0" fontId="0" fillId="0" borderId="3" xfId="0" applyBorder="1" applyAlignment="1">
      <alignment horizontal="left" vertical="center" wrapText="1" indent="2"/>
    </xf>
    <xf numFmtId="0" fontId="5" fillId="0" borderId="0" xfId="0" applyFont="1" applyFill="1" applyAlignment="1">
      <alignment vertical="top"/>
    </xf>
    <xf numFmtId="0" fontId="0" fillId="0" borderId="89" xfId="0" applyBorder="1"/>
    <xf numFmtId="0" fontId="0" fillId="0" borderId="90" xfId="0" applyBorder="1"/>
    <xf numFmtId="0" fontId="45" fillId="18" borderId="1" xfId="0" applyFont="1" applyFill="1" applyBorder="1" applyAlignment="1">
      <alignment horizontal="center"/>
    </xf>
    <xf numFmtId="0" fontId="5" fillId="0" borderId="20" xfId="0" applyFont="1" applyFill="1" applyBorder="1"/>
    <xf numFmtId="0" fontId="5" fillId="0" borderId="12" xfId="0" applyFont="1" applyBorder="1"/>
    <xf numFmtId="0" fontId="5" fillId="0" borderId="16" xfId="0" applyFont="1" applyBorder="1"/>
    <xf numFmtId="0" fontId="0" fillId="9" borderId="59" xfId="0" applyFill="1" applyBorder="1"/>
    <xf numFmtId="0" fontId="15" fillId="3" borderId="7" xfId="0" applyFont="1" applyFill="1" applyBorder="1"/>
    <xf numFmtId="0" fontId="4" fillId="6" borderId="33" xfId="0" applyFont="1" applyFill="1" applyBorder="1" applyAlignment="1">
      <alignment horizontal="center"/>
    </xf>
    <xf numFmtId="0" fontId="4" fillId="8" borderId="9" xfId="0" applyFont="1" applyFill="1" applyBorder="1" applyAlignment="1">
      <alignment horizontal="center"/>
    </xf>
    <xf numFmtId="0" fontId="4" fillId="8" borderId="10" xfId="0" applyFont="1" applyFill="1" applyBorder="1" applyAlignment="1">
      <alignment horizontal="center"/>
    </xf>
    <xf numFmtId="0" fontId="4" fillId="6" borderId="5" xfId="0" applyFont="1" applyFill="1" applyBorder="1" applyAlignment="1">
      <alignment horizontal="center" vertical="center"/>
    </xf>
    <xf numFmtId="0" fontId="4" fillId="6" borderId="7" xfId="0" applyFont="1" applyFill="1" applyBorder="1" applyAlignment="1">
      <alignment horizontal="center" vertical="center"/>
    </xf>
    <xf numFmtId="0" fontId="5" fillId="5" borderId="5" xfId="0" applyFont="1" applyFill="1" applyBorder="1" applyAlignment="1">
      <alignment horizontal="left" vertical="center" indent="1"/>
    </xf>
    <xf numFmtId="0" fontId="5" fillId="5" borderId="6" xfId="0" applyFont="1" applyFill="1" applyBorder="1" applyAlignment="1">
      <alignment horizontal="left" vertical="center" indent="1"/>
    </xf>
    <xf numFmtId="0" fontId="5" fillId="5" borderId="7" xfId="0" applyFont="1" applyFill="1" applyBorder="1" applyAlignment="1">
      <alignment horizontal="left" vertical="center" indent="1"/>
    </xf>
    <xf numFmtId="0" fontId="4" fillId="6" borderId="5" xfId="0" applyFont="1" applyFill="1" applyBorder="1" applyAlignment="1">
      <alignment horizontal="center" vertical="center" wrapText="1"/>
    </xf>
    <xf numFmtId="0" fontId="0" fillId="11" borderId="9" xfId="0" applyFill="1" applyBorder="1" applyAlignment="1">
      <alignment horizontal="center" vertical="center" wrapText="1"/>
    </xf>
    <xf numFmtId="0" fontId="0" fillId="11" borderId="10" xfId="0" applyFill="1" applyBorder="1" applyAlignment="1">
      <alignment horizontal="center" vertical="center" wrapText="1"/>
    </xf>
    <xf numFmtId="0" fontId="4" fillId="8" borderId="17" xfId="0" applyFont="1" applyFill="1" applyBorder="1" applyAlignment="1">
      <alignment horizontal="center"/>
    </xf>
    <xf numFmtId="0" fontId="4" fillId="12" borderId="5" xfId="0" applyFont="1" applyFill="1" applyBorder="1" applyAlignment="1">
      <alignment horizontal="center" vertical="center" wrapText="1"/>
    </xf>
    <xf numFmtId="0" fontId="4" fillId="12" borderId="7" xfId="0" applyFont="1" applyFill="1" applyBorder="1" applyAlignment="1">
      <alignment horizontal="center" vertical="center" wrapText="1"/>
    </xf>
    <xf numFmtId="0" fontId="0" fillId="12" borderId="5" xfId="0" applyFill="1" applyBorder="1" applyAlignment="1">
      <alignment horizontal="center" vertical="center" wrapText="1"/>
    </xf>
    <xf numFmtId="0" fontId="0" fillId="12" borderId="7" xfId="0" applyFill="1" applyBorder="1" applyAlignment="1">
      <alignment horizontal="center" vertical="center" wrapText="1"/>
    </xf>
    <xf numFmtId="0" fontId="0" fillId="11" borderId="9" xfId="0" applyFill="1" applyBorder="1" applyAlignment="1">
      <alignment horizontal="center" wrapText="1"/>
    </xf>
    <xf numFmtId="0" fontId="0" fillId="11" borderId="10" xfId="0" applyFill="1" applyBorder="1" applyAlignment="1">
      <alignment horizontal="center" wrapText="1"/>
    </xf>
    <xf numFmtId="0" fontId="4" fillId="14" borderId="5" xfId="0" applyFont="1" applyFill="1" applyBorder="1" applyAlignment="1">
      <alignment horizontal="center" vertical="center" wrapText="1"/>
    </xf>
    <xf numFmtId="0" fontId="4" fillId="14" borderId="7" xfId="0" applyFont="1" applyFill="1" applyBorder="1" applyAlignment="1">
      <alignment horizontal="center" vertical="center" wrapText="1"/>
    </xf>
    <xf numFmtId="0" fontId="14" fillId="13" borderId="5" xfId="0" applyFont="1" applyFill="1" applyBorder="1" applyAlignment="1">
      <alignment horizontal="left" vertical="center"/>
    </xf>
    <xf numFmtId="0" fontId="14" fillId="13" borderId="7" xfId="0" applyFont="1" applyFill="1" applyBorder="1" applyAlignment="1">
      <alignment horizontal="left" vertical="center"/>
    </xf>
    <xf numFmtId="0" fontId="22" fillId="0" borderId="5" xfId="0" applyFont="1" applyBorder="1" applyAlignment="1">
      <alignment horizontal="center" vertical="center" wrapText="1"/>
    </xf>
    <xf numFmtId="0" fontId="22" fillId="0" borderId="7" xfId="0" applyFont="1" applyBorder="1" applyAlignment="1">
      <alignment horizontal="center" vertical="center" wrapText="1"/>
    </xf>
    <xf numFmtId="0" fontId="44" fillId="0" borderId="6" xfId="0" applyFont="1" applyFill="1" applyBorder="1" applyAlignment="1">
      <alignment horizontal="center"/>
    </xf>
    <xf numFmtId="0" fontId="44" fillId="0" borderId="7" xfId="0" applyFont="1" applyFill="1" applyBorder="1" applyAlignment="1">
      <alignment horizontal="center"/>
    </xf>
    <xf numFmtId="0" fontId="5" fillId="5" borderId="8" xfId="0" applyFont="1" applyFill="1" applyBorder="1" applyAlignment="1">
      <alignment horizontal="left" vertical="center" indent="1"/>
    </xf>
    <xf numFmtId="0" fontId="5" fillId="5" borderId="11" xfId="0" applyFont="1" applyFill="1" applyBorder="1" applyAlignment="1">
      <alignment horizontal="left" vertical="center" indent="1"/>
    </xf>
    <xf numFmtId="0" fontId="5" fillId="5" borderId="20" xfId="0" applyFont="1" applyFill="1" applyBorder="1" applyAlignment="1">
      <alignment horizontal="left" vertical="center" indent="1"/>
    </xf>
    <xf numFmtId="0" fontId="5" fillId="9" borderId="14" xfId="0" applyFont="1" applyFill="1" applyBorder="1" applyAlignment="1">
      <alignment horizontal="left" vertical="center" indent="1"/>
    </xf>
    <xf numFmtId="0" fontId="5" fillId="9" borderId="15" xfId="0" applyFont="1" applyFill="1" applyBorder="1" applyAlignment="1">
      <alignment horizontal="left" vertical="center" indent="1"/>
    </xf>
    <xf numFmtId="0" fontId="5" fillId="9" borderId="16" xfId="0" applyFont="1" applyFill="1" applyBorder="1" applyAlignment="1">
      <alignment horizontal="left" vertical="center" indent="1"/>
    </xf>
    <xf numFmtId="0" fontId="14" fillId="13" borderId="6" xfId="0" applyFont="1" applyFill="1" applyBorder="1" applyAlignment="1">
      <alignment horizontal="left" vertical="center"/>
    </xf>
    <xf numFmtId="0" fontId="15" fillId="7" borderId="13" xfId="0" applyFont="1" applyFill="1" applyBorder="1" applyAlignment="1">
      <alignment horizontal="center" vertical="center"/>
    </xf>
    <xf numFmtId="0" fontId="15" fillId="7" borderId="0" xfId="0" applyFont="1" applyFill="1" applyBorder="1" applyAlignment="1">
      <alignment horizontal="center" vertical="center"/>
    </xf>
    <xf numFmtId="0" fontId="15" fillId="7" borderId="12" xfId="0" applyFont="1" applyFill="1" applyBorder="1" applyAlignment="1">
      <alignment horizontal="center" vertical="center"/>
    </xf>
    <xf numFmtId="0" fontId="14" fillId="13" borderId="8" xfId="0" applyFont="1" applyFill="1" applyBorder="1" applyAlignment="1">
      <alignment horizontal="left" vertical="center"/>
    </xf>
    <xf numFmtId="0" fontId="14" fillId="13" borderId="11" xfId="0" applyFont="1" applyFill="1" applyBorder="1" applyAlignment="1">
      <alignment horizontal="left" vertical="center"/>
    </xf>
    <xf numFmtId="0" fontId="14" fillId="13" borderId="20" xfId="0" applyFont="1" applyFill="1" applyBorder="1" applyAlignment="1">
      <alignment horizontal="left" vertical="center"/>
    </xf>
    <xf numFmtId="0" fontId="4" fillId="16" borderId="5" xfId="0" applyFont="1" applyFill="1" applyBorder="1" applyAlignment="1">
      <alignment horizontal="left" vertical="center"/>
    </xf>
    <xf numFmtId="0" fontId="4" fillId="16" borderId="6" xfId="0" applyFont="1" applyFill="1" applyBorder="1" applyAlignment="1">
      <alignment horizontal="left" vertical="center"/>
    </xf>
    <xf numFmtId="0" fontId="4" fillId="16" borderId="7" xfId="0" applyFont="1" applyFill="1" applyBorder="1" applyAlignment="1">
      <alignment horizontal="left" vertical="center"/>
    </xf>
    <xf numFmtId="0" fontId="22" fillId="0" borderId="8" xfId="0" applyFont="1" applyBorder="1" applyAlignment="1">
      <alignment horizontal="left"/>
    </xf>
    <xf numFmtId="0" fontId="22" fillId="0" borderId="11" xfId="0" applyFont="1" applyBorder="1" applyAlignment="1">
      <alignment horizontal="left"/>
    </xf>
    <xf numFmtId="0" fontId="22" fillId="0" borderId="20" xfId="0" applyFont="1" applyBorder="1" applyAlignment="1">
      <alignment horizontal="left"/>
    </xf>
    <xf numFmtId="0" fontId="22" fillId="0" borderId="14" xfId="0" applyFont="1" applyBorder="1" applyAlignment="1">
      <alignment horizontal="left"/>
    </xf>
    <xf numFmtId="0" fontId="22" fillId="0" borderId="15" xfId="0" applyFont="1" applyBorder="1" applyAlignment="1">
      <alignment horizontal="left"/>
    </xf>
    <xf numFmtId="0" fontId="22" fillId="0" borderId="16" xfId="0" applyFont="1" applyBorder="1" applyAlignment="1">
      <alignment horizontal="left"/>
    </xf>
    <xf numFmtId="0" fontId="22" fillId="0" borderId="8" xfId="0" applyFont="1" applyBorder="1" applyAlignment="1">
      <alignment horizontal="left" vertical="center"/>
    </xf>
    <xf numFmtId="0" fontId="22" fillId="0" borderId="11" xfId="0" applyFont="1" applyBorder="1" applyAlignment="1">
      <alignment horizontal="left" vertical="center"/>
    </xf>
    <xf numFmtId="0" fontId="22" fillId="0" borderId="20" xfId="0" applyFont="1" applyBorder="1" applyAlignment="1">
      <alignment horizontal="left" vertical="center"/>
    </xf>
    <xf numFmtId="0" fontId="22" fillId="0" borderId="13" xfId="0" applyFont="1" applyBorder="1" applyAlignment="1">
      <alignment horizontal="left" vertical="center"/>
    </xf>
    <xf numFmtId="0" fontId="22" fillId="0" borderId="0" xfId="0" applyFont="1" applyBorder="1" applyAlignment="1">
      <alignment horizontal="left" vertical="center"/>
    </xf>
    <xf numFmtId="0" fontId="22" fillId="0" borderId="12" xfId="0" applyFont="1" applyBorder="1" applyAlignment="1">
      <alignment horizontal="left" vertical="center"/>
    </xf>
    <xf numFmtId="0" fontId="22" fillId="0" borderId="14" xfId="0" applyFont="1" applyBorder="1" applyAlignment="1">
      <alignment horizontal="left" vertical="center"/>
    </xf>
    <xf numFmtId="0" fontId="22" fillId="0" borderId="15" xfId="0" applyFont="1" applyBorder="1" applyAlignment="1">
      <alignment horizontal="left" vertical="center"/>
    </xf>
    <xf numFmtId="0" fontId="22" fillId="0" borderId="16" xfId="0" applyFont="1" applyBorder="1" applyAlignment="1">
      <alignment horizontal="left" vertical="center"/>
    </xf>
    <xf numFmtId="0" fontId="22" fillId="0" borderId="13" xfId="0" applyFont="1" applyBorder="1" applyAlignment="1">
      <alignment horizontal="left"/>
    </xf>
    <xf numFmtId="0" fontId="22" fillId="0" borderId="0" xfId="0" applyFont="1" applyBorder="1" applyAlignment="1">
      <alignment horizontal="left"/>
    </xf>
    <xf numFmtId="0" fontId="22" fillId="0" borderId="12" xfId="0" applyFont="1" applyBorder="1" applyAlignment="1">
      <alignment horizontal="left"/>
    </xf>
    <xf numFmtId="0" fontId="21" fillId="0" borderId="9" xfId="0" applyFont="1" applyBorder="1" applyAlignment="1">
      <alignment horizontal="center" vertical="center"/>
    </xf>
    <xf numFmtId="0" fontId="21" fillId="0" borderId="10" xfId="0" applyFont="1" applyBorder="1" applyAlignment="1">
      <alignment horizontal="center" vertical="center"/>
    </xf>
    <xf numFmtId="0" fontId="27" fillId="15" borderId="2" xfId="0" applyFont="1" applyFill="1" applyBorder="1" applyAlignment="1">
      <alignment horizontal="left" wrapText="1" indent="2"/>
    </xf>
    <xf numFmtId="0" fontId="27" fillId="15" borderId="57" xfId="0" applyFont="1" applyFill="1" applyBorder="1" applyAlignment="1">
      <alignment horizontal="left" wrapText="1" indent="2"/>
    </xf>
    <xf numFmtId="165" fontId="0" fillId="0" borderId="13" xfId="1" applyNumberFormat="1" applyFont="1" applyBorder="1" applyAlignment="1">
      <alignment horizontal="center"/>
    </xf>
    <xf numFmtId="165" fontId="0" fillId="0" borderId="0" xfId="1" applyNumberFormat="1" applyFont="1" applyBorder="1" applyAlignment="1">
      <alignment horizontal="center"/>
    </xf>
    <xf numFmtId="0" fontId="5" fillId="9" borderId="5" xfId="0" applyFont="1" applyFill="1" applyBorder="1" applyAlignment="1">
      <alignment horizontal="left" vertical="center" indent="1"/>
    </xf>
    <xf numFmtId="0" fontId="5" fillId="9" borderId="6" xfId="0" applyFont="1" applyFill="1" applyBorder="1" applyAlignment="1">
      <alignment horizontal="left" vertical="center" indent="1"/>
    </xf>
    <xf numFmtId="0" fontId="5" fillId="9" borderId="7" xfId="0" applyFont="1" applyFill="1" applyBorder="1" applyAlignment="1">
      <alignment horizontal="left" vertical="center" indent="1"/>
    </xf>
    <xf numFmtId="165" fontId="0" fillId="0" borderId="14" xfId="1" applyNumberFormat="1" applyFont="1" applyBorder="1" applyAlignment="1">
      <alignment horizontal="center"/>
    </xf>
    <xf numFmtId="165" fontId="0" fillId="0" borderId="15" xfId="1" applyNumberFormat="1" applyFont="1" applyBorder="1" applyAlignment="1">
      <alignment horizontal="center"/>
    </xf>
    <xf numFmtId="166" fontId="0" fillId="0" borderId="13" xfId="0" applyNumberFormat="1" applyBorder="1" applyAlignment="1">
      <alignment horizontal="center"/>
    </xf>
    <xf numFmtId="166" fontId="0" fillId="0" borderId="0" xfId="0" applyNumberFormat="1" applyBorder="1" applyAlignment="1">
      <alignment horizontal="center"/>
    </xf>
    <xf numFmtId="166" fontId="0" fillId="0" borderId="14" xfId="0" applyNumberFormat="1" applyBorder="1" applyAlignment="1">
      <alignment horizontal="center"/>
    </xf>
    <xf numFmtId="166" fontId="0" fillId="0" borderId="15" xfId="0" applyNumberFormat="1" applyBorder="1" applyAlignment="1">
      <alignment horizontal="center"/>
    </xf>
    <xf numFmtId="0" fontId="31" fillId="14" borderId="5" xfId="0" applyFont="1" applyFill="1" applyBorder="1" applyAlignment="1">
      <alignment horizontal="center" vertical="center"/>
    </xf>
    <xf numFmtId="0" fontId="31" fillId="14" borderId="7" xfId="0" applyFont="1" applyFill="1" applyBorder="1" applyAlignment="1">
      <alignment horizontal="center" vertical="center"/>
    </xf>
    <xf numFmtId="0" fontId="31" fillId="14" borderId="6" xfId="0" applyFont="1" applyFill="1" applyBorder="1" applyAlignment="1">
      <alignment horizontal="center" vertical="center"/>
    </xf>
    <xf numFmtId="0" fontId="0" fillId="9" borderId="5" xfId="0" quotePrefix="1" applyFill="1" applyBorder="1"/>
    <xf numFmtId="0" fontId="0" fillId="9" borderId="6" xfId="0" quotePrefix="1" applyFill="1" applyBorder="1"/>
    <xf numFmtId="0" fontId="0" fillId="9" borderId="7" xfId="0" quotePrefix="1" applyFill="1" applyBorder="1"/>
    <xf numFmtId="0" fontId="5" fillId="5" borderId="8" xfId="0" applyFont="1" applyFill="1" applyBorder="1" applyAlignment="1">
      <alignment horizontal="left"/>
    </xf>
    <xf numFmtId="0" fontId="5" fillId="5" borderId="11" xfId="0" applyFont="1" applyFill="1" applyBorder="1" applyAlignment="1">
      <alignment horizontal="left"/>
    </xf>
    <xf numFmtId="0" fontId="5" fillId="5" borderId="20" xfId="0" applyFont="1" applyFill="1" applyBorder="1" applyAlignment="1">
      <alignment horizontal="left"/>
    </xf>
    <xf numFmtId="0" fontId="0" fillId="9" borderId="14" xfId="0" applyFill="1" applyBorder="1"/>
    <xf numFmtId="0" fontId="0" fillId="9" borderId="15" xfId="0" applyFill="1" applyBorder="1"/>
    <xf numFmtId="0" fontId="0" fillId="9" borderId="16" xfId="0" applyFill="1" applyBorder="1"/>
    <xf numFmtId="0" fontId="0" fillId="5" borderId="5" xfId="0" applyFill="1" applyBorder="1"/>
    <xf numFmtId="0" fontId="0" fillId="5" borderId="6" xfId="0" applyFill="1" applyBorder="1"/>
    <xf numFmtId="0" fontId="0" fillId="5" borderId="7" xfId="0" applyFill="1" applyBorder="1"/>
    <xf numFmtId="0" fontId="0" fillId="9" borderId="8" xfId="0" applyFill="1" applyBorder="1"/>
    <xf numFmtId="0" fontId="0" fillId="9" borderId="11" xfId="0" applyFill="1" applyBorder="1"/>
    <xf numFmtId="0" fontId="0" fillId="9" borderId="20" xfId="0" applyFill="1" applyBorder="1"/>
    <xf numFmtId="0" fontId="14" fillId="3" borderId="5" xfId="0" applyFont="1" applyFill="1" applyBorder="1" applyAlignment="1">
      <alignment horizontal="left"/>
    </xf>
    <xf numFmtId="0" fontId="14" fillId="3" borderId="6" xfId="0" applyFont="1" applyFill="1" applyBorder="1" applyAlignment="1">
      <alignment horizontal="left"/>
    </xf>
    <xf numFmtId="0" fontId="14" fillId="26" borderId="5" xfId="0" applyFont="1" applyFill="1" applyBorder="1" applyAlignment="1">
      <alignment horizontal="left"/>
    </xf>
    <xf numFmtId="0" fontId="14" fillId="26" borderId="6" xfId="0" applyFont="1" applyFill="1" applyBorder="1" applyAlignment="1">
      <alignment horizontal="left"/>
    </xf>
    <xf numFmtId="0" fontId="14" fillId="26" borderId="11" xfId="0" applyFont="1" applyFill="1" applyBorder="1" applyAlignment="1">
      <alignment horizontal="left"/>
    </xf>
    <xf numFmtId="0" fontId="14" fillId="26" borderId="20" xfId="0" applyFont="1" applyFill="1" applyBorder="1" applyAlignment="1">
      <alignment horizontal="left"/>
    </xf>
    <xf numFmtId="0" fontId="0" fillId="9" borderId="6" xfId="0" applyFill="1" applyBorder="1"/>
    <xf numFmtId="0" fontId="0" fillId="9" borderId="7" xfId="0" applyFill="1" applyBorder="1"/>
    <xf numFmtId="0" fontId="15" fillId="7" borderId="5" xfId="0" applyFont="1" applyFill="1" applyBorder="1" applyAlignment="1">
      <alignment horizontal="left" vertical="center"/>
    </xf>
    <xf numFmtId="0" fontId="15" fillId="7" borderId="6" xfId="0" applyFont="1" applyFill="1" applyBorder="1" applyAlignment="1">
      <alignment horizontal="left" vertical="center"/>
    </xf>
    <xf numFmtId="0" fontId="15" fillId="7" borderId="7" xfId="0" applyFont="1" applyFill="1" applyBorder="1" applyAlignment="1">
      <alignment horizontal="left" vertical="center"/>
    </xf>
    <xf numFmtId="0" fontId="4" fillId="9" borderId="5" xfId="0" applyFont="1" applyFill="1" applyBorder="1"/>
    <xf numFmtId="0" fontId="4" fillId="9" borderId="11" xfId="0" applyFont="1" applyFill="1" applyBorder="1"/>
    <xf numFmtId="0" fontId="4" fillId="9" borderId="20" xfId="0" applyFont="1" applyFill="1" applyBorder="1"/>
    <xf numFmtId="0" fontId="16" fillId="26" borderId="5" xfId="0" applyFont="1" applyFill="1" applyBorder="1"/>
    <xf numFmtId="0" fontId="16" fillId="26" borderId="6" xfId="0" applyFont="1" applyFill="1" applyBorder="1"/>
    <xf numFmtId="0" fontId="16" fillId="26" borderId="7" xfId="0" applyFont="1" applyFill="1" applyBorder="1"/>
    <xf numFmtId="0" fontId="15" fillId="7" borderId="6" xfId="0" applyFont="1" applyFill="1" applyBorder="1" applyAlignment="1">
      <alignment horizontal="center"/>
    </xf>
    <xf numFmtId="0" fontId="15" fillId="7" borderId="7" xfId="0" applyFont="1" applyFill="1" applyBorder="1" applyAlignment="1">
      <alignment horizontal="center"/>
    </xf>
    <xf numFmtId="0" fontId="5" fillId="9" borderId="12" xfId="0" applyFont="1" applyFill="1" applyBorder="1" applyAlignment="1">
      <alignment vertical="center" wrapText="1"/>
    </xf>
    <xf numFmtId="0" fontId="40" fillId="27" borderId="6" xfId="0" applyFont="1" applyFill="1" applyBorder="1" applyAlignment="1">
      <alignment vertical="center"/>
    </xf>
    <xf numFmtId="0" fontId="40" fillId="27" borderId="7" xfId="0" applyFont="1" applyFill="1" applyBorder="1" applyAlignment="1">
      <alignment vertical="center"/>
    </xf>
    <xf numFmtId="49" fontId="5" fillId="27" borderId="6" xfId="14" applyNumberFormat="1" applyFont="1" applyFill="1" applyBorder="1" applyAlignment="1">
      <alignment vertical="center"/>
    </xf>
    <xf numFmtId="49" fontId="40" fillId="27" borderId="6" xfId="0" applyNumberFormat="1" applyFont="1" applyFill="1" applyBorder="1" applyAlignment="1">
      <alignment vertical="center"/>
    </xf>
    <xf numFmtId="49" fontId="40" fillId="27" borderId="7" xfId="0" applyNumberFormat="1" applyFont="1" applyFill="1" applyBorder="1" applyAlignment="1">
      <alignment vertical="center"/>
    </xf>
    <xf numFmtId="0" fontId="0" fillId="0" borderId="0" xfId="0" applyBorder="1" applyAlignment="1">
      <alignment horizontal="center" vertical="center"/>
    </xf>
    <xf numFmtId="0" fontId="5" fillId="9" borderId="0" xfId="0" applyFont="1" applyFill="1" applyBorder="1" applyAlignment="1">
      <alignment horizontal="center" vertical="center" wrapText="1"/>
    </xf>
    <xf numFmtId="0" fontId="14" fillId="10" borderId="5" xfId="0" applyFont="1" applyFill="1" applyBorder="1" applyAlignment="1">
      <alignment horizontal="left" vertical="center"/>
    </xf>
    <xf numFmtId="0" fontId="14" fillId="10" borderId="6" xfId="0" applyFont="1" applyFill="1" applyBorder="1" applyAlignment="1">
      <alignment horizontal="left" vertical="center"/>
    </xf>
    <xf numFmtId="0" fontId="14" fillId="10" borderId="7" xfId="0" applyFont="1" applyFill="1" applyBorder="1" applyAlignment="1">
      <alignment horizontal="left" vertical="center"/>
    </xf>
    <xf numFmtId="0" fontId="14" fillId="10" borderId="8" xfId="0" applyFont="1" applyFill="1" applyBorder="1" applyAlignment="1">
      <alignment horizontal="left" vertical="center"/>
    </xf>
    <xf numFmtId="0" fontId="5" fillId="9" borderId="5" xfId="0" applyFont="1" applyFill="1" applyBorder="1" applyAlignment="1">
      <alignment horizontal="left" vertical="center"/>
    </xf>
    <xf numFmtId="0" fontId="5" fillId="9" borderId="6" xfId="0" applyFont="1" applyFill="1" applyBorder="1" applyAlignment="1">
      <alignment horizontal="left" vertical="center"/>
    </xf>
    <xf numFmtId="0" fontId="5" fillId="9" borderId="7" xfId="0" applyFont="1" applyFill="1" applyBorder="1" applyAlignment="1">
      <alignment horizontal="left" vertical="center"/>
    </xf>
    <xf numFmtId="0" fontId="14" fillId="10" borderId="8" xfId="0" applyFont="1" applyFill="1" applyBorder="1" applyAlignment="1">
      <alignment horizontal="left"/>
    </xf>
    <xf numFmtId="0" fontId="14" fillId="10" borderId="11" xfId="0" applyFont="1" applyFill="1" applyBorder="1" applyAlignment="1">
      <alignment horizontal="left"/>
    </xf>
    <xf numFmtId="0" fontId="14" fillId="10" borderId="20" xfId="0" applyFont="1" applyFill="1" applyBorder="1" applyAlignment="1">
      <alignment horizontal="left"/>
    </xf>
    <xf numFmtId="0" fontId="14" fillId="10" borderId="9" xfId="0" applyFont="1" applyFill="1" applyBorder="1" applyAlignment="1">
      <alignment horizontal="center" vertical="center" wrapText="1"/>
    </xf>
    <xf numFmtId="0" fontId="14" fillId="10" borderId="10" xfId="0" applyFont="1" applyFill="1" applyBorder="1" applyAlignment="1">
      <alignment horizontal="center" vertical="center" wrapText="1"/>
    </xf>
    <xf numFmtId="0" fontId="15" fillId="13" borderId="9" xfId="0" applyFont="1" applyFill="1" applyBorder="1" applyAlignment="1">
      <alignment horizontal="center"/>
    </xf>
    <xf numFmtId="0" fontId="15" fillId="13" borderId="17" xfId="0" applyFont="1" applyFill="1" applyBorder="1" applyAlignment="1">
      <alignment horizontal="center"/>
    </xf>
    <xf numFmtId="0" fontId="15" fillId="13" borderId="10" xfId="0" applyFont="1" applyFill="1" applyBorder="1" applyAlignment="1">
      <alignment horizontal="center"/>
    </xf>
    <xf numFmtId="0" fontId="15" fillId="13" borderId="9" xfId="0" applyFont="1" applyFill="1" applyBorder="1" applyAlignment="1">
      <alignment horizontal="left" vertical="center"/>
    </xf>
    <xf numFmtId="0" fontId="15" fillId="13" borderId="17" xfId="0" applyFont="1" applyFill="1" applyBorder="1" applyAlignment="1">
      <alignment horizontal="left" vertical="center"/>
    </xf>
    <xf numFmtId="0" fontId="15" fillId="13" borderId="10" xfId="0" applyFont="1" applyFill="1" applyBorder="1" applyAlignment="1">
      <alignment horizontal="left" vertical="center"/>
    </xf>
    <xf numFmtId="0" fontId="16" fillId="13" borderId="13" xfId="0" applyFont="1" applyFill="1" applyBorder="1"/>
    <xf numFmtId="0" fontId="16" fillId="13" borderId="0" xfId="0" applyFont="1" applyFill="1" applyBorder="1"/>
    <xf numFmtId="0" fontId="41" fillId="27" borderId="5" xfId="0" applyFont="1" applyFill="1" applyBorder="1" applyAlignment="1">
      <alignment horizontal="left"/>
    </xf>
    <xf numFmtId="0" fontId="41" fillId="27" borderId="6" xfId="0" applyFont="1" applyFill="1" applyBorder="1" applyAlignment="1">
      <alignment horizontal="left"/>
    </xf>
    <xf numFmtId="0" fontId="41" fillId="27" borderId="7" xfId="0" applyFont="1" applyFill="1" applyBorder="1" applyAlignment="1">
      <alignment horizontal="left"/>
    </xf>
    <xf numFmtId="0" fontId="14" fillId="13" borderId="15" xfId="0" applyFont="1" applyFill="1" applyBorder="1" applyAlignment="1">
      <alignment horizontal="center"/>
    </xf>
    <xf numFmtId="0" fontId="0" fillId="7" borderId="9" xfId="0" applyFill="1" applyBorder="1"/>
    <xf numFmtId="0" fontId="0" fillId="7" borderId="17" xfId="0" applyFill="1" applyBorder="1"/>
    <xf numFmtId="0" fontId="0" fillId="7" borderId="10" xfId="0" applyFill="1" applyBorder="1"/>
    <xf numFmtId="0" fontId="31" fillId="14" borderId="5" xfId="0" applyFont="1" applyFill="1" applyBorder="1" applyAlignment="1">
      <alignment horizontal="center" vertical="center" wrapText="1"/>
    </xf>
    <xf numFmtId="0" fontId="31" fillId="14" borderId="7" xfId="0" applyFont="1" applyFill="1" applyBorder="1" applyAlignment="1">
      <alignment horizontal="center" vertical="center" wrapText="1"/>
    </xf>
    <xf numFmtId="0" fontId="31" fillId="14" borderId="6" xfId="0" applyFont="1" applyFill="1" applyBorder="1" applyAlignment="1">
      <alignment horizontal="center" vertical="center" wrapText="1"/>
    </xf>
    <xf numFmtId="0" fontId="0" fillId="15" borderId="10" xfId="0" applyFill="1" applyBorder="1" applyAlignment="1"/>
  </cellXfs>
  <cellStyles count="15">
    <cellStyle name="Link" xfId="14" builtinId="8"/>
    <cellStyle name="Prozent" xfId="1" builtinId="5"/>
    <cellStyle name="Standard" xfId="0" builtinId="0"/>
    <cellStyle name="Währung" xfId="2" builtinId="4"/>
    <cellStyle name="Währung 2" xfId="3" xr:uid="{00000000-0005-0000-0000-000004000000}"/>
    <cellStyle name="Währung 2 2" xfId="7" xr:uid="{00000000-0005-0000-0000-000005000000}"/>
    <cellStyle name="Währung 2 2 2" xfId="13" xr:uid="{00000000-0005-0000-0000-000006000000}"/>
    <cellStyle name="Währung 2 3" xfId="5" xr:uid="{00000000-0005-0000-0000-000007000000}"/>
    <cellStyle name="Währung 2 3 2" xfId="11" xr:uid="{00000000-0005-0000-0000-000008000000}"/>
    <cellStyle name="Währung 2 4" xfId="9" xr:uid="{00000000-0005-0000-0000-000009000000}"/>
    <cellStyle name="Währung 3" xfId="4" xr:uid="{00000000-0005-0000-0000-00000A000000}"/>
    <cellStyle name="Währung 3 2" xfId="10" xr:uid="{00000000-0005-0000-0000-00000B000000}"/>
    <cellStyle name="Währung 4" xfId="6" xr:uid="{00000000-0005-0000-0000-00000C000000}"/>
    <cellStyle name="Währung 4 2" xfId="12" xr:uid="{00000000-0005-0000-0000-00000D000000}"/>
    <cellStyle name="Währung 5" xfId="8" xr:uid="{00000000-0005-0000-0000-00000E000000}"/>
  </cellStyles>
  <dxfs count="30">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s>
  <tableStyles count="0" defaultTableStyle="TableStyleMedium2" defaultPivotStyle="PivotStyleLight16"/>
  <colors>
    <mruColors>
      <color rgb="FFC4B30E"/>
      <color rgb="FF32578C"/>
      <color rgb="FF5F7593"/>
      <color rgb="FF415063"/>
      <color rgb="FFFFFF99"/>
      <color rgb="FFFFFF47"/>
      <color rgb="FF50637C"/>
      <color rgb="FF618AC7"/>
      <color rgb="FF485970"/>
      <color rgb="FFDBC80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worksheet" Target="worksheets/sheet9.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8.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4.xml"/><Relationship Id="rId5" Type="http://schemas.openxmlformats.org/officeDocument/2006/relationships/worksheet" Target="worksheets/sheet5.xml"/><Relationship Id="rId15" Type="http://schemas.openxmlformats.org/officeDocument/2006/relationships/worksheet" Target="worksheets/sheet11.xml"/><Relationship Id="rId10" Type="http://schemas.openxmlformats.org/officeDocument/2006/relationships/chartsheet" Target="chartsheets/sheet3.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chartsheet" Target="chartsheets/sheet2.xml"/><Relationship Id="rId14" Type="http://schemas.openxmlformats.org/officeDocument/2006/relationships/worksheet" Target="worksheets/sheet10.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Umwandlungskosten</a:t>
            </a:r>
            <a:r>
              <a:rPr lang="de-DE" sz="1400" b="0" i="0" u="none" strike="noStrike" baseline="0">
                <a:effectLst/>
              </a:rPr>
              <a:t> H2-basierter Energieträger/Grundstoffe</a:t>
            </a: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Transportoptionen!$B$61</c:f>
              <c:strCache>
                <c:ptCount val="1"/>
                <c:pt idx="0">
                  <c:v>CAPEX + O&amp;M Wandlung</c:v>
                </c:pt>
              </c:strCache>
            </c:strRef>
          </c:tx>
          <c:spPr>
            <a:solidFill>
              <a:schemeClr val="accent1"/>
            </a:solidFill>
            <a:ln>
              <a:noFill/>
            </a:ln>
            <a:effectLst/>
          </c:spPr>
          <c:invertIfNegative val="0"/>
          <c:cat>
            <c:multiLvlStrRef>
              <c:f>Transportoptionen!$C$7:$O$8</c:f>
              <c:multiLvlStrCache>
                <c:ptCount val="13"/>
                <c:lvl>
                  <c:pt idx="0">
                    <c:v>TK-Tanker klein</c:v>
                  </c:pt>
                  <c:pt idx="1">
                    <c:v>TK-Tanker</c:v>
                  </c:pt>
                  <c:pt idx="2">
                    <c:v>H2-Gaspipeline Neubau, 300mm</c:v>
                  </c:pt>
                  <c:pt idx="3">
                    <c:v>H2-Gaspipeline Neubau, 1016mm</c:v>
                  </c:pt>
                  <c:pt idx="4">
                    <c:v>H2-Gaspipeline Umrüstung, 1016mm</c:v>
                  </c:pt>
                  <c:pt idx="5">
                    <c:v>CH4-Gaspipeline Weiternutzung, 1016mm</c:v>
                  </c:pt>
                  <c:pt idx="6">
                    <c:v>Produkten-/Chemikalientanker</c:v>
                  </c:pt>
                  <c:pt idx="7">
                    <c:v>Produkten-/Chemikalientanker</c:v>
                  </c:pt>
                  <c:pt idx="8">
                    <c:v>Produkten-/Chemikalientanker</c:v>
                  </c:pt>
                  <c:pt idx="9">
                    <c:v>Produkten-/Chemikalientanker</c:v>
                  </c:pt>
                  <c:pt idx="10">
                    <c:v>Produkten-/Chemikalientanker</c:v>
                  </c:pt>
                  <c:pt idx="11">
                    <c:v>Produkten-/Chemikalientanker</c:v>
                  </c:pt>
                  <c:pt idx="12">
                    <c:v>Produkten-/Chemikalientanker</c:v>
                  </c:pt>
                </c:lvl>
                <c:lvl>
                  <c:pt idx="0">
                    <c:v>LH2</c:v>
                  </c:pt>
                  <c:pt idx="2">
                    <c:v>H2</c:v>
                  </c:pt>
                  <c:pt idx="5">
                    <c:v>CH4</c:v>
                  </c:pt>
                  <c:pt idx="6">
                    <c:v>CH3OH</c:v>
                  </c:pt>
                  <c:pt idx="7">
                    <c:v>NH3</c:v>
                  </c:pt>
                  <c:pt idx="8">
                    <c:v>FT-Produkt</c:v>
                  </c:pt>
                  <c:pt idx="9">
                    <c:v>LOHC Abwärmenutzung</c:v>
                  </c:pt>
                  <c:pt idx="10">
                    <c:v>LOHC</c:v>
                  </c:pt>
                  <c:pt idx="11">
                    <c:v>NH3 HC Abwärmenutzung</c:v>
                  </c:pt>
                  <c:pt idx="12">
                    <c:v>NH3 HC</c:v>
                  </c:pt>
                </c:lvl>
              </c:multiLvlStrCache>
            </c:multiLvlStrRef>
          </c:cat>
          <c:val>
            <c:numRef>
              <c:f>Transportoptionen!$C$61:$O$61</c:f>
              <c:numCache>
                <c:formatCode>#,##0.00\ "€"</c:formatCode>
                <c:ptCount val="13"/>
                <c:pt idx="0">
                  <c:v>2.7699726808880294E-2</c:v>
                </c:pt>
                <c:pt idx="1">
                  <c:v>2.7699726808880294E-2</c:v>
                </c:pt>
                <c:pt idx="2">
                  <c:v>4.9890135958735062E-4</c:v>
                </c:pt>
                <c:pt idx="3">
                  <c:v>4.9890135958735062E-4</c:v>
                </c:pt>
                <c:pt idx="4">
                  <c:v>4.9890135958735062E-4</c:v>
                </c:pt>
                <c:pt idx="5">
                  <c:v>1.4307958773865493E-2</c:v>
                </c:pt>
                <c:pt idx="6">
                  <c:v>1.2812755242399387E-2</c:v>
                </c:pt>
                <c:pt idx="7">
                  <c:v>1.3591090927559554E-2</c:v>
                </c:pt>
                <c:pt idx="8">
                  <c:v>1.9874996623412695E-2</c:v>
                </c:pt>
                <c:pt idx="9">
                  <c:v>2.0418655761974613E-2</c:v>
                </c:pt>
                <c:pt idx="10">
                  <c:v>2.0418655761974613E-2</c:v>
                </c:pt>
                <c:pt idx="11">
                  <c:v>1.8835814230038602E-2</c:v>
                </c:pt>
                <c:pt idx="12">
                  <c:v>1.8835814230038602E-2</c:v>
                </c:pt>
              </c:numCache>
            </c:numRef>
          </c:val>
          <c:extLst>
            <c:ext xmlns:c16="http://schemas.microsoft.com/office/drawing/2014/chart" uri="{C3380CC4-5D6E-409C-BE32-E72D297353CC}">
              <c16:uniqueId val="{00000000-827D-4D96-A00F-8060FF4D4973}"/>
            </c:ext>
          </c:extLst>
        </c:ser>
        <c:ser>
          <c:idx val="1"/>
          <c:order val="1"/>
          <c:tx>
            <c:strRef>
              <c:f>Transportoptionen!$B$62</c:f>
              <c:strCache>
                <c:ptCount val="1"/>
                <c:pt idx="0">
                  <c:v>Hilfsenergie</c:v>
                </c:pt>
              </c:strCache>
            </c:strRef>
          </c:tx>
          <c:spPr>
            <a:solidFill>
              <a:schemeClr val="accent2"/>
            </a:solidFill>
            <a:ln>
              <a:noFill/>
            </a:ln>
            <a:effectLst/>
          </c:spPr>
          <c:invertIfNegative val="0"/>
          <c:cat>
            <c:multiLvlStrRef>
              <c:f>Transportoptionen!$C$7:$O$8</c:f>
              <c:multiLvlStrCache>
                <c:ptCount val="13"/>
                <c:lvl>
                  <c:pt idx="0">
                    <c:v>TK-Tanker klein</c:v>
                  </c:pt>
                  <c:pt idx="1">
                    <c:v>TK-Tanker</c:v>
                  </c:pt>
                  <c:pt idx="2">
                    <c:v>H2-Gaspipeline Neubau, 300mm</c:v>
                  </c:pt>
                  <c:pt idx="3">
                    <c:v>H2-Gaspipeline Neubau, 1016mm</c:v>
                  </c:pt>
                  <c:pt idx="4">
                    <c:v>H2-Gaspipeline Umrüstung, 1016mm</c:v>
                  </c:pt>
                  <c:pt idx="5">
                    <c:v>CH4-Gaspipeline Weiternutzung, 1016mm</c:v>
                  </c:pt>
                  <c:pt idx="6">
                    <c:v>Produkten-/Chemikalientanker</c:v>
                  </c:pt>
                  <c:pt idx="7">
                    <c:v>Produkten-/Chemikalientanker</c:v>
                  </c:pt>
                  <c:pt idx="8">
                    <c:v>Produkten-/Chemikalientanker</c:v>
                  </c:pt>
                  <c:pt idx="9">
                    <c:v>Produkten-/Chemikalientanker</c:v>
                  </c:pt>
                  <c:pt idx="10">
                    <c:v>Produkten-/Chemikalientanker</c:v>
                  </c:pt>
                  <c:pt idx="11">
                    <c:v>Produkten-/Chemikalientanker</c:v>
                  </c:pt>
                  <c:pt idx="12">
                    <c:v>Produkten-/Chemikalientanker</c:v>
                  </c:pt>
                </c:lvl>
                <c:lvl>
                  <c:pt idx="0">
                    <c:v>LH2</c:v>
                  </c:pt>
                  <c:pt idx="2">
                    <c:v>H2</c:v>
                  </c:pt>
                  <c:pt idx="5">
                    <c:v>CH4</c:v>
                  </c:pt>
                  <c:pt idx="6">
                    <c:v>CH3OH</c:v>
                  </c:pt>
                  <c:pt idx="7">
                    <c:v>NH3</c:v>
                  </c:pt>
                  <c:pt idx="8">
                    <c:v>FT-Produkt</c:v>
                  </c:pt>
                  <c:pt idx="9">
                    <c:v>LOHC Abwärmenutzung</c:v>
                  </c:pt>
                  <c:pt idx="10">
                    <c:v>LOHC</c:v>
                  </c:pt>
                  <c:pt idx="11">
                    <c:v>NH3 HC Abwärmenutzung</c:v>
                  </c:pt>
                  <c:pt idx="12">
                    <c:v>NH3 HC</c:v>
                  </c:pt>
                </c:lvl>
              </c:multiLvlStrCache>
            </c:multiLvlStrRef>
          </c:cat>
          <c:val>
            <c:numRef>
              <c:f>Transportoptionen!$C$62:$O$62</c:f>
              <c:numCache>
                <c:formatCode>#,##0.00\ "€"</c:formatCode>
                <c:ptCount val="13"/>
                <c:pt idx="0">
                  <c:v>1.0804198059761978E-2</c:v>
                </c:pt>
                <c:pt idx="1">
                  <c:v>1.0804198059761978E-2</c:v>
                </c:pt>
                <c:pt idx="2">
                  <c:v>6.2773452275809171E-4</c:v>
                </c:pt>
                <c:pt idx="3">
                  <c:v>6.2773452275809171E-4</c:v>
                </c:pt>
                <c:pt idx="4">
                  <c:v>6.2773452275809171E-4</c:v>
                </c:pt>
                <c:pt idx="5">
                  <c:v>6.5109074326041773E-4</c:v>
                </c:pt>
                <c:pt idx="6">
                  <c:v>1.7491523003040886E-3</c:v>
                </c:pt>
                <c:pt idx="7">
                  <c:v>2.3192599395907704E-3</c:v>
                </c:pt>
                <c:pt idx="8">
                  <c:v>1.1992324249216E-3</c:v>
                </c:pt>
                <c:pt idx="9">
                  <c:v>4.8573873777013228E-3</c:v>
                </c:pt>
                <c:pt idx="10">
                  <c:v>3.8530471330626155E-2</c:v>
                </c:pt>
                <c:pt idx="11">
                  <c:v>6.3024488681944872E-3</c:v>
                </c:pt>
                <c:pt idx="12">
                  <c:v>2.6260203617477027E-2</c:v>
                </c:pt>
              </c:numCache>
            </c:numRef>
          </c:val>
          <c:extLst>
            <c:ext xmlns:c16="http://schemas.microsoft.com/office/drawing/2014/chart" uri="{C3380CC4-5D6E-409C-BE32-E72D297353CC}">
              <c16:uniqueId val="{00000001-827D-4D96-A00F-8060FF4D4973}"/>
            </c:ext>
          </c:extLst>
        </c:ser>
        <c:ser>
          <c:idx val="2"/>
          <c:order val="2"/>
          <c:tx>
            <c:strRef>
              <c:f>Transportoptionen!$B$63</c:f>
              <c:strCache>
                <c:ptCount val="1"/>
                <c:pt idx="0">
                  <c:v>Hilfsstoffe</c:v>
                </c:pt>
              </c:strCache>
            </c:strRef>
          </c:tx>
          <c:spPr>
            <a:solidFill>
              <a:schemeClr val="accent3"/>
            </a:solidFill>
            <a:ln>
              <a:noFill/>
            </a:ln>
            <a:effectLst/>
          </c:spPr>
          <c:invertIfNegative val="0"/>
          <c:cat>
            <c:multiLvlStrRef>
              <c:f>Transportoptionen!$C$7:$O$8</c:f>
              <c:multiLvlStrCache>
                <c:ptCount val="13"/>
                <c:lvl>
                  <c:pt idx="0">
                    <c:v>TK-Tanker klein</c:v>
                  </c:pt>
                  <c:pt idx="1">
                    <c:v>TK-Tanker</c:v>
                  </c:pt>
                  <c:pt idx="2">
                    <c:v>H2-Gaspipeline Neubau, 300mm</c:v>
                  </c:pt>
                  <c:pt idx="3">
                    <c:v>H2-Gaspipeline Neubau, 1016mm</c:v>
                  </c:pt>
                  <c:pt idx="4">
                    <c:v>H2-Gaspipeline Umrüstung, 1016mm</c:v>
                  </c:pt>
                  <c:pt idx="5">
                    <c:v>CH4-Gaspipeline Weiternutzung, 1016mm</c:v>
                  </c:pt>
                  <c:pt idx="6">
                    <c:v>Produkten-/Chemikalientanker</c:v>
                  </c:pt>
                  <c:pt idx="7">
                    <c:v>Produkten-/Chemikalientanker</c:v>
                  </c:pt>
                  <c:pt idx="8">
                    <c:v>Produkten-/Chemikalientanker</c:v>
                  </c:pt>
                  <c:pt idx="9">
                    <c:v>Produkten-/Chemikalientanker</c:v>
                  </c:pt>
                  <c:pt idx="10">
                    <c:v>Produkten-/Chemikalientanker</c:v>
                  </c:pt>
                  <c:pt idx="11">
                    <c:v>Produkten-/Chemikalientanker</c:v>
                  </c:pt>
                  <c:pt idx="12">
                    <c:v>Produkten-/Chemikalientanker</c:v>
                  </c:pt>
                </c:lvl>
                <c:lvl>
                  <c:pt idx="0">
                    <c:v>LH2</c:v>
                  </c:pt>
                  <c:pt idx="2">
                    <c:v>H2</c:v>
                  </c:pt>
                  <c:pt idx="5">
                    <c:v>CH4</c:v>
                  </c:pt>
                  <c:pt idx="6">
                    <c:v>CH3OH</c:v>
                  </c:pt>
                  <c:pt idx="7">
                    <c:v>NH3</c:v>
                  </c:pt>
                  <c:pt idx="8">
                    <c:v>FT-Produkt</c:v>
                  </c:pt>
                  <c:pt idx="9">
                    <c:v>LOHC Abwärmenutzung</c:v>
                  </c:pt>
                  <c:pt idx="10">
                    <c:v>LOHC</c:v>
                  </c:pt>
                  <c:pt idx="11">
                    <c:v>NH3 HC Abwärmenutzung</c:v>
                  </c:pt>
                  <c:pt idx="12">
                    <c:v>NH3 HC</c:v>
                  </c:pt>
                </c:lvl>
              </c:multiLvlStrCache>
            </c:multiLvlStrRef>
          </c:cat>
          <c:val>
            <c:numRef>
              <c:f>Transportoptionen!$C$63:$O$63</c:f>
              <c:numCache>
                <c:formatCode>#,##0.00\ "€"</c:formatCode>
                <c:ptCount val="13"/>
                <c:pt idx="0">
                  <c:v>0</c:v>
                </c:pt>
                <c:pt idx="1">
                  <c:v>0</c:v>
                </c:pt>
                <c:pt idx="2">
                  <c:v>0</c:v>
                </c:pt>
                <c:pt idx="3">
                  <c:v>0</c:v>
                </c:pt>
                <c:pt idx="4">
                  <c:v>0</c:v>
                </c:pt>
                <c:pt idx="5">
                  <c:v>2.8623846832433724E-2</c:v>
                </c:pt>
                <c:pt idx="6">
                  <c:v>3.4176814862862476E-2</c:v>
                </c:pt>
                <c:pt idx="7">
                  <c:v>8.7532974160377999E-3</c:v>
                </c:pt>
                <c:pt idx="8">
                  <c:v>3.7811723681267319E-2</c:v>
                </c:pt>
                <c:pt idx="9">
                  <c:v>8.7565507285058651E-3</c:v>
                </c:pt>
                <c:pt idx="10">
                  <c:v>7.5705687638685966E-3</c:v>
                </c:pt>
                <c:pt idx="11">
                  <c:v>7.6456791246598804E-3</c:v>
                </c:pt>
                <c:pt idx="12">
                  <c:v>7.6456791246598804E-3</c:v>
                </c:pt>
              </c:numCache>
            </c:numRef>
          </c:val>
          <c:extLst>
            <c:ext xmlns:c16="http://schemas.microsoft.com/office/drawing/2014/chart" uri="{C3380CC4-5D6E-409C-BE32-E72D297353CC}">
              <c16:uniqueId val="{00000002-827D-4D96-A00F-8060FF4D4973}"/>
            </c:ext>
          </c:extLst>
        </c:ser>
        <c:ser>
          <c:idx val="4"/>
          <c:order val="4"/>
          <c:tx>
            <c:strRef>
              <c:f>Transportoptionen!$B$65</c:f>
              <c:strCache>
                <c:ptCount val="1"/>
                <c:pt idx="0">
                  <c:v>Wandlungsverluste</c:v>
                </c:pt>
              </c:strCache>
            </c:strRef>
          </c:tx>
          <c:spPr>
            <a:solidFill>
              <a:schemeClr val="accent5"/>
            </a:solidFill>
            <a:ln>
              <a:noFill/>
            </a:ln>
            <a:effectLst/>
          </c:spPr>
          <c:invertIfNegative val="0"/>
          <c:cat>
            <c:multiLvlStrRef>
              <c:f>Transportoptionen!$C$7:$O$8</c:f>
              <c:multiLvlStrCache>
                <c:ptCount val="13"/>
                <c:lvl>
                  <c:pt idx="0">
                    <c:v>TK-Tanker klein</c:v>
                  </c:pt>
                  <c:pt idx="1">
                    <c:v>TK-Tanker</c:v>
                  </c:pt>
                  <c:pt idx="2">
                    <c:v>H2-Gaspipeline Neubau, 300mm</c:v>
                  </c:pt>
                  <c:pt idx="3">
                    <c:v>H2-Gaspipeline Neubau, 1016mm</c:v>
                  </c:pt>
                  <c:pt idx="4">
                    <c:v>H2-Gaspipeline Umrüstung, 1016mm</c:v>
                  </c:pt>
                  <c:pt idx="5">
                    <c:v>CH4-Gaspipeline Weiternutzung, 1016mm</c:v>
                  </c:pt>
                  <c:pt idx="6">
                    <c:v>Produkten-/Chemikalientanker</c:v>
                  </c:pt>
                  <c:pt idx="7">
                    <c:v>Produkten-/Chemikalientanker</c:v>
                  </c:pt>
                  <c:pt idx="8">
                    <c:v>Produkten-/Chemikalientanker</c:v>
                  </c:pt>
                  <c:pt idx="9">
                    <c:v>Produkten-/Chemikalientanker</c:v>
                  </c:pt>
                  <c:pt idx="10">
                    <c:v>Produkten-/Chemikalientanker</c:v>
                  </c:pt>
                  <c:pt idx="11">
                    <c:v>Produkten-/Chemikalientanker</c:v>
                  </c:pt>
                  <c:pt idx="12">
                    <c:v>Produkten-/Chemikalientanker</c:v>
                  </c:pt>
                </c:lvl>
                <c:lvl>
                  <c:pt idx="0">
                    <c:v>LH2</c:v>
                  </c:pt>
                  <c:pt idx="2">
                    <c:v>H2</c:v>
                  </c:pt>
                  <c:pt idx="5">
                    <c:v>CH4</c:v>
                  </c:pt>
                  <c:pt idx="6">
                    <c:v>CH3OH</c:v>
                  </c:pt>
                  <c:pt idx="7">
                    <c:v>NH3</c:v>
                  </c:pt>
                  <c:pt idx="8">
                    <c:v>FT-Produkt</c:v>
                  </c:pt>
                  <c:pt idx="9">
                    <c:v>LOHC Abwärmenutzung</c:v>
                  </c:pt>
                  <c:pt idx="10">
                    <c:v>LOHC</c:v>
                  </c:pt>
                  <c:pt idx="11">
                    <c:v>NH3 HC Abwärmenutzung</c:v>
                  </c:pt>
                  <c:pt idx="12">
                    <c:v>NH3 HC</c:v>
                  </c:pt>
                </c:lvl>
              </c:multiLvlStrCache>
            </c:multiLvlStrRef>
          </c:cat>
          <c:val>
            <c:numRef>
              <c:f>Transportoptionen!$C$65:$O$65</c:f>
              <c:numCache>
                <c:formatCode>#,##0.00\ "€"</c:formatCode>
                <c:ptCount val="13"/>
                <c:pt idx="0">
                  <c:v>0</c:v>
                </c:pt>
                <c:pt idx="1">
                  <c:v>0</c:v>
                </c:pt>
                <c:pt idx="2">
                  <c:v>0</c:v>
                </c:pt>
                <c:pt idx="3">
                  <c:v>0</c:v>
                </c:pt>
                <c:pt idx="4">
                  <c:v>0</c:v>
                </c:pt>
                <c:pt idx="5">
                  <c:v>1.7864135377206929E-2</c:v>
                </c:pt>
                <c:pt idx="6">
                  <c:v>6.9021391645443771E-3</c:v>
                </c:pt>
                <c:pt idx="7">
                  <c:v>1.260846118248383E-2</c:v>
                </c:pt>
                <c:pt idx="8">
                  <c:v>2.2666490861069342E-2</c:v>
                </c:pt>
                <c:pt idx="9">
                  <c:v>0</c:v>
                </c:pt>
                <c:pt idx="10">
                  <c:v>0</c:v>
                </c:pt>
                <c:pt idx="11">
                  <c:v>0</c:v>
                </c:pt>
                <c:pt idx="12">
                  <c:v>0</c:v>
                </c:pt>
              </c:numCache>
            </c:numRef>
          </c:val>
          <c:extLst>
            <c:ext xmlns:c16="http://schemas.microsoft.com/office/drawing/2014/chart" uri="{C3380CC4-5D6E-409C-BE32-E72D297353CC}">
              <c16:uniqueId val="{00000003-827D-4D96-A00F-8060FF4D4973}"/>
            </c:ext>
          </c:extLst>
        </c:ser>
        <c:dLbls>
          <c:showLegendKey val="0"/>
          <c:showVal val="0"/>
          <c:showCatName val="0"/>
          <c:showSerName val="0"/>
          <c:showPercent val="0"/>
          <c:showBubbleSize val="0"/>
        </c:dLbls>
        <c:gapWidth val="219"/>
        <c:overlap val="100"/>
        <c:axId val="392619912"/>
        <c:axId val="392620240"/>
        <c:extLst>
          <c:ext xmlns:c15="http://schemas.microsoft.com/office/drawing/2012/chart" uri="{02D57815-91ED-43cb-92C2-25804820EDAC}">
            <c15:filteredBarSeries>
              <c15:ser>
                <c:idx val="3"/>
                <c:order val="3"/>
                <c:tx>
                  <c:strRef>
                    <c:extLst>
                      <c:ext uri="{02D57815-91ED-43cb-92C2-25804820EDAC}">
                        <c15:formulaRef>
                          <c15:sqref>Transportoptionen!$B$64</c15:sqref>
                        </c15:formulaRef>
                      </c:ext>
                    </c:extLst>
                    <c:strCache>
                      <c:ptCount val="1"/>
                      <c:pt idx="0">
                        <c:v>Transport</c:v>
                      </c:pt>
                    </c:strCache>
                  </c:strRef>
                </c:tx>
                <c:spPr>
                  <a:solidFill>
                    <a:schemeClr val="accent4"/>
                  </a:solidFill>
                  <a:ln>
                    <a:noFill/>
                  </a:ln>
                  <a:effectLst/>
                </c:spPr>
                <c:invertIfNegative val="0"/>
                <c:cat>
                  <c:multiLvlStrRef>
                    <c:extLst>
                      <c:ext uri="{02D57815-91ED-43cb-92C2-25804820EDAC}">
                        <c15:formulaRef>
                          <c15:sqref>Transportoptionen!$C$7:$O$8</c15:sqref>
                        </c15:formulaRef>
                      </c:ext>
                    </c:extLst>
                    <c:multiLvlStrCache>
                      <c:ptCount val="13"/>
                      <c:lvl>
                        <c:pt idx="0">
                          <c:v>TK-Tanker klein</c:v>
                        </c:pt>
                        <c:pt idx="1">
                          <c:v>TK-Tanker</c:v>
                        </c:pt>
                        <c:pt idx="2">
                          <c:v>H2-Gaspipeline Neubau, 300mm</c:v>
                        </c:pt>
                        <c:pt idx="3">
                          <c:v>H2-Gaspipeline Neubau, 1016mm</c:v>
                        </c:pt>
                        <c:pt idx="4">
                          <c:v>H2-Gaspipeline Umrüstung, 1016mm</c:v>
                        </c:pt>
                        <c:pt idx="5">
                          <c:v>CH4-Gaspipeline Weiternutzung, 1016mm</c:v>
                        </c:pt>
                        <c:pt idx="6">
                          <c:v>Produkten-/Chemikalientanker</c:v>
                        </c:pt>
                        <c:pt idx="7">
                          <c:v>Produkten-/Chemikalientanker</c:v>
                        </c:pt>
                        <c:pt idx="8">
                          <c:v>Produkten-/Chemikalientanker</c:v>
                        </c:pt>
                        <c:pt idx="9">
                          <c:v>Produkten-/Chemikalientanker</c:v>
                        </c:pt>
                        <c:pt idx="10">
                          <c:v>Produkten-/Chemikalientanker</c:v>
                        </c:pt>
                        <c:pt idx="11">
                          <c:v>Produkten-/Chemikalientanker</c:v>
                        </c:pt>
                        <c:pt idx="12">
                          <c:v>Produkten-/Chemikalientanker</c:v>
                        </c:pt>
                      </c:lvl>
                      <c:lvl>
                        <c:pt idx="0">
                          <c:v>LH2</c:v>
                        </c:pt>
                        <c:pt idx="2">
                          <c:v>H2</c:v>
                        </c:pt>
                        <c:pt idx="5">
                          <c:v>CH4</c:v>
                        </c:pt>
                        <c:pt idx="6">
                          <c:v>CH3OH</c:v>
                        </c:pt>
                        <c:pt idx="7">
                          <c:v>NH3</c:v>
                        </c:pt>
                        <c:pt idx="8">
                          <c:v>FT-Produkt</c:v>
                        </c:pt>
                        <c:pt idx="9">
                          <c:v>LOHC Abwärmenutzung</c:v>
                        </c:pt>
                        <c:pt idx="10">
                          <c:v>LOHC</c:v>
                        </c:pt>
                        <c:pt idx="11">
                          <c:v>NH3 HC Abwärmenutzung</c:v>
                        </c:pt>
                        <c:pt idx="12">
                          <c:v>NH3 HC</c:v>
                        </c:pt>
                      </c:lvl>
                    </c:multiLvlStrCache>
                  </c:multiLvlStrRef>
                </c:cat>
                <c:val>
                  <c:numRef>
                    <c:extLst>
                      <c:ext uri="{02D57815-91ED-43cb-92C2-25804820EDAC}">
                        <c15:formulaRef>
                          <c15:sqref>Transportoptionen!$C$64:$O$64</c15:sqref>
                        </c15:formulaRef>
                      </c:ext>
                    </c:extLst>
                    <c:numCache>
                      <c:formatCode>#,##0.00\ "€"</c:formatCode>
                      <c:ptCount val="13"/>
                      <c:pt idx="0">
                        <c:v>5.0210564848192259E-2</c:v>
                      </c:pt>
                      <c:pt idx="1">
                        <c:v>3.4422398569983587E-3</c:v>
                      </c:pt>
                      <c:pt idx="2">
                        <c:v>9.1397101039914941E-2</c:v>
                      </c:pt>
                      <c:pt idx="3">
                        <c:v>2.0241562485521621E-2</c:v>
                      </c:pt>
                      <c:pt idx="4">
                        <c:v>9.8315939775383918E-3</c:v>
                      </c:pt>
                      <c:pt idx="5">
                        <c:v>2.6809145704134191E-3</c:v>
                      </c:pt>
                      <c:pt idx="6">
                        <c:v>1.2958373819723819E-3</c:v>
                      </c:pt>
                      <c:pt idx="7">
                        <c:v>1.8715419445252625E-3</c:v>
                      </c:pt>
                      <c:pt idx="8">
                        <c:v>6.9519394375336179E-4</c:v>
                      </c:pt>
                      <c:pt idx="9">
                        <c:v>3.611161817759639E-3</c:v>
                      </c:pt>
                      <c:pt idx="10">
                        <c:v>3.611161817759639E-3</c:v>
                      </c:pt>
                      <c:pt idx="11">
                        <c:v>1.6347221505309318E-3</c:v>
                      </c:pt>
                      <c:pt idx="12">
                        <c:v>1.6347221505309318E-3</c:v>
                      </c:pt>
                    </c:numCache>
                  </c:numRef>
                </c:val>
                <c:extLst>
                  <c:ext xmlns:c16="http://schemas.microsoft.com/office/drawing/2014/chart" uri="{C3380CC4-5D6E-409C-BE32-E72D297353CC}">
                    <c16:uniqueId val="{00000004-827D-4D96-A00F-8060FF4D4973}"/>
                  </c:ext>
                </c:extLst>
              </c15:ser>
            </c15:filteredBarSeries>
          </c:ext>
        </c:extLst>
      </c:barChart>
      <c:catAx>
        <c:axId val="392619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2620240"/>
        <c:crosses val="autoZero"/>
        <c:auto val="1"/>
        <c:lblAlgn val="ctr"/>
        <c:lblOffset val="100"/>
        <c:noMultiLvlLbl val="0"/>
      </c:catAx>
      <c:valAx>
        <c:axId val="392620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u="none" strike="noStrike" baseline="0">
                    <a:effectLst/>
                  </a:rPr>
                  <a:t>Kosten je gelieferter Energie in €/kWh</a:t>
                </a:r>
                <a:endParaRPr lang="de-DE"/>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26199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rgbClr val="32578C"/>
      </a:solidFill>
      <a:round/>
    </a:ln>
    <a:effectLst/>
  </c:spPr>
  <c:txPr>
    <a:bodyPr rot="2700000"/>
    <a:lstStyle/>
    <a:p>
      <a:pPr>
        <a:defRPr/>
      </a:pPr>
      <a:endParaRPr lang="de-DE"/>
    </a:p>
  </c:tx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Treibstoffbedarf berechnet (13 - 25 kn)</a:t>
            </a:r>
          </a:p>
        </c:rich>
      </c:tx>
      <c:overlay val="0"/>
      <c:spPr>
        <a:noFill/>
        <a:ln>
          <a:noFill/>
        </a:ln>
        <a:effectLst/>
      </c:spPr>
    </c:title>
    <c:autoTitleDeleted val="0"/>
    <c:plotArea>
      <c:layout/>
      <c:scatterChart>
        <c:scatterStyle val="lineMarker"/>
        <c:varyColors val="0"/>
        <c:ser>
          <c:idx val="0"/>
          <c:order val="0"/>
          <c:tx>
            <c:strRef>
              <c:f>'Schätzung Schiff'!$R$5</c:f>
              <c:strCache>
                <c:ptCount val="1"/>
                <c:pt idx="0">
                  <c:v>13</c:v>
                </c:pt>
              </c:strCache>
            </c:strRef>
          </c:tx>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Schiff'!$S$5:$AA$5</c:f>
              <c:numCache>
                <c:formatCode>General</c:formatCode>
                <c:ptCount val="9"/>
                <c:pt idx="0">
                  <c:v>8.3075312337491223</c:v>
                </c:pt>
                <c:pt idx="1">
                  <c:v>11.74842012080313</c:v>
                </c:pt>
                <c:pt idx="2">
                  <c:v>15.440332822756144</c:v>
                </c:pt>
                <c:pt idx="3">
                  <c:v>19.733114459675104</c:v>
                </c:pt>
                <c:pt idx="4">
                  <c:v>23.633261775452251</c:v>
                </c:pt>
                <c:pt idx="5">
                  <c:v>26.917558339933493</c:v>
                </c:pt>
                <c:pt idx="6">
                  <c:v>30.338248060437479</c:v>
                </c:pt>
                <c:pt idx="7">
                  <c:v>34.006561061300758</c:v>
                </c:pt>
                <c:pt idx="8">
                  <c:v>42.043970799283215</c:v>
                </c:pt>
              </c:numCache>
            </c:numRef>
          </c:yVal>
          <c:smooth val="0"/>
          <c:extLst>
            <c:ext xmlns:c16="http://schemas.microsoft.com/office/drawing/2014/chart" uri="{C3380CC4-5D6E-409C-BE32-E72D297353CC}">
              <c16:uniqueId val="{00000023-B251-4FD5-A4AF-A5AE7F0103C8}"/>
            </c:ext>
          </c:extLst>
        </c:ser>
        <c:ser>
          <c:idx val="1"/>
          <c:order val="1"/>
          <c:tx>
            <c:strRef>
              <c:f>'Schätzung Schiff'!$R$6</c:f>
              <c:strCache>
                <c:ptCount val="1"/>
                <c:pt idx="0">
                  <c:v>14</c:v>
                </c:pt>
              </c:strCache>
            </c:strRef>
          </c:tx>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Schiff'!$S$6:$AA$6</c:f>
              <c:numCache>
                <c:formatCode>General</c:formatCode>
                <c:ptCount val="9"/>
                <c:pt idx="0">
                  <c:v>10.609170716889256</c:v>
                </c:pt>
                <c:pt idx="1">
                  <c:v>15.003373590578441</c:v>
                </c:pt>
                <c:pt idx="2">
                  <c:v>19.718147573943309</c:v>
                </c:pt>
                <c:pt idx="3">
                  <c:v>25.200263975911671</c:v>
                </c:pt>
                <c:pt idx="4">
                  <c:v>30.180964924227442</c:v>
                </c:pt>
                <c:pt idx="5">
                  <c:v>34.375190856947739</c:v>
                </c:pt>
                <c:pt idx="6">
                  <c:v>38.74359829270977</c:v>
                </c:pt>
                <c:pt idx="7">
                  <c:v>43.428234169977429</c:v>
                </c:pt>
                <c:pt idx="8">
                  <c:v>53.6924449965869</c:v>
                </c:pt>
              </c:numCache>
            </c:numRef>
          </c:yVal>
          <c:smooth val="0"/>
          <c:extLst>
            <c:ext xmlns:c16="http://schemas.microsoft.com/office/drawing/2014/chart" uri="{C3380CC4-5D6E-409C-BE32-E72D297353CC}">
              <c16:uniqueId val="{00000024-B251-4FD5-A4AF-A5AE7F0103C8}"/>
            </c:ext>
          </c:extLst>
        </c:ser>
        <c:ser>
          <c:idx val="12"/>
          <c:order val="2"/>
          <c:tx>
            <c:strRef>
              <c:f>'Schätzung Schiff'!$R$7</c:f>
              <c:strCache>
                <c:ptCount val="1"/>
                <c:pt idx="0">
                  <c:v>15</c:v>
                </c:pt>
              </c:strCache>
            </c:strRef>
          </c:tx>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Schiff'!$S$7:$AA$7</c:f>
              <c:numCache>
                <c:formatCode>General</c:formatCode>
                <c:ptCount val="9"/>
                <c:pt idx="0">
                  <c:v>13.321713060102708</c:v>
                </c:pt>
                <c:pt idx="1">
                  <c:v>18.839421406333393</c:v>
                </c:pt>
                <c:pt idx="2">
                  <c:v>24.75966416853494</c:v>
                </c:pt>
                <c:pt idx="3">
                  <c:v>31.643442704857605</c:v>
                </c:pt>
                <c:pt idx="4">
                  <c:v>37.897604377081052</c:v>
                </c:pt>
                <c:pt idx="5">
                  <c:v>43.164205874594181</c:v>
                </c:pt>
                <c:pt idx="6">
                  <c:v>48.649523430677796</c:v>
                </c:pt>
                <c:pt idx="7">
                  <c:v>54.531922405432063</c:v>
                </c:pt>
                <c:pt idx="8">
                  <c:v>67.420476569501915</c:v>
                </c:pt>
              </c:numCache>
            </c:numRef>
          </c:yVal>
          <c:smooth val="0"/>
          <c:extLst>
            <c:ext xmlns:c16="http://schemas.microsoft.com/office/drawing/2014/chart" uri="{C3380CC4-5D6E-409C-BE32-E72D297353CC}">
              <c16:uniqueId val="{00000025-B251-4FD5-A4AF-A5AE7F0103C8}"/>
            </c:ext>
          </c:extLst>
        </c:ser>
        <c:ser>
          <c:idx val="13"/>
          <c:order val="3"/>
          <c:tx>
            <c:strRef>
              <c:f>'Schätzung Schiff'!$R$8</c:f>
              <c:strCache>
                <c:ptCount val="1"/>
                <c:pt idx="0">
                  <c:v>16</c:v>
                </c:pt>
              </c:strCache>
            </c:strRef>
          </c:tx>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Schiff'!$S$8:$AA$8</c:f>
              <c:numCache>
                <c:formatCode>General</c:formatCode>
                <c:ptCount val="9"/>
                <c:pt idx="0">
                  <c:v>16.483706113276703</c:v>
                </c:pt>
                <c:pt idx="1">
                  <c:v>23.311077517216809</c:v>
                </c:pt>
                <c:pt idx="2">
                  <c:v>30.636527432787311</c:v>
                </c:pt>
                <c:pt idx="3">
                  <c:v>39.154214447189197</c:v>
                </c:pt>
                <c:pt idx="4">
                  <c:v>46.892841043088545</c:v>
                </c:pt>
                <c:pt idx="5">
                  <c:v>53.409503795775109</c:v>
                </c:pt>
                <c:pt idx="6">
                  <c:v>60.196796250172291</c:v>
                </c:pt>
                <c:pt idx="7">
                  <c:v>67.475419915418982</c:v>
                </c:pt>
                <c:pt idx="8">
                  <c:v>83.423154122504386</c:v>
                </c:pt>
              </c:numCache>
            </c:numRef>
          </c:yVal>
          <c:smooth val="0"/>
          <c:extLst>
            <c:ext xmlns:c16="http://schemas.microsoft.com/office/drawing/2014/chart" uri="{C3380CC4-5D6E-409C-BE32-E72D297353CC}">
              <c16:uniqueId val="{00000026-B251-4FD5-A4AF-A5AE7F0103C8}"/>
            </c:ext>
          </c:extLst>
        </c:ser>
        <c:ser>
          <c:idx val="14"/>
          <c:order val="4"/>
          <c:tx>
            <c:strRef>
              <c:f>'Schätzung Schiff'!$R$9</c:f>
              <c:strCache>
                <c:ptCount val="1"/>
                <c:pt idx="0">
                  <c:v>17</c:v>
                </c:pt>
              </c:strCache>
            </c:strRef>
          </c:tx>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Schiff'!$S$9:$AA$9</c:f>
              <c:numCache>
                <c:formatCode>General</c:formatCode>
                <c:ptCount val="9"/>
                <c:pt idx="0">
                  <c:v>20.134477350578866</c:v>
                </c:pt>
                <c:pt idx="1">
                  <c:v>28.473958408537126</c:v>
                </c:pt>
                <c:pt idx="2">
                  <c:v>37.421831198446661</c:v>
                </c:pt>
                <c:pt idx="3">
                  <c:v>47.82599486723845</c:v>
                </c:pt>
                <c:pt idx="4">
                  <c:v>57.278553706189349</c:v>
                </c:pt>
                <c:pt idx="5">
                  <c:v>65.238511114653846</c:v>
                </c:pt>
                <c:pt idx="6">
                  <c:v>73.529036634563724</c:v>
                </c:pt>
                <c:pt idx="7">
                  <c:v>82.4197122098373</c:v>
                </c:pt>
                <c:pt idx="8">
                  <c:v>101.89951189681334</c:v>
                </c:pt>
              </c:numCache>
            </c:numRef>
          </c:yVal>
          <c:smooth val="0"/>
          <c:extLst>
            <c:ext xmlns:c16="http://schemas.microsoft.com/office/drawing/2014/chart" uri="{C3380CC4-5D6E-409C-BE32-E72D297353CC}">
              <c16:uniqueId val="{00000027-B251-4FD5-A4AF-A5AE7F0103C8}"/>
            </c:ext>
          </c:extLst>
        </c:ser>
        <c:ser>
          <c:idx val="15"/>
          <c:order val="5"/>
          <c:tx>
            <c:strRef>
              <c:f>'Schätzung Schiff'!$R$10</c:f>
              <c:strCache>
                <c:ptCount val="1"/>
                <c:pt idx="0">
                  <c:v>18</c:v>
                </c:pt>
              </c:strCache>
            </c:strRef>
          </c:tx>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Schiff'!$S$10:$AA$10</c:f>
              <c:numCache>
                <c:formatCode>General</c:formatCode>
                <c:ptCount val="9"/>
                <c:pt idx="0">
                  <c:v>24.314099353168672</c:v>
                </c:pt>
                <c:pt idx="1">
                  <c:v>34.384734287789207</c:v>
                </c:pt>
                <c:pt idx="2">
                  <c:v>45.190054149102622</c:v>
                </c:pt>
                <c:pt idx="3">
                  <c:v>57.753969503099064</c:v>
                </c:pt>
                <c:pt idx="4">
                  <c:v>69.168740830417235</c:v>
                </c:pt>
                <c:pt idx="5">
                  <c:v>78.781068575832123</c:v>
                </c:pt>
                <c:pt idx="6">
                  <c:v>88.79258552118128</c:v>
                </c:pt>
                <c:pt idx="7">
                  <c:v>99.528834865531749</c:v>
                </c:pt>
                <c:pt idx="8">
                  <c:v>123.0523550802416</c:v>
                </c:pt>
              </c:numCache>
            </c:numRef>
          </c:yVal>
          <c:smooth val="0"/>
          <c:extLst>
            <c:ext xmlns:c16="http://schemas.microsoft.com/office/drawing/2014/chart" uri="{C3380CC4-5D6E-409C-BE32-E72D297353CC}">
              <c16:uniqueId val="{00000028-B251-4FD5-A4AF-A5AE7F0103C8}"/>
            </c:ext>
          </c:extLst>
        </c:ser>
        <c:ser>
          <c:idx val="16"/>
          <c:order val="6"/>
          <c:tx>
            <c:strRef>
              <c:f>'Schätzung Schiff'!$R$11</c:f>
              <c:strCache>
                <c:ptCount val="1"/>
                <c:pt idx="0">
                  <c:v>19</c:v>
                </c:pt>
              </c:strCache>
            </c:strRef>
          </c:tx>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Schiff'!$S$11:$AA$11</c:f>
              <c:numCache>
                <c:formatCode>General</c:formatCode>
                <c:ptCount val="9"/>
                <c:pt idx="0">
                  <c:v>29.063358786985471</c:v>
                </c:pt>
                <c:pt idx="1">
                  <c:v>41.101085213380244</c:v>
                </c:pt>
                <c:pt idx="2">
                  <c:v>54.017002162471989</c:v>
                </c:pt>
                <c:pt idx="3">
                  <c:v>69.035020078686813</c:v>
                </c:pt>
                <c:pt idx="4">
                  <c:v>82.679432307923165</c:v>
                </c:pt>
                <c:pt idx="5">
                  <c:v>94.169330658062151</c:v>
                </c:pt>
                <c:pt idx="6">
                  <c:v>106.13639161139118</c:v>
                </c:pt>
                <c:pt idx="7">
                  <c:v>118.96974653805559</c:v>
                </c:pt>
                <c:pt idx="8">
                  <c:v>147.08810280544165</c:v>
                </c:pt>
              </c:numCache>
            </c:numRef>
          </c:yVal>
          <c:smooth val="0"/>
          <c:extLst>
            <c:ext xmlns:c16="http://schemas.microsoft.com/office/drawing/2014/chart" uri="{C3380CC4-5D6E-409C-BE32-E72D297353CC}">
              <c16:uniqueId val="{00000029-B251-4FD5-A4AF-A5AE7F0103C8}"/>
            </c:ext>
          </c:extLst>
        </c:ser>
        <c:ser>
          <c:idx val="17"/>
          <c:order val="7"/>
          <c:tx>
            <c:strRef>
              <c:f>'Schätzung Schiff'!$R$12</c:f>
              <c:strCache>
                <c:ptCount val="1"/>
                <c:pt idx="0">
                  <c:v>20</c:v>
                </c:pt>
              </c:strCache>
            </c:strRef>
          </c:tx>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Schiff'!$S$12:$AA$12</c:f>
              <c:numCache>
                <c:formatCode>General</c:formatCode>
                <c:ptCount val="9"/>
                <c:pt idx="0">
                  <c:v>34.423728344534631</c:v>
                </c:pt>
                <c:pt idx="1">
                  <c:v>48.681661415009593</c:v>
                </c:pt>
                <c:pt idx="2">
                  <c:v>63.97975616155356</c:v>
                </c:pt>
                <c:pt idx="3">
                  <c:v>81.767657856268698</c:v>
                </c:pt>
                <c:pt idx="4">
                  <c:v>97.92860963897887</c:v>
                </c:pt>
                <c:pt idx="5">
                  <c:v>111.53767466172555</c:v>
                </c:pt>
                <c:pt idx="6">
                  <c:v>125.71190890489075</c:v>
                </c:pt>
                <c:pt idx="7">
                  <c:v>140.91221410644633</c:v>
                </c:pt>
                <c:pt idx="8">
                  <c:v>174.21664614878762</c:v>
                </c:pt>
              </c:numCache>
            </c:numRef>
          </c:yVal>
          <c:smooth val="0"/>
          <c:extLst>
            <c:ext xmlns:c16="http://schemas.microsoft.com/office/drawing/2014/chart" uri="{C3380CC4-5D6E-409C-BE32-E72D297353CC}">
              <c16:uniqueId val="{0000002A-B251-4FD5-A4AF-A5AE7F0103C8}"/>
            </c:ext>
          </c:extLst>
        </c:ser>
        <c:ser>
          <c:idx val="18"/>
          <c:order val="8"/>
          <c:tx>
            <c:strRef>
              <c:f>'Schätzung Schiff'!$R$13</c:f>
              <c:strCache>
                <c:ptCount val="1"/>
                <c:pt idx="0">
                  <c:v>21</c:v>
                </c:pt>
              </c:strCache>
            </c:strRef>
          </c:tx>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Schiff'!$S$13:$AA$13</c:f>
              <c:numCache>
                <c:formatCode>General</c:formatCode>
                <c:ptCount val="9"/>
                <c:pt idx="0">
                  <c:v>40.437341224394061</c:v>
                </c:pt>
                <c:pt idx="1">
                  <c:v>57.186047202865055</c:v>
                </c:pt>
                <c:pt idx="2">
                  <c:v>75.156624682376346</c:v>
                </c:pt>
                <c:pt idx="3">
                  <c:v>96.051963016911344</c:v>
                </c:pt>
                <c:pt idx="4">
                  <c:v>115.03613333128656</c:v>
                </c:pt>
                <c:pt idx="5">
                  <c:v>131.02261801887983</c:v>
                </c:pt>
                <c:pt idx="6">
                  <c:v>147.673003501496</c:v>
                </c:pt>
                <c:pt idx="7">
                  <c:v>165.52870820606273</c:v>
                </c:pt>
                <c:pt idx="8">
                  <c:v>204.65121897252413</c:v>
                </c:pt>
              </c:numCache>
            </c:numRef>
          </c:yVal>
          <c:smooth val="0"/>
          <c:extLst>
            <c:ext xmlns:c16="http://schemas.microsoft.com/office/drawing/2014/chart" uri="{C3380CC4-5D6E-409C-BE32-E72D297353CC}">
              <c16:uniqueId val="{0000002B-B251-4FD5-A4AF-A5AE7F0103C8}"/>
            </c:ext>
          </c:extLst>
        </c:ser>
        <c:ser>
          <c:idx val="19"/>
          <c:order val="9"/>
          <c:tx>
            <c:strRef>
              <c:f>'Schätzung Schiff'!$R$14</c:f>
              <c:strCache>
                <c:ptCount val="1"/>
                <c:pt idx="0">
                  <c:v>22</c:v>
                </c:pt>
              </c:strCache>
            </c:strRef>
          </c:tx>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Schiff'!$S$14:$AA$14</c:f>
              <c:numCache>
                <c:formatCode>General</c:formatCode>
                <c:ptCount val="9"/>
                <c:pt idx="0">
                  <c:v>47.146967802000795</c:v>
                </c:pt>
                <c:pt idx="1">
                  <c:v>66.674727975703533</c:v>
                </c:pt>
                <c:pt idx="2">
                  <c:v>87.627100514449126</c:v>
                </c:pt>
                <c:pt idx="3">
                  <c:v>111.98952924593891</c:v>
                </c:pt>
                <c:pt idx="4">
                  <c:v>134.12367653304111</c:v>
                </c:pt>
                <c:pt idx="5">
                  <c:v>152.76274270335739</c:v>
                </c:pt>
                <c:pt idx="6">
                  <c:v>172.17586840525792</c:v>
                </c:pt>
                <c:pt idx="7">
                  <c:v>192.99430773134287</c:v>
                </c:pt>
                <c:pt idx="8">
                  <c:v>238.60827985686618</c:v>
                </c:pt>
              </c:numCache>
            </c:numRef>
          </c:yVal>
          <c:smooth val="0"/>
          <c:extLst>
            <c:ext xmlns:c16="http://schemas.microsoft.com/office/drawing/2014/chart" uri="{C3380CC4-5D6E-409C-BE32-E72D297353CC}">
              <c16:uniqueId val="{0000002C-B251-4FD5-A4AF-A5AE7F0103C8}"/>
            </c:ext>
          </c:extLst>
        </c:ser>
        <c:ser>
          <c:idx val="2"/>
          <c:order val="10"/>
          <c:tx>
            <c:strRef>
              <c:f>'Schätzung Schiff'!$R$5</c:f>
              <c:strCache>
                <c:ptCount val="1"/>
                <c:pt idx="0">
                  <c:v>13</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Schiff'!$S$5:$AA$5</c:f>
              <c:numCache>
                <c:formatCode>General</c:formatCode>
                <c:ptCount val="9"/>
                <c:pt idx="0">
                  <c:v>8.3075312337491223</c:v>
                </c:pt>
                <c:pt idx="1">
                  <c:v>11.74842012080313</c:v>
                </c:pt>
                <c:pt idx="2">
                  <c:v>15.440332822756144</c:v>
                </c:pt>
                <c:pt idx="3">
                  <c:v>19.733114459675104</c:v>
                </c:pt>
                <c:pt idx="4">
                  <c:v>23.633261775452251</c:v>
                </c:pt>
                <c:pt idx="5">
                  <c:v>26.917558339933493</c:v>
                </c:pt>
                <c:pt idx="6">
                  <c:v>30.338248060437479</c:v>
                </c:pt>
                <c:pt idx="7">
                  <c:v>34.006561061300758</c:v>
                </c:pt>
                <c:pt idx="8">
                  <c:v>42.043970799283215</c:v>
                </c:pt>
              </c:numCache>
            </c:numRef>
          </c:yVal>
          <c:smooth val="0"/>
          <c:extLst>
            <c:ext xmlns:c16="http://schemas.microsoft.com/office/drawing/2014/chart" uri="{C3380CC4-5D6E-409C-BE32-E72D297353CC}">
              <c16:uniqueId val="{00000010-B251-4FD5-A4AF-A5AE7F0103C8}"/>
            </c:ext>
          </c:extLst>
        </c:ser>
        <c:ser>
          <c:idx val="3"/>
          <c:order val="11"/>
          <c:tx>
            <c:strRef>
              <c:f>'Schätzung Schiff'!$R$6</c:f>
              <c:strCache>
                <c:ptCount val="1"/>
                <c:pt idx="0">
                  <c:v>14</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Schiff'!$S$6:$AA$6</c:f>
              <c:numCache>
                <c:formatCode>General</c:formatCode>
                <c:ptCount val="9"/>
                <c:pt idx="0">
                  <c:v>10.609170716889256</c:v>
                </c:pt>
                <c:pt idx="1">
                  <c:v>15.003373590578441</c:v>
                </c:pt>
                <c:pt idx="2">
                  <c:v>19.718147573943309</c:v>
                </c:pt>
                <c:pt idx="3">
                  <c:v>25.200263975911671</c:v>
                </c:pt>
                <c:pt idx="4">
                  <c:v>30.180964924227442</c:v>
                </c:pt>
                <c:pt idx="5">
                  <c:v>34.375190856947739</c:v>
                </c:pt>
                <c:pt idx="6">
                  <c:v>38.74359829270977</c:v>
                </c:pt>
                <c:pt idx="7">
                  <c:v>43.428234169977429</c:v>
                </c:pt>
                <c:pt idx="8">
                  <c:v>53.6924449965869</c:v>
                </c:pt>
              </c:numCache>
            </c:numRef>
          </c:yVal>
          <c:smooth val="0"/>
          <c:extLst>
            <c:ext xmlns:c16="http://schemas.microsoft.com/office/drawing/2014/chart" uri="{C3380CC4-5D6E-409C-BE32-E72D297353CC}">
              <c16:uniqueId val="{00000012-B251-4FD5-A4AF-A5AE7F0103C8}"/>
            </c:ext>
          </c:extLst>
        </c:ser>
        <c:ser>
          <c:idx val="4"/>
          <c:order val="12"/>
          <c:tx>
            <c:strRef>
              <c:f>'Schätzung Schiff'!$R$7</c:f>
              <c:strCache>
                <c:ptCount val="1"/>
                <c:pt idx="0">
                  <c:v>15</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Schiff'!$S$7:$AA$7</c:f>
              <c:numCache>
                <c:formatCode>General</c:formatCode>
                <c:ptCount val="9"/>
                <c:pt idx="0">
                  <c:v>13.321713060102708</c:v>
                </c:pt>
                <c:pt idx="1">
                  <c:v>18.839421406333393</c:v>
                </c:pt>
                <c:pt idx="2">
                  <c:v>24.75966416853494</c:v>
                </c:pt>
                <c:pt idx="3">
                  <c:v>31.643442704857605</c:v>
                </c:pt>
                <c:pt idx="4">
                  <c:v>37.897604377081052</c:v>
                </c:pt>
                <c:pt idx="5">
                  <c:v>43.164205874594181</c:v>
                </c:pt>
                <c:pt idx="6">
                  <c:v>48.649523430677796</c:v>
                </c:pt>
                <c:pt idx="7">
                  <c:v>54.531922405432063</c:v>
                </c:pt>
                <c:pt idx="8">
                  <c:v>67.420476569501915</c:v>
                </c:pt>
              </c:numCache>
            </c:numRef>
          </c:yVal>
          <c:smooth val="0"/>
          <c:extLst>
            <c:ext xmlns:c16="http://schemas.microsoft.com/office/drawing/2014/chart" uri="{C3380CC4-5D6E-409C-BE32-E72D297353CC}">
              <c16:uniqueId val="{00000014-B251-4FD5-A4AF-A5AE7F0103C8}"/>
            </c:ext>
          </c:extLst>
        </c:ser>
        <c:ser>
          <c:idx val="5"/>
          <c:order val="13"/>
          <c:tx>
            <c:strRef>
              <c:f>'Schätzung Schiff'!$R$8</c:f>
              <c:strCache>
                <c:ptCount val="1"/>
                <c:pt idx="0">
                  <c:v>16</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Schiff'!$S$8:$AA$8</c:f>
              <c:numCache>
                <c:formatCode>General</c:formatCode>
                <c:ptCount val="9"/>
                <c:pt idx="0">
                  <c:v>16.483706113276703</c:v>
                </c:pt>
                <c:pt idx="1">
                  <c:v>23.311077517216809</c:v>
                </c:pt>
                <c:pt idx="2">
                  <c:v>30.636527432787311</c:v>
                </c:pt>
                <c:pt idx="3">
                  <c:v>39.154214447189197</c:v>
                </c:pt>
                <c:pt idx="4">
                  <c:v>46.892841043088545</c:v>
                </c:pt>
                <c:pt idx="5">
                  <c:v>53.409503795775109</c:v>
                </c:pt>
                <c:pt idx="6">
                  <c:v>60.196796250172291</c:v>
                </c:pt>
                <c:pt idx="7">
                  <c:v>67.475419915418982</c:v>
                </c:pt>
                <c:pt idx="8">
                  <c:v>83.423154122504386</c:v>
                </c:pt>
              </c:numCache>
            </c:numRef>
          </c:yVal>
          <c:smooth val="0"/>
          <c:extLst>
            <c:ext xmlns:c16="http://schemas.microsoft.com/office/drawing/2014/chart" uri="{C3380CC4-5D6E-409C-BE32-E72D297353CC}">
              <c16:uniqueId val="{00000016-B251-4FD5-A4AF-A5AE7F0103C8}"/>
            </c:ext>
          </c:extLst>
        </c:ser>
        <c:ser>
          <c:idx val="6"/>
          <c:order val="14"/>
          <c:tx>
            <c:strRef>
              <c:f>'Schätzung Schiff'!$R$9</c:f>
              <c:strCache>
                <c:ptCount val="1"/>
                <c:pt idx="0">
                  <c:v>17</c:v>
                </c:pt>
              </c:strCache>
            </c:strRef>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Schiff'!$S$9:$AA$9</c:f>
              <c:numCache>
                <c:formatCode>General</c:formatCode>
                <c:ptCount val="9"/>
                <c:pt idx="0">
                  <c:v>20.134477350578866</c:v>
                </c:pt>
                <c:pt idx="1">
                  <c:v>28.473958408537126</c:v>
                </c:pt>
                <c:pt idx="2">
                  <c:v>37.421831198446661</c:v>
                </c:pt>
                <c:pt idx="3">
                  <c:v>47.82599486723845</c:v>
                </c:pt>
                <c:pt idx="4">
                  <c:v>57.278553706189349</c:v>
                </c:pt>
                <c:pt idx="5">
                  <c:v>65.238511114653846</c:v>
                </c:pt>
                <c:pt idx="6">
                  <c:v>73.529036634563724</c:v>
                </c:pt>
                <c:pt idx="7">
                  <c:v>82.4197122098373</c:v>
                </c:pt>
                <c:pt idx="8">
                  <c:v>101.89951189681334</c:v>
                </c:pt>
              </c:numCache>
            </c:numRef>
          </c:yVal>
          <c:smooth val="0"/>
          <c:extLst>
            <c:ext xmlns:c16="http://schemas.microsoft.com/office/drawing/2014/chart" uri="{C3380CC4-5D6E-409C-BE32-E72D297353CC}">
              <c16:uniqueId val="{00000018-B251-4FD5-A4AF-A5AE7F0103C8}"/>
            </c:ext>
          </c:extLst>
        </c:ser>
        <c:ser>
          <c:idx val="7"/>
          <c:order val="15"/>
          <c:tx>
            <c:strRef>
              <c:f>'Schätzung Schiff'!$R$10</c:f>
              <c:strCache>
                <c:ptCount val="1"/>
                <c:pt idx="0">
                  <c:v>18</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Schiff'!$S$10:$AA$10</c:f>
              <c:numCache>
                <c:formatCode>General</c:formatCode>
                <c:ptCount val="9"/>
                <c:pt idx="0">
                  <c:v>24.314099353168672</c:v>
                </c:pt>
                <c:pt idx="1">
                  <c:v>34.384734287789207</c:v>
                </c:pt>
                <c:pt idx="2">
                  <c:v>45.190054149102622</c:v>
                </c:pt>
                <c:pt idx="3">
                  <c:v>57.753969503099064</c:v>
                </c:pt>
                <c:pt idx="4">
                  <c:v>69.168740830417235</c:v>
                </c:pt>
                <c:pt idx="5">
                  <c:v>78.781068575832123</c:v>
                </c:pt>
                <c:pt idx="6">
                  <c:v>88.79258552118128</c:v>
                </c:pt>
                <c:pt idx="7">
                  <c:v>99.528834865531749</c:v>
                </c:pt>
                <c:pt idx="8">
                  <c:v>123.0523550802416</c:v>
                </c:pt>
              </c:numCache>
            </c:numRef>
          </c:yVal>
          <c:smooth val="0"/>
          <c:extLst>
            <c:ext xmlns:c16="http://schemas.microsoft.com/office/drawing/2014/chart" uri="{C3380CC4-5D6E-409C-BE32-E72D297353CC}">
              <c16:uniqueId val="{0000001A-B251-4FD5-A4AF-A5AE7F0103C8}"/>
            </c:ext>
          </c:extLst>
        </c:ser>
        <c:ser>
          <c:idx val="8"/>
          <c:order val="16"/>
          <c:tx>
            <c:strRef>
              <c:f>'Schätzung Schiff'!$R$11</c:f>
              <c:strCache>
                <c:ptCount val="1"/>
                <c:pt idx="0">
                  <c:v>19</c:v>
                </c:pt>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Schiff'!$S$11:$AA$11</c:f>
              <c:numCache>
                <c:formatCode>General</c:formatCode>
                <c:ptCount val="9"/>
                <c:pt idx="0">
                  <c:v>29.063358786985471</c:v>
                </c:pt>
                <c:pt idx="1">
                  <c:v>41.101085213380244</c:v>
                </c:pt>
                <c:pt idx="2">
                  <c:v>54.017002162471989</c:v>
                </c:pt>
                <c:pt idx="3">
                  <c:v>69.035020078686813</c:v>
                </c:pt>
                <c:pt idx="4">
                  <c:v>82.679432307923165</c:v>
                </c:pt>
                <c:pt idx="5">
                  <c:v>94.169330658062151</c:v>
                </c:pt>
                <c:pt idx="6">
                  <c:v>106.13639161139118</c:v>
                </c:pt>
                <c:pt idx="7">
                  <c:v>118.96974653805559</c:v>
                </c:pt>
                <c:pt idx="8">
                  <c:v>147.08810280544165</c:v>
                </c:pt>
              </c:numCache>
            </c:numRef>
          </c:yVal>
          <c:smooth val="0"/>
          <c:extLst>
            <c:ext xmlns:c16="http://schemas.microsoft.com/office/drawing/2014/chart" uri="{C3380CC4-5D6E-409C-BE32-E72D297353CC}">
              <c16:uniqueId val="{0000001C-B251-4FD5-A4AF-A5AE7F0103C8}"/>
            </c:ext>
          </c:extLst>
        </c:ser>
        <c:ser>
          <c:idx val="9"/>
          <c:order val="17"/>
          <c:tx>
            <c:strRef>
              <c:f>'Schätzung Schiff'!$R$12</c:f>
              <c:strCache>
                <c:ptCount val="1"/>
                <c:pt idx="0">
                  <c:v>20</c:v>
                </c:pt>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Schiff'!$S$12:$AA$12</c:f>
              <c:numCache>
                <c:formatCode>General</c:formatCode>
                <c:ptCount val="9"/>
                <c:pt idx="0">
                  <c:v>34.423728344534631</c:v>
                </c:pt>
                <c:pt idx="1">
                  <c:v>48.681661415009593</c:v>
                </c:pt>
                <c:pt idx="2">
                  <c:v>63.97975616155356</c:v>
                </c:pt>
                <c:pt idx="3">
                  <c:v>81.767657856268698</c:v>
                </c:pt>
                <c:pt idx="4">
                  <c:v>97.92860963897887</c:v>
                </c:pt>
                <c:pt idx="5">
                  <c:v>111.53767466172555</c:v>
                </c:pt>
                <c:pt idx="6">
                  <c:v>125.71190890489075</c:v>
                </c:pt>
                <c:pt idx="7">
                  <c:v>140.91221410644633</c:v>
                </c:pt>
                <c:pt idx="8">
                  <c:v>174.21664614878762</c:v>
                </c:pt>
              </c:numCache>
            </c:numRef>
          </c:yVal>
          <c:smooth val="0"/>
          <c:extLst>
            <c:ext xmlns:c16="http://schemas.microsoft.com/office/drawing/2014/chart" uri="{C3380CC4-5D6E-409C-BE32-E72D297353CC}">
              <c16:uniqueId val="{0000001E-B251-4FD5-A4AF-A5AE7F0103C8}"/>
            </c:ext>
          </c:extLst>
        </c:ser>
        <c:ser>
          <c:idx val="10"/>
          <c:order val="18"/>
          <c:tx>
            <c:strRef>
              <c:f>'Schätzung Schiff'!$R$13</c:f>
              <c:strCache>
                <c:ptCount val="1"/>
                <c:pt idx="0">
                  <c:v>21</c:v>
                </c:pt>
              </c:strCache>
            </c:strRef>
          </c:tx>
          <c:spPr>
            <a:ln w="1905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Schiff'!$S$13:$AA$13</c:f>
              <c:numCache>
                <c:formatCode>General</c:formatCode>
                <c:ptCount val="9"/>
                <c:pt idx="0">
                  <c:v>40.437341224394061</c:v>
                </c:pt>
                <c:pt idx="1">
                  <c:v>57.186047202865055</c:v>
                </c:pt>
                <c:pt idx="2">
                  <c:v>75.156624682376346</c:v>
                </c:pt>
                <c:pt idx="3">
                  <c:v>96.051963016911344</c:v>
                </c:pt>
                <c:pt idx="4">
                  <c:v>115.03613333128656</c:v>
                </c:pt>
                <c:pt idx="5">
                  <c:v>131.02261801887983</c:v>
                </c:pt>
                <c:pt idx="6">
                  <c:v>147.673003501496</c:v>
                </c:pt>
                <c:pt idx="7">
                  <c:v>165.52870820606273</c:v>
                </c:pt>
                <c:pt idx="8">
                  <c:v>204.65121897252413</c:v>
                </c:pt>
              </c:numCache>
            </c:numRef>
          </c:yVal>
          <c:smooth val="0"/>
          <c:extLst>
            <c:ext xmlns:c16="http://schemas.microsoft.com/office/drawing/2014/chart" uri="{C3380CC4-5D6E-409C-BE32-E72D297353CC}">
              <c16:uniqueId val="{00000020-B251-4FD5-A4AF-A5AE7F0103C8}"/>
            </c:ext>
          </c:extLst>
        </c:ser>
        <c:ser>
          <c:idx val="11"/>
          <c:order val="19"/>
          <c:tx>
            <c:strRef>
              <c:f>'Schätzung Schiff'!$R$14</c:f>
              <c:strCache>
                <c:ptCount val="1"/>
                <c:pt idx="0">
                  <c:v>22</c:v>
                </c:pt>
              </c:strCache>
            </c:strRef>
          </c:tx>
          <c:spPr>
            <a:ln w="1905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Schiff'!$S$14:$AA$14</c:f>
              <c:numCache>
                <c:formatCode>General</c:formatCode>
                <c:ptCount val="9"/>
                <c:pt idx="0">
                  <c:v>47.146967802000795</c:v>
                </c:pt>
                <c:pt idx="1">
                  <c:v>66.674727975703533</c:v>
                </c:pt>
                <c:pt idx="2">
                  <c:v>87.627100514449126</c:v>
                </c:pt>
                <c:pt idx="3">
                  <c:v>111.98952924593891</c:v>
                </c:pt>
                <c:pt idx="4">
                  <c:v>134.12367653304111</c:v>
                </c:pt>
                <c:pt idx="5">
                  <c:v>152.76274270335739</c:v>
                </c:pt>
                <c:pt idx="6">
                  <c:v>172.17586840525792</c:v>
                </c:pt>
                <c:pt idx="7">
                  <c:v>192.99430773134287</c:v>
                </c:pt>
                <c:pt idx="8">
                  <c:v>238.60827985686618</c:v>
                </c:pt>
              </c:numCache>
            </c:numRef>
          </c:yVal>
          <c:smooth val="0"/>
          <c:extLst>
            <c:ext xmlns:c16="http://schemas.microsoft.com/office/drawing/2014/chart" uri="{C3380CC4-5D6E-409C-BE32-E72D297353CC}">
              <c16:uniqueId val="{00000022-B251-4FD5-A4AF-A5AE7F0103C8}"/>
            </c:ext>
          </c:extLst>
        </c:ser>
        <c:ser>
          <c:idx val="20"/>
          <c:order val="20"/>
          <c:tx>
            <c:strRef>
              <c:f>'Schätzung Schiff'!$R$24</c:f>
              <c:strCache>
                <c:ptCount val="1"/>
                <c:pt idx="0">
                  <c:v>23</c:v>
                </c:pt>
              </c:strCache>
            </c:strRef>
          </c:tx>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Schiff'!$S$15:$AA$15</c:f>
              <c:numCache>
                <c:formatCode>General</c:formatCode>
                <c:ptCount val="9"/>
                <c:pt idx="0">
                  <c:v>54.595994207020688</c:v>
                </c:pt>
                <c:pt idx="1">
                  <c:v>77.209059925200762</c:v>
                </c:pt>
                <c:pt idx="2">
                  <c:v>101.47182088477511</c:v>
                </c:pt>
                <c:pt idx="3">
                  <c:v>129.68341284715206</c:v>
                </c:pt>
                <c:pt idx="4">
                  <c:v>155.31466408983945</c:v>
                </c:pt>
                <c:pt idx="5">
                  <c:v>176.89862581845938</c:v>
                </c:pt>
                <c:pt idx="6">
                  <c:v>199.37894529122403</c:v>
                </c:pt>
                <c:pt idx="7">
                  <c:v>223.486612143087</c:v>
                </c:pt>
                <c:pt idx="8">
                  <c:v>276.30740368121411</c:v>
                </c:pt>
              </c:numCache>
            </c:numRef>
          </c:yVal>
          <c:smooth val="0"/>
          <c:extLst>
            <c:ext xmlns:c16="http://schemas.microsoft.com/office/drawing/2014/chart" uri="{C3380CC4-5D6E-409C-BE32-E72D297353CC}">
              <c16:uniqueId val="{0000002D-B251-4FD5-A4AF-A5AE7F0103C8}"/>
            </c:ext>
          </c:extLst>
        </c:ser>
        <c:ser>
          <c:idx val="21"/>
          <c:order val="21"/>
          <c:tx>
            <c:strRef>
              <c:f>'Schätzung Schiff'!$R$16</c:f>
              <c:strCache>
                <c:ptCount val="1"/>
                <c:pt idx="0">
                  <c:v>24</c:v>
                </c:pt>
              </c:strCache>
            </c:strRef>
          </c:tx>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Schiff'!$S$16:$AA$16</c:f>
              <c:numCache>
                <c:formatCode>General</c:formatCode>
                <c:ptCount val="9"/>
                <c:pt idx="0">
                  <c:v>62.828402571001668</c:v>
                </c:pt>
                <c:pt idx="1">
                  <c:v>88.851242102397848</c:v>
                </c:pt>
                <c:pt idx="2">
                  <c:v>116.77253074624662</c:v>
                </c:pt>
                <c:pt idx="3">
                  <c:v>149.23808582451872</c:v>
                </c:pt>
                <c:pt idx="4">
                  <c:v>178.73421635321171</c:v>
                </c:pt>
                <c:pt idx="5">
                  <c:v>203.5727755966011</c:v>
                </c:pt>
                <c:pt idx="6">
                  <c:v>229.4428523719034</c:v>
                </c:pt>
                <c:pt idx="7">
                  <c:v>257.18566061298247</c:v>
                </c:pt>
                <c:pt idx="8">
                  <c:v>317.97118165858421</c:v>
                </c:pt>
              </c:numCache>
            </c:numRef>
          </c:yVal>
          <c:smooth val="0"/>
          <c:extLst>
            <c:ext xmlns:c16="http://schemas.microsoft.com/office/drawing/2014/chart" uri="{C3380CC4-5D6E-409C-BE32-E72D297353CC}">
              <c16:uniqueId val="{0000002E-B251-4FD5-A4AF-A5AE7F0103C8}"/>
            </c:ext>
          </c:extLst>
        </c:ser>
        <c:ser>
          <c:idx val="22"/>
          <c:order val="22"/>
          <c:tx>
            <c:strRef>
              <c:f>'Schätzung Schiff'!$R$17</c:f>
              <c:strCache>
                <c:ptCount val="1"/>
                <c:pt idx="0">
                  <c:v>25</c:v>
                </c:pt>
              </c:strCache>
            </c:strRef>
          </c:tx>
          <c:xVal>
            <c:numRef>
              <c:f>'Schätzung Schiff'!$S$3:$AA$3</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Schiff'!$S$17:$AA$17</c:f>
              <c:numCache>
                <c:formatCode>General</c:formatCode>
                <c:ptCount val="9"/>
                <c:pt idx="0">
                  <c:v>71.888752747409669</c:v>
                </c:pt>
                <c:pt idx="1">
                  <c:v>101.6642905663753</c:v>
                </c:pt>
                <c:pt idx="2">
                  <c:v>133.61204880260226</c:v>
                </c:pt>
                <c:pt idx="3">
                  <c:v>170.75939246125711</c:v>
                </c:pt>
                <c:pt idx="4">
                  <c:v>204.50909717778637</c:v>
                </c:pt>
                <c:pt idx="5">
                  <c:v>232.92957216968205</c:v>
                </c:pt>
                <c:pt idx="6">
                  <c:v>262.53031764072136</c:v>
                </c:pt>
                <c:pt idx="7">
                  <c:v>294.27385719527058</c:v>
                </c:pt>
                <c:pt idx="8">
                  <c:v>363.82512882168947</c:v>
                </c:pt>
              </c:numCache>
            </c:numRef>
          </c:yVal>
          <c:smooth val="0"/>
          <c:extLst>
            <c:ext xmlns:c16="http://schemas.microsoft.com/office/drawing/2014/chart" uri="{C3380CC4-5D6E-409C-BE32-E72D297353CC}">
              <c16:uniqueId val="{0000002F-B251-4FD5-A4AF-A5AE7F0103C8}"/>
            </c:ext>
          </c:extLst>
        </c:ser>
        <c:dLbls>
          <c:showLegendKey val="0"/>
          <c:showVal val="0"/>
          <c:showCatName val="0"/>
          <c:showSerName val="0"/>
          <c:showPercent val="0"/>
          <c:showBubbleSize val="0"/>
        </c:dLbls>
        <c:axId val="503683320"/>
        <c:axId val="503690536"/>
      </c:scatterChart>
      <c:valAx>
        <c:axId val="5036833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typ. dwt</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3690536"/>
        <c:crosses val="autoZero"/>
        <c:crossBetween val="midCat"/>
      </c:valAx>
      <c:valAx>
        <c:axId val="503690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Treibstoffbedarf (t/d)</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3683320"/>
        <c:crosses val="autoZero"/>
        <c:crossBetween val="midCat"/>
      </c:valAx>
    </c:plotArea>
    <c:plotVisOnly val="1"/>
    <c:dispBlanksAs val="gap"/>
    <c:showDLblsOverMax val="0"/>
  </c:chart>
  <c:spPr>
    <a:ln>
      <a:solidFill>
        <a:srgbClr val="32578C"/>
      </a:solidFill>
    </a:ln>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Treibstoffbedarf berechnet (Schiffs</a:t>
            </a:r>
            <a:r>
              <a:rPr lang="de-DE" baseline="0"/>
              <a:t>größe</a:t>
            </a:r>
            <a:r>
              <a:rPr lang="de-DE"/>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2"/>
          <c:order val="0"/>
          <c:tx>
            <c:strRef>
              <c:f>'Schätzung Schiff'!$S$3</c:f>
              <c:strCache>
                <c:ptCount val="1"/>
                <c:pt idx="0">
                  <c:v>34103,48886</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'Schätzung Schiff'!$R$5:$R$17</c:f>
              <c:numCache>
                <c:formatCode>General</c:formatCode>
                <c:ptCount val="13"/>
                <c:pt idx="0">
                  <c:v>13</c:v>
                </c:pt>
                <c:pt idx="1">
                  <c:v>14</c:v>
                </c:pt>
                <c:pt idx="2">
                  <c:v>15</c:v>
                </c:pt>
                <c:pt idx="3">
                  <c:v>16</c:v>
                </c:pt>
                <c:pt idx="4">
                  <c:v>17</c:v>
                </c:pt>
                <c:pt idx="5">
                  <c:v>18</c:v>
                </c:pt>
                <c:pt idx="6">
                  <c:v>19</c:v>
                </c:pt>
                <c:pt idx="7">
                  <c:v>20</c:v>
                </c:pt>
                <c:pt idx="8">
                  <c:v>21</c:v>
                </c:pt>
                <c:pt idx="9">
                  <c:v>22</c:v>
                </c:pt>
                <c:pt idx="10">
                  <c:v>23</c:v>
                </c:pt>
                <c:pt idx="11">
                  <c:v>24</c:v>
                </c:pt>
                <c:pt idx="12">
                  <c:v>25</c:v>
                </c:pt>
              </c:numCache>
            </c:numRef>
          </c:xVal>
          <c:yVal>
            <c:numRef>
              <c:f>'Schätzung Schiff'!$S$5:$S$17</c:f>
              <c:numCache>
                <c:formatCode>General</c:formatCode>
                <c:ptCount val="13"/>
                <c:pt idx="0">
                  <c:v>8.3075312337491223</c:v>
                </c:pt>
                <c:pt idx="1">
                  <c:v>10.609170716889256</c:v>
                </c:pt>
                <c:pt idx="2">
                  <c:v>13.321713060102708</c:v>
                </c:pt>
                <c:pt idx="3">
                  <c:v>16.483706113276703</c:v>
                </c:pt>
                <c:pt idx="4">
                  <c:v>20.134477350578866</c:v>
                </c:pt>
                <c:pt idx="5">
                  <c:v>24.314099353168672</c:v>
                </c:pt>
                <c:pt idx="6">
                  <c:v>29.063358786985471</c:v>
                </c:pt>
                <c:pt idx="7">
                  <c:v>34.423728344534631</c:v>
                </c:pt>
                <c:pt idx="8">
                  <c:v>40.437341224394061</c:v>
                </c:pt>
                <c:pt idx="9">
                  <c:v>47.146967802000795</c:v>
                </c:pt>
                <c:pt idx="10">
                  <c:v>54.595994207020688</c:v>
                </c:pt>
                <c:pt idx="11">
                  <c:v>62.828402571001668</c:v>
                </c:pt>
                <c:pt idx="12">
                  <c:v>71.888752747409669</c:v>
                </c:pt>
              </c:numCache>
            </c:numRef>
          </c:yVal>
          <c:smooth val="0"/>
          <c:extLst>
            <c:ext xmlns:c16="http://schemas.microsoft.com/office/drawing/2014/chart" uri="{C3380CC4-5D6E-409C-BE32-E72D297353CC}">
              <c16:uniqueId val="{00000000-875F-46DA-9135-6D35AA823151}"/>
            </c:ext>
          </c:extLst>
        </c:ser>
        <c:ser>
          <c:idx val="3"/>
          <c:order val="1"/>
          <c:tx>
            <c:strRef>
              <c:f>'Schätzung Schiff'!$T$3</c:f>
              <c:strCache>
                <c:ptCount val="1"/>
                <c:pt idx="0">
                  <c:v>45522,03991</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'Schätzung Schiff'!$R$5:$R$17</c:f>
              <c:numCache>
                <c:formatCode>General</c:formatCode>
                <c:ptCount val="13"/>
                <c:pt idx="0">
                  <c:v>13</c:v>
                </c:pt>
                <c:pt idx="1">
                  <c:v>14</c:v>
                </c:pt>
                <c:pt idx="2">
                  <c:v>15</c:v>
                </c:pt>
                <c:pt idx="3">
                  <c:v>16</c:v>
                </c:pt>
                <c:pt idx="4">
                  <c:v>17</c:v>
                </c:pt>
                <c:pt idx="5">
                  <c:v>18</c:v>
                </c:pt>
                <c:pt idx="6">
                  <c:v>19</c:v>
                </c:pt>
                <c:pt idx="7">
                  <c:v>20</c:v>
                </c:pt>
                <c:pt idx="8">
                  <c:v>21</c:v>
                </c:pt>
                <c:pt idx="9">
                  <c:v>22</c:v>
                </c:pt>
                <c:pt idx="10">
                  <c:v>23</c:v>
                </c:pt>
                <c:pt idx="11">
                  <c:v>24</c:v>
                </c:pt>
                <c:pt idx="12">
                  <c:v>25</c:v>
                </c:pt>
              </c:numCache>
            </c:numRef>
          </c:xVal>
          <c:yVal>
            <c:numRef>
              <c:f>'Schätzung Schiff'!$T$5:$T$17</c:f>
              <c:numCache>
                <c:formatCode>General</c:formatCode>
                <c:ptCount val="13"/>
                <c:pt idx="0">
                  <c:v>11.74842012080313</c:v>
                </c:pt>
                <c:pt idx="1">
                  <c:v>15.003373590578441</c:v>
                </c:pt>
                <c:pt idx="2">
                  <c:v>18.839421406333393</c:v>
                </c:pt>
                <c:pt idx="3">
                  <c:v>23.311077517216809</c:v>
                </c:pt>
                <c:pt idx="4">
                  <c:v>28.473958408537126</c:v>
                </c:pt>
                <c:pt idx="5">
                  <c:v>34.384734287789207</c:v>
                </c:pt>
                <c:pt idx="6">
                  <c:v>41.101085213380244</c:v>
                </c:pt>
                <c:pt idx="7">
                  <c:v>48.681661415009593</c:v>
                </c:pt>
                <c:pt idx="8">
                  <c:v>57.186047202865055</c:v>
                </c:pt>
                <c:pt idx="9">
                  <c:v>66.674727975703533</c:v>
                </c:pt>
                <c:pt idx="10">
                  <c:v>77.209059925200762</c:v>
                </c:pt>
                <c:pt idx="11">
                  <c:v>88.851242102397848</c:v>
                </c:pt>
                <c:pt idx="12">
                  <c:v>101.6642905663753</c:v>
                </c:pt>
              </c:numCache>
            </c:numRef>
          </c:yVal>
          <c:smooth val="0"/>
          <c:extLst>
            <c:ext xmlns:c16="http://schemas.microsoft.com/office/drawing/2014/chart" uri="{C3380CC4-5D6E-409C-BE32-E72D297353CC}">
              <c16:uniqueId val="{00000001-875F-46DA-9135-6D35AA823151}"/>
            </c:ext>
          </c:extLst>
        </c:ser>
        <c:ser>
          <c:idx val="4"/>
          <c:order val="2"/>
          <c:tx>
            <c:strRef>
              <c:f>'Schätzung Schiff'!$U$3</c:f>
              <c:strCache>
                <c:ptCount val="1"/>
                <c:pt idx="0">
                  <c:v>57163,57383</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'Schätzung Schiff'!$R$5:$R$17</c:f>
              <c:numCache>
                <c:formatCode>General</c:formatCode>
                <c:ptCount val="13"/>
                <c:pt idx="0">
                  <c:v>13</c:v>
                </c:pt>
                <c:pt idx="1">
                  <c:v>14</c:v>
                </c:pt>
                <c:pt idx="2">
                  <c:v>15</c:v>
                </c:pt>
                <c:pt idx="3">
                  <c:v>16</c:v>
                </c:pt>
                <c:pt idx="4">
                  <c:v>17</c:v>
                </c:pt>
                <c:pt idx="5">
                  <c:v>18</c:v>
                </c:pt>
                <c:pt idx="6">
                  <c:v>19</c:v>
                </c:pt>
                <c:pt idx="7">
                  <c:v>20</c:v>
                </c:pt>
                <c:pt idx="8">
                  <c:v>21</c:v>
                </c:pt>
                <c:pt idx="9">
                  <c:v>22</c:v>
                </c:pt>
                <c:pt idx="10">
                  <c:v>23</c:v>
                </c:pt>
                <c:pt idx="11">
                  <c:v>24</c:v>
                </c:pt>
                <c:pt idx="12">
                  <c:v>25</c:v>
                </c:pt>
              </c:numCache>
            </c:numRef>
          </c:xVal>
          <c:yVal>
            <c:numRef>
              <c:f>'Schätzung Schiff'!$U$5:$U$17</c:f>
              <c:numCache>
                <c:formatCode>General</c:formatCode>
                <c:ptCount val="13"/>
                <c:pt idx="0">
                  <c:v>15.440332822756144</c:v>
                </c:pt>
                <c:pt idx="1">
                  <c:v>19.718147573943309</c:v>
                </c:pt>
                <c:pt idx="2">
                  <c:v>24.75966416853494</c:v>
                </c:pt>
                <c:pt idx="3">
                  <c:v>30.636527432787311</c:v>
                </c:pt>
                <c:pt idx="4">
                  <c:v>37.421831198446661</c:v>
                </c:pt>
                <c:pt idx="5">
                  <c:v>45.190054149102622</c:v>
                </c:pt>
                <c:pt idx="6">
                  <c:v>54.017002162471989</c:v>
                </c:pt>
                <c:pt idx="7">
                  <c:v>63.97975616155356</c:v>
                </c:pt>
                <c:pt idx="8">
                  <c:v>75.156624682376346</c:v>
                </c:pt>
                <c:pt idx="9">
                  <c:v>87.627100514449126</c:v>
                </c:pt>
                <c:pt idx="10">
                  <c:v>101.47182088477511</c:v>
                </c:pt>
                <c:pt idx="11">
                  <c:v>116.77253074624662</c:v>
                </c:pt>
                <c:pt idx="12">
                  <c:v>133.61204880260226</c:v>
                </c:pt>
              </c:numCache>
            </c:numRef>
          </c:yVal>
          <c:smooth val="0"/>
          <c:extLst>
            <c:ext xmlns:c16="http://schemas.microsoft.com/office/drawing/2014/chart" uri="{C3380CC4-5D6E-409C-BE32-E72D297353CC}">
              <c16:uniqueId val="{00000002-875F-46DA-9135-6D35AA823151}"/>
            </c:ext>
          </c:extLst>
        </c:ser>
        <c:ser>
          <c:idx val="5"/>
          <c:order val="3"/>
          <c:tx>
            <c:strRef>
              <c:f>'Schätzung Schiff'!$V$3</c:f>
              <c:strCache>
                <c:ptCount val="1"/>
                <c:pt idx="0">
                  <c:v>70129,67947</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'Schätzung Schiff'!$R$5:$R$17</c:f>
              <c:numCache>
                <c:formatCode>General</c:formatCode>
                <c:ptCount val="13"/>
                <c:pt idx="0">
                  <c:v>13</c:v>
                </c:pt>
                <c:pt idx="1">
                  <c:v>14</c:v>
                </c:pt>
                <c:pt idx="2">
                  <c:v>15</c:v>
                </c:pt>
                <c:pt idx="3">
                  <c:v>16</c:v>
                </c:pt>
                <c:pt idx="4">
                  <c:v>17</c:v>
                </c:pt>
                <c:pt idx="5">
                  <c:v>18</c:v>
                </c:pt>
                <c:pt idx="6">
                  <c:v>19</c:v>
                </c:pt>
                <c:pt idx="7">
                  <c:v>20</c:v>
                </c:pt>
                <c:pt idx="8">
                  <c:v>21</c:v>
                </c:pt>
                <c:pt idx="9">
                  <c:v>22</c:v>
                </c:pt>
                <c:pt idx="10">
                  <c:v>23</c:v>
                </c:pt>
                <c:pt idx="11">
                  <c:v>24</c:v>
                </c:pt>
                <c:pt idx="12">
                  <c:v>25</c:v>
                </c:pt>
              </c:numCache>
            </c:numRef>
          </c:xVal>
          <c:yVal>
            <c:numRef>
              <c:f>'Schätzung Schiff'!$V$5:$V$17</c:f>
              <c:numCache>
                <c:formatCode>General</c:formatCode>
                <c:ptCount val="13"/>
                <c:pt idx="0">
                  <c:v>19.733114459675104</c:v>
                </c:pt>
                <c:pt idx="1">
                  <c:v>25.200263975911671</c:v>
                </c:pt>
                <c:pt idx="2">
                  <c:v>31.643442704857605</c:v>
                </c:pt>
                <c:pt idx="3">
                  <c:v>39.154214447189197</c:v>
                </c:pt>
                <c:pt idx="4">
                  <c:v>47.82599486723845</c:v>
                </c:pt>
                <c:pt idx="5">
                  <c:v>57.753969503099064</c:v>
                </c:pt>
                <c:pt idx="6">
                  <c:v>69.035020078686813</c:v>
                </c:pt>
                <c:pt idx="7">
                  <c:v>81.767657856268698</c:v>
                </c:pt>
                <c:pt idx="8">
                  <c:v>96.051963016911344</c:v>
                </c:pt>
                <c:pt idx="9">
                  <c:v>111.98952924593891</c:v>
                </c:pt>
                <c:pt idx="10">
                  <c:v>129.68341284715206</c:v>
                </c:pt>
                <c:pt idx="11">
                  <c:v>149.23808582451872</c:v>
                </c:pt>
                <c:pt idx="12">
                  <c:v>170.75939246125711</c:v>
                </c:pt>
              </c:numCache>
            </c:numRef>
          </c:yVal>
          <c:smooth val="0"/>
          <c:extLst>
            <c:ext xmlns:c16="http://schemas.microsoft.com/office/drawing/2014/chart" uri="{C3380CC4-5D6E-409C-BE32-E72D297353CC}">
              <c16:uniqueId val="{00000003-875F-46DA-9135-6D35AA823151}"/>
            </c:ext>
          </c:extLst>
        </c:ser>
        <c:ser>
          <c:idx val="6"/>
          <c:order val="4"/>
          <c:tx>
            <c:strRef>
              <c:f>'Schätzung Schiff'!$W$3</c:f>
              <c:strCache>
                <c:ptCount val="1"/>
                <c:pt idx="0">
                  <c:v>81503,30365</c:v>
                </c:pt>
              </c:strCache>
            </c:strRef>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'Schätzung Schiff'!$R$5:$R$17</c:f>
              <c:numCache>
                <c:formatCode>General</c:formatCode>
                <c:ptCount val="13"/>
                <c:pt idx="0">
                  <c:v>13</c:v>
                </c:pt>
                <c:pt idx="1">
                  <c:v>14</c:v>
                </c:pt>
                <c:pt idx="2">
                  <c:v>15</c:v>
                </c:pt>
                <c:pt idx="3">
                  <c:v>16</c:v>
                </c:pt>
                <c:pt idx="4">
                  <c:v>17</c:v>
                </c:pt>
                <c:pt idx="5">
                  <c:v>18</c:v>
                </c:pt>
                <c:pt idx="6">
                  <c:v>19</c:v>
                </c:pt>
                <c:pt idx="7">
                  <c:v>20</c:v>
                </c:pt>
                <c:pt idx="8">
                  <c:v>21</c:v>
                </c:pt>
                <c:pt idx="9">
                  <c:v>22</c:v>
                </c:pt>
                <c:pt idx="10">
                  <c:v>23</c:v>
                </c:pt>
                <c:pt idx="11">
                  <c:v>24</c:v>
                </c:pt>
                <c:pt idx="12">
                  <c:v>25</c:v>
                </c:pt>
              </c:numCache>
            </c:numRef>
          </c:xVal>
          <c:yVal>
            <c:numRef>
              <c:f>'Schätzung Schiff'!$W$5:$W$17</c:f>
              <c:numCache>
                <c:formatCode>General</c:formatCode>
                <c:ptCount val="13"/>
                <c:pt idx="0">
                  <c:v>23.633261775452251</c:v>
                </c:pt>
                <c:pt idx="1">
                  <c:v>30.180964924227442</c:v>
                </c:pt>
                <c:pt idx="2">
                  <c:v>37.897604377081052</c:v>
                </c:pt>
                <c:pt idx="3">
                  <c:v>46.892841043088545</c:v>
                </c:pt>
                <c:pt idx="4">
                  <c:v>57.278553706189349</c:v>
                </c:pt>
                <c:pt idx="5">
                  <c:v>69.168740830417235</c:v>
                </c:pt>
                <c:pt idx="6">
                  <c:v>82.679432307923165</c:v>
                </c:pt>
                <c:pt idx="7">
                  <c:v>97.92860963897887</c:v>
                </c:pt>
                <c:pt idx="8">
                  <c:v>115.03613333128656</c:v>
                </c:pt>
                <c:pt idx="9">
                  <c:v>134.12367653304111</c:v>
                </c:pt>
                <c:pt idx="10">
                  <c:v>155.31466408983945</c:v>
                </c:pt>
                <c:pt idx="11">
                  <c:v>178.73421635321171</c:v>
                </c:pt>
                <c:pt idx="12">
                  <c:v>204.50909717778637</c:v>
                </c:pt>
              </c:numCache>
            </c:numRef>
          </c:yVal>
          <c:smooth val="0"/>
          <c:extLst>
            <c:ext xmlns:c16="http://schemas.microsoft.com/office/drawing/2014/chart" uri="{C3380CC4-5D6E-409C-BE32-E72D297353CC}">
              <c16:uniqueId val="{00000004-875F-46DA-9135-6D35AA823151}"/>
            </c:ext>
          </c:extLst>
        </c:ser>
        <c:ser>
          <c:idx val="7"/>
          <c:order val="5"/>
          <c:tx>
            <c:strRef>
              <c:f>'Schätzung Schiff'!$X$3</c:f>
              <c:strCache>
                <c:ptCount val="1"/>
                <c:pt idx="0">
                  <c:v>90838,20504</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'Schätzung Schiff'!$R$5:$R$17</c:f>
              <c:numCache>
                <c:formatCode>General</c:formatCode>
                <c:ptCount val="13"/>
                <c:pt idx="0">
                  <c:v>13</c:v>
                </c:pt>
                <c:pt idx="1">
                  <c:v>14</c:v>
                </c:pt>
                <c:pt idx="2">
                  <c:v>15</c:v>
                </c:pt>
                <c:pt idx="3">
                  <c:v>16</c:v>
                </c:pt>
                <c:pt idx="4">
                  <c:v>17</c:v>
                </c:pt>
                <c:pt idx="5">
                  <c:v>18</c:v>
                </c:pt>
                <c:pt idx="6">
                  <c:v>19</c:v>
                </c:pt>
                <c:pt idx="7">
                  <c:v>20</c:v>
                </c:pt>
                <c:pt idx="8">
                  <c:v>21</c:v>
                </c:pt>
                <c:pt idx="9">
                  <c:v>22</c:v>
                </c:pt>
                <c:pt idx="10">
                  <c:v>23</c:v>
                </c:pt>
                <c:pt idx="11">
                  <c:v>24</c:v>
                </c:pt>
                <c:pt idx="12">
                  <c:v>25</c:v>
                </c:pt>
              </c:numCache>
            </c:numRef>
          </c:xVal>
          <c:yVal>
            <c:numRef>
              <c:f>'Schätzung Schiff'!$X$5:$X$17</c:f>
              <c:numCache>
                <c:formatCode>General</c:formatCode>
                <c:ptCount val="13"/>
                <c:pt idx="0">
                  <c:v>26.917558339933493</c:v>
                </c:pt>
                <c:pt idx="1">
                  <c:v>34.375190856947739</c:v>
                </c:pt>
                <c:pt idx="2">
                  <c:v>43.164205874594181</c:v>
                </c:pt>
                <c:pt idx="3">
                  <c:v>53.409503795775109</c:v>
                </c:pt>
                <c:pt idx="4">
                  <c:v>65.238511114653846</c:v>
                </c:pt>
                <c:pt idx="5">
                  <c:v>78.781068575832123</c:v>
                </c:pt>
                <c:pt idx="6">
                  <c:v>94.169330658062151</c:v>
                </c:pt>
                <c:pt idx="7">
                  <c:v>111.53767466172555</c:v>
                </c:pt>
                <c:pt idx="8">
                  <c:v>131.02261801887983</c:v>
                </c:pt>
                <c:pt idx="9">
                  <c:v>152.76274270335739</c:v>
                </c:pt>
                <c:pt idx="10">
                  <c:v>176.89862581845938</c:v>
                </c:pt>
                <c:pt idx="11">
                  <c:v>203.5727755966011</c:v>
                </c:pt>
                <c:pt idx="12">
                  <c:v>232.92957216968205</c:v>
                </c:pt>
              </c:numCache>
            </c:numRef>
          </c:yVal>
          <c:smooth val="0"/>
          <c:extLst>
            <c:ext xmlns:c16="http://schemas.microsoft.com/office/drawing/2014/chart" uri="{C3380CC4-5D6E-409C-BE32-E72D297353CC}">
              <c16:uniqueId val="{00000005-875F-46DA-9135-6D35AA823151}"/>
            </c:ext>
          </c:extLst>
        </c:ser>
        <c:ser>
          <c:idx val="8"/>
          <c:order val="6"/>
          <c:tx>
            <c:strRef>
              <c:f>'Schätzung Schiff'!$Y$3</c:f>
              <c:strCache>
                <c:ptCount val="1"/>
                <c:pt idx="0">
                  <c:v>100360,829</c:v>
                </c:pt>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f>'Schätzung Schiff'!$R$5:$R$17</c:f>
              <c:numCache>
                <c:formatCode>General</c:formatCode>
                <c:ptCount val="13"/>
                <c:pt idx="0">
                  <c:v>13</c:v>
                </c:pt>
                <c:pt idx="1">
                  <c:v>14</c:v>
                </c:pt>
                <c:pt idx="2">
                  <c:v>15</c:v>
                </c:pt>
                <c:pt idx="3">
                  <c:v>16</c:v>
                </c:pt>
                <c:pt idx="4">
                  <c:v>17</c:v>
                </c:pt>
                <c:pt idx="5">
                  <c:v>18</c:v>
                </c:pt>
                <c:pt idx="6">
                  <c:v>19</c:v>
                </c:pt>
                <c:pt idx="7">
                  <c:v>20</c:v>
                </c:pt>
                <c:pt idx="8">
                  <c:v>21</c:v>
                </c:pt>
                <c:pt idx="9">
                  <c:v>22</c:v>
                </c:pt>
                <c:pt idx="10">
                  <c:v>23</c:v>
                </c:pt>
                <c:pt idx="11">
                  <c:v>24</c:v>
                </c:pt>
                <c:pt idx="12">
                  <c:v>25</c:v>
                </c:pt>
              </c:numCache>
            </c:numRef>
          </c:xVal>
          <c:yVal>
            <c:numRef>
              <c:f>'Schätzung Schiff'!$Y$5:$Y$17</c:f>
              <c:numCache>
                <c:formatCode>General</c:formatCode>
                <c:ptCount val="13"/>
                <c:pt idx="0">
                  <c:v>30.338248060437479</c:v>
                </c:pt>
                <c:pt idx="1">
                  <c:v>38.74359829270977</c:v>
                </c:pt>
                <c:pt idx="2">
                  <c:v>48.649523430677796</c:v>
                </c:pt>
                <c:pt idx="3">
                  <c:v>60.196796250172291</c:v>
                </c:pt>
                <c:pt idx="4">
                  <c:v>73.529036634563724</c:v>
                </c:pt>
                <c:pt idx="5">
                  <c:v>88.79258552118128</c:v>
                </c:pt>
                <c:pt idx="6">
                  <c:v>106.13639161139118</c:v>
                </c:pt>
                <c:pt idx="7">
                  <c:v>125.71190890489075</c:v>
                </c:pt>
                <c:pt idx="8">
                  <c:v>147.673003501496</c:v>
                </c:pt>
                <c:pt idx="9">
                  <c:v>172.17586840525792</c:v>
                </c:pt>
                <c:pt idx="10">
                  <c:v>199.37894529122403</c:v>
                </c:pt>
                <c:pt idx="11">
                  <c:v>229.4428523719034</c:v>
                </c:pt>
                <c:pt idx="12">
                  <c:v>262.53031764072136</c:v>
                </c:pt>
              </c:numCache>
            </c:numRef>
          </c:yVal>
          <c:smooth val="0"/>
          <c:extLst>
            <c:ext xmlns:c16="http://schemas.microsoft.com/office/drawing/2014/chart" uri="{C3380CC4-5D6E-409C-BE32-E72D297353CC}">
              <c16:uniqueId val="{00000006-875F-46DA-9135-6D35AA823151}"/>
            </c:ext>
          </c:extLst>
        </c:ser>
        <c:ser>
          <c:idx val="9"/>
          <c:order val="7"/>
          <c:tx>
            <c:strRef>
              <c:f>'Schätzung Schiff'!$Z$3</c:f>
              <c:strCache>
                <c:ptCount val="1"/>
                <c:pt idx="0">
                  <c:v>110375,9416</c:v>
                </c:pt>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numRef>
              <c:f>'Schätzung Schiff'!$R$5:$R$17</c:f>
              <c:numCache>
                <c:formatCode>General</c:formatCode>
                <c:ptCount val="13"/>
                <c:pt idx="0">
                  <c:v>13</c:v>
                </c:pt>
                <c:pt idx="1">
                  <c:v>14</c:v>
                </c:pt>
                <c:pt idx="2">
                  <c:v>15</c:v>
                </c:pt>
                <c:pt idx="3">
                  <c:v>16</c:v>
                </c:pt>
                <c:pt idx="4">
                  <c:v>17</c:v>
                </c:pt>
                <c:pt idx="5">
                  <c:v>18</c:v>
                </c:pt>
                <c:pt idx="6">
                  <c:v>19</c:v>
                </c:pt>
                <c:pt idx="7">
                  <c:v>20</c:v>
                </c:pt>
                <c:pt idx="8">
                  <c:v>21</c:v>
                </c:pt>
                <c:pt idx="9">
                  <c:v>22</c:v>
                </c:pt>
                <c:pt idx="10">
                  <c:v>23</c:v>
                </c:pt>
                <c:pt idx="11">
                  <c:v>24</c:v>
                </c:pt>
                <c:pt idx="12">
                  <c:v>25</c:v>
                </c:pt>
              </c:numCache>
            </c:numRef>
          </c:xVal>
          <c:yVal>
            <c:numRef>
              <c:f>'Schätzung Schiff'!$Z$5:$Z$17</c:f>
              <c:numCache>
                <c:formatCode>General</c:formatCode>
                <c:ptCount val="13"/>
                <c:pt idx="0">
                  <c:v>34.006561061300758</c:v>
                </c:pt>
                <c:pt idx="1">
                  <c:v>43.428234169977429</c:v>
                </c:pt>
                <c:pt idx="2">
                  <c:v>54.531922405432063</c:v>
                </c:pt>
                <c:pt idx="3">
                  <c:v>67.475419915418982</c:v>
                </c:pt>
                <c:pt idx="4">
                  <c:v>82.4197122098373</c:v>
                </c:pt>
                <c:pt idx="5">
                  <c:v>99.528834865531749</c:v>
                </c:pt>
                <c:pt idx="6">
                  <c:v>118.96974653805559</c:v>
                </c:pt>
                <c:pt idx="7">
                  <c:v>140.91221410644633</c:v>
                </c:pt>
                <c:pt idx="8">
                  <c:v>165.52870820606273</c:v>
                </c:pt>
                <c:pt idx="9">
                  <c:v>192.99430773134287</c:v>
                </c:pt>
                <c:pt idx="10">
                  <c:v>223.486612143087</c:v>
                </c:pt>
                <c:pt idx="11">
                  <c:v>257.18566061298247</c:v>
                </c:pt>
                <c:pt idx="12">
                  <c:v>294.27385719527058</c:v>
                </c:pt>
              </c:numCache>
            </c:numRef>
          </c:yVal>
          <c:smooth val="0"/>
          <c:extLst>
            <c:ext xmlns:c16="http://schemas.microsoft.com/office/drawing/2014/chart" uri="{C3380CC4-5D6E-409C-BE32-E72D297353CC}">
              <c16:uniqueId val="{00000007-875F-46DA-9135-6D35AA823151}"/>
            </c:ext>
          </c:extLst>
        </c:ser>
        <c:ser>
          <c:idx val="10"/>
          <c:order val="8"/>
          <c:tx>
            <c:strRef>
              <c:f>'Schätzung Schiff'!$AA$3</c:f>
              <c:strCache>
                <c:ptCount val="1"/>
                <c:pt idx="0">
                  <c:v>131722,085</c:v>
                </c:pt>
              </c:strCache>
            </c:strRef>
          </c:tx>
          <c:spPr>
            <a:ln w="1905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xVal>
            <c:numRef>
              <c:f>'Schätzung Schiff'!$R$5:$R$17</c:f>
              <c:numCache>
                <c:formatCode>General</c:formatCode>
                <c:ptCount val="13"/>
                <c:pt idx="0">
                  <c:v>13</c:v>
                </c:pt>
                <c:pt idx="1">
                  <c:v>14</c:v>
                </c:pt>
                <c:pt idx="2">
                  <c:v>15</c:v>
                </c:pt>
                <c:pt idx="3">
                  <c:v>16</c:v>
                </c:pt>
                <c:pt idx="4">
                  <c:v>17</c:v>
                </c:pt>
                <c:pt idx="5">
                  <c:v>18</c:v>
                </c:pt>
                <c:pt idx="6">
                  <c:v>19</c:v>
                </c:pt>
                <c:pt idx="7">
                  <c:v>20</c:v>
                </c:pt>
                <c:pt idx="8">
                  <c:v>21</c:v>
                </c:pt>
                <c:pt idx="9">
                  <c:v>22</c:v>
                </c:pt>
                <c:pt idx="10">
                  <c:v>23</c:v>
                </c:pt>
                <c:pt idx="11">
                  <c:v>24</c:v>
                </c:pt>
                <c:pt idx="12">
                  <c:v>25</c:v>
                </c:pt>
              </c:numCache>
            </c:numRef>
          </c:xVal>
          <c:yVal>
            <c:numRef>
              <c:f>'Schätzung Schiff'!$AA$5:$AA$17</c:f>
              <c:numCache>
                <c:formatCode>General</c:formatCode>
                <c:ptCount val="13"/>
                <c:pt idx="0">
                  <c:v>42.043970799283215</c:v>
                </c:pt>
                <c:pt idx="1">
                  <c:v>53.6924449965869</c:v>
                </c:pt>
                <c:pt idx="2">
                  <c:v>67.420476569501915</c:v>
                </c:pt>
                <c:pt idx="3">
                  <c:v>83.423154122504386</c:v>
                </c:pt>
                <c:pt idx="4">
                  <c:v>101.89951189681334</c:v>
                </c:pt>
                <c:pt idx="5">
                  <c:v>123.0523550802416</c:v>
                </c:pt>
                <c:pt idx="6">
                  <c:v>147.08810280544165</c:v>
                </c:pt>
                <c:pt idx="7">
                  <c:v>174.21664614878762</c:v>
                </c:pt>
                <c:pt idx="8">
                  <c:v>204.65121897252413</c:v>
                </c:pt>
                <c:pt idx="9">
                  <c:v>238.60827985686618</c:v>
                </c:pt>
                <c:pt idx="10">
                  <c:v>276.30740368121411</c:v>
                </c:pt>
                <c:pt idx="11">
                  <c:v>317.97118165858421</c:v>
                </c:pt>
                <c:pt idx="12">
                  <c:v>363.82512882168947</c:v>
                </c:pt>
              </c:numCache>
            </c:numRef>
          </c:yVal>
          <c:smooth val="0"/>
          <c:extLst>
            <c:ext xmlns:c16="http://schemas.microsoft.com/office/drawing/2014/chart" uri="{C3380CC4-5D6E-409C-BE32-E72D297353CC}">
              <c16:uniqueId val="{00000008-875F-46DA-9135-6D35AA823151}"/>
            </c:ext>
          </c:extLst>
        </c:ser>
        <c:dLbls>
          <c:showLegendKey val="0"/>
          <c:showVal val="0"/>
          <c:showCatName val="0"/>
          <c:showSerName val="0"/>
          <c:showPercent val="0"/>
          <c:showBubbleSize val="0"/>
        </c:dLbls>
        <c:axId val="503683320"/>
        <c:axId val="503690536"/>
      </c:scatterChart>
      <c:valAx>
        <c:axId val="503683320"/>
        <c:scaling>
          <c:orientation val="minMax"/>
          <c:min val="1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kn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3690536"/>
        <c:crosses val="autoZero"/>
        <c:crossBetween val="midCat"/>
      </c:valAx>
      <c:valAx>
        <c:axId val="503690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Treibstoffbedarf (t/d)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3683320"/>
        <c:crosses val="autoZero"/>
        <c:crossBetween val="midCat"/>
      </c:valAx>
      <c:spPr>
        <a:noFill/>
        <a:ln>
          <a:noFill/>
        </a:ln>
        <a:effectLst/>
      </c:spPr>
    </c:plotArea>
    <c:plotVisOnly val="1"/>
    <c:dispBlanksAs val="gap"/>
    <c:showDLblsOverMax val="0"/>
  </c:chart>
  <c:spPr>
    <a:solidFill>
      <a:schemeClr val="bg1"/>
    </a:solidFill>
    <a:ln w="9525" cap="flat" cmpd="sng" algn="ctr">
      <a:solidFill>
        <a:srgbClr val="32578C"/>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smoothMarker"/>
        <c:varyColors val="0"/>
        <c:ser>
          <c:idx val="0"/>
          <c:order val="0"/>
          <c:tx>
            <c:strRef>
              <c:f>'Schätzung Pipeline'!$C$4</c:f>
              <c:strCache>
                <c:ptCount val="1"/>
                <c:pt idx="0">
                  <c:v>H2 Leitung Hochdruck (100bar)</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forward val="400"/>
            <c:dispRSqr val="0"/>
            <c:dispEq val="1"/>
            <c:trendlineLbl>
              <c:numFmt formatCode="0.0000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'Schätzung Pipeline'!$A$5:$A$10</c:f>
              <c:numCache>
                <c:formatCode>General</c:formatCode>
                <c:ptCount val="6"/>
                <c:pt idx="0">
                  <c:v>100</c:v>
                </c:pt>
                <c:pt idx="1">
                  <c:v>200</c:v>
                </c:pt>
                <c:pt idx="2">
                  <c:v>300</c:v>
                </c:pt>
                <c:pt idx="3">
                  <c:v>400</c:v>
                </c:pt>
                <c:pt idx="4">
                  <c:v>500</c:v>
                </c:pt>
                <c:pt idx="5">
                  <c:v>600</c:v>
                </c:pt>
              </c:numCache>
            </c:numRef>
          </c:xVal>
          <c:yVal>
            <c:numRef>
              <c:f>'Schätzung Pipeline'!$C$5:$C$10</c:f>
              <c:numCache>
                <c:formatCode>General</c:formatCode>
                <c:ptCount val="6"/>
                <c:pt idx="0">
                  <c:v>296.25</c:v>
                </c:pt>
                <c:pt idx="1">
                  <c:v>385</c:v>
                </c:pt>
                <c:pt idx="2">
                  <c:v>507.5</c:v>
                </c:pt>
                <c:pt idx="3">
                  <c:v>630</c:v>
                </c:pt>
                <c:pt idx="4">
                  <c:v>772.5</c:v>
                </c:pt>
                <c:pt idx="5">
                  <c:v>935</c:v>
                </c:pt>
              </c:numCache>
            </c:numRef>
          </c:yVal>
          <c:smooth val="1"/>
          <c:extLst>
            <c:ext xmlns:c16="http://schemas.microsoft.com/office/drawing/2014/chart" uri="{C3380CC4-5D6E-409C-BE32-E72D297353CC}">
              <c16:uniqueId val="{00000000-1F9B-432A-B9E3-DEFC242805BF}"/>
            </c:ext>
          </c:extLst>
        </c:ser>
        <c:dLbls>
          <c:showLegendKey val="0"/>
          <c:showVal val="0"/>
          <c:showCatName val="0"/>
          <c:showSerName val="0"/>
          <c:showPercent val="0"/>
          <c:showBubbleSize val="0"/>
        </c:dLbls>
        <c:axId val="413901488"/>
        <c:axId val="413902144"/>
      </c:scatterChart>
      <c:valAx>
        <c:axId val="41390148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Durchmesser (mm)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3902144"/>
        <c:crosses val="autoZero"/>
        <c:crossBetween val="midCat"/>
      </c:valAx>
      <c:valAx>
        <c:axId val="413902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Verlegekosten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390148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accent2">
          <a:lumMod val="50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Kompressionsfaktor H2 und CH4 bei 10°C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tx>
            <c:strRef>
              <c:f>'Schätzung Pipeline'!$B$14</c:f>
              <c:strCache>
                <c:ptCount val="1"/>
                <c:pt idx="0">
                  <c:v>H2</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36447987751531058"/>
                  <c:y val="0.11640683322889137"/>
                </c:manualLayout>
              </c:layout>
              <c:numFmt formatCode="0.0000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'Schätzung Pipeline'!$A$15:$A$32</c:f>
              <c:numCache>
                <c:formatCode>General</c:formatCode>
                <c:ptCount val="18"/>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800</c:v>
                </c:pt>
              </c:numCache>
            </c:numRef>
          </c:xVal>
          <c:yVal>
            <c:numRef>
              <c:f>'Schätzung Pipeline'!$B$15:$B$32</c:f>
              <c:numCache>
                <c:formatCode>General</c:formatCode>
                <c:ptCount val="18"/>
                <c:pt idx="0">
                  <c:v>1.0005956273941883</c:v>
                </c:pt>
                <c:pt idx="1">
                  <c:v>1.0158009941173789</c:v>
                </c:pt>
                <c:pt idx="2">
                  <c:v>1.0312544253009204</c:v>
                </c:pt>
                <c:pt idx="3">
                  <c:v>1.0469674556213018</c:v>
                </c:pt>
                <c:pt idx="4">
                  <c:v>1.0629130327969536</c:v>
                </c:pt>
                <c:pt idx="5">
                  <c:v>1.0790733706517392</c:v>
                </c:pt>
                <c:pt idx="6">
                  <c:v>1.0955140147345246</c:v>
                </c:pt>
                <c:pt idx="7">
                  <c:v>1.1120879120879121</c:v>
                </c:pt>
                <c:pt idx="8">
                  <c:v>1.1288544739429691</c:v>
                </c:pt>
                <c:pt idx="9">
                  <c:v>1.1457130177514794</c:v>
                </c:pt>
                <c:pt idx="10">
                  <c:v>1.1627155988104891</c:v>
                </c:pt>
                <c:pt idx="11">
                  <c:v>1.1798373415826762</c:v>
                </c:pt>
                <c:pt idx="12">
                  <c:v>1.19700032491645</c:v>
                </c:pt>
                <c:pt idx="13">
                  <c:v>1.2142444135292583</c:v>
                </c:pt>
                <c:pt idx="14">
                  <c:v>1.2315474240314523</c:v>
                </c:pt>
                <c:pt idx="15">
                  <c:v>1.2489357577637343</c:v>
                </c:pt>
                <c:pt idx="16">
                  <c:v>1.5438152389093855</c:v>
                </c:pt>
              </c:numCache>
            </c:numRef>
          </c:yVal>
          <c:smooth val="0"/>
          <c:extLst>
            <c:ext xmlns:c16="http://schemas.microsoft.com/office/drawing/2014/chart" uri="{C3380CC4-5D6E-409C-BE32-E72D297353CC}">
              <c16:uniqueId val="{00000000-28A4-467A-933D-DF21BAA1E8B9}"/>
            </c:ext>
          </c:extLst>
        </c:ser>
        <c:ser>
          <c:idx val="1"/>
          <c:order val="1"/>
          <c:tx>
            <c:strRef>
              <c:f>'Schätzung Pipeline'!$C$14</c:f>
              <c:strCache>
                <c:ptCount val="1"/>
                <c:pt idx="0">
                  <c:v>CH4</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1"/>
            <c:dispEq val="1"/>
            <c:trendlineLbl>
              <c:layout>
                <c:manualLayout>
                  <c:x val="-0.27713254593175851"/>
                  <c:y val="-5.0288350634371398E-3"/>
                </c:manualLayout>
              </c:layout>
              <c:numFmt formatCode="0.00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'Schätzung Pipeline'!$A$15:$A$32</c:f>
              <c:numCache>
                <c:formatCode>General</c:formatCode>
                <c:ptCount val="18"/>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800</c:v>
                </c:pt>
              </c:numCache>
            </c:numRef>
          </c:xVal>
          <c:yVal>
            <c:numRef>
              <c:f>'Schätzung Pipeline'!$C$15:$C$33</c:f>
              <c:numCache>
                <c:formatCode>General</c:formatCode>
                <c:ptCount val="19"/>
                <c:pt idx="0">
                  <c:v>0.99792160651034789</c:v>
                </c:pt>
                <c:pt idx="1">
                  <c:v>0.94628730048577381</c:v>
                </c:pt>
                <c:pt idx="2">
                  <c:v>0.89659635913568159</c:v>
                </c:pt>
                <c:pt idx="3">
                  <c:v>0.85108815268629978</c:v>
                </c:pt>
                <c:pt idx="4">
                  <c:v>0.81314266820962133</c:v>
                </c:pt>
                <c:pt idx="5">
                  <c:v>0.78640424752837779</c:v>
                </c:pt>
                <c:pt idx="6">
                  <c:v>0.77320165227187376</c:v>
                </c:pt>
                <c:pt idx="7">
                  <c:v>0.77347428129431484</c:v>
                </c:pt>
                <c:pt idx="8">
                  <c:v>0.78506989000916583</c:v>
                </c:pt>
                <c:pt idx="9">
                  <c:v>0.80513533284564731</c:v>
                </c:pt>
                <c:pt idx="10">
                  <c:v>0.83114035939776587</c:v>
                </c:pt>
                <c:pt idx="11">
                  <c:v>0.86118163928424341</c:v>
                </c:pt>
              </c:numCache>
            </c:numRef>
          </c:yVal>
          <c:smooth val="0"/>
          <c:extLst>
            <c:ext xmlns:c16="http://schemas.microsoft.com/office/drawing/2014/chart" uri="{C3380CC4-5D6E-409C-BE32-E72D297353CC}">
              <c16:uniqueId val="{00000000-D231-4ABB-81C3-697D37967351}"/>
            </c:ext>
          </c:extLst>
        </c:ser>
        <c:ser>
          <c:idx val="2"/>
          <c:order val="2"/>
          <c:tx>
            <c:strRef>
              <c:f>'Schätzung Pipeline'!$C$14</c:f>
              <c:strCache>
                <c:ptCount val="1"/>
                <c:pt idx="0">
                  <c:v>CH4</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6.5409011373578296E-2"/>
                  <c:y val="0.26281593693521876"/>
                </c:manualLayout>
              </c:layout>
              <c:numFmt formatCode="0.00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'Schätzung Pipeline'!$A$15:$A$32</c:f>
              <c:numCache>
                <c:formatCode>General</c:formatCode>
                <c:ptCount val="18"/>
                <c:pt idx="0">
                  <c:v>0</c:v>
                </c:pt>
                <c:pt idx="1">
                  <c:v>25</c:v>
                </c:pt>
                <c:pt idx="2">
                  <c:v>50</c:v>
                </c:pt>
                <c:pt idx="3">
                  <c:v>75</c:v>
                </c:pt>
                <c:pt idx="4">
                  <c:v>100</c:v>
                </c:pt>
                <c:pt idx="5">
                  <c:v>125</c:v>
                </c:pt>
                <c:pt idx="6">
                  <c:v>150</c:v>
                </c:pt>
                <c:pt idx="7">
                  <c:v>175</c:v>
                </c:pt>
                <c:pt idx="8">
                  <c:v>200</c:v>
                </c:pt>
                <c:pt idx="9">
                  <c:v>225</c:v>
                </c:pt>
                <c:pt idx="10">
                  <c:v>250</c:v>
                </c:pt>
                <c:pt idx="11">
                  <c:v>275</c:v>
                </c:pt>
                <c:pt idx="12">
                  <c:v>300</c:v>
                </c:pt>
                <c:pt idx="13">
                  <c:v>325</c:v>
                </c:pt>
                <c:pt idx="14">
                  <c:v>350</c:v>
                </c:pt>
                <c:pt idx="15">
                  <c:v>375</c:v>
                </c:pt>
                <c:pt idx="16">
                  <c:v>800</c:v>
                </c:pt>
              </c:numCache>
            </c:numRef>
          </c:xVal>
          <c:yVal>
            <c:numRef>
              <c:f>'Schätzung Pipeline'!$D$15:$D$32</c:f>
              <c:numCache>
                <c:formatCode>General</c:formatCode>
                <c:ptCount val="18"/>
                <c:pt idx="12">
                  <c:v>0.89401786103245462</c:v>
                </c:pt>
                <c:pt idx="13">
                  <c:v>0.92870429950277855</c:v>
                </c:pt>
                <c:pt idx="14">
                  <c:v>0.96469464264118987</c:v>
                </c:pt>
                <c:pt idx="15">
                  <c:v>1.0015893729243992</c:v>
                </c:pt>
                <c:pt idx="16">
                  <c:v>1.6465321997105644</c:v>
                </c:pt>
              </c:numCache>
            </c:numRef>
          </c:yVal>
          <c:smooth val="0"/>
          <c:extLst>
            <c:ext xmlns:c16="http://schemas.microsoft.com/office/drawing/2014/chart" uri="{C3380CC4-5D6E-409C-BE32-E72D297353CC}">
              <c16:uniqueId val="{00000000-C3BA-4963-A960-76C73772162F}"/>
            </c:ext>
          </c:extLst>
        </c:ser>
        <c:dLbls>
          <c:showLegendKey val="0"/>
          <c:showVal val="0"/>
          <c:showCatName val="0"/>
          <c:showSerName val="0"/>
          <c:showPercent val="0"/>
          <c:showBubbleSize val="0"/>
        </c:dLbls>
        <c:axId val="384345544"/>
        <c:axId val="384342920"/>
      </c:scatterChart>
      <c:valAx>
        <c:axId val="38434554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Druck (bar)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4342920"/>
        <c:crosses val="autoZero"/>
        <c:crossBetween val="midCat"/>
      </c:valAx>
      <c:valAx>
        <c:axId val="384342920"/>
        <c:scaling>
          <c:orientation val="minMax"/>
          <c:max val="1.8"/>
          <c:min val="0.7500000000000001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i="1"/>
                  <a:t>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434554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accent2">
          <a:lumMod val="50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Invest ohne Material- und ohne Verlegekosten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tx>
            <c:strRef>
              <c:f>'Schätzung Pipeline'!$Z$46</c:f>
              <c:strCache>
                <c:ptCount val="1"/>
                <c:pt idx="0">
                  <c:v>DP 70</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7.5883858267716542E-2"/>
                  <c:y val="0.1902566345873432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'Schätzung Pipeline'!$A$47:$A$56</c:f>
              <c:numCache>
                <c:formatCode>General</c:formatCode>
                <c:ptCount val="10"/>
                <c:pt idx="0">
                  <c:v>400</c:v>
                </c:pt>
                <c:pt idx="1">
                  <c:v>500</c:v>
                </c:pt>
                <c:pt idx="2">
                  <c:v>600</c:v>
                </c:pt>
                <c:pt idx="3">
                  <c:v>700</c:v>
                </c:pt>
                <c:pt idx="4">
                  <c:v>800</c:v>
                </c:pt>
                <c:pt idx="5">
                  <c:v>900</c:v>
                </c:pt>
                <c:pt idx="6">
                  <c:v>1000</c:v>
                </c:pt>
                <c:pt idx="7">
                  <c:v>1100</c:v>
                </c:pt>
                <c:pt idx="8">
                  <c:v>1200</c:v>
                </c:pt>
                <c:pt idx="9">
                  <c:v>1400</c:v>
                </c:pt>
              </c:numCache>
            </c:numRef>
          </c:xVal>
          <c:yVal>
            <c:numRef>
              <c:f>'Schätzung Pipeline'!$Z$47:$Z$56</c:f>
              <c:numCache>
                <c:formatCode>General</c:formatCode>
                <c:ptCount val="10"/>
                <c:pt idx="0">
                  <c:v>848577.69225600013</c:v>
                </c:pt>
                <c:pt idx="1">
                  <c:v>868135.79414999997</c:v>
                </c:pt>
                <c:pt idx="2">
                  <c:v>860206.00757599983</c:v>
                </c:pt>
                <c:pt idx="3">
                  <c:v>854788.33253400004</c:v>
                </c:pt>
                <c:pt idx="4">
                  <c:v>841882.76902400004</c:v>
                </c:pt>
                <c:pt idx="5">
                  <c:v>821489.31704600016</c:v>
                </c:pt>
                <c:pt idx="6">
                  <c:v>843607.97659999994</c:v>
                </c:pt>
                <c:pt idx="7">
                  <c:v>708238.74768599961</c:v>
                </c:pt>
                <c:pt idx="8">
                  <c:v>735381.63030399987</c:v>
                </c:pt>
                <c:pt idx="9">
                  <c:v>877203.73013600009</c:v>
                </c:pt>
              </c:numCache>
            </c:numRef>
          </c:yVal>
          <c:smooth val="0"/>
          <c:extLst>
            <c:ext xmlns:c16="http://schemas.microsoft.com/office/drawing/2014/chart" uri="{C3380CC4-5D6E-409C-BE32-E72D297353CC}">
              <c16:uniqueId val="{00000000-9A5E-4A47-B284-11C12ED82EA8}"/>
            </c:ext>
          </c:extLst>
        </c:ser>
        <c:ser>
          <c:idx val="1"/>
          <c:order val="1"/>
          <c:tx>
            <c:strRef>
              <c:f>'Schätzung Pipeline'!$AA$46</c:f>
              <c:strCache>
                <c:ptCount val="1"/>
                <c:pt idx="0">
                  <c:v>DP 80</c:v>
                </c:pt>
              </c:strCache>
            </c:strRef>
          </c:tx>
          <c:spPr>
            <a:ln w="25400" cap="rnd">
              <a:noFill/>
              <a:round/>
            </a:ln>
            <a:effectLst/>
          </c:spPr>
          <c:marker>
            <c:symbol val="circle"/>
            <c:size val="5"/>
            <c:spPr>
              <a:solidFill>
                <a:schemeClr val="accent2"/>
              </a:solidFill>
              <a:ln w="9525">
                <a:solidFill>
                  <a:schemeClr val="accent2"/>
                </a:solidFill>
              </a:ln>
              <a:effectLst/>
            </c:spPr>
          </c:marker>
          <c:xVal>
            <c:numRef>
              <c:f>'Schätzung Pipeline'!$A$47:$A$56</c:f>
              <c:numCache>
                <c:formatCode>General</c:formatCode>
                <c:ptCount val="10"/>
                <c:pt idx="0">
                  <c:v>400</c:v>
                </c:pt>
                <c:pt idx="1">
                  <c:v>500</c:v>
                </c:pt>
                <c:pt idx="2">
                  <c:v>600</c:v>
                </c:pt>
                <c:pt idx="3">
                  <c:v>700</c:v>
                </c:pt>
                <c:pt idx="4">
                  <c:v>800</c:v>
                </c:pt>
                <c:pt idx="5">
                  <c:v>900</c:v>
                </c:pt>
                <c:pt idx="6">
                  <c:v>1000</c:v>
                </c:pt>
                <c:pt idx="7">
                  <c:v>1100</c:v>
                </c:pt>
                <c:pt idx="8">
                  <c:v>1200</c:v>
                </c:pt>
                <c:pt idx="9">
                  <c:v>1400</c:v>
                </c:pt>
              </c:numCache>
            </c:numRef>
          </c:xVal>
          <c:yVal>
            <c:numRef>
              <c:f>'Schätzung Pipeline'!$AA$47:$AA$56</c:f>
              <c:numCache>
                <c:formatCode>General</c:formatCode>
                <c:ptCount val="10"/>
                <c:pt idx="0">
                  <c:v>851672.02841600007</c:v>
                </c:pt>
                <c:pt idx="1">
                  <c:v>867345.69439999992</c:v>
                </c:pt>
                <c:pt idx="2">
                  <c:v>854668.26393599983</c:v>
                </c:pt>
                <c:pt idx="3">
                  <c:v>863639.73702399991</c:v>
                </c:pt>
                <c:pt idx="4">
                  <c:v>864260.11366400006</c:v>
                </c:pt>
                <c:pt idx="5">
                  <c:v>836529.39385600016</c:v>
                </c:pt>
                <c:pt idx="6">
                  <c:v>860447.57759999973</c:v>
                </c:pt>
                <c:pt idx="7">
                  <c:v>796014.66489599971</c:v>
                </c:pt>
                <c:pt idx="8">
                  <c:v>763230.65574399987</c:v>
                </c:pt>
                <c:pt idx="9">
                  <c:v>942609.34809600003</c:v>
                </c:pt>
              </c:numCache>
            </c:numRef>
          </c:yVal>
          <c:smooth val="0"/>
          <c:extLst>
            <c:ext xmlns:c16="http://schemas.microsoft.com/office/drawing/2014/chart" uri="{C3380CC4-5D6E-409C-BE32-E72D297353CC}">
              <c16:uniqueId val="{00000001-9A5E-4A47-B284-11C12ED82EA8}"/>
            </c:ext>
          </c:extLst>
        </c:ser>
        <c:ser>
          <c:idx val="2"/>
          <c:order val="2"/>
          <c:tx>
            <c:strRef>
              <c:f>'Schätzung Pipeline'!$AB$46</c:f>
              <c:strCache>
                <c:ptCount val="1"/>
                <c:pt idx="0">
                  <c:v>DP 100</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1"/>
            <c:trendlineLbl>
              <c:layout>
                <c:manualLayout>
                  <c:x val="7.4911636045494306E-2"/>
                  <c:y val="-0.10874781277340333"/>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'Schätzung Pipeline'!$A$47:$A$56</c:f>
              <c:numCache>
                <c:formatCode>General</c:formatCode>
                <c:ptCount val="10"/>
                <c:pt idx="0">
                  <c:v>400</c:v>
                </c:pt>
                <c:pt idx="1">
                  <c:v>500</c:v>
                </c:pt>
                <c:pt idx="2">
                  <c:v>600</c:v>
                </c:pt>
                <c:pt idx="3">
                  <c:v>700</c:v>
                </c:pt>
                <c:pt idx="4">
                  <c:v>800</c:v>
                </c:pt>
                <c:pt idx="5">
                  <c:v>900</c:v>
                </c:pt>
                <c:pt idx="6">
                  <c:v>1000</c:v>
                </c:pt>
                <c:pt idx="7">
                  <c:v>1100</c:v>
                </c:pt>
                <c:pt idx="8">
                  <c:v>1200</c:v>
                </c:pt>
                <c:pt idx="9">
                  <c:v>1400</c:v>
                </c:pt>
              </c:numCache>
            </c:numRef>
          </c:xVal>
          <c:yVal>
            <c:numRef>
              <c:f>'Schätzung Pipeline'!$AB$47:$AB$56</c:f>
              <c:numCache>
                <c:formatCode>General</c:formatCode>
                <c:ptCount val="10"/>
                <c:pt idx="0">
                  <c:v>847780.24640000006</c:v>
                </c:pt>
                <c:pt idx="1">
                  <c:v>865639.78499999992</c:v>
                </c:pt>
                <c:pt idx="2">
                  <c:v>893411.75439999986</c:v>
                </c:pt>
                <c:pt idx="3">
                  <c:v>911096.15460000001</c:v>
                </c:pt>
                <c:pt idx="4">
                  <c:v>908692.98560000025</c:v>
                </c:pt>
                <c:pt idx="5">
                  <c:v>906202.24740000023</c:v>
                </c:pt>
                <c:pt idx="6">
                  <c:v>943623.93999999971</c:v>
                </c:pt>
                <c:pt idx="7">
                  <c:v>900958.06339999987</c:v>
                </c:pt>
                <c:pt idx="8">
                  <c:v>878204.61759999953</c:v>
                </c:pt>
                <c:pt idx="9">
                  <c:v>1102435.0183999999</c:v>
                </c:pt>
              </c:numCache>
            </c:numRef>
          </c:yVal>
          <c:smooth val="0"/>
          <c:extLst>
            <c:ext xmlns:c16="http://schemas.microsoft.com/office/drawing/2014/chart" uri="{C3380CC4-5D6E-409C-BE32-E72D297353CC}">
              <c16:uniqueId val="{00000002-9A5E-4A47-B284-11C12ED82EA8}"/>
            </c:ext>
          </c:extLst>
        </c:ser>
        <c:dLbls>
          <c:showLegendKey val="0"/>
          <c:showVal val="0"/>
          <c:showCatName val="0"/>
          <c:showSerName val="0"/>
          <c:showPercent val="0"/>
          <c:showBubbleSize val="0"/>
        </c:dLbls>
        <c:axId val="324360776"/>
        <c:axId val="324361104"/>
      </c:scatterChart>
      <c:valAx>
        <c:axId val="3243607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DN (mm)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24361104"/>
        <c:crosses val="autoZero"/>
        <c:crossBetween val="midCat"/>
      </c:valAx>
      <c:valAx>
        <c:axId val="324361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€/km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2436077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accent2">
          <a:lumMod val="50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pieChart>
        <c:varyColors val="1"/>
        <c:ser>
          <c:idx val="1"/>
          <c:order val="0"/>
          <c:tx>
            <c:v>DP70/DN400</c:v>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('Schätzung Pipeline'!$Y$46,'Schätzung Pipeline'!$M$46,'Schätzung Pipeline'!$U$46)</c:f>
              <c:strCache>
                <c:ptCount val="3"/>
                <c:pt idx="0">
                  <c:v>Invest ohne Material- und Verlegekosten (€/km)</c:v>
                </c:pt>
                <c:pt idx="1">
                  <c:v>Kosten Rohrmaterial (€/km)</c:v>
                </c:pt>
                <c:pt idx="2">
                  <c:v>Verlegekosten (€/km)</c:v>
                </c:pt>
              </c:strCache>
            </c:strRef>
          </c:cat>
          <c:val>
            <c:numRef>
              <c:f>('Schätzung Pipeline'!$Z$47,'Schätzung Pipeline'!$N$47,'Schätzung Pipeline'!$V$47)</c:f>
              <c:numCache>
                <c:formatCode>General</c:formatCode>
                <c:ptCount val="3"/>
                <c:pt idx="0">
                  <c:v>848577.69225600013</c:v>
                </c:pt>
                <c:pt idx="1">
                  <c:v>47588.739743999999</c:v>
                </c:pt>
                <c:pt idx="2">
                  <c:v>453833.56800000003</c:v>
                </c:pt>
              </c:numCache>
            </c:numRef>
          </c:val>
          <c:extLst>
            <c:ext xmlns:c16="http://schemas.microsoft.com/office/drawing/2014/chart" uri="{C3380CC4-5D6E-409C-BE32-E72D297353CC}">
              <c16:uniqueId val="{0000000B-6654-4AF0-ACB1-9ECF5DE6AE27}"/>
            </c:ext>
          </c:extLst>
        </c:ser>
        <c:ser>
          <c:idx val="0"/>
          <c:order val="1"/>
          <c:tx>
            <c:v>DP70/DN400</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3-6654-4AF0-ACB1-9ECF5DE6AE2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5-6654-4AF0-ACB1-9ECF5DE6AE2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7-6654-4AF0-ACB1-9ECF5DE6AE2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9-6654-4AF0-ACB1-9ECF5DE6AE27}"/>
              </c:ext>
            </c:extLst>
          </c:dPt>
          <c:cat>
            <c:strRef>
              <c:f>('Schätzung Pipeline'!$Y$46,'Schätzung Pipeline'!$M$46,'Schätzung Pipeline'!$U$46)</c:f>
              <c:strCache>
                <c:ptCount val="3"/>
                <c:pt idx="0">
                  <c:v>Invest ohne Material- und Verlegekosten (€/km)</c:v>
                </c:pt>
                <c:pt idx="1">
                  <c:v>Kosten Rohrmaterial (€/km)</c:v>
                </c:pt>
                <c:pt idx="2">
                  <c:v>Verlegekosten (€/km)</c:v>
                </c:pt>
              </c:strCache>
            </c:strRef>
          </c:cat>
          <c:val>
            <c:numRef>
              <c:f>('Schätzung Pipeline'!$Z$47,'Schätzung Pipeline'!$N$47,'Schätzung Pipeline'!$V$47)</c:f>
              <c:numCache>
                <c:formatCode>General</c:formatCode>
                <c:ptCount val="3"/>
                <c:pt idx="0">
                  <c:v>848577.69225600013</c:v>
                </c:pt>
                <c:pt idx="1">
                  <c:v>47588.739743999999</c:v>
                </c:pt>
                <c:pt idx="2">
                  <c:v>453833.56800000003</c:v>
                </c:pt>
              </c:numCache>
            </c:numRef>
          </c:val>
          <c:extLst>
            <c:ext xmlns:c16="http://schemas.microsoft.com/office/drawing/2014/chart" uri="{C3380CC4-5D6E-409C-BE32-E72D297353CC}">
              <c16:uniqueId val="{0000000A-6654-4AF0-ACB1-9ECF5DE6AE27}"/>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ln>
      <a:solidFill>
        <a:schemeClr val="accent2">
          <a:lumMod val="50000"/>
        </a:schemeClr>
      </a:solidFill>
    </a:ln>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de-DE"/>
              <a:t>DP100/DN1400</a:t>
            </a:r>
          </a:p>
        </c:rich>
      </c:tx>
      <c:overlay val="0"/>
      <c:spPr>
        <a:noFill/>
        <a:ln>
          <a:noFill/>
        </a:ln>
        <a:effectLst/>
      </c:spPr>
    </c:title>
    <c:autoTitleDeleted val="0"/>
    <c:plotArea>
      <c:layout/>
      <c:pieChart>
        <c:varyColors val="1"/>
        <c:ser>
          <c:idx val="1"/>
          <c:order val="0"/>
          <c:tx>
            <c:v>DP100/DN1400</c:v>
          </c:tx>
          <c:dPt>
            <c:idx val="0"/>
            <c:bubble3D val="0"/>
            <c:extLst>
              <c:ext xmlns:c16="http://schemas.microsoft.com/office/drawing/2014/chart" uri="{C3380CC4-5D6E-409C-BE32-E72D297353CC}">
                <c16:uniqueId val="{00000001-336D-46F4-9524-B5C61C98D9C8}"/>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('Schätzung Pipeline'!$Y$46,'Schätzung Pipeline'!$M$46,'Schätzung Pipeline'!$U$46)</c:f>
              <c:strCache>
                <c:ptCount val="3"/>
                <c:pt idx="0">
                  <c:v>Invest ohne Material- und Verlegekosten (€/km)</c:v>
                </c:pt>
                <c:pt idx="1">
                  <c:v>Kosten Rohrmaterial (€/km)</c:v>
                </c:pt>
                <c:pt idx="2">
                  <c:v>Verlegekosten (€/km)</c:v>
                </c:pt>
              </c:strCache>
            </c:strRef>
          </c:cat>
          <c:val>
            <c:numRef>
              <c:f>('Schätzung Pipeline'!$AB$56,'Schätzung Pipeline'!$P$56,'Schätzung Pipeline'!$X$56)</c:f>
              <c:numCache>
                <c:formatCode>General</c:formatCode>
                <c:ptCount val="3"/>
                <c:pt idx="0">
                  <c:v>1102435.0183999999</c:v>
                </c:pt>
                <c:pt idx="1">
                  <c:v>837730.77359999984</c:v>
                </c:pt>
                <c:pt idx="2">
                  <c:v>2009834.2080000001</c:v>
                </c:pt>
              </c:numCache>
            </c:numRef>
          </c:val>
          <c:extLst>
            <c:ext xmlns:c16="http://schemas.microsoft.com/office/drawing/2014/chart" uri="{C3380CC4-5D6E-409C-BE32-E72D297353CC}">
              <c16:uniqueId val="{00000000-F142-46A2-A097-E28DD60EDAB8}"/>
            </c:ext>
          </c:extLst>
        </c:ser>
        <c:dLbls>
          <c:showLegendKey val="0"/>
          <c:showVal val="0"/>
          <c:showCatName val="0"/>
          <c:showSerName val="0"/>
          <c:showPercent val="0"/>
          <c:showBubbleSize val="0"/>
          <c:showLeaderLines val="1"/>
        </c:dLbls>
        <c:firstSliceAng val="0"/>
      </c:pieChart>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ln>
      <a:solidFill>
        <a:schemeClr val="accent2">
          <a:lumMod val="50000"/>
        </a:schemeClr>
      </a:solidFill>
    </a:ln>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Plankostensätze</a:t>
            </a:r>
            <a:r>
              <a:rPr lang="de-DE" baseline="0"/>
              <a:t> nach FNB NEP 2020</a:t>
            </a: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tx>
            <c:strRef>
              <c:f>'Schätzung Pipeline'!$B$46</c:f>
              <c:strCache>
                <c:ptCount val="1"/>
                <c:pt idx="0">
                  <c:v>DP 70</c:v>
                </c:pt>
              </c:strCache>
            </c:strRef>
          </c:tx>
          <c:spPr>
            <a:ln w="19050" cap="rnd">
              <a:noFill/>
              <a:round/>
            </a:ln>
            <a:effectLst/>
          </c:spPr>
          <c:marker>
            <c:symbol val="circle"/>
            <c:size val="5"/>
            <c:spPr>
              <a:solidFill>
                <a:schemeClr val="accent1"/>
              </a:solidFill>
              <a:ln w="9525">
                <a:solidFill>
                  <a:schemeClr val="accent1"/>
                </a:solidFill>
              </a:ln>
              <a:effectLst/>
            </c:spPr>
          </c:marker>
          <c:xVal>
            <c:numRef>
              <c:f>'Schätzung Pipeline'!$A$47:$A$56</c:f>
              <c:numCache>
                <c:formatCode>General</c:formatCode>
                <c:ptCount val="10"/>
                <c:pt idx="0">
                  <c:v>400</c:v>
                </c:pt>
                <c:pt idx="1">
                  <c:v>500</c:v>
                </c:pt>
                <c:pt idx="2">
                  <c:v>600</c:v>
                </c:pt>
                <c:pt idx="3">
                  <c:v>700</c:v>
                </c:pt>
                <c:pt idx="4">
                  <c:v>800</c:v>
                </c:pt>
                <c:pt idx="5">
                  <c:v>900</c:v>
                </c:pt>
                <c:pt idx="6">
                  <c:v>1000</c:v>
                </c:pt>
                <c:pt idx="7">
                  <c:v>1100</c:v>
                </c:pt>
                <c:pt idx="8">
                  <c:v>1200</c:v>
                </c:pt>
                <c:pt idx="9">
                  <c:v>1400</c:v>
                </c:pt>
              </c:numCache>
            </c:numRef>
          </c:xVal>
          <c:yVal>
            <c:numRef>
              <c:f>'Schätzung Pipeline'!$B$47:$B$56</c:f>
              <c:numCache>
                <c:formatCode>General</c:formatCode>
                <c:ptCount val="10"/>
                <c:pt idx="0">
                  <c:v>1350</c:v>
                </c:pt>
                <c:pt idx="1">
                  <c:v>1500</c:v>
                </c:pt>
                <c:pt idx="2">
                  <c:v>1640</c:v>
                </c:pt>
                <c:pt idx="3">
                  <c:v>1800</c:v>
                </c:pt>
                <c:pt idx="4">
                  <c:v>1970</c:v>
                </c:pt>
                <c:pt idx="5">
                  <c:v>2150</c:v>
                </c:pt>
                <c:pt idx="6">
                  <c:v>2390</c:v>
                </c:pt>
                <c:pt idx="7">
                  <c:v>2490</c:v>
                </c:pt>
                <c:pt idx="8">
                  <c:v>2770</c:v>
                </c:pt>
                <c:pt idx="9">
                  <c:v>3470</c:v>
                </c:pt>
              </c:numCache>
            </c:numRef>
          </c:yVal>
          <c:smooth val="0"/>
          <c:extLst>
            <c:ext xmlns:c16="http://schemas.microsoft.com/office/drawing/2014/chart" uri="{C3380CC4-5D6E-409C-BE32-E72D297353CC}">
              <c16:uniqueId val="{00000000-07C3-43E8-B0A0-B7454C129D4C}"/>
            </c:ext>
          </c:extLst>
        </c:ser>
        <c:ser>
          <c:idx val="1"/>
          <c:order val="1"/>
          <c:tx>
            <c:strRef>
              <c:f>'Schätzung Pipeline'!$C$46</c:f>
              <c:strCache>
                <c:ptCount val="1"/>
                <c:pt idx="0">
                  <c:v>DP 80</c:v>
                </c:pt>
              </c:strCache>
            </c:strRef>
          </c:tx>
          <c:spPr>
            <a:ln w="19050" cap="rnd">
              <a:noFill/>
              <a:round/>
            </a:ln>
            <a:effectLst/>
          </c:spPr>
          <c:marker>
            <c:symbol val="circle"/>
            <c:size val="5"/>
            <c:spPr>
              <a:solidFill>
                <a:schemeClr val="accent2"/>
              </a:solidFill>
              <a:ln w="9525">
                <a:solidFill>
                  <a:schemeClr val="accent2"/>
                </a:solidFill>
              </a:ln>
              <a:effectLst/>
            </c:spPr>
          </c:marker>
          <c:xVal>
            <c:numRef>
              <c:f>'Schätzung Pipeline'!$A$47:$A$56</c:f>
              <c:numCache>
                <c:formatCode>General</c:formatCode>
                <c:ptCount val="10"/>
                <c:pt idx="0">
                  <c:v>400</c:v>
                </c:pt>
                <c:pt idx="1">
                  <c:v>500</c:v>
                </c:pt>
                <c:pt idx="2">
                  <c:v>600</c:v>
                </c:pt>
                <c:pt idx="3">
                  <c:v>700</c:v>
                </c:pt>
                <c:pt idx="4">
                  <c:v>800</c:v>
                </c:pt>
                <c:pt idx="5">
                  <c:v>900</c:v>
                </c:pt>
                <c:pt idx="6">
                  <c:v>1000</c:v>
                </c:pt>
                <c:pt idx="7">
                  <c:v>1100</c:v>
                </c:pt>
                <c:pt idx="8">
                  <c:v>1200</c:v>
                </c:pt>
                <c:pt idx="9">
                  <c:v>1400</c:v>
                </c:pt>
              </c:numCache>
            </c:numRef>
          </c:xVal>
          <c:yVal>
            <c:numRef>
              <c:f>'Schätzung Pipeline'!$C$47:$C$56</c:f>
              <c:numCache>
                <c:formatCode>General</c:formatCode>
                <c:ptCount val="10"/>
                <c:pt idx="0">
                  <c:v>1360</c:v>
                </c:pt>
                <c:pt idx="1">
                  <c:v>1510</c:v>
                </c:pt>
                <c:pt idx="2">
                  <c:v>1650</c:v>
                </c:pt>
                <c:pt idx="3">
                  <c:v>1830</c:v>
                </c:pt>
                <c:pt idx="4">
                  <c:v>2020</c:v>
                </c:pt>
                <c:pt idx="5">
                  <c:v>2200</c:v>
                </c:pt>
                <c:pt idx="6">
                  <c:v>2450</c:v>
                </c:pt>
                <c:pt idx="7">
                  <c:v>2630</c:v>
                </c:pt>
                <c:pt idx="8">
                  <c:v>2860</c:v>
                </c:pt>
                <c:pt idx="9">
                  <c:v>3620</c:v>
                </c:pt>
              </c:numCache>
            </c:numRef>
          </c:yVal>
          <c:smooth val="0"/>
          <c:extLst>
            <c:ext xmlns:c16="http://schemas.microsoft.com/office/drawing/2014/chart" uri="{C3380CC4-5D6E-409C-BE32-E72D297353CC}">
              <c16:uniqueId val="{00000001-07C3-43E8-B0A0-B7454C129D4C}"/>
            </c:ext>
          </c:extLst>
        </c:ser>
        <c:ser>
          <c:idx val="2"/>
          <c:order val="2"/>
          <c:tx>
            <c:strRef>
              <c:f>'Schätzung Pipeline'!$D$46</c:f>
              <c:strCache>
                <c:ptCount val="1"/>
                <c:pt idx="0">
                  <c:v>DP 100</c:v>
                </c:pt>
              </c:strCache>
            </c:strRef>
          </c:tx>
          <c:spPr>
            <a:ln w="19050" cap="rnd">
              <a:noFill/>
              <a:round/>
            </a:ln>
            <a:effectLst/>
          </c:spPr>
          <c:marker>
            <c:symbol val="circle"/>
            <c:size val="5"/>
            <c:spPr>
              <a:solidFill>
                <a:schemeClr val="accent3"/>
              </a:solidFill>
              <a:ln w="9525">
                <a:solidFill>
                  <a:schemeClr val="accent3"/>
                </a:solidFill>
              </a:ln>
              <a:effectLst/>
            </c:spPr>
          </c:marker>
          <c:xVal>
            <c:numRef>
              <c:f>'Schätzung Pipeline'!$A$47:$A$56</c:f>
              <c:numCache>
                <c:formatCode>General</c:formatCode>
                <c:ptCount val="10"/>
                <c:pt idx="0">
                  <c:v>400</c:v>
                </c:pt>
                <c:pt idx="1">
                  <c:v>500</c:v>
                </c:pt>
                <c:pt idx="2">
                  <c:v>600</c:v>
                </c:pt>
                <c:pt idx="3">
                  <c:v>700</c:v>
                </c:pt>
                <c:pt idx="4">
                  <c:v>800</c:v>
                </c:pt>
                <c:pt idx="5">
                  <c:v>900</c:v>
                </c:pt>
                <c:pt idx="6">
                  <c:v>1000</c:v>
                </c:pt>
                <c:pt idx="7">
                  <c:v>1100</c:v>
                </c:pt>
                <c:pt idx="8">
                  <c:v>1200</c:v>
                </c:pt>
                <c:pt idx="9">
                  <c:v>1400</c:v>
                </c:pt>
              </c:numCache>
            </c:numRef>
          </c:xVal>
          <c:yVal>
            <c:numRef>
              <c:f>'Schätzung Pipeline'!$D$47:$D$56</c:f>
              <c:numCache>
                <c:formatCode>General</c:formatCode>
                <c:ptCount val="10"/>
                <c:pt idx="0">
                  <c:v>1370</c:v>
                </c:pt>
                <c:pt idx="1">
                  <c:v>1530</c:v>
                </c:pt>
                <c:pt idx="2">
                  <c:v>1720</c:v>
                </c:pt>
                <c:pt idx="3">
                  <c:v>1920</c:v>
                </c:pt>
                <c:pt idx="4">
                  <c:v>2120</c:v>
                </c:pt>
                <c:pt idx="5">
                  <c:v>2340</c:v>
                </c:pt>
                <c:pt idx="6">
                  <c:v>2620</c:v>
                </c:pt>
                <c:pt idx="7">
                  <c:v>2840</c:v>
                </c:pt>
                <c:pt idx="8">
                  <c:v>3100</c:v>
                </c:pt>
                <c:pt idx="9">
                  <c:v>3950</c:v>
                </c:pt>
              </c:numCache>
            </c:numRef>
          </c:yVal>
          <c:smooth val="0"/>
          <c:extLst>
            <c:ext xmlns:c16="http://schemas.microsoft.com/office/drawing/2014/chart" uri="{C3380CC4-5D6E-409C-BE32-E72D297353CC}">
              <c16:uniqueId val="{00000002-07C3-43E8-B0A0-B7454C129D4C}"/>
            </c:ext>
          </c:extLst>
        </c:ser>
        <c:dLbls>
          <c:showLegendKey val="0"/>
          <c:showVal val="0"/>
          <c:showCatName val="0"/>
          <c:showSerName val="0"/>
          <c:showPercent val="0"/>
          <c:showBubbleSize val="0"/>
        </c:dLbls>
        <c:axId val="470139896"/>
        <c:axId val="470144488"/>
      </c:scatterChart>
      <c:valAx>
        <c:axId val="4701398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Innendurchmesser in mm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0144488"/>
        <c:crosses val="autoZero"/>
        <c:crossBetween val="midCat"/>
      </c:valAx>
      <c:valAx>
        <c:axId val="470144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7013989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accent2">
          <a:lumMod val="50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Jahresdauerlinie EE-Erzeugung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1"/>
          <c:order val="0"/>
          <c:spPr>
            <a:ln w="28575" cap="rnd">
              <a:solidFill>
                <a:schemeClr val="accent2"/>
              </a:solidFill>
              <a:round/>
            </a:ln>
            <a:effectLst/>
          </c:spPr>
          <c:marker>
            <c:symbol val="none"/>
          </c:marker>
          <c:val>
            <c:numRef>
              <c:f>'Schätzung EE-Strom &amp; Hilfsstoff'!$N$3:$N$8762</c:f>
              <c:numCache>
                <c:formatCode>General</c:formatCode>
                <c:ptCount val="8760"/>
                <c:pt idx="0">
                  <c:v>0.91938391627582894</c:v>
                </c:pt>
                <c:pt idx="1">
                  <c:v>0.91876854122220153</c:v>
                </c:pt>
                <c:pt idx="2">
                  <c:v>0.91815387394979453</c:v>
                </c:pt>
                <c:pt idx="3">
                  <c:v>0.91753991357039877</c:v>
                </c:pt>
                <c:pt idx="4">
                  <c:v>0.9169266591969194</c:v>
                </c:pt>
                <c:pt idx="5">
                  <c:v>0.91631410994337759</c:v>
                </c:pt>
                <c:pt idx="6">
                  <c:v>0.91570226492490314</c:v>
                </c:pt>
                <c:pt idx="7">
                  <c:v>0.91509112325773789</c:v>
                </c:pt>
                <c:pt idx="8">
                  <c:v>0.91448068405923166</c:v>
                </c:pt>
                <c:pt idx="9">
                  <c:v>0.91387094644784428</c:v>
                </c:pt>
                <c:pt idx="10">
                  <c:v>0.91326190954313935</c:v>
                </c:pt>
                <c:pt idx="11">
                  <c:v>0.91265357246578549</c:v>
                </c:pt>
                <c:pt idx="12">
                  <c:v>0.9120459343375571</c:v>
                </c:pt>
                <c:pt idx="13">
                  <c:v>0.91143899428132868</c:v>
                </c:pt>
                <c:pt idx="14">
                  <c:v>0.91083275142107567</c:v>
                </c:pt>
                <c:pt idx="15">
                  <c:v>0.91022720488187303</c:v>
                </c:pt>
                <c:pt idx="16">
                  <c:v>0.9096223537898932</c:v>
                </c:pt>
                <c:pt idx="17">
                  <c:v>0.90901819727240718</c:v>
                </c:pt>
                <c:pt idx="18">
                  <c:v>0.90841473445777909</c:v>
                </c:pt>
                <c:pt idx="19">
                  <c:v>0.90781196447546675</c:v>
                </c:pt>
                <c:pt idx="20">
                  <c:v>0.90720988645602274</c:v>
                </c:pt>
                <c:pt idx="21">
                  <c:v>0.90660849953108835</c:v>
                </c:pt>
                <c:pt idx="22">
                  <c:v>0.90600780283339577</c:v>
                </c:pt>
                <c:pt idx="23">
                  <c:v>0.90540779549676431</c:v>
                </c:pt>
                <c:pt idx="24">
                  <c:v>0.90480847665610264</c:v>
                </c:pt>
                <c:pt idx="25">
                  <c:v>0.90420984544740302</c:v>
                </c:pt>
                <c:pt idx="26">
                  <c:v>0.90361190100774158</c:v>
                </c:pt>
                <c:pt idx="27">
                  <c:v>0.90301464247528007</c:v>
                </c:pt>
                <c:pt idx="28">
                  <c:v>0.90241806898925925</c:v>
                </c:pt>
                <c:pt idx="29">
                  <c:v>0.90182217968999989</c:v>
                </c:pt>
                <c:pt idx="30">
                  <c:v>0.90122697371890437</c:v>
                </c:pt>
                <c:pt idx="31">
                  <c:v>0.90063245021844973</c:v>
                </c:pt>
                <c:pt idx="32">
                  <c:v>0.90003860833218963</c:v>
                </c:pt>
                <c:pt idx="33">
                  <c:v>0.89944544720475406</c:v>
                </c:pt>
                <c:pt idx="34">
                  <c:v>0.89885296598184494</c:v>
                </c:pt>
                <c:pt idx="35">
                  <c:v>0.89826116381023602</c:v>
                </c:pt>
                <c:pt idx="36">
                  <c:v>0.89767003983777371</c:v>
                </c:pt>
                <c:pt idx="37">
                  <c:v>0.89707959321337172</c:v>
                </c:pt>
                <c:pt idx="38">
                  <c:v>0.89648982308701231</c:v>
                </c:pt>
                <c:pt idx="39">
                  <c:v>0.8959007286097459</c:v>
                </c:pt>
                <c:pt idx="40">
                  <c:v>0.8953123089336873</c:v>
                </c:pt>
                <c:pt idx="41">
                  <c:v>0.89472456321201288</c:v>
                </c:pt>
                <c:pt idx="42">
                  <c:v>0.8941374905989663</c:v>
                </c:pt>
                <c:pt idx="43">
                  <c:v>0.89355109024984947</c:v>
                </c:pt>
                <c:pt idx="44">
                  <c:v>0.89296536132102433</c:v>
                </c:pt>
                <c:pt idx="45">
                  <c:v>0.892380302969914</c:v>
                </c:pt>
                <c:pt idx="46">
                  <c:v>0.8917959143549965</c:v>
                </c:pt>
                <c:pt idx="47">
                  <c:v>0.89121219463580603</c:v>
                </c:pt>
                <c:pt idx="48">
                  <c:v>0.89062914297293339</c:v>
                </c:pt>
                <c:pt idx="49">
                  <c:v>0.89004675852802118</c:v>
                </c:pt>
                <c:pt idx="50">
                  <c:v>0.8894650404637634</c:v>
                </c:pt>
                <c:pt idx="51">
                  <c:v>0.88888398794390744</c:v>
                </c:pt>
                <c:pt idx="52">
                  <c:v>0.88830360013324783</c:v>
                </c:pt>
                <c:pt idx="53">
                  <c:v>0.88772387619762694</c:v>
                </c:pt>
                <c:pt idx="54">
                  <c:v>0.88714481530393674</c:v>
                </c:pt>
                <c:pt idx="55">
                  <c:v>0.88656641662011193</c:v>
                </c:pt>
                <c:pt idx="56">
                  <c:v>0.88598867931513225</c:v>
                </c:pt>
                <c:pt idx="57">
                  <c:v>0.88541160255901974</c:v>
                </c:pt>
                <c:pt idx="58">
                  <c:v>0.88483518552284013</c:v>
                </c:pt>
                <c:pt idx="59">
                  <c:v>0.88425942737869689</c:v>
                </c:pt>
                <c:pt idx="60">
                  <c:v>0.88368432729973301</c:v>
                </c:pt>
                <c:pt idx="61">
                  <c:v>0.88310988446013094</c:v>
                </c:pt>
                <c:pt idx="62">
                  <c:v>0.88253609803510713</c:v>
                </c:pt>
                <c:pt idx="63">
                  <c:v>0.88196296720091338</c:v>
                </c:pt>
                <c:pt idx="64">
                  <c:v>0.88139049113483736</c:v>
                </c:pt>
                <c:pt idx="65">
                  <c:v>0.88081866901519701</c:v>
                </c:pt>
                <c:pt idx="66">
                  <c:v>0.88024750002134189</c:v>
                </c:pt>
                <c:pt idx="67">
                  <c:v>0.87967698333365174</c:v>
                </c:pt>
                <c:pt idx="68">
                  <c:v>0.8791071181335337</c:v>
                </c:pt>
                <c:pt idx="69">
                  <c:v>0.8785379036034251</c:v>
                </c:pt>
                <c:pt idx="70">
                  <c:v>0.87796933892678619</c:v>
                </c:pt>
                <c:pt idx="71">
                  <c:v>0.87740142328810333</c:v>
                </c:pt>
                <c:pt idx="72">
                  <c:v>0.87683415587288505</c:v>
                </c:pt>
                <c:pt idx="73">
                  <c:v>0.87626753586766459</c:v>
                </c:pt>
                <c:pt idx="74">
                  <c:v>0.87570156245999353</c:v>
                </c:pt>
                <c:pt idx="75">
                  <c:v>0.87513623483844338</c:v>
                </c:pt>
                <c:pt idx="76">
                  <c:v>0.87457155219260563</c:v>
                </c:pt>
                <c:pt idx="77">
                  <c:v>0.87400751371308705</c:v>
                </c:pt>
                <c:pt idx="78">
                  <c:v>0.87344411859150961</c:v>
                </c:pt>
                <c:pt idx="79">
                  <c:v>0.87288136602051258</c:v>
                </c:pt>
                <c:pt idx="80">
                  <c:v>0.87231925519374554</c:v>
                </c:pt>
                <c:pt idx="81">
                  <c:v>0.87175778530587045</c:v>
                </c:pt>
                <c:pt idx="82">
                  <c:v>0.87119695555256194</c:v>
                </c:pt>
                <c:pt idx="83">
                  <c:v>0.87063676513050181</c:v>
                </c:pt>
                <c:pt idx="84">
                  <c:v>0.87007721323738052</c:v>
                </c:pt>
                <c:pt idx="85">
                  <c:v>0.86951829907189504</c:v>
                </c:pt>
                <c:pt idx="86">
                  <c:v>0.86896002183374965</c:v>
                </c:pt>
                <c:pt idx="87">
                  <c:v>0.86840238072365106</c:v>
                </c:pt>
                <c:pt idx="88">
                  <c:v>0.86784537494330904</c:v>
                </c:pt>
                <c:pt idx="89">
                  <c:v>0.86728900369543704</c:v>
                </c:pt>
                <c:pt idx="90">
                  <c:v>0.86673326618374702</c:v>
                </c:pt>
                <c:pt idx="91">
                  <c:v>0.86617816161295047</c:v>
                </c:pt>
                <c:pt idx="92">
                  <c:v>0.86562368918875876</c:v>
                </c:pt>
                <c:pt idx="93">
                  <c:v>0.86506984811787779</c:v>
                </c:pt>
                <c:pt idx="94">
                  <c:v>0.86451663760801001</c:v>
                </c:pt>
                <c:pt idx="95">
                  <c:v>0.86396405686785194</c:v>
                </c:pt>
                <c:pt idx="96">
                  <c:v>0.86341210510709243</c:v>
                </c:pt>
                <c:pt idx="97">
                  <c:v>0.86286078153641421</c:v>
                </c:pt>
                <c:pt idx="98">
                  <c:v>0.86231008536748877</c:v>
                </c:pt>
                <c:pt idx="99">
                  <c:v>0.86176001581297701</c:v>
                </c:pt>
                <c:pt idx="100">
                  <c:v>0.86121057208652751</c:v>
                </c:pt>
                <c:pt idx="101">
                  <c:v>0.86066175340277762</c:v>
                </c:pt>
                <c:pt idx="102">
                  <c:v>0.86011355897734854</c:v>
                </c:pt>
                <c:pt idx="103">
                  <c:v>0.85956598802684525</c:v>
                </c:pt>
                <c:pt idx="104">
                  <c:v>0.85901903976885818</c:v>
                </c:pt>
                <c:pt idx="105">
                  <c:v>0.85847271342195786</c:v>
                </c:pt>
                <c:pt idx="106">
                  <c:v>0.85792700820569479</c:v>
                </c:pt>
                <c:pt idx="107">
                  <c:v>0.85738192334060137</c:v>
                </c:pt>
                <c:pt idx="108">
                  <c:v>0.85683745804818601</c:v>
                </c:pt>
                <c:pt idx="109">
                  <c:v>0.85629361155093409</c:v>
                </c:pt>
                <c:pt idx="110">
                  <c:v>0.85575038307230877</c:v>
                </c:pt>
                <c:pt idx="111">
                  <c:v>0.85520777183674568</c:v>
                </c:pt>
                <c:pt idx="112">
                  <c:v>0.85466577706965341</c:v>
                </c:pt>
                <c:pt idx="113">
                  <c:v>0.85412439799741513</c:v>
                </c:pt>
                <c:pt idx="114">
                  <c:v>0.85358363384738256</c:v>
                </c:pt>
                <c:pt idx="115">
                  <c:v>0.85304348384787687</c:v>
                </c:pt>
                <c:pt idx="116">
                  <c:v>0.85250394722819012</c:v>
                </c:pt>
                <c:pt idx="117">
                  <c:v>0.85196502321857892</c:v>
                </c:pt>
                <c:pt idx="118">
                  <c:v>0.85142671105026702</c:v>
                </c:pt>
                <c:pt idx="119">
                  <c:v>0.85088900995544181</c:v>
                </c:pt>
                <c:pt idx="120">
                  <c:v>0.8503519191672575</c:v>
                </c:pt>
                <c:pt idx="121">
                  <c:v>0.84981543791982528</c:v>
                </c:pt>
                <c:pt idx="122">
                  <c:v>0.84927956544822258</c:v>
                </c:pt>
                <c:pt idx="123">
                  <c:v>0.84874430098848397</c:v>
                </c:pt>
                <c:pt idx="124">
                  <c:v>0.84820964377760277</c:v>
                </c:pt>
                <c:pt idx="125">
                  <c:v>0.84767559305353168</c:v>
                </c:pt>
                <c:pt idx="126">
                  <c:v>0.84714214805517773</c:v>
                </c:pt>
                <c:pt idx="127">
                  <c:v>0.84660930802240331</c:v>
                </c:pt>
                <c:pt idx="128">
                  <c:v>0.84607707219602646</c:v>
                </c:pt>
                <c:pt idx="129">
                  <c:v>0.84554543981781605</c:v>
                </c:pt>
                <c:pt idx="130">
                  <c:v>0.84501441013049217</c:v>
                </c:pt>
                <c:pt idx="131">
                  <c:v>0.84448398237772793</c:v>
                </c:pt>
                <c:pt idx="132">
                  <c:v>0.84395415580414279</c:v>
                </c:pt>
                <c:pt idx="133">
                  <c:v>0.84342492965530524</c:v>
                </c:pt>
                <c:pt idx="134">
                  <c:v>0.84289630317772968</c:v>
                </c:pt>
                <c:pt idx="135">
                  <c:v>0.84236827561887839</c:v>
                </c:pt>
                <c:pt idx="136">
                  <c:v>0.84184084622715571</c:v>
                </c:pt>
                <c:pt idx="137">
                  <c:v>0.84131401425190921</c:v>
                </c:pt>
                <c:pt idx="138">
                  <c:v>0.8407877789434306</c:v>
                </c:pt>
                <c:pt idx="139">
                  <c:v>0.84026213955295026</c:v>
                </c:pt>
                <c:pt idx="140">
                  <c:v>0.83973709533263841</c:v>
                </c:pt>
                <c:pt idx="141">
                  <c:v>0.83921264553560537</c:v>
                </c:pt>
                <c:pt idx="142">
                  <c:v>0.8386887894158972</c:v>
                </c:pt>
                <c:pt idx="143">
                  <c:v>0.83816552622849605</c:v>
                </c:pt>
                <c:pt idx="144">
                  <c:v>0.83764285522932036</c:v>
                </c:pt>
                <c:pt idx="145">
                  <c:v>0.83712077567522114</c:v>
                </c:pt>
                <c:pt idx="146">
                  <c:v>0.83659928682398221</c:v>
                </c:pt>
                <c:pt idx="147">
                  <c:v>0.83607838793431899</c:v>
                </c:pt>
                <c:pt idx="148">
                  <c:v>0.83555807826587714</c:v>
                </c:pt>
                <c:pt idx="149">
                  <c:v>0.83503835707923024</c:v>
                </c:pt>
                <c:pt idx="150">
                  <c:v>0.83451922363588282</c:v>
                </c:pt>
                <c:pt idx="151">
                  <c:v>0.83400067719826332</c:v>
                </c:pt>
                <c:pt idx="152">
                  <c:v>0.83348271702972587</c:v>
                </c:pt>
                <c:pt idx="153">
                  <c:v>0.83296534239455133</c:v>
                </c:pt>
                <c:pt idx="154">
                  <c:v>0.8324485525579417</c:v>
                </c:pt>
                <c:pt idx="155">
                  <c:v>0.83193234678602113</c:v>
                </c:pt>
                <c:pt idx="156">
                  <c:v>0.83141672434583658</c:v>
                </c:pt>
                <c:pt idx="157">
                  <c:v>0.83090168450535296</c:v>
                </c:pt>
                <c:pt idx="158">
                  <c:v>0.83038722653345376</c:v>
                </c:pt>
                <c:pt idx="159">
                  <c:v>0.82987334969994198</c:v>
                </c:pt>
                <c:pt idx="160">
                  <c:v>0.82936005327553475</c:v>
                </c:pt>
                <c:pt idx="161">
                  <c:v>0.8288473365318656</c:v>
                </c:pt>
                <c:pt idx="162">
                  <c:v>0.82833519874148076</c:v>
                </c:pt>
                <c:pt idx="163">
                  <c:v>0.82782363917784196</c:v>
                </c:pt>
                <c:pt idx="164">
                  <c:v>0.8273126571153202</c:v>
                </c:pt>
                <c:pt idx="165">
                  <c:v>0.82680225182919731</c:v>
                </c:pt>
                <c:pt idx="166">
                  <c:v>0.82629242259566693</c:v>
                </c:pt>
                <c:pt idx="167">
                  <c:v>0.82578316869182811</c:v>
                </c:pt>
                <c:pt idx="168">
                  <c:v>0.82527448939568782</c:v>
                </c:pt>
                <c:pt idx="169">
                  <c:v>0.82476638398616098</c:v>
                </c:pt>
                <c:pt idx="170">
                  <c:v>0.82425885174306535</c:v>
                </c:pt>
                <c:pt idx="171">
                  <c:v>0.82375189194712206</c:v>
                </c:pt>
                <c:pt idx="172">
                  <c:v>0.82324550387995776</c:v>
                </c:pt>
                <c:pt idx="173">
                  <c:v>0.8227396868240977</c:v>
                </c:pt>
                <c:pt idx="174">
                  <c:v>0.82223444006296864</c:v>
                </c:pt>
                <c:pt idx="175">
                  <c:v>0.82172976288089661</c:v>
                </c:pt>
                <c:pt idx="176">
                  <c:v>0.82122565456310559</c:v>
                </c:pt>
                <c:pt idx="177">
                  <c:v>0.82072211439571585</c:v>
                </c:pt>
                <c:pt idx="178">
                  <c:v>0.82021914166574561</c:v>
                </c:pt>
                <c:pt idx="179">
                  <c:v>0.8197167356611057</c:v>
                </c:pt>
                <c:pt idx="180">
                  <c:v>0.81921489567060102</c:v>
                </c:pt>
                <c:pt idx="181">
                  <c:v>0.81871362098393041</c:v>
                </c:pt>
                <c:pt idx="182">
                  <c:v>0.81821291089168224</c:v>
                </c:pt>
                <c:pt idx="183">
                  <c:v>0.81771276468533527</c:v>
                </c:pt>
                <c:pt idx="184">
                  <c:v>0.8172131816572592</c:v>
                </c:pt>
                <c:pt idx="185">
                  <c:v>0.81671416110070982</c:v>
                </c:pt>
                <c:pt idx="186">
                  <c:v>0.8162157023098302</c:v>
                </c:pt>
                <c:pt idx="187">
                  <c:v>0.8157178045796506</c:v>
                </c:pt>
                <c:pt idx="188">
                  <c:v>0.81522046720608421</c:v>
                </c:pt>
                <c:pt idx="189">
                  <c:v>0.81472368948592799</c:v>
                </c:pt>
                <c:pt idx="190">
                  <c:v>0.81422747071686308</c:v>
                </c:pt>
                <c:pt idx="191">
                  <c:v>0.81373181019745</c:v>
                </c:pt>
                <c:pt idx="192">
                  <c:v>0.81323670722712993</c:v>
                </c:pt>
                <c:pt idx="193">
                  <c:v>0.81274216110622444</c:v>
                </c:pt>
                <c:pt idx="194">
                  <c:v>0.81224817113593184</c:v>
                </c:pt>
                <c:pt idx="195">
                  <c:v>0.81175473661832764</c:v>
                </c:pt>
                <c:pt idx="196">
                  <c:v>0.81126185685636287</c:v>
                </c:pt>
                <c:pt idx="197">
                  <c:v>0.81076953115386474</c:v>
                </c:pt>
                <c:pt idx="198">
                  <c:v>0.81027775881553277</c:v>
                </c:pt>
                <c:pt idx="199">
                  <c:v>0.80978653914693854</c:v>
                </c:pt>
                <c:pt idx="200">
                  <c:v>0.80929587145452797</c:v>
                </c:pt>
                <c:pt idx="201">
                  <c:v>0.80880575504561247</c:v>
                </c:pt>
                <c:pt idx="202">
                  <c:v>0.80831618922837789</c:v>
                </c:pt>
                <c:pt idx="203">
                  <c:v>0.8078271733118747</c:v>
                </c:pt>
                <c:pt idx="204">
                  <c:v>0.80733870660602158</c:v>
                </c:pt>
                <c:pt idx="205">
                  <c:v>0.80685078842160407</c:v>
                </c:pt>
                <c:pt idx="206">
                  <c:v>0.80636341807027134</c:v>
                </c:pt>
                <c:pt idx="207">
                  <c:v>0.80587659486453633</c:v>
                </c:pt>
                <c:pt idx="208">
                  <c:v>0.8053903181177765</c:v>
                </c:pt>
                <c:pt idx="209">
                  <c:v>0.80490458714422886</c:v>
                </c:pt>
                <c:pt idx="210">
                  <c:v>0.80441940125899225</c:v>
                </c:pt>
                <c:pt idx="211">
                  <c:v>0.80393475977802353</c:v>
                </c:pt>
                <c:pt idx="212">
                  <c:v>0.80345066201814075</c:v>
                </c:pt>
                <c:pt idx="213">
                  <c:v>0.8029671072970167</c:v>
                </c:pt>
                <c:pt idx="214">
                  <c:v>0.80248409493318085</c:v>
                </c:pt>
                <c:pt idx="215">
                  <c:v>0.80200162424601962</c:v>
                </c:pt>
                <c:pt idx="216">
                  <c:v>0.80151969455577143</c:v>
                </c:pt>
                <c:pt idx="217">
                  <c:v>0.80103830518352837</c:v>
                </c:pt>
                <c:pt idx="218">
                  <c:v>0.8005574554512358</c:v>
                </c:pt>
                <c:pt idx="219">
                  <c:v>0.80007714468168811</c:v>
                </c:pt>
                <c:pt idx="220">
                  <c:v>0.79959737219852989</c:v>
                </c:pt>
                <c:pt idx="221">
                  <c:v>0.79911813732625636</c:v>
                </c:pt>
                <c:pt idx="222">
                  <c:v>0.79863943939020809</c:v>
                </c:pt>
                <c:pt idx="223">
                  <c:v>0.79816127771657341</c:v>
                </c:pt>
                <c:pt idx="224">
                  <c:v>0.79768365163238553</c:v>
                </c:pt>
                <c:pt idx="225">
                  <c:v>0.79720656046552363</c:v>
                </c:pt>
                <c:pt idx="226">
                  <c:v>0.79673000354470913</c:v>
                </c:pt>
                <c:pt idx="227">
                  <c:v>0.79625398019950611</c:v>
                </c:pt>
                <c:pt idx="228">
                  <c:v>0.79577848976031973</c:v>
                </c:pt>
                <c:pt idx="229">
                  <c:v>0.79530353155839539</c:v>
                </c:pt>
                <c:pt idx="230">
                  <c:v>0.79482910492581937</c:v>
                </c:pt>
                <c:pt idx="231">
                  <c:v>0.79435520919551394</c:v>
                </c:pt>
                <c:pt idx="232">
                  <c:v>0.79388184370123893</c:v>
                </c:pt>
                <c:pt idx="233">
                  <c:v>0.79340900777759193</c:v>
                </c:pt>
                <c:pt idx="234">
                  <c:v>0.79293670076000367</c:v>
                </c:pt>
                <c:pt idx="235">
                  <c:v>0.79246492198473906</c:v>
                </c:pt>
                <c:pt idx="236">
                  <c:v>0.79199367078889726</c:v>
                </c:pt>
                <c:pt idx="237">
                  <c:v>0.79152294651040844</c:v>
                </c:pt>
                <c:pt idx="238">
                  <c:v>0.7910527484880332</c:v>
                </c:pt>
                <c:pt idx="239">
                  <c:v>0.79058307606136169</c:v>
                </c:pt>
                <c:pt idx="240">
                  <c:v>0.79011392857081497</c:v>
                </c:pt>
                <c:pt idx="241">
                  <c:v>0.78964530535763977</c:v>
                </c:pt>
                <c:pt idx="242">
                  <c:v>0.78917720576390948</c:v>
                </c:pt>
                <c:pt idx="243">
                  <c:v>0.78870962913252463</c:v>
                </c:pt>
                <c:pt idx="244">
                  <c:v>0.78824257480720938</c:v>
                </c:pt>
                <c:pt idx="245">
                  <c:v>0.78777604213251062</c:v>
                </c:pt>
                <c:pt idx="246">
                  <c:v>0.7873100304538001</c:v>
                </c:pt>
                <c:pt idx="247">
                  <c:v>0.78684453911726882</c:v>
                </c:pt>
                <c:pt idx="248">
                  <c:v>0.78637956746992876</c:v>
                </c:pt>
                <c:pt idx="249">
                  <c:v>0.78591511485961285</c:v>
                </c:pt>
                <c:pt idx="250">
                  <c:v>0.78545118063497088</c:v>
                </c:pt>
                <c:pt idx="251">
                  <c:v>0.78498776414546967</c:v>
                </c:pt>
                <c:pt idx="252">
                  <c:v>0.78452486474139438</c:v>
                </c:pt>
                <c:pt idx="253">
                  <c:v>0.78406248177384441</c:v>
                </c:pt>
                <c:pt idx="254">
                  <c:v>0.78360061459473151</c:v>
                </c:pt>
                <c:pt idx="255">
                  <c:v>0.78313926255678457</c:v>
                </c:pt>
                <c:pt idx="256">
                  <c:v>0.78267842501354212</c:v>
                </c:pt>
                <c:pt idx="257">
                  <c:v>0.78221810131935388</c:v>
                </c:pt>
                <c:pt idx="258">
                  <c:v>0.78175829082938186</c:v>
                </c:pt>
                <c:pt idx="259">
                  <c:v>0.7812989928995957</c:v>
                </c:pt>
                <c:pt idx="260">
                  <c:v>0.78084020688677236</c:v>
                </c:pt>
                <c:pt idx="261">
                  <c:v>0.7803819321484986</c:v>
                </c:pt>
                <c:pt idx="262">
                  <c:v>0.77992416804316544</c:v>
                </c:pt>
                <c:pt idx="263">
                  <c:v>0.77946691392996903</c:v>
                </c:pt>
                <c:pt idx="264">
                  <c:v>0.77901016916891108</c:v>
                </c:pt>
                <c:pt idx="265">
                  <c:v>0.77855393312079502</c:v>
                </c:pt>
                <c:pt idx="266">
                  <c:v>0.7780982051472265</c:v>
                </c:pt>
                <c:pt idx="267">
                  <c:v>0.7776429846106141</c:v>
                </c:pt>
                <c:pt idx="268">
                  <c:v>0.7771882708741642</c:v>
                </c:pt>
                <c:pt idx="269">
                  <c:v>0.77673406330188288</c:v>
                </c:pt>
                <c:pt idx="270">
                  <c:v>0.77628036125857625</c:v>
                </c:pt>
                <c:pt idx="271">
                  <c:v>0.77582716410984487</c:v>
                </c:pt>
                <c:pt idx="272">
                  <c:v>0.77537447122208702</c:v>
                </c:pt>
                <c:pt idx="273">
                  <c:v>0.77492228196249502</c:v>
                </c:pt>
                <c:pt idx="274">
                  <c:v>0.77447059569905707</c:v>
                </c:pt>
                <c:pt idx="275">
                  <c:v>0.77401941180055278</c:v>
                </c:pt>
                <c:pt idx="276">
                  <c:v>0.7735687296365541</c:v>
                </c:pt>
                <c:pt idx="277">
                  <c:v>0.77311854857742546</c:v>
                </c:pt>
                <c:pt idx="278">
                  <c:v>0.77266886799431989</c:v>
                </c:pt>
                <c:pt idx="279">
                  <c:v>0.77221968725917989</c:v>
                </c:pt>
                <c:pt idx="280">
                  <c:v>0.77177100574473778</c:v>
                </c:pt>
                <c:pt idx="281">
                  <c:v>0.7713228228245097</c:v>
                </c:pt>
                <c:pt idx="282">
                  <c:v>0.77087513787280137</c:v>
                </c:pt>
                <c:pt idx="283">
                  <c:v>0.77042795026470201</c:v>
                </c:pt>
                <c:pt idx="284">
                  <c:v>0.76998125937608441</c:v>
                </c:pt>
                <c:pt idx="285">
                  <c:v>0.76953506458360721</c:v>
                </c:pt>
                <c:pt idx="286">
                  <c:v>0.76908936526470839</c:v>
                </c:pt>
                <c:pt idx="287">
                  <c:v>0.76864416079760878</c:v>
                </c:pt>
                <c:pt idx="288">
                  <c:v>0.76819945056130834</c:v>
                </c:pt>
                <c:pt idx="289">
                  <c:v>0.76775523393558853</c:v>
                </c:pt>
                <c:pt idx="290">
                  <c:v>0.76731151030100686</c:v>
                </c:pt>
                <c:pt idx="291">
                  <c:v>0.76686827903889865</c:v>
                </c:pt>
                <c:pt idx="292">
                  <c:v>0.76642553953137693</c:v>
                </c:pt>
                <c:pt idx="293">
                  <c:v>0.76598329116132891</c:v>
                </c:pt>
                <c:pt idx="294">
                  <c:v>0.76554153331241559</c:v>
                </c:pt>
                <c:pt idx="295">
                  <c:v>0.76510026536907372</c:v>
                </c:pt>
                <c:pt idx="296">
                  <c:v>0.76465948671651063</c:v>
                </c:pt>
                <c:pt idx="297">
                  <c:v>0.76421919674070482</c:v>
                </c:pt>
                <c:pt idx="298">
                  <c:v>0.76377939482840773</c:v>
                </c:pt>
                <c:pt idx="299">
                  <c:v>0.76334008036713785</c:v>
                </c:pt>
                <c:pt idx="300">
                  <c:v>0.76290125274518372</c:v>
                </c:pt>
                <c:pt idx="301">
                  <c:v>0.76246291135160027</c:v>
                </c:pt>
                <c:pt idx="302">
                  <c:v>0.76202505557621114</c:v>
                </c:pt>
                <c:pt idx="303">
                  <c:v>0.7615876848096037</c:v>
                </c:pt>
                <c:pt idx="304">
                  <c:v>0.76115079844313094</c:v>
                </c:pt>
                <c:pt idx="305">
                  <c:v>0.76071439586890999</c:v>
                </c:pt>
                <c:pt idx="306">
                  <c:v>0.76027847647982028</c:v>
                </c:pt>
                <c:pt idx="307">
                  <c:v>0.75984303966950317</c:v>
                </c:pt>
                <c:pt idx="308">
                  <c:v>0.75940808483236122</c:v>
                </c:pt>
                <c:pt idx="309">
                  <c:v>0.7589736113635559</c:v>
                </c:pt>
                <c:pt idx="310">
                  <c:v>0.7585396186590101</c:v>
                </c:pt>
                <c:pt idx="311">
                  <c:v>0.75810610611540241</c:v>
                </c:pt>
                <c:pt idx="312">
                  <c:v>0.75767307313016907</c:v>
                </c:pt>
                <c:pt idx="313">
                  <c:v>0.75724051910150381</c:v>
                </c:pt>
                <c:pt idx="314">
                  <c:v>0.75680844342835407</c:v>
                </c:pt>
                <c:pt idx="315">
                  <c:v>0.75637684551042206</c:v>
                </c:pt>
                <c:pt idx="316">
                  <c:v>0.75594572474816302</c:v>
                </c:pt>
                <c:pt idx="317">
                  <c:v>0.75551508054278582</c:v>
                </c:pt>
                <c:pt idx="318">
                  <c:v>0.7550849122962493</c:v>
                </c:pt>
                <c:pt idx="319">
                  <c:v>0.75465521941126268</c:v>
                </c:pt>
                <c:pt idx="320">
                  <c:v>0.75422600129128681</c:v>
                </c:pt>
                <c:pt idx="321">
                  <c:v>0.75379725734052894</c:v>
                </c:pt>
                <c:pt idx="322">
                  <c:v>0.75336898696394416</c:v>
                </c:pt>
                <c:pt idx="323">
                  <c:v>0.75294118956723621</c:v>
                </c:pt>
                <c:pt idx="324">
                  <c:v>0.75251386455685276</c:v>
                </c:pt>
                <c:pt idx="325">
                  <c:v>0.75208701133998623</c:v>
                </c:pt>
                <c:pt idx="326">
                  <c:v>0.75166062932457478</c:v>
                </c:pt>
                <c:pt idx="327">
                  <c:v>0.75123471791929797</c:v>
                </c:pt>
                <c:pt idx="328">
                  <c:v>0.75080927653357732</c:v>
                </c:pt>
                <c:pt idx="329">
                  <c:v>0.75038430457757688</c:v>
                </c:pt>
                <c:pt idx="330">
                  <c:v>0.74995980146219998</c:v>
                </c:pt>
                <c:pt idx="331">
                  <c:v>0.74953576659908827</c:v>
                </c:pt>
                <c:pt idx="332">
                  <c:v>0.74911219940062412</c:v>
                </c:pt>
                <c:pt idx="333">
                  <c:v>0.74868909927992577</c:v>
                </c:pt>
                <c:pt idx="334">
                  <c:v>0.74826646565084676</c:v>
                </c:pt>
                <c:pt idx="335">
                  <c:v>0.74784429792797891</c:v>
                </c:pt>
                <c:pt idx="336">
                  <c:v>0.74742259552664714</c:v>
                </c:pt>
                <c:pt idx="337">
                  <c:v>0.74700135786290944</c:v>
                </c:pt>
                <c:pt idx="338">
                  <c:v>0.74658058435355856</c:v>
                </c:pt>
                <c:pt idx="339">
                  <c:v>0.74616027441611776</c:v>
                </c:pt>
                <c:pt idx="340">
                  <c:v>0.74574042746884062</c:v>
                </c:pt>
                <c:pt idx="341">
                  <c:v>0.745321042930713</c:v>
                </c:pt>
                <c:pt idx="342">
                  <c:v>0.74490212022144786</c:v>
                </c:pt>
                <c:pt idx="343">
                  <c:v>0.7444836587614867</c:v>
                </c:pt>
                <c:pt idx="344">
                  <c:v>0.74406565797199953</c:v>
                </c:pt>
                <c:pt idx="345">
                  <c:v>0.74364811727488156</c:v>
                </c:pt>
                <c:pt idx="346">
                  <c:v>0.74323103609275321</c:v>
                </c:pt>
                <c:pt idx="347">
                  <c:v>0.74281441384896119</c:v>
                </c:pt>
                <c:pt idx="348">
                  <c:v>0.74239824996757409</c:v>
                </c:pt>
                <c:pt idx="349">
                  <c:v>0.74198254387338403</c:v>
                </c:pt>
                <c:pt idx="350">
                  <c:v>0.7415672949919041</c:v>
                </c:pt>
                <c:pt idx="351">
                  <c:v>0.7411525027493705</c:v>
                </c:pt>
                <c:pt idx="352">
                  <c:v>0.74073816657273706</c:v>
                </c:pt>
                <c:pt idx="353">
                  <c:v>0.74032428588967758</c:v>
                </c:pt>
                <c:pt idx="354">
                  <c:v>0.73991086012858509</c:v>
                </c:pt>
                <c:pt idx="355">
                  <c:v>0.73949788871856836</c:v>
                </c:pt>
                <c:pt idx="356">
                  <c:v>0.73908537108945294</c:v>
                </c:pt>
                <c:pt idx="357">
                  <c:v>0.73867330667178122</c:v>
                </c:pt>
                <c:pt idx="358">
                  <c:v>0.73826169489680882</c:v>
                </c:pt>
                <c:pt idx="359">
                  <c:v>0.7378505351965049</c:v>
                </c:pt>
                <c:pt idx="360">
                  <c:v>0.73743982700355359</c:v>
                </c:pt>
                <c:pt idx="361">
                  <c:v>0.73702956975134737</c:v>
                </c:pt>
                <c:pt idx="362">
                  <c:v>0.73661976287399344</c:v>
                </c:pt>
                <c:pt idx="363">
                  <c:v>0.73621040580630681</c:v>
                </c:pt>
                <c:pt idx="364">
                  <c:v>0.73580149798381278</c:v>
                </c:pt>
                <c:pt idx="365">
                  <c:v>0.7353930388427441</c:v>
                </c:pt>
                <c:pt idx="366">
                  <c:v>0.73498502782004238</c:v>
                </c:pt>
                <c:pt idx="367">
                  <c:v>0.73457746435335469</c:v>
                </c:pt>
                <c:pt idx="368">
                  <c:v>0.73417034788103397</c:v>
                </c:pt>
                <c:pt idx="369">
                  <c:v>0.73376367784213881</c:v>
                </c:pt>
                <c:pt idx="370">
                  <c:v>0.73335745367643068</c:v>
                </c:pt>
                <c:pt idx="371">
                  <c:v>0.73295167482437407</c:v>
                </c:pt>
                <c:pt idx="372">
                  <c:v>0.73254634072713731</c:v>
                </c:pt>
                <c:pt idx="373">
                  <c:v>0.7321414508265881</c:v>
                </c:pt>
                <c:pt idx="374">
                  <c:v>0.73173700456529467</c:v>
                </c:pt>
                <c:pt idx="375">
                  <c:v>0.73133300138652679</c:v>
                </c:pt>
                <c:pt idx="376">
                  <c:v>0.73092944073425059</c:v>
                </c:pt>
                <c:pt idx="377">
                  <c:v>0.73052632205313095</c:v>
                </c:pt>
                <c:pt idx="378">
                  <c:v>0.73012364478852909</c:v>
                </c:pt>
                <c:pt idx="379">
                  <c:v>0.72972140838650379</c:v>
                </c:pt>
                <c:pt idx="380">
                  <c:v>0.72931961229380737</c:v>
                </c:pt>
                <c:pt idx="381">
                  <c:v>0.72891825595788651</c:v>
                </c:pt>
                <c:pt idx="382">
                  <c:v>0.72851733882688263</c:v>
                </c:pt>
                <c:pt idx="383">
                  <c:v>0.72811686034962864</c:v>
                </c:pt>
                <c:pt idx="384">
                  <c:v>0.72771681997564841</c:v>
                </c:pt>
                <c:pt idx="385">
                  <c:v>0.72731721715515874</c:v>
                </c:pt>
                <c:pt idx="386">
                  <c:v>0.72691805133906473</c:v>
                </c:pt>
                <c:pt idx="387">
                  <c:v>0.72651932197896085</c:v>
                </c:pt>
                <c:pt idx="388">
                  <c:v>0.72612102852712979</c:v>
                </c:pt>
                <c:pt idx="389">
                  <c:v>0.72572317043654144</c:v>
                </c:pt>
                <c:pt idx="390">
                  <c:v>0.72532574716085307</c:v>
                </c:pt>
                <c:pt idx="391">
                  <c:v>0.72492875815440661</c:v>
                </c:pt>
                <c:pt idx="392">
                  <c:v>0.72453220287222897</c:v>
                </c:pt>
                <c:pt idx="393">
                  <c:v>0.72413608077003055</c:v>
                </c:pt>
                <c:pt idx="394">
                  <c:v>0.72374039130420642</c:v>
                </c:pt>
                <c:pt idx="395">
                  <c:v>0.72334513393183175</c:v>
                </c:pt>
                <c:pt idx="396">
                  <c:v>0.72295030811066396</c:v>
                </c:pt>
                <c:pt idx="397">
                  <c:v>0.72255591329914148</c:v>
                </c:pt>
                <c:pt idx="398">
                  <c:v>0.72216194895638175</c:v>
                </c:pt>
                <c:pt idx="399">
                  <c:v>0.72176841454218021</c:v>
                </c:pt>
                <c:pt idx="400">
                  <c:v>0.72137530951701212</c:v>
                </c:pt>
                <c:pt idx="401">
                  <c:v>0.72098263334202839</c:v>
                </c:pt>
                <c:pt idx="402">
                  <c:v>0.72059038547905596</c:v>
                </c:pt>
                <c:pt idx="403">
                  <c:v>0.72019856539059846</c:v>
                </c:pt>
                <c:pt idx="404">
                  <c:v>0.71980717253983284</c:v>
                </c:pt>
                <c:pt idx="405">
                  <c:v>0.71941620639060955</c:v>
                </c:pt>
                <c:pt idx="406">
                  <c:v>0.71902566640745358</c:v>
                </c:pt>
                <c:pt idx="407">
                  <c:v>0.71863555205556007</c:v>
                </c:pt>
                <c:pt idx="408">
                  <c:v>0.7182458628007955</c:v>
                </c:pt>
                <c:pt idx="409">
                  <c:v>0.71785659810969826</c:v>
                </c:pt>
                <c:pt idx="410">
                  <c:v>0.71746775744947433</c:v>
                </c:pt>
                <c:pt idx="411">
                  <c:v>0.71707934028799902</c:v>
                </c:pt>
                <c:pt idx="412">
                  <c:v>0.71669134609381513</c:v>
                </c:pt>
                <c:pt idx="413">
                  <c:v>0.71630377433613401</c:v>
                </c:pt>
                <c:pt idx="414">
                  <c:v>0.71591662448482984</c:v>
                </c:pt>
                <c:pt idx="415">
                  <c:v>0.71552989601044537</c:v>
                </c:pt>
                <c:pt idx="416">
                  <c:v>0.71514358838418612</c:v>
                </c:pt>
                <c:pt idx="417">
                  <c:v>0.71475770107792092</c:v>
                </c:pt>
                <c:pt idx="418">
                  <c:v>0.71437223356418289</c:v>
                </c:pt>
                <c:pt idx="419">
                  <c:v>0.71398718531616545</c:v>
                </c:pt>
                <c:pt idx="420">
                  <c:v>0.71360255580772369</c:v>
                </c:pt>
                <c:pt idx="421">
                  <c:v>0.71321834451337374</c:v>
                </c:pt>
                <c:pt idx="422">
                  <c:v>0.71283455090829007</c:v>
                </c:pt>
                <c:pt idx="423">
                  <c:v>0.71245117446830575</c:v>
                </c:pt>
                <c:pt idx="424">
                  <c:v>0.7120682146699131</c:v>
                </c:pt>
                <c:pt idx="425">
                  <c:v>0.71168567099025981</c:v>
                </c:pt>
                <c:pt idx="426">
                  <c:v>0.71130354290715037</c:v>
                </c:pt>
                <c:pt idx="427">
                  <c:v>0.71092182989904396</c:v>
                </c:pt>
                <c:pt idx="428">
                  <c:v>0.71054053144505569</c:v>
                </c:pt>
                <c:pt idx="429">
                  <c:v>0.71015964702495304</c:v>
                </c:pt>
                <c:pt idx="430">
                  <c:v>0.7097791761191562</c:v>
                </c:pt>
                <c:pt idx="431">
                  <c:v>0.70939911820873891</c:v>
                </c:pt>
                <c:pt idx="432">
                  <c:v>0.70901947277542465</c:v>
                </c:pt>
                <c:pt idx="433">
                  <c:v>0.70864023930158737</c:v>
                </c:pt>
                <c:pt idx="434">
                  <c:v>0.70826141727025194</c:v>
                </c:pt>
                <c:pt idx="435">
                  <c:v>0.70788300616509048</c:v>
                </c:pt>
                <c:pt idx="436">
                  <c:v>0.70750500547042317</c:v>
                </c:pt>
                <c:pt idx="437">
                  <c:v>0.70712741467121898</c:v>
                </c:pt>
                <c:pt idx="438">
                  <c:v>0.70675023325309116</c:v>
                </c:pt>
                <c:pt idx="439">
                  <c:v>0.70637346070229967</c:v>
                </c:pt>
                <c:pt idx="440">
                  <c:v>0.70599709650574871</c:v>
                </c:pt>
                <c:pt idx="441">
                  <c:v>0.70562114015098665</c:v>
                </c:pt>
                <c:pt idx="442">
                  <c:v>0.705245591126204</c:v>
                </c:pt>
                <c:pt idx="443">
                  <c:v>0.70487044892023554</c:v>
                </c:pt>
                <c:pt idx="444">
                  <c:v>0.70449571302255587</c:v>
                </c:pt>
                <c:pt idx="445">
                  <c:v>0.70412138292328019</c:v>
                </c:pt>
                <c:pt idx="446">
                  <c:v>0.70374745811316497</c:v>
                </c:pt>
                <c:pt idx="447">
                  <c:v>0.70337393808360449</c:v>
                </c:pt>
                <c:pt idx="448">
                  <c:v>0.70300082232663108</c:v>
                </c:pt>
                <c:pt idx="449">
                  <c:v>0.70262811033491612</c:v>
                </c:pt>
                <c:pt idx="450">
                  <c:v>0.70225580160176615</c:v>
                </c:pt>
                <c:pt idx="451">
                  <c:v>0.70188389562112374</c:v>
                </c:pt>
                <c:pt idx="452">
                  <c:v>0.70151239188756764</c:v>
                </c:pt>
                <c:pt idx="453">
                  <c:v>0.70114128989630942</c:v>
                </c:pt>
                <c:pt idx="454">
                  <c:v>0.70077058914319501</c:v>
                </c:pt>
                <c:pt idx="455">
                  <c:v>0.7004002891247022</c:v>
                </c:pt>
                <c:pt idx="456">
                  <c:v>0.70003038933794215</c:v>
                </c:pt>
                <c:pt idx="457">
                  <c:v>0.69966088928065573</c:v>
                </c:pt>
                <c:pt idx="458">
                  <c:v>0.69929178845121409</c:v>
                </c:pt>
                <c:pt idx="459">
                  <c:v>0.69892308634861933</c:v>
                </c:pt>
                <c:pt idx="460">
                  <c:v>0.69855478247250069</c:v>
                </c:pt>
                <c:pt idx="461">
                  <c:v>0.69818687632311549</c:v>
                </c:pt>
                <c:pt idx="462">
                  <c:v>0.69781936740134975</c:v>
                </c:pt>
                <c:pt idx="463">
                  <c:v>0.6974522552087139</c:v>
                </c:pt>
                <c:pt idx="464">
                  <c:v>0.69708553924734451</c:v>
                </c:pt>
                <c:pt idx="465">
                  <c:v>0.696719219020004</c:v>
                </c:pt>
                <c:pt idx="466">
                  <c:v>0.69635329403007762</c:v>
                </c:pt>
                <c:pt idx="467">
                  <c:v>0.69598776378157401</c:v>
                </c:pt>
                <c:pt idx="468">
                  <c:v>0.69562262777912443</c:v>
                </c:pt>
                <c:pt idx="469">
                  <c:v>0.69525788552798173</c:v>
                </c:pt>
                <c:pt idx="470">
                  <c:v>0.6948935365340192</c:v>
                </c:pt>
                <c:pt idx="471">
                  <c:v>0.69452958030373158</c:v>
                </c:pt>
                <c:pt idx="472">
                  <c:v>0.69416601634423147</c:v>
                </c:pt>
                <c:pt idx="473">
                  <c:v>0.69380284416325022</c:v>
                </c:pt>
                <c:pt idx="474">
                  <c:v>0.6934400632691381</c:v>
                </c:pt>
                <c:pt idx="475">
                  <c:v>0.693077673170861</c:v>
                </c:pt>
                <c:pt idx="476">
                  <c:v>0.69271567337800111</c:v>
                </c:pt>
                <c:pt idx="477">
                  <c:v>0.69235406340075734</c:v>
                </c:pt>
                <c:pt idx="478">
                  <c:v>0.69199284274994211</c:v>
                </c:pt>
                <c:pt idx="479">
                  <c:v>0.69163201093698135</c:v>
                </c:pt>
                <c:pt idx="480">
                  <c:v>0.69127156747391594</c:v>
                </c:pt>
                <c:pt idx="481">
                  <c:v>0.69091151187339728</c:v>
                </c:pt>
                <c:pt idx="482">
                  <c:v>0.6905518436486886</c:v>
                </c:pt>
                <c:pt idx="483">
                  <c:v>0.69019256231366533</c:v>
                </c:pt>
                <c:pt idx="484">
                  <c:v>0.68983366738281149</c:v>
                </c:pt>
                <c:pt idx="485">
                  <c:v>0.68947515837122042</c:v>
                </c:pt>
                <c:pt idx="486">
                  <c:v>0.68911703479459541</c:v>
                </c:pt>
                <c:pt idx="487">
                  <c:v>0.68875929616924603</c:v>
                </c:pt>
                <c:pt idx="488">
                  <c:v>0.68840194201208937</c:v>
                </c:pt>
                <c:pt idx="489">
                  <c:v>0.68804497184064828</c:v>
                </c:pt>
                <c:pt idx="490">
                  <c:v>0.68768838517305242</c:v>
                </c:pt>
                <c:pt idx="491">
                  <c:v>0.68733218152803466</c:v>
                </c:pt>
                <c:pt idx="492">
                  <c:v>0.68697636042493226</c:v>
                </c:pt>
                <c:pt idx="493">
                  <c:v>0.68662092138368658</c:v>
                </c:pt>
                <c:pt idx="494">
                  <c:v>0.68626586392484012</c:v>
                </c:pt>
                <c:pt idx="495">
                  <c:v>0.68591118756953773</c:v>
                </c:pt>
                <c:pt idx="496">
                  <c:v>0.68555689183952517</c:v>
                </c:pt>
                <c:pt idx="497">
                  <c:v>0.68520297625714766</c:v>
                </c:pt>
                <c:pt idx="498">
                  <c:v>0.68484944034535133</c:v>
                </c:pt>
                <c:pt idx="499">
                  <c:v>0.68449628362767978</c:v>
                </c:pt>
                <c:pt idx="500">
                  <c:v>0.68414350562827431</c:v>
                </c:pt>
                <c:pt idx="501">
                  <c:v>0.68379110587187486</c:v>
                </c:pt>
                <c:pt idx="502">
                  <c:v>0.68343908388381625</c:v>
                </c:pt>
                <c:pt idx="503">
                  <c:v>0.68308743919002968</c:v>
                </c:pt>
                <c:pt idx="504">
                  <c:v>0.68273617131704056</c:v>
                </c:pt>
                <c:pt idx="505">
                  <c:v>0.68238527979197017</c:v>
                </c:pt>
                <c:pt idx="506">
                  <c:v>0.68203476414253139</c:v>
                </c:pt>
                <c:pt idx="507">
                  <c:v>0.68168462389703033</c:v>
                </c:pt>
                <c:pt idx="508">
                  <c:v>0.68133485858436582</c:v>
                </c:pt>
                <c:pt idx="509">
                  <c:v>0.68098546773402691</c:v>
                </c:pt>
                <c:pt idx="510">
                  <c:v>0.68063645087609304</c:v>
                </c:pt>
                <c:pt idx="511">
                  <c:v>0.68028780754123463</c:v>
                </c:pt>
                <c:pt idx="512">
                  <c:v>0.67993953726070988</c:v>
                </c:pt>
                <c:pt idx="513">
                  <c:v>0.67959163956636492</c:v>
                </c:pt>
                <c:pt idx="514">
                  <c:v>0.679244113990635</c:v>
                </c:pt>
                <c:pt idx="515">
                  <c:v>0.67889696006654077</c:v>
                </c:pt>
                <c:pt idx="516">
                  <c:v>0.67855017732768919</c:v>
                </c:pt>
                <c:pt idx="517">
                  <c:v>0.67820376530827209</c:v>
                </c:pt>
                <c:pt idx="518">
                  <c:v>0.67785772354306739</c:v>
                </c:pt>
                <c:pt idx="519">
                  <c:v>0.67751205156743532</c:v>
                </c:pt>
                <c:pt idx="520">
                  <c:v>0.67716674891731954</c:v>
                </c:pt>
                <c:pt idx="521">
                  <c:v>0.67682181512924622</c:v>
                </c:pt>
                <c:pt idx="522">
                  <c:v>0.67647724974032286</c:v>
                </c:pt>
                <c:pt idx="523">
                  <c:v>0.67613305228823872</c:v>
                </c:pt>
                <c:pt idx="524">
                  <c:v>0.67578922231126226</c:v>
                </c:pt>
                <c:pt idx="525">
                  <c:v>0.67544575934824147</c:v>
                </c:pt>
                <c:pt idx="526">
                  <c:v>0.6751026629386041</c:v>
                </c:pt>
                <c:pt idx="527">
                  <c:v>0.67475993262235456</c:v>
                </c:pt>
                <c:pt idx="528">
                  <c:v>0.67441756794007457</c:v>
                </c:pt>
                <c:pt idx="529">
                  <c:v>0.67407556843292393</c:v>
                </c:pt>
                <c:pt idx="530">
                  <c:v>0.67373393364263656</c:v>
                </c:pt>
                <c:pt idx="531">
                  <c:v>0.67339266311152224</c:v>
                </c:pt>
                <c:pt idx="532">
                  <c:v>0.67305175638246439</c:v>
                </c:pt>
                <c:pt idx="533">
                  <c:v>0.67271121299892167</c:v>
                </c:pt>
                <c:pt idx="534">
                  <c:v>0.67237103250492403</c:v>
                </c:pt>
                <c:pt idx="535">
                  <c:v>0.67203121444507397</c:v>
                </c:pt>
                <c:pt idx="536">
                  <c:v>0.67169175836454631</c:v>
                </c:pt>
                <c:pt idx="537">
                  <c:v>0.67135266380908598</c:v>
                </c:pt>
                <c:pt idx="538">
                  <c:v>0.67101393032500756</c:v>
                </c:pt>
                <c:pt idx="539">
                  <c:v>0.67067555745919616</c:v>
                </c:pt>
                <c:pt idx="540">
                  <c:v>0.67033754475910445</c:v>
                </c:pt>
                <c:pt idx="541">
                  <c:v>0.6699998917727531</c:v>
                </c:pt>
                <c:pt idx="542">
                  <c:v>0.66966259804873096</c:v>
                </c:pt>
                <c:pt idx="543">
                  <c:v>0.66932566313619213</c:v>
                </c:pt>
                <c:pt idx="544">
                  <c:v>0.6689890865848569</c:v>
                </c:pt>
                <c:pt idx="545">
                  <c:v>0.66865286794501133</c:v>
                </c:pt>
                <c:pt idx="546">
                  <c:v>0.66831700676750483</c:v>
                </c:pt>
                <c:pt idx="547">
                  <c:v>0.667981502603751</c:v>
                </c:pt>
                <c:pt idx="548">
                  <c:v>0.66764635500572611</c:v>
                </c:pt>
                <c:pt idx="549">
                  <c:v>0.66731156352596899</c:v>
                </c:pt>
                <c:pt idx="550">
                  <c:v>0.66697712771757933</c:v>
                </c:pt>
                <c:pt idx="551">
                  <c:v>0.66664304713421874</c:v>
                </c:pt>
                <c:pt idx="552">
                  <c:v>0.66630932133010823</c:v>
                </c:pt>
                <c:pt idx="553">
                  <c:v>0.66597594986002773</c:v>
                </c:pt>
                <c:pt idx="554">
                  <c:v>0.66564293227931737</c:v>
                </c:pt>
                <c:pt idx="555">
                  <c:v>0.66531026814387406</c:v>
                </c:pt>
                <c:pt idx="556">
                  <c:v>0.66497795701015194</c:v>
                </c:pt>
                <c:pt idx="557">
                  <c:v>0.66464599843516292</c:v>
                </c:pt>
                <c:pt idx="558">
                  <c:v>0.66431439197647368</c:v>
                </c:pt>
                <c:pt idx="559">
                  <c:v>0.66398313719220636</c:v>
                </c:pt>
                <c:pt idx="560">
                  <c:v>0.66365223364103842</c:v>
                </c:pt>
                <c:pt idx="561">
                  <c:v>0.66332168088220023</c:v>
                </c:pt>
                <c:pt idx="562">
                  <c:v>0.6629914784754749</c:v>
                </c:pt>
                <c:pt idx="563">
                  <c:v>0.66266162598119993</c:v>
                </c:pt>
                <c:pt idx="564">
                  <c:v>0.66233212296026256</c:v>
                </c:pt>
                <c:pt idx="565">
                  <c:v>0.66200296897410205</c:v>
                </c:pt>
                <c:pt idx="566">
                  <c:v>0.66167416358470699</c:v>
                </c:pt>
                <c:pt idx="567">
                  <c:v>0.66134570635461776</c:v>
                </c:pt>
                <c:pt idx="568">
                  <c:v>0.66101759684692163</c:v>
                </c:pt>
                <c:pt idx="569">
                  <c:v>0.66068983462525455</c:v>
                </c:pt>
                <c:pt idx="570">
                  <c:v>0.66036241925380135</c:v>
                </c:pt>
                <c:pt idx="571">
                  <c:v>0.66003535029729254</c:v>
                </c:pt>
                <c:pt idx="572">
                  <c:v>0.65970862732100455</c:v>
                </c:pt>
                <c:pt idx="573">
                  <c:v>0.65938224989076089</c:v>
                </c:pt>
                <c:pt idx="574">
                  <c:v>0.65905621757292876</c:v>
                </c:pt>
                <c:pt idx="575">
                  <c:v>0.65873052993441961</c:v>
                </c:pt>
                <c:pt idx="576">
                  <c:v>0.65840518654268876</c:v>
                </c:pt>
                <c:pt idx="577">
                  <c:v>0.65808018696573345</c:v>
                </c:pt>
                <c:pt idx="578">
                  <c:v>0.65775553077209481</c:v>
                </c:pt>
                <c:pt idx="579">
                  <c:v>0.65743121753085398</c:v>
                </c:pt>
                <c:pt idx="580">
                  <c:v>0.65710724681163313</c:v>
                </c:pt>
                <c:pt idx="581">
                  <c:v>0.65678361818459408</c:v>
                </c:pt>
                <c:pt idx="582">
                  <c:v>0.65646033122043967</c:v>
                </c:pt>
                <c:pt idx="583">
                  <c:v>0.65613738549041001</c:v>
                </c:pt>
                <c:pt idx="584">
                  <c:v>0.65581478056628306</c:v>
                </c:pt>
                <c:pt idx="585">
                  <c:v>0.65549251602037573</c:v>
                </c:pt>
                <c:pt idx="586">
                  <c:v>0.65517059142554035</c:v>
                </c:pt>
                <c:pt idx="587">
                  <c:v>0.65484900635516519</c:v>
                </c:pt>
                <c:pt idx="588">
                  <c:v>0.65452776038317495</c:v>
                </c:pt>
                <c:pt idx="589">
                  <c:v>0.65420685308402815</c:v>
                </c:pt>
                <c:pt idx="590">
                  <c:v>0.6538862840327172</c:v>
                </c:pt>
                <c:pt idx="591">
                  <c:v>0.65356605280476898</c:v>
                </c:pt>
                <c:pt idx="592">
                  <c:v>0.65324615897624183</c:v>
                </c:pt>
                <c:pt idx="593">
                  <c:v>0.65292660212372666</c:v>
                </c:pt>
                <c:pt idx="594">
                  <c:v>0.65260738182434519</c:v>
                </c:pt>
                <c:pt idx="595">
                  <c:v>0.65228849765575103</c:v>
                </c:pt>
                <c:pt idx="596">
                  <c:v>0.65196994919612683</c:v>
                </c:pt>
                <c:pt idx="597">
                  <c:v>0.65165173602418414</c:v>
                </c:pt>
                <c:pt idx="598">
                  <c:v>0.65133385771916485</c:v>
                </c:pt>
                <c:pt idx="599">
                  <c:v>0.65101631386083725</c:v>
                </c:pt>
                <c:pt idx="600">
                  <c:v>0.65069910402949782</c:v>
                </c:pt>
                <c:pt idx="601">
                  <c:v>0.65038222780596944</c:v>
                </c:pt>
                <c:pt idx="602">
                  <c:v>0.65006568477160065</c:v>
                </c:pt>
                <c:pt idx="603">
                  <c:v>0.64974947450826659</c:v>
                </c:pt>
                <c:pt idx="604">
                  <c:v>0.64943359659836597</c:v>
                </c:pt>
                <c:pt idx="605">
                  <c:v>0.64911805062482153</c:v>
                </c:pt>
                <c:pt idx="606">
                  <c:v>0.6488028361710807</c:v>
                </c:pt>
                <c:pt idx="607">
                  <c:v>0.64848795282111227</c:v>
                </c:pt>
                <c:pt idx="608">
                  <c:v>0.6481734001594075</c:v>
                </c:pt>
                <c:pt idx="609">
                  <c:v>0.64785917777097901</c:v>
                </c:pt>
                <c:pt idx="610">
                  <c:v>0.64754528524136079</c:v>
                </c:pt>
                <c:pt idx="611">
                  <c:v>0.6472317221566064</c:v>
                </c:pt>
                <c:pt idx="612">
                  <c:v>0.64691848810328878</c:v>
                </c:pt>
                <c:pt idx="613">
                  <c:v>0.64660558266850021</c:v>
                </c:pt>
                <c:pt idx="614">
                  <c:v>0.64629300543985069</c:v>
                </c:pt>
                <c:pt idx="615">
                  <c:v>0.64598075600546756</c:v>
                </c:pt>
                <c:pt idx="616">
                  <c:v>0.64566883395399599</c:v>
                </c:pt>
                <c:pt idx="617">
                  <c:v>0.6453572388745964</c:v>
                </c:pt>
                <c:pt idx="618">
                  <c:v>0.64504597035694466</c:v>
                </c:pt>
                <c:pt idx="619">
                  <c:v>0.64473502799123283</c:v>
                </c:pt>
                <c:pt idx="620">
                  <c:v>0.64442441136816597</c:v>
                </c:pt>
                <c:pt idx="621">
                  <c:v>0.64411412007896285</c:v>
                </c:pt>
                <c:pt idx="622">
                  <c:v>0.64380415371535638</c:v>
                </c:pt>
                <c:pt idx="623">
                  <c:v>0.64349451186959061</c:v>
                </c:pt>
                <c:pt idx="624">
                  <c:v>0.64318519413442143</c:v>
                </c:pt>
                <c:pt idx="625">
                  <c:v>0.64287620010311675</c:v>
                </c:pt>
                <c:pt idx="626">
                  <c:v>0.64256752936945383</c:v>
                </c:pt>
                <c:pt idx="627">
                  <c:v>0.64225918152772021</c:v>
                </c:pt>
                <c:pt idx="628">
                  <c:v>0.64195115617271226</c:v>
                </c:pt>
                <c:pt idx="629">
                  <c:v>0.64164345289973512</c:v>
                </c:pt>
                <c:pt idx="630">
                  <c:v>0.64133607130460146</c:v>
                </c:pt>
                <c:pt idx="631">
                  <c:v>0.64102901098363196</c:v>
                </c:pt>
                <c:pt idx="632">
                  <c:v>0.64072227153365313</c:v>
                </c:pt>
                <c:pt idx="633">
                  <c:v>0.64041585255199718</c:v>
                </c:pt>
                <c:pt idx="634">
                  <c:v>0.6401097536365028</c:v>
                </c:pt>
                <c:pt idx="635">
                  <c:v>0.63980397438551251</c:v>
                </c:pt>
                <c:pt idx="636">
                  <c:v>0.63949851439787242</c:v>
                </c:pt>
                <c:pt idx="637">
                  <c:v>0.63919337327293357</c:v>
                </c:pt>
                <c:pt idx="638">
                  <c:v>0.63888855061054839</c:v>
                </c:pt>
                <c:pt idx="639">
                  <c:v>0.63858404601107155</c:v>
                </c:pt>
                <c:pt idx="640">
                  <c:v>0.63827985907536056</c:v>
                </c:pt>
                <c:pt idx="641">
                  <c:v>0.6379759894047724</c:v>
                </c:pt>
                <c:pt idx="642">
                  <c:v>0.6376724366011649</c:v>
                </c:pt>
                <c:pt idx="643">
                  <c:v>0.63736920026689503</c:v>
                </c:pt>
                <c:pt idx="644">
                  <c:v>0.63706628000481991</c:v>
                </c:pt>
                <c:pt idx="645">
                  <c:v>0.63676367541829393</c:v>
                </c:pt>
                <c:pt idx="646">
                  <c:v>0.63646138611116931</c:v>
                </c:pt>
                <c:pt idx="647">
                  <c:v>0.63615941168779644</c:v>
                </c:pt>
                <c:pt idx="648">
                  <c:v>0.63585775175302106</c:v>
                </c:pt>
                <c:pt idx="649">
                  <c:v>0.63555640591218521</c:v>
                </c:pt>
                <c:pt idx="650">
                  <c:v>0.6352553737711264</c:v>
                </c:pt>
                <c:pt idx="651">
                  <c:v>0.63495465493617664</c:v>
                </c:pt>
                <c:pt idx="652">
                  <c:v>0.63465424901416145</c:v>
                </c:pt>
                <c:pt idx="653">
                  <c:v>0.63435415561240094</c:v>
                </c:pt>
                <c:pt idx="654">
                  <c:v>0.63405437433870693</c:v>
                </c:pt>
                <c:pt idx="655">
                  <c:v>0.63375490480138374</c:v>
                </c:pt>
                <c:pt idx="656">
                  <c:v>0.63345574660922732</c:v>
                </c:pt>
                <c:pt idx="657">
                  <c:v>0.63315689937152442</c:v>
                </c:pt>
                <c:pt idx="658">
                  <c:v>0.63285836269805196</c:v>
                </c:pt>
                <c:pt idx="659">
                  <c:v>0.63256013619907725</c:v>
                </c:pt>
                <c:pt idx="660">
                  <c:v>0.63226221948535599</c:v>
                </c:pt>
                <c:pt idx="661">
                  <c:v>0.63196461216813227</c:v>
                </c:pt>
                <c:pt idx="662">
                  <c:v>0.63166731385913899</c:v>
                </c:pt>
                <c:pt idx="663">
                  <c:v>0.63137032417059513</c:v>
                </c:pt>
                <c:pt idx="664">
                  <c:v>0.63107364271520661</c:v>
                </c:pt>
                <c:pt idx="665">
                  <c:v>0.63077726910616638</c:v>
                </c:pt>
                <c:pt idx="666">
                  <c:v>0.63048120295715138</c:v>
                </c:pt>
                <c:pt idx="667">
                  <c:v>0.63018544388232378</c:v>
                </c:pt>
                <c:pt idx="668">
                  <c:v>0.62988999149633096</c:v>
                </c:pt>
                <c:pt idx="669">
                  <c:v>0.62959484541430244</c:v>
                </c:pt>
                <c:pt idx="670">
                  <c:v>0.62930000525185148</c:v>
                </c:pt>
                <c:pt idx="671">
                  <c:v>0.62900547062507317</c:v>
                </c:pt>
                <c:pt idx="672">
                  <c:v>0.62871124115054566</c:v>
                </c:pt>
                <c:pt idx="673">
                  <c:v>0.62841731644532683</c:v>
                </c:pt>
                <c:pt idx="674">
                  <c:v>0.6281236961269554</c:v>
                </c:pt>
                <c:pt idx="675">
                  <c:v>0.62783037981345102</c:v>
                </c:pt>
                <c:pt idx="676">
                  <c:v>0.62753736712331165</c:v>
                </c:pt>
                <c:pt idx="677">
                  <c:v>0.62724465767551396</c:v>
                </c:pt>
                <c:pt idx="678">
                  <c:v>0.62695225108951391</c:v>
                </c:pt>
                <c:pt idx="679">
                  <c:v>0.62666014698524386</c:v>
                </c:pt>
                <c:pt idx="680">
                  <c:v>0.62636834498311333</c:v>
                </c:pt>
                <c:pt idx="681">
                  <c:v>0.62607684470400926</c:v>
                </c:pt>
                <c:pt idx="682">
                  <c:v>0.62578564576929208</c:v>
                </c:pt>
                <c:pt idx="683">
                  <c:v>0.62549474780080005</c:v>
                </c:pt>
                <c:pt idx="684">
                  <c:v>0.62520415042084421</c:v>
                </c:pt>
                <c:pt idx="685">
                  <c:v>0.62491385325221016</c:v>
                </c:pt>
                <c:pt idx="686">
                  <c:v>0.62462385591815628</c:v>
                </c:pt>
                <c:pt idx="687">
                  <c:v>0.62433415804241521</c:v>
                </c:pt>
                <c:pt idx="688">
                  <c:v>0.62404475924919023</c:v>
                </c:pt>
                <c:pt idx="689">
                  <c:v>0.62375565916315667</c:v>
                </c:pt>
                <c:pt idx="690">
                  <c:v>0.62346685740946151</c:v>
                </c:pt>
                <c:pt idx="691">
                  <c:v>0.62317835361372131</c:v>
                </c:pt>
                <c:pt idx="692">
                  <c:v>0.62289014740202253</c:v>
                </c:pt>
                <c:pt idx="693">
                  <c:v>0.62260223840092166</c:v>
                </c:pt>
                <c:pt idx="694">
                  <c:v>0.62231462623744305</c:v>
                </c:pt>
                <c:pt idx="695">
                  <c:v>0.62202731053907889</c:v>
                </c:pt>
                <c:pt idx="696">
                  <c:v>0.62174029093379002</c:v>
                </c:pt>
                <c:pt idx="697">
                  <c:v>0.62145356705000288</c:v>
                </c:pt>
                <c:pt idx="698">
                  <c:v>0.62116713851661065</c:v>
                </c:pt>
                <c:pt idx="699">
                  <c:v>0.62088100496297283</c:v>
                </c:pt>
                <c:pt idx="700">
                  <c:v>0.62059516601891318</c:v>
                </c:pt>
                <c:pt idx="701">
                  <c:v>0.62030962131472001</c:v>
                </c:pt>
                <c:pt idx="702">
                  <c:v>0.62002437048114678</c:v>
                </c:pt>
                <c:pt idx="703">
                  <c:v>0.61973941314940872</c:v>
                </c:pt>
                <c:pt idx="704">
                  <c:v>0.61945474895118502</c:v>
                </c:pt>
                <c:pt idx="705">
                  <c:v>0.61917037751861614</c:v>
                </c:pt>
                <c:pt idx="706">
                  <c:v>0.61888629848430532</c:v>
                </c:pt>
                <c:pt idx="707">
                  <c:v>0.61860251148131595</c:v>
                </c:pt>
                <c:pt idx="708">
                  <c:v>0.61831901614317208</c:v>
                </c:pt>
                <c:pt idx="709">
                  <c:v>0.61803581210385805</c:v>
                </c:pt>
                <c:pt idx="710">
                  <c:v>0.61775289899781649</c:v>
                </c:pt>
                <c:pt idx="711">
                  <c:v>0.61747027645995045</c:v>
                </c:pt>
                <c:pt idx="712">
                  <c:v>0.61718794412561973</c:v>
                </c:pt>
                <c:pt idx="713">
                  <c:v>0.61690590163064196</c:v>
                </c:pt>
                <c:pt idx="714">
                  <c:v>0.61662414861129267</c:v>
                </c:pt>
                <c:pt idx="715">
                  <c:v>0.61634268470430287</c:v>
                </c:pt>
                <c:pt idx="716">
                  <c:v>0.61606150954685934</c:v>
                </c:pt>
                <c:pt idx="717">
                  <c:v>0.61578062277660539</c:v>
                </c:pt>
                <c:pt idx="718">
                  <c:v>0.61550002403163784</c:v>
                </c:pt>
                <c:pt idx="719">
                  <c:v>0.61521971295050815</c:v>
                </c:pt>
                <c:pt idx="720">
                  <c:v>0.61493968917222075</c:v>
                </c:pt>
                <c:pt idx="721">
                  <c:v>0.61465995233623472</c:v>
                </c:pt>
                <c:pt idx="722">
                  <c:v>0.61438050208245976</c:v>
                </c:pt>
                <c:pt idx="723">
                  <c:v>0.61410133805125822</c:v>
                </c:pt>
                <c:pt idx="724">
                  <c:v>0.61382245988344419</c:v>
                </c:pt>
                <c:pt idx="725">
                  <c:v>0.61354386722028187</c:v>
                </c:pt>
                <c:pt idx="726">
                  <c:v>0.6132655597034854</c:v>
                </c:pt>
                <c:pt idx="727">
                  <c:v>0.61298753697521979</c:v>
                </c:pt>
                <c:pt idx="728">
                  <c:v>0.61270979867809783</c:v>
                </c:pt>
                <c:pt idx="729">
                  <c:v>0.61243234445518113</c:v>
                </c:pt>
                <c:pt idx="730">
                  <c:v>0.61215517394997998</c:v>
                </c:pt>
                <c:pt idx="731">
                  <c:v>0.61187828680645084</c:v>
                </c:pt>
                <c:pt idx="732">
                  <c:v>0.61160168266899795</c:v>
                </c:pt>
                <c:pt idx="733">
                  <c:v>0.61132536118247094</c:v>
                </c:pt>
                <c:pt idx="734">
                  <c:v>0.61104932199216644</c:v>
                </c:pt>
                <c:pt idx="735">
                  <c:v>0.61077356474382416</c:v>
                </c:pt>
                <c:pt idx="736">
                  <c:v>0.61049808908363068</c:v>
                </c:pt>
                <c:pt idx="737">
                  <c:v>0.61022289465821511</c:v>
                </c:pt>
                <c:pt idx="738">
                  <c:v>0.60994798111464976</c:v>
                </c:pt>
                <c:pt idx="739">
                  <c:v>0.6096733481004516</c:v>
                </c:pt>
                <c:pt idx="740">
                  <c:v>0.6093989952635781</c:v>
                </c:pt>
                <c:pt idx="741">
                  <c:v>0.6091249222524292</c:v>
                </c:pt>
                <c:pt idx="742">
                  <c:v>0.60885112871584635</c:v>
                </c:pt>
                <c:pt idx="743">
                  <c:v>0.60857761430311141</c:v>
                </c:pt>
                <c:pt idx="744">
                  <c:v>0.60830437866394604</c:v>
                </c:pt>
                <c:pt idx="745">
                  <c:v>0.60803142144851219</c:v>
                </c:pt>
                <c:pt idx="746">
                  <c:v>0.60775874230741034</c:v>
                </c:pt>
                <c:pt idx="747">
                  <c:v>0.60748634089167941</c:v>
                </c:pt>
                <c:pt idx="748">
                  <c:v>0.6072142168527962</c:v>
                </c:pt>
                <c:pt idx="749">
                  <c:v>0.60694236984267547</c:v>
                </c:pt>
                <c:pt idx="750">
                  <c:v>0.6066707995136682</c:v>
                </c:pt>
                <c:pt idx="751">
                  <c:v>0.60639950551856159</c:v>
                </c:pt>
                <c:pt idx="752">
                  <c:v>0.60612848751057913</c:v>
                </c:pt>
                <c:pt idx="753">
                  <c:v>0.60585774514337898</c:v>
                </c:pt>
                <c:pt idx="754">
                  <c:v>0.60558727807105384</c:v>
                </c:pt>
                <c:pt idx="755">
                  <c:v>0.60531708594813138</c:v>
                </c:pt>
                <c:pt idx="756">
                  <c:v>0.60504716842957174</c:v>
                </c:pt>
                <c:pt idx="757">
                  <c:v>0.60477752517076822</c:v>
                </c:pt>
                <c:pt idx="758">
                  <c:v>0.60450815582754758</c:v>
                </c:pt>
                <c:pt idx="759">
                  <c:v>0.60423906005616734</c:v>
                </c:pt>
                <c:pt idx="760">
                  <c:v>0.60397023751331658</c:v>
                </c:pt>
                <c:pt idx="761">
                  <c:v>0.60370168785611622</c:v>
                </c:pt>
                <c:pt idx="762">
                  <c:v>0.60343341074211598</c:v>
                </c:pt>
                <c:pt idx="763">
                  <c:v>0.6031654058292959</c:v>
                </c:pt>
                <c:pt idx="764">
                  <c:v>0.60289767277606598</c:v>
                </c:pt>
                <c:pt idx="765">
                  <c:v>0.60263021124126381</c:v>
                </c:pt>
                <c:pt idx="766">
                  <c:v>0.60236302088415561</c:v>
                </c:pt>
                <c:pt idx="767">
                  <c:v>0.60209610136443559</c:v>
                </c:pt>
                <c:pt idx="768">
                  <c:v>0.60182945234222418</c:v>
                </c:pt>
                <c:pt idx="769">
                  <c:v>0.60156307347806848</c:v>
                </c:pt>
                <c:pt idx="770">
                  <c:v>0.60129696443294256</c:v>
                </c:pt>
                <c:pt idx="771">
                  <c:v>0.60103112486824473</c:v>
                </c:pt>
                <c:pt idx="772">
                  <c:v>0.60076555444579849</c:v>
                </c:pt>
                <c:pt idx="773">
                  <c:v>0.60050025282785247</c:v>
                </c:pt>
                <c:pt idx="774">
                  <c:v>0.60023521967707838</c:v>
                </c:pt>
                <c:pt idx="775">
                  <c:v>0.59997045465657117</c:v>
                </c:pt>
                <c:pt idx="776">
                  <c:v>0.59970595742984933</c:v>
                </c:pt>
                <c:pt idx="777">
                  <c:v>0.59944172766085313</c:v>
                </c:pt>
                <c:pt idx="778">
                  <c:v>0.59917776501394415</c:v>
                </c:pt>
                <c:pt idx="779">
                  <c:v>0.59891406915390621</c:v>
                </c:pt>
                <c:pt idx="780">
                  <c:v>0.5986506397459429</c:v>
                </c:pt>
                <c:pt idx="781">
                  <c:v>0.59838747645567836</c:v>
                </c:pt>
                <c:pt idx="782">
                  <c:v>0.59812457894915594</c:v>
                </c:pt>
                <c:pt idx="783">
                  <c:v>0.59786194689283889</c:v>
                </c:pt>
                <c:pt idx="784">
                  <c:v>0.59759957995360835</c:v>
                </c:pt>
                <c:pt idx="785">
                  <c:v>0.59733747779876323</c:v>
                </c:pt>
                <c:pt idx="786">
                  <c:v>0.5970756400960211</c:v>
                </c:pt>
                <c:pt idx="787">
                  <c:v>0.59681406651351532</c:v>
                </c:pt>
                <c:pt idx="788">
                  <c:v>0.59655275671979657</c:v>
                </c:pt>
                <c:pt idx="789">
                  <c:v>0.59629171038383078</c:v>
                </c:pt>
                <c:pt idx="790">
                  <c:v>0.59603092717499939</c:v>
                </c:pt>
                <c:pt idx="791">
                  <c:v>0.59577040676309967</c:v>
                </c:pt>
                <c:pt idx="792">
                  <c:v>0.59551014881834219</c:v>
                </c:pt>
                <c:pt idx="793">
                  <c:v>0.59525015301135165</c:v>
                </c:pt>
                <c:pt idx="794">
                  <c:v>0.59499041901316652</c:v>
                </c:pt>
                <c:pt idx="795">
                  <c:v>0.5947309464952375</c:v>
                </c:pt>
                <c:pt idx="796">
                  <c:v>0.59447173512942819</c:v>
                </c:pt>
                <c:pt idx="797">
                  <c:v>0.59421278458801308</c:v>
                </c:pt>
                <c:pt idx="798">
                  <c:v>0.59395409454367909</c:v>
                </c:pt>
                <c:pt idx="799">
                  <c:v>0.59369566466952317</c:v>
                </c:pt>
                <c:pt idx="800">
                  <c:v>0.59343749463905215</c:v>
                </c:pt>
                <c:pt idx="801">
                  <c:v>0.59317958412618388</c:v>
                </c:pt>
                <c:pt idx="802">
                  <c:v>0.59292193280524408</c:v>
                </c:pt>
                <c:pt idx="803">
                  <c:v>0.59266454035096761</c:v>
                </c:pt>
                <c:pt idx="804">
                  <c:v>0.5924074064384981</c:v>
                </c:pt>
                <c:pt idx="805">
                  <c:v>0.59215053074338608</c:v>
                </c:pt>
                <c:pt idx="806">
                  <c:v>0.591893912941589</c:v>
                </c:pt>
                <c:pt idx="807">
                  <c:v>0.59163755270947238</c:v>
                </c:pt>
                <c:pt idx="808">
                  <c:v>0.59138144972380646</c:v>
                </c:pt>
                <c:pt idx="809">
                  <c:v>0.5911256036617677</c:v>
                </c:pt>
                <c:pt idx="810">
                  <c:v>0.5908700142009371</c:v>
                </c:pt>
                <c:pt idx="811">
                  <c:v>0.59061468101930159</c:v>
                </c:pt>
                <c:pt idx="812">
                  <c:v>0.59035960379525099</c:v>
                </c:pt>
                <c:pt idx="813">
                  <c:v>0.59010478220757867</c:v>
                </c:pt>
                <c:pt idx="814">
                  <c:v>0.58985021593548259</c:v>
                </c:pt>
                <c:pt idx="815">
                  <c:v>0.58959590465856082</c:v>
                </c:pt>
                <c:pt idx="816">
                  <c:v>0.58934184805681578</c:v>
                </c:pt>
                <c:pt idx="817">
                  <c:v>0.58908804581065044</c:v>
                </c:pt>
                <c:pt idx="818">
                  <c:v>0.5888344976008687</c:v>
                </c:pt>
                <c:pt idx="819">
                  <c:v>0.58858120310867579</c:v>
                </c:pt>
                <c:pt idx="820">
                  <c:v>0.58832816201567617</c:v>
                </c:pt>
                <c:pt idx="821">
                  <c:v>0.588075374003874</c:v>
                </c:pt>
                <c:pt idx="822">
                  <c:v>0.5878228387556732</c:v>
                </c:pt>
                <c:pt idx="823">
                  <c:v>0.58757055595387553</c:v>
                </c:pt>
                <c:pt idx="824">
                  <c:v>0.58731852528168105</c:v>
                </c:pt>
                <c:pt idx="825">
                  <c:v>0.58706674642268697</c:v>
                </c:pt>
                <c:pt idx="826">
                  <c:v>0.58681521906088863</c:v>
                </c:pt>
                <c:pt idx="827">
                  <c:v>0.58656394288067693</c:v>
                </c:pt>
                <c:pt idx="828">
                  <c:v>0.58631291756683868</c:v>
                </c:pt>
                <c:pt idx="829">
                  <c:v>0.58606214280455771</c:v>
                </c:pt>
                <c:pt idx="830">
                  <c:v>0.58581161827941131</c:v>
                </c:pt>
                <c:pt idx="831">
                  <c:v>0.58556134367737178</c:v>
                </c:pt>
                <c:pt idx="832">
                  <c:v>0.58531131868480613</c:v>
                </c:pt>
                <c:pt idx="833">
                  <c:v>0.58506154298847446</c:v>
                </c:pt>
                <c:pt idx="834">
                  <c:v>0.5848120162755297</c:v>
                </c:pt>
                <c:pt idx="835">
                  <c:v>0.58456273823351812</c:v>
                </c:pt>
                <c:pt idx="836">
                  <c:v>0.58431370855037756</c:v>
                </c:pt>
                <c:pt idx="837">
                  <c:v>0.58406492691443712</c:v>
                </c:pt>
                <c:pt idx="838">
                  <c:v>0.58381639301441812</c:v>
                </c:pt>
                <c:pt idx="839">
                  <c:v>0.5835681065394317</c:v>
                </c:pt>
                <c:pt idx="840">
                  <c:v>0.58332006717897888</c:v>
                </c:pt>
                <c:pt idx="841">
                  <c:v>0.58307227462295164</c:v>
                </c:pt>
                <c:pt idx="842">
                  <c:v>0.58282472856162948</c:v>
                </c:pt>
                <c:pt idx="843">
                  <c:v>0.58257742868568119</c:v>
                </c:pt>
                <c:pt idx="844">
                  <c:v>0.58233037468616466</c:v>
                </c:pt>
                <c:pt idx="845">
                  <c:v>0.58208356625452429</c:v>
                </c:pt>
                <c:pt idx="846">
                  <c:v>0.58183700308259201</c:v>
                </c:pt>
                <c:pt idx="847">
                  <c:v>0.58159068486258692</c:v>
                </c:pt>
                <c:pt idx="848">
                  <c:v>0.58134461128711368</c:v>
                </c:pt>
                <c:pt idx="849">
                  <c:v>0.5810987820491631</c:v>
                </c:pt>
                <c:pt idx="850">
                  <c:v>0.58085319684211167</c:v>
                </c:pt>
                <c:pt idx="851">
                  <c:v>0.5806078553597197</c:v>
                </c:pt>
                <c:pt idx="852">
                  <c:v>0.58036275729613229</c:v>
                </c:pt>
                <c:pt idx="853">
                  <c:v>0.58011790234587879</c:v>
                </c:pt>
                <c:pt idx="854">
                  <c:v>0.57987329020387135</c:v>
                </c:pt>
                <c:pt idx="855">
                  <c:v>0.5796289205654046</c:v>
                </c:pt>
                <c:pt idx="856">
                  <c:v>0.57938479312615698</c:v>
                </c:pt>
                <c:pt idx="857">
                  <c:v>0.57914090758218739</c:v>
                </c:pt>
                <c:pt idx="858">
                  <c:v>0.57889726362993665</c:v>
                </c:pt>
                <c:pt idx="859">
                  <c:v>0.57865386096622651</c:v>
                </c:pt>
                <c:pt idx="860">
                  <c:v>0.57841069928825961</c:v>
                </c:pt>
                <c:pt idx="861">
                  <c:v>0.57816777829361787</c:v>
                </c:pt>
                <c:pt idx="862">
                  <c:v>0.5779250976802629</c:v>
                </c:pt>
                <c:pt idx="863">
                  <c:v>0.5776826571465361</c:v>
                </c:pt>
                <c:pt idx="864">
                  <c:v>0.57744045639115638</c:v>
                </c:pt>
                <c:pt idx="865">
                  <c:v>0.57719849511322097</c:v>
                </c:pt>
                <c:pt idx="866">
                  <c:v>0.57695677301220527</c:v>
                </c:pt>
                <c:pt idx="867">
                  <c:v>0.57671528978796149</c:v>
                </c:pt>
                <c:pt idx="868">
                  <c:v>0.57647404514071843</c:v>
                </c:pt>
                <c:pt idx="869">
                  <c:v>0.5762330387710809</c:v>
                </c:pt>
                <c:pt idx="870">
                  <c:v>0.57599227038002943</c:v>
                </c:pt>
                <c:pt idx="871">
                  <c:v>0.57575173966892068</c:v>
                </c:pt>
                <c:pt idx="872">
                  <c:v>0.57551144633948503</c:v>
                </c:pt>
                <c:pt idx="873">
                  <c:v>0.57527139009382755</c:v>
                </c:pt>
                <c:pt idx="874">
                  <c:v>0.57503157063442689</c:v>
                </c:pt>
                <c:pt idx="875">
                  <c:v>0.57479198766413586</c:v>
                </c:pt>
                <c:pt idx="876">
                  <c:v>0.57455264088617941</c:v>
                </c:pt>
                <c:pt idx="877">
                  <c:v>0.57431353000415475</c:v>
                </c:pt>
                <c:pt idx="878">
                  <c:v>0.57407465472203201</c:v>
                </c:pt>
                <c:pt idx="879">
                  <c:v>0.57383601474415191</c:v>
                </c:pt>
                <c:pt idx="880">
                  <c:v>0.57359760977522645</c:v>
                </c:pt>
                <c:pt idx="881">
                  <c:v>0.57335943952033852</c:v>
                </c:pt>
                <c:pt idx="882">
                  <c:v>0.57312150368494086</c:v>
                </c:pt>
                <c:pt idx="883">
                  <c:v>0.57288380197485533</c:v>
                </c:pt>
                <c:pt idx="884">
                  <c:v>0.57264633409627408</c:v>
                </c:pt>
                <c:pt idx="885">
                  <c:v>0.57240909975575716</c:v>
                </c:pt>
                <c:pt idx="886">
                  <c:v>0.572172098660233</c:v>
                </c:pt>
                <c:pt idx="887">
                  <c:v>0.57193533051699763</c:v>
                </c:pt>
                <c:pt idx="888">
                  <c:v>0.57169879503371501</c:v>
                </c:pt>
                <c:pt idx="889">
                  <c:v>0.57146249191841558</c:v>
                </c:pt>
                <c:pt idx="890">
                  <c:v>0.57122642087949582</c:v>
                </c:pt>
                <c:pt idx="891">
                  <c:v>0.57099058162571892</c:v>
                </c:pt>
                <c:pt idx="892">
                  <c:v>0.57075497386621299</c:v>
                </c:pt>
                <c:pt idx="893">
                  <c:v>0.57051959731047097</c:v>
                </c:pt>
                <c:pt idx="894">
                  <c:v>0.57028445166835162</c:v>
                </c:pt>
                <c:pt idx="895">
                  <c:v>0.57004953665007574</c:v>
                </c:pt>
                <c:pt idx="896">
                  <c:v>0.56981485196622961</c:v>
                </c:pt>
                <c:pt idx="897">
                  <c:v>0.569580397327762</c:v>
                </c:pt>
                <c:pt idx="898">
                  <c:v>0.56934617244598407</c:v>
                </c:pt>
                <c:pt idx="899">
                  <c:v>0.56911217703257</c:v>
                </c:pt>
                <c:pt idx="900">
                  <c:v>0.56887841079955548</c:v>
                </c:pt>
                <c:pt idx="901">
                  <c:v>0.56864487345933712</c:v>
                </c:pt>
                <c:pt idx="902">
                  <c:v>0.56841156472467302</c:v>
                </c:pt>
                <c:pt idx="903">
                  <c:v>0.56817848430868167</c:v>
                </c:pt>
                <c:pt idx="904">
                  <c:v>0.56794563192484149</c:v>
                </c:pt>
                <c:pt idx="905">
                  <c:v>0.56771300728699003</c:v>
                </c:pt>
                <c:pt idx="906">
                  <c:v>0.56748061010932493</c:v>
                </c:pt>
                <c:pt idx="907">
                  <c:v>0.56724844010640174</c:v>
                </c:pt>
                <c:pt idx="908">
                  <c:v>0.56701649699313406</c:v>
                </c:pt>
                <c:pt idx="909">
                  <c:v>0.56678478048479419</c:v>
                </c:pt>
                <c:pt idx="910">
                  <c:v>0.56655329029701074</c:v>
                </c:pt>
                <c:pt idx="911">
                  <c:v>0.56632202614576943</c:v>
                </c:pt>
                <c:pt idx="912">
                  <c:v>0.56609098774741307</c:v>
                </c:pt>
                <c:pt idx="913">
                  <c:v>0.56586017481863971</c:v>
                </c:pt>
                <c:pt idx="914">
                  <c:v>0.56562958707650268</c:v>
                </c:pt>
                <c:pt idx="915">
                  <c:v>0.5653992242384116</c:v>
                </c:pt>
                <c:pt idx="916">
                  <c:v>0.56516908602212956</c:v>
                </c:pt>
                <c:pt idx="917">
                  <c:v>0.56493917214577394</c:v>
                </c:pt>
                <c:pt idx="918">
                  <c:v>0.5647094823278167</c:v>
                </c:pt>
                <c:pt idx="919">
                  <c:v>0.56448001628708233</c:v>
                </c:pt>
                <c:pt idx="920">
                  <c:v>0.56425077374274846</c:v>
                </c:pt>
                <c:pt idx="921">
                  <c:v>0.56402175441434488</c:v>
                </c:pt>
                <c:pt idx="922">
                  <c:v>0.56379295802175355</c:v>
                </c:pt>
                <c:pt idx="923">
                  <c:v>0.56356438428520772</c:v>
                </c:pt>
                <c:pt idx="924">
                  <c:v>0.56333603292529244</c:v>
                </c:pt>
                <c:pt idx="925">
                  <c:v>0.56310790366294272</c:v>
                </c:pt>
                <c:pt idx="926">
                  <c:v>0.56287999621944351</c:v>
                </c:pt>
                <c:pt idx="927">
                  <c:v>0.5626523103164307</c:v>
                </c:pt>
                <c:pt idx="928">
                  <c:v>0.56242484567588835</c:v>
                </c:pt>
                <c:pt idx="929">
                  <c:v>0.56219760202014968</c:v>
                </c:pt>
                <c:pt idx="930">
                  <c:v>0.56197057907189685</c:v>
                </c:pt>
                <c:pt idx="931">
                  <c:v>0.56174377655415964</c:v>
                </c:pt>
                <c:pt idx="932">
                  <c:v>0.56151719419031509</c:v>
                </c:pt>
                <c:pt idx="933">
                  <c:v>0.56129083170408833</c:v>
                </c:pt>
                <c:pt idx="934">
                  <c:v>0.56106468881955029</c:v>
                </c:pt>
                <c:pt idx="935">
                  <c:v>0.56083876526111842</c:v>
                </c:pt>
                <c:pt idx="936">
                  <c:v>0.56061306075355599</c:v>
                </c:pt>
                <c:pt idx="937">
                  <c:v>0.56038757502197201</c:v>
                </c:pt>
                <c:pt idx="938">
                  <c:v>0.5601623077918203</c:v>
                </c:pt>
                <c:pt idx="939">
                  <c:v>0.55993725878889844</c:v>
                </c:pt>
                <c:pt idx="940">
                  <c:v>0.5597124277393497</c:v>
                </c:pt>
                <c:pt idx="941">
                  <c:v>0.55948781436965955</c:v>
                </c:pt>
                <c:pt idx="942">
                  <c:v>0.55926341840665705</c:v>
                </c:pt>
                <c:pt idx="943">
                  <c:v>0.55903923957751489</c:v>
                </c:pt>
                <c:pt idx="944">
                  <c:v>0.55881527760974714</c:v>
                </c:pt>
                <c:pt idx="945">
                  <c:v>0.55859153223121005</c:v>
                </c:pt>
                <c:pt idx="946">
                  <c:v>0.55836800317010193</c:v>
                </c:pt>
                <c:pt idx="947">
                  <c:v>0.55814469015496149</c:v>
                </c:pt>
                <c:pt idx="948">
                  <c:v>0.55792159291466858</c:v>
                </c:pt>
                <c:pt idx="949">
                  <c:v>0.55769871117844283</c:v>
                </c:pt>
                <c:pt idx="950">
                  <c:v>0.55747604467584422</c:v>
                </c:pt>
                <c:pt idx="951">
                  <c:v>0.55725359313677147</c:v>
                </c:pt>
                <c:pt idx="952">
                  <c:v>0.55703135629146305</c:v>
                </c:pt>
                <c:pt idx="953">
                  <c:v>0.55680933387049536</c:v>
                </c:pt>
                <c:pt idx="954">
                  <c:v>0.55658752560478275</c:v>
                </c:pt>
                <c:pt idx="955">
                  <c:v>0.5563659312255782</c:v>
                </c:pt>
                <c:pt idx="956">
                  <c:v>0.55614455046447087</c:v>
                </c:pt>
                <c:pt idx="957">
                  <c:v>0.55592338305338718</c:v>
                </c:pt>
                <c:pt idx="958">
                  <c:v>0.55570242872459041</c:v>
                </c:pt>
                <c:pt idx="959">
                  <c:v>0.55548168721067903</c:v>
                </c:pt>
                <c:pt idx="960">
                  <c:v>0.55526115824458722</c:v>
                </c:pt>
                <c:pt idx="961">
                  <c:v>0.55504084155958522</c:v>
                </c:pt>
                <c:pt idx="962">
                  <c:v>0.55482073688927691</c:v>
                </c:pt>
                <c:pt idx="963">
                  <c:v>0.5546008439676009</c:v>
                </c:pt>
                <c:pt idx="964">
                  <c:v>0.55438116252882941</c:v>
                </c:pt>
                <c:pt idx="965">
                  <c:v>0.55416169230756895</c:v>
                </c:pt>
                <c:pt idx="966">
                  <c:v>0.55394243303875812</c:v>
                </c:pt>
                <c:pt idx="967">
                  <c:v>0.55372338445766833</c:v>
                </c:pt>
                <c:pt idx="968">
                  <c:v>0.55350454629990398</c:v>
                </c:pt>
                <c:pt idx="969">
                  <c:v>0.5532859183014005</c:v>
                </c:pt>
                <c:pt idx="970">
                  <c:v>0.55306750019842454</c:v>
                </c:pt>
                <c:pt idx="971">
                  <c:v>0.55284929172757447</c:v>
                </c:pt>
                <c:pt idx="972">
                  <c:v>0.5526312926257787</c:v>
                </c:pt>
                <c:pt idx="973">
                  <c:v>0.55241350263029565</c:v>
                </c:pt>
                <c:pt idx="974">
                  <c:v>0.55219592147871444</c:v>
                </c:pt>
                <c:pt idx="975">
                  <c:v>0.55197854890895159</c:v>
                </c:pt>
                <c:pt idx="976">
                  <c:v>0.55176138465925451</c:v>
                </c:pt>
                <c:pt idx="977">
                  <c:v>0.55154442846819807</c:v>
                </c:pt>
                <c:pt idx="978">
                  <c:v>0.55132768007468536</c:v>
                </c:pt>
                <c:pt idx="979">
                  <c:v>0.55111113921794685</c:v>
                </c:pt>
                <c:pt idx="980">
                  <c:v>0.55089480563754101</c:v>
                </c:pt>
                <c:pt idx="981">
                  <c:v>0.55067867907335255</c:v>
                </c:pt>
                <c:pt idx="982">
                  <c:v>0.55046275926559241</c:v>
                </c:pt>
                <c:pt idx="983">
                  <c:v>0.55024704595479845</c:v>
                </c:pt>
                <c:pt idx="984">
                  <c:v>0.55003153888183332</c:v>
                </c:pt>
                <c:pt idx="985">
                  <c:v>0.5498162377878848</c:v>
                </c:pt>
                <c:pt idx="986">
                  <c:v>0.54960114241446612</c:v>
                </c:pt>
                <c:pt idx="987">
                  <c:v>0.54938625250341455</c:v>
                </c:pt>
                <c:pt idx="988">
                  <c:v>0.54917156779689102</c:v>
                </c:pt>
                <c:pt idx="989">
                  <c:v>0.54895708803738075</c:v>
                </c:pt>
                <c:pt idx="990">
                  <c:v>0.54874281296769134</c:v>
                </c:pt>
                <c:pt idx="991">
                  <c:v>0.5485287423309535</c:v>
                </c:pt>
                <c:pt idx="992">
                  <c:v>0.54831487587062067</c:v>
                </c:pt>
                <c:pt idx="993">
                  <c:v>0.54810121333046757</c:v>
                </c:pt>
                <c:pt idx="994">
                  <c:v>0.54788775445459059</c:v>
                </c:pt>
                <c:pt idx="995">
                  <c:v>0.54767449898740783</c:v>
                </c:pt>
                <c:pt idx="996">
                  <c:v>0.54746144667365748</c:v>
                </c:pt>
                <c:pt idx="997">
                  <c:v>0.54724859725839825</c:v>
                </c:pt>
                <c:pt idx="998">
                  <c:v>0.54703595048700882</c:v>
                </c:pt>
                <c:pt idx="999">
                  <c:v>0.54682350610518771</c:v>
                </c:pt>
                <c:pt idx="1000">
                  <c:v>0.54661126385895198</c:v>
                </c:pt>
                <c:pt idx="1001">
                  <c:v>0.54639922349463776</c:v>
                </c:pt>
                <c:pt idx="1002">
                  <c:v>0.5461873847588995</c:v>
                </c:pt>
                <c:pt idx="1003">
                  <c:v>0.54597574739870924</c:v>
                </c:pt>
                <c:pt idx="1004">
                  <c:v>0.54576431116135737</c:v>
                </c:pt>
                <c:pt idx="1005">
                  <c:v>0.54555307579445045</c:v>
                </c:pt>
                <c:pt idx="1006">
                  <c:v>0.54534204104591233</c:v>
                </c:pt>
                <c:pt idx="1007">
                  <c:v>0.54513120666398318</c:v>
                </c:pt>
                <c:pt idx="1008">
                  <c:v>0.54492057239721903</c:v>
                </c:pt>
                <c:pt idx="1009">
                  <c:v>0.54471013799449086</c:v>
                </c:pt>
                <c:pt idx="1010">
                  <c:v>0.5444999032049862</c:v>
                </c:pt>
                <c:pt idx="1011">
                  <c:v>0.54428986777820598</c:v>
                </c:pt>
                <c:pt idx="1012">
                  <c:v>0.54408003146396611</c:v>
                </c:pt>
                <c:pt idx="1013">
                  <c:v>0.54387039401239612</c:v>
                </c:pt>
                <c:pt idx="1014">
                  <c:v>0.54366095517393975</c:v>
                </c:pt>
                <c:pt idx="1015">
                  <c:v>0.54345171469935327</c:v>
                </c:pt>
                <c:pt idx="1016">
                  <c:v>0.54324267233970569</c:v>
                </c:pt>
                <c:pt idx="1017">
                  <c:v>0.5430338278463791</c:v>
                </c:pt>
                <c:pt idx="1018">
                  <c:v>0.54282518097106713</c:v>
                </c:pt>
                <c:pt idx="1019">
                  <c:v>0.54261673146577472</c:v>
                </c:pt>
                <c:pt idx="1020">
                  <c:v>0.54240847908281853</c:v>
                </c:pt>
                <c:pt idx="1021">
                  <c:v>0.54220042357482612</c:v>
                </c:pt>
                <c:pt idx="1022">
                  <c:v>0.54199256469473467</c:v>
                </c:pt>
                <c:pt idx="1023">
                  <c:v>0.54178490219579245</c:v>
                </c:pt>
                <c:pt idx="1024">
                  <c:v>0.5415774358315566</c:v>
                </c:pt>
                <c:pt idx="1025">
                  <c:v>0.541370165355894</c:v>
                </c:pt>
                <c:pt idx="1026">
                  <c:v>0.54116309052297984</c:v>
                </c:pt>
                <c:pt idx="1027">
                  <c:v>0.54095621108729874</c:v>
                </c:pt>
                <c:pt idx="1028">
                  <c:v>0.54074952680364252</c:v>
                </c:pt>
                <c:pt idx="1029">
                  <c:v>0.54054303742711118</c:v>
                </c:pt>
                <c:pt idx="1030">
                  <c:v>0.54033674271311194</c:v>
                </c:pt>
                <c:pt idx="1031">
                  <c:v>0.54013064241735864</c:v>
                </c:pt>
                <c:pt idx="1032">
                  <c:v>0.53992473629587245</c:v>
                </c:pt>
                <c:pt idx="1033">
                  <c:v>0.53971902410498007</c:v>
                </c:pt>
                <c:pt idx="1034">
                  <c:v>0.53951350560131395</c:v>
                </c:pt>
                <c:pt idx="1035">
                  <c:v>0.53930818054181251</c:v>
                </c:pt>
                <c:pt idx="1036">
                  <c:v>0.53910304868371894</c:v>
                </c:pt>
                <c:pt idx="1037">
                  <c:v>0.53889810978458053</c:v>
                </c:pt>
                <c:pt idx="1038">
                  <c:v>0.53869336360224973</c:v>
                </c:pt>
                <c:pt idx="1039">
                  <c:v>0.53848880989488213</c:v>
                </c:pt>
                <c:pt idx="1040">
                  <c:v>0.53828444842093737</c:v>
                </c:pt>
                <c:pt idx="1041">
                  <c:v>0.53808027893917754</c:v>
                </c:pt>
                <c:pt idx="1042">
                  <c:v>0.53787630120866836</c:v>
                </c:pt>
                <c:pt idx="1043">
                  <c:v>0.53767251498877711</c:v>
                </c:pt>
                <c:pt idx="1044">
                  <c:v>0.53746892003917335</c:v>
                </c:pt>
                <c:pt idx="1045">
                  <c:v>0.53726551611982831</c:v>
                </c:pt>
                <c:pt idx="1046">
                  <c:v>0.53706230299101443</c:v>
                </c:pt>
                <c:pt idx="1047">
                  <c:v>0.53685928041330455</c:v>
                </c:pt>
                <c:pt idx="1048">
                  <c:v>0.53665644814757285</c:v>
                </c:pt>
                <c:pt idx="1049">
                  <c:v>0.53645380595499292</c:v>
                </c:pt>
                <c:pt idx="1050">
                  <c:v>0.53625135359703779</c:v>
                </c:pt>
                <c:pt idx="1051">
                  <c:v>0.53604909083548091</c:v>
                </c:pt>
                <c:pt idx="1052">
                  <c:v>0.53584701743239371</c:v>
                </c:pt>
                <c:pt idx="1053">
                  <c:v>0.53564513315014617</c:v>
                </c:pt>
                <c:pt idx="1054">
                  <c:v>0.53544343775140768</c:v>
                </c:pt>
                <c:pt idx="1055">
                  <c:v>0.53524193099914397</c:v>
                </c:pt>
                <c:pt idx="1056">
                  <c:v>0.53504061265661873</c:v>
                </c:pt>
                <c:pt idx="1057">
                  <c:v>0.53483948248739321</c:v>
                </c:pt>
                <c:pt idx="1058">
                  <c:v>0.5346385402553252</c:v>
                </c:pt>
                <c:pt idx="1059">
                  <c:v>0.53443778572456802</c:v>
                </c:pt>
                <c:pt idx="1060">
                  <c:v>0.5342372186595723</c:v>
                </c:pt>
                <c:pt idx="1061">
                  <c:v>0.53403683882508324</c:v>
                </c:pt>
                <c:pt idx="1062">
                  <c:v>0.53383664598614133</c:v>
                </c:pt>
                <c:pt idx="1063">
                  <c:v>0.53363663990808274</c:v>
                </c:pt>
                <c:pt idx="1064">
                  <c:v>0.53343682035653728</c:v>
                </c:pt>
                <c:pt idx="1065">
                  <c:v>0.53323718709742884</c:v>
                </c:pt>
                <c:pt idx="1066">
                  <c:v>0.533037739896976</c:v>
                </c:pt>
                <c:pt idx="1067">
                  <c:v>0.53283847852168975</c:v>
                </c:pt>
                <c:pt idx="1068">
                  <c:v>0.53263940273837429</c:v>
                </c:pt>
                <c:pt idx="1069">
                  <c:v>0.53244051231412681</c:v>
                </c:pt>
                <c:pt idx="1070">
                  <c:v>0.53224180701633661</c:v>
                </c:pt>
                <c:pt idx="1071">
                  <c:v>0.53204328661268463</c:v>
                </c:pt>
                <c:pt idx="1072">
                  <c:v>0.53184495087114381</c:v>
                </c:pt>
                <c:pt idx="1073">
                  <c:v>0.53164679955997796</c:v>
                </c:pt>
                <c:pt idx="1074">
                  <c:v>0.53144883244774177</c:v>
                </c:pt>
                <c:pt idx="1075">
                  <c:v>0.53125104930328004</c:v>
                </c:pt>
                <c:pt idx="1076">
                  <c:v>0.53105344989572856</c:v>
                </c:pt>
                <c:pt idx="1077">
                  <c:v>0.53085603399451198</c:v>
                </c:pt>
                <c:pt idx="1078">
                  <c:v>0.5306588013693444</c:v>
                </c:pt>
                <c:pt idx="1079">
                  <c:v>0.53046175179022959</c:v>
                </c:pt>
                <c:pt idx="1080">
                  <c:v>0.53026488502745905</c:v>
                </c:pt>
                <c:pt idx="1081">
                  <c:v>0.5300682008516131</c:v>
                </c:pt>
                <c:pt idx="1082">
                  <c:v>0.5298716990335598</c:v>
                </c:pt>
                <c:pt idx="1083">
                  <c:v>0.52967537934445452</c:v>
                </c:pt>
                <c:pt idx="1084">
                  <c:v>0.52947924155574033</c:v>
                </c:pt>
                <c:pt idx="1085">
                  <c:v>0.52928328543914704</c:v>
                </c:pt>
                <c:pt idx="1086">
                  <c:v>0.52908751076669014</c:v>
                </c:pt>
                <c:pt idx="1087">
                  <c:v>0.52889191731067231</c:v>
                </c:pt>
                <c:pt idx="1088">
                  <c:v>0.52869650484368147</c:v>
                </c:pt>
                <c:pt idx="1089">
                  <c:v>0.52850127313859074</c:v>
                </c:pt>
                <c:pt idx="1090">
                  <c:v>0.52830622196855814</c:v>
                </c:pt>
                <c:pt idx="1091">
                  <c:v>0.52811135110702734</c:v>
                </c:pt>
                <c:pt idx="1092">
                  <c:v>0.52791666032772522</c:v>
                </c:pt>
                <c:pt idx="1093">
                  <c:v>0.52772214940466311</c:v>
                </c:pt>
                <c:pt idx="1094">
                  <c:v>0.527527818112136</c:v>
                </c:pt>
                <c:pt idx="1095">
                  <c:v>0.52733366622472189</c:v>
                </c:pt>
                <c:pt idx="1096">
                  <c:v>0.52713969351728163</c:v>
                </c:pt>
                <c:pt idx="1097">
                  <c:v>0.52694589976495909</c:v>
                </c:pt>
                <c:pt idx="1098">
                  <c:v>0.52675228474317981</c:v>
                </c:pt>
                <c:pt idx="1099">
                  <c:v>0.52655884822765098</c:v>
                </c:pt>
                <c:pt idx="1100">
                  <c:v>0.52636558999436212</c:v>
                </c:pt>
                <c:pt idx="1101">
                  <c:v>0.52617250981958319</c:v>
                </c:pt>
                <c:pt idx="1102">
                  <c:v>0.52597960747986494</c:v>
                </c:pt>
                <c:pt idx="1103">
                  <c:v>0.52578688275203844</c:v>
                </c:pt>
                <c:pt idx="1104">
                  <c:v>0.52559433541321554</c:v>
                </c:pt>
                <c:pt idx="1105">
                  <c:v>0.52540196524078697</c:v>
                </c:pt>
                <c:pt idx="1106">
                  <c:v>0.52520977201242303</c:v>
                </c:pt>
                <c:pt idx="1107">
                  <c:v>0.52501775550607344</c:v>
                </c:pt>
                <c:pt idx="1108">
                  <c:v>0.52482591549996616</c:v>
                </c:pt>
                <c:pt idx="1109">
                  <c:v>0.52463425177260758</c:v>
                </c:pt>
                <c:pt idx="1110">
                  <c:v>0.52444276410278179</c:v>
                </c:pt>
                <c:pt idx="1111">
                  <c:v>0.52425145226955072</c:v>
                </c:pt>
                <c:pt idx="1112">
                  <c:v>0.52406031605225412</c:v>
                </c:pt>
                <c:pt idx="1113">
                  <c:v>0.52386935523050759</c:v>
                </c:pt>
                <c:pt idx="1114">
                  <c:v>0.52367856958420367</c:v>
                </c:pt>
                <c:pt idx="1115">
                  <c:v>0.52348795889351174</c:v>
                </c:pt>
                <c:pt idx="1116">
                  <c:v>0.52329752293887632</c:v>
                </c:pt>
                <c:pt idx="1117">
                  <c:v>0.52310726150101772</c:v>
                </c:pt>
                <c:pt idx="1118">
                  <c:v>0.5229171743609311</c:v>
                </c:pt>
                <c:pt idx="1119">
                  <c:v>0.52272726129988734</c:v>
                </c:pt>
                <c:pt idx="1120">
                  <c:v>0.52253752209943083</c:v>
                </c:pt>
                <c:pt idx="1121">
                  <c:v>0.52234795654138033</c:v>
                </c:pt>
                <c:pt idx="1122">
                  <c:v>0.52215856440782904</c:v>
                </c:pt>
                <c:pt idx="1123">
                  <c:v>0.52196934548114304</c:v>
                </c:pt>
                <c:pt idx="1124">
                  <c:v>0.5217802995439611</c:v>
                </c:pt>
                <c:pt idx="1125">
                  <c:v>0.52159142637919598</c:v>
                </c:pt>
                <c:pt idx="1126">
                  <c:v>0.52140272577003188</c:v>
                </c:pt>
                <c:pt idx="1127">
                  <c:v>0.52121419749992515</c:v>
                </c:pt>
                <c:pt idx="1128">
                  <c:v>0.52102584135260455</c:v>
                </c:pt>
                <c:pt idx="1129">
                  <c:v>0.52083765711206942</c:v>
                </c:pt>
                <c:pt idx="1130">
                  <c:v>0.52064964456259066</c:v>
                </c:pt>
                <c:pt idx="1131">
                  <c:v>0.52046180348871007</c:v>
                </c:pt>
                <c:pt idx="1132">
                  <c:v>0.52027413367523923</c:v>
                </c:pt>
                <c:pt idx="1133">
                  <c:v>0.52008663490726004</c:v>
                </c:pt>
                <c:pt idx="1134">
                  <c:v>0.51989930697012443</c:v>
                </c:pt>
                <c:pt idx="1135">
                  <c:v>0.51971214964945345</c:v>
                </c:pt>
                <c:pt idx="1136">
                  <c:v>0.51952516273113647</c:v>
                </c:pt>
                <c:pt idx="1137">
                  <c:v>0.519338346001333</c:v>
                </c:pt>
                <c:pt idx="1138">
                  <c:v>0.51915169924646976</c:v>
                </c:pt>
                <c:pt idx="1139">
                  <c:v>0.51896522225324171</c:v>
                </c:pt>
                <c:pt idx="1140">
                  <c:v>0.51877891480861205</c:v>
                </c:pt>
                <c:pt idx="1141">
                  <c:v>0.51859277669981063</c:v>
                </c:pt>
                <c:pt idx="1142">
                  <c:v>0.51840680771433445</c:v>
                </c:pt>
                <c:pt idx="1143">
                  <c:v>0.51822100763994772</c:v>
                </c:pt>
                <c:pt idx="1144">
                  <c:v>0.51803537626468033</c:v>
                </c:pt>
                <c:pt idx="1145">
                  <c:v>0.51784991337682829</c:v>
                </c:pt>
                <c:pt idx="1146">
                  <c:v>0.51766461876495384</c:v>
                </c:pt>
                <c:pt idx="1147">
                  <c:v>0.51747949221788392</c:v>
                </c:pt>
                <c:pt idx="1148">
                  <c:v>0.51729453352471044</c:v>
                </c:pt>
                <c:pt idx="1149">
                  <c:v>0.51710974247479069</c:v>
                </c:pt>
                <c:pt idx="1150">
                  <c:v>0.51692511885774561</c:v>
                </c:pt>
                <c:pt idx="1151">
                  <c:v>0.51674066246346051</c:v>
                </c:pt>
                <c:pt idx="1152">
                  <c:v>0.51655637308208391</c:v>
                </c:pt>
                <c:pt idx="1153">
                  <c:v>0.51637225050402846</c:v>
                </c:pt>
                <c:pt idx="1154">
                  <c:v>0.51618829451996928</c:v>
                </c:pt>
                <c:pt idx="1155">
                  <c:v>0.51600450492084404</c:v>
                </c:pt>
                <c:pt idx="1156">
                  <c:v>0.51582088149785332</c:v>
                </c:pt>
                <c:pt idx="1157">
                  <c:v>0.51563742404245927</c:v>
                </c:pt>
                <c:pt idx="1158">
                  <c:v>0.51545413234638571</c:v>
                </c:pt>
                <c:pt idx="1159">
                  <c:v>0.51527100620161836</c:v>
                </c:pt>
                <c:pt idx="1160">
                  <c:v>0.51508804540040354</c:v>
                </c:pt>
                <c:pt idx="1161">
                  <c:v>0.5149052497352482</c:v>
                </c:pt>
                <c:pt idx="1162">
                  <c:v>0.51472261899892002</c:v>
                </c:pt>
                <c:pt idx="1163">
                  <c:v>0.51454015298444622</c:v>
                </c:pt>
                <c:pt idx="1164">
                  <c:v>0.51435785148511459</c:v>
                </c:pt>
                <c:pt idx="1165">
                  <c:v>0.51417571429447162</c:v>
                </c:pt>
                <c:pt idx="1166">
                  <c:v>0.51399374120632302</c:v>
                </c:pt>
                <c:pt idx="1167">
                  <c:v>0.5138119320147333</c:v>
                </c:pt>
                <c:pt idx="1168">
                  <c:v>0.51363028651402576</c:v>
                </c:pt>
                <c:pt idx="1169">
                  <c:v>0.51344880449878116</c:v>
                </c:pt>
                <c:pt idx="1170">
                  <c:v>0.5132674857638384</c:v>
                </c:pt>
                <c:pt idx="1171">
                  <c:v>0.51308633010429405</c:v>
                </c:pt>
                <c:pt idx="1172">
                  <c:v>0.51290533731550148</c:v>
                </c:pt>
                <c:pt idx="1173">
                  <c:v>0.51272450719307072</c:v>
                </c:pt>
                <c:pt idx="1174">
                  <c:v>0.51254383953286897</c:v>
                </c:pt>
                <c:pt idx="1175">
                  <c:v>0.51236333413101898</c:v>
                </c:pt>
                <c:pt idx="1176">
                  <c:v>0.51218299078389928</c:v>
                </c:pt>
                <c:pt idx="1177">
                  <c:v>0.51200280928814479</c:v>
                </c:pt>
                <c:pt idx="1178">
                  <c:v>0.51182278944064452</c:v>
                </c:pt>
                <c:pt idx="1179">
                  <c:v>0.51164293103854319</c:v>
                </c:pt>
                <c:pt idx="1180">
                  <c:v>0.51146323387923953</c:v>
                </c:pt>
                <c:pt idx="1181">
                  <c:v>0.51128369776038707</c:v>
                </c:pt>
                <c:pt idx="1182">
                  <c:v>0.5111043224798929</c:v>
                </c:pt>
                <c:pt idx="1183">
                  <c:v>0.5109251078359176</c:v>
                </c:pt>
                <c:pt idx="1184">
                  <c:v>0.51074605362687553</c:v>
                </c:pt>
                <c:pt idx="1185">
                  <c:v>0.51056715965143351</c:v>
                </c:pt>
                <c:pt idx="1186">
                  <c:v>0.51038842570851117</c:v>
                </c:pt>
                <c:pt idx="1187">
                  <c:v>0.51020985159728083</c:v>
                </c:pt>
                <c:pt idx="1188">
                  <c:v>0.51003143711716648</c:v>
                </c:pt>
                <c:pt idx="1189">
                  <c:v>0.5098531820678438</c:v>
                </c:pt>
                <c:pt idx="1190">
                  <c:v>0.50967508624923996</c:v>
                </c:pt>
                <c:pt idx="1191">
                  <c:v>0.50949714946153302</c:v>
                </c:pt>
                <c:pt idx="1192">
                  <c:v>0.50931937150515239</c:v>
                </c:pt>
                <c:pt idx="1193">
                  <c:v>0.50914175218077729</c:v>
                </c:pt>
                <c:pt idx="1194">
                  <c:v>0.50896429128933718</c:v>
                </c:pt>
                <c:pt idx="1195">
                  <c:v>0.50878698863201155</c:v>
                </c:pt>
                <c:pt idx="1196">
                  <c:v>0.50860984401022935</c:v>
                </c:pt>
                <c:pt idx="1197">
                  <c:v>0.50843285722566867</c:v>
                </c:pt>
                <c:pt idx="1198">
                  <c:v>0.50825602808025627</c:v>
                </c:pt>
                <c:pt idx="1199">
                  <c:v>0.50807935637616797</c:v>
                </c:pt>
                <c:pt idx="1200">
                  <c:v>0.50790284191582735</c:v>
                </c:pt>
                <c:pt idx="1201">
                  <c:v>0.50772648450190605</c:v>
                </c:pt>
                <c:pt idx="1202">
                  <c:v>0.50755028393732382</c:v>
                </c:pt>
                <c:pt idx="1203">
                  <c:v>0.507374240025247</c:v>
                </c:pt>
                <c:pt idx="1204">
                  <c:v>0.50719835256908929</c:v>
                </c:pt>
                <c:pt idx="1205">
                  <c:v>0.5070226213725112</c:v>
                </c:pt>
                <c:pt idx="1206">
                  <c:v>0.50684704623941956</c:v>
                </c:pt>
                <c:pt idx="1207">
                  <c:v>0.50667162697396695</c:v>
                </c:pt>
                <c:pt idx="1208">
                  <c:v>0.50649636338055226</c:v>
                </c:pt>
                <c:pt idx="1209">
                  <c:v>0.50632125526381955</c:v>
                </c:pt>
                <c:pt idx="1210">
                  <c:v>0.50614630242865788</c:v>
                </c:pt>
                <c:pt idx="1211">
                  <c:v>0.50597150468020158</c:v>
                </c:pt>
                <c:pt idx="1212">
                  <c:v>0.50579686182382932</c:v>
                </c:pt>
                <c:pt idx="1213">
                  <c:v>0.50562237366516372</c:v>
                </c:pt>
                <c:pt idx="1214">
                  <c:v>0.5054480400100716</c:v>
                </c:pt>
                <c:pt idx="1215">
                  <c:v>0.50527386066466384</c:v>
                </c:pt>
                <c:pt idx="1216">
                  <c:v>0.50509983543529346</c:v>
                </c:pt>
                <c:pt idx="1217">
                  <c:v>0.50492596412855784</c:v>
                </c:pt>
                <c:pt idx="1218">
                  <c:v>0.50475224655129614</c:v>
                </c:pt>
                <c:pt idx="1219">
                  <c:v>0.50457868251059002</c:v>
                </c:pt>
                <c:pt idx="1220">
                  <c:v>0.50440527181376393</c:v>
                </c:pt>
                <c:pt idx="1221">
                  <c:v>0.50423201426838327</c:v>
                </c:pt>
                <c:pt idx="1222">
                  <c:v>0.5040589096822552</c:v>
                </c:pt>
                <c:pt idx="1223">
                  <c:v>0.50388595786342849</c:v>
                </c:pt>
                <c:pt idx="1224">
                  <c:v>0.50371315862019228</c:v>
                </c:pt>
                <c:pt idx="1225">
                  <c:v>0.50354051176107628</c:v>
                </c:pt>
                <c:pt idx="1226">
                  <c:v>0.50336801709485091</c:v>
                </c:pt>
                <c:pt idx="1227">
                  <c:v>0.50319567443052626</c:v>
                </c:pt>
                <c:pt idx="1228">
                  <c:v>0.50302348357735216</c:v>
                </c:pt>
                <c:pt idx="1229">
                  <c:v>0.50285144434481754</c:v>
                </c:pt>
                <c:pt idx="1230">
                  <c:v>0.50267955654265095</c:v>
                </c:pt>
                <c:pt idx="1231">
                  <c:v>0.5025078199808195</c:v>
                </c:pt>
                <c:pt idx="1232">
                  <c:v>0.50233623446952835</c:v>
                </c:pt>
                <c:pt idx="1233">
                  <c:v>0.50216479981922169</c:v>
                </c:pt>
                <c:pt idx="1234">
                  <c:v>0.50199351584058083</c:v>
                </c:pt>
                <c:pt idx="1235">
                  <c:v>0.50182238234452481</c:v>
                </c:pt>
                <c:pt idx="1236">
                  <c:v>0.50165139914221035</c:v>
                </c:pt>
                <c:pt idx="1237">
                  <c:v>0.50148056604503077</c:v>
                </c:pt>
                <c:pt idx="1238">
                  <c:v>0.50130988286461586</c:v>
                </c:pt>
                <c:pt idx="1239">
                  <c:v>0.50113934941283267</c:v>
                </c:pt>
                <c:pt idx="1240">
                  <c:v>0.5009689655017836</c:v>
                </c:pt>
                <c:pt idx="1241">
                  <c:v>0.50079873094380678</c:v>
                </c:pt>
                <c:pt idx="1242">
                  <c:v>0.50062864555147646</c:v>
                </c:pt>
                <c:pt idx="1243">
                  <c:v>0.5004587091376016</c:v>
                </c:pt>
                <c:pt idx="1244">
                  <c:v>0.50028892151522586</c:v>
                </c:pt>
                <c:pt idx="1245">
                  <c:v>0.50011928249762838</c:v>
                </c:pt>
                <c:pt idx="1246">
                  <c:v>0.49994979189832189</c:v>
                </c:pt>
                <c:pt idx="1247">
                  <c:v>0.49978044953105316</c:v>
                </c:pt>
                <c:pt idx="1248">
                  <c:v>0.49961125520980326</c:v>
                </c:pt>
                <c:pt idx="1249">
                  <c:v>0.49944220874878609</c:v>
                </c:pt>
                <c:pt idx="1250">
                  <c:v>0.49927330996244884</c:v>
                </c:pt>
                <c:pt idx="1251">
                  <c:v>0.49910455866547199</c:v>
                </c:pt>
                <c:pt idx="1252">
                  <c:v>0.49893595467276797</c:v>
                </c:pt>
                <c:pt idx="1253">
                  <c:v>0.49876749779948165</c:v>
                </c:pt>
                <c:pt idx="1254">
                  <c:v>0.49859918786099033</c:v>
                </c:pt>
                <c:pt idx="1255">
                  <c:v>0.49843102467290246</c:v>
                </c:pt>
                <c:pt idx="1256">
                  <c:v>0.498263008051058</c:v>
                </c:pt>
                <c:pt idx="1257">
                  <c:v>0.49809513781152803</c:v>
                </c:pt>
                <c:pt idx="1258">
                  <c:v>0.49792741377061478</c:v>
                </c:pt>
                <c:pt idx="1259">
                  <c:v>0.49775983574485055</c:v>
                </c:pt>
                <c:pt idx="1260">
                  <c:v>0.49759240355099787</c:v>
                </c:pt>
                <c:pt idx="1261">
                  <c:v>0.49742511700604974</c:v>
                </c:pt>
                <c:pt idx="1262">
                  <c:v>0.49725797592722842</c:v>
                </c:pt>
                <c:pt idx="1263">
                  <c:v>0.49709098013198538</c:v>
                </c:pt>
                <c:pt idx="1264">
                  <c:v>0.49692412943800157</c:v>
                </c:pt>
                <c:pt idx="1265">
                  <c:v>0.49675742366318659</c:v>
                </c:pt>
                <c:pt idx="1266">
                  <c:v>0.49659086262567831</c:v>
                </c:pt>
                <c:pt idx="1267">
                  <c:v>0.4964244461438434</c:v>
                </c:pt>
                <c:pt idx="1268">
                  <c:v>0.49625817403627581</c:v>
                </c:pt>
                <c:pt idx="1269">
                  <c:v>0.49609204612179753</c:v>
                </c:pt>
                <c:pt idx="1270">
                  <c:v>0.49592606221945779</c:v>
                </c:pt>
                <c:pt idx="1271">
                  <c:v>0.49576022214853288</c:v>
                </c:pt>
                <c:pt idx="1272">
                  <c:v>0.4955945257285258</c:v>
                </c:pt>
                <c:pt idx="1273">
                  <c:v>0.49542897277916659</c:v>
                </c:pt>
                <c:pt idx="1274">
                  <c:v>0.49526356312041087</c:v>
                </c:pt>
                <c:pt idx="1275">
                  <c:v>0.49509829657244014</c:v>
                </c:pt>
                <c:pt idx="1276">
                  <c:v>0.49493317295566241</c:v>
                </c:pt>
                <c:pt idx="1277">
                  <c:v>0.49476819209071027</c:v>
                </c:pt>
                <c:pt idx="1278">
                  <c:v>0.49460335379844145</c:v>
                </c:pt>
                <c:pt idx="1279">
                  <c:v>0.49443865789993902</c:v>
                </c:pt>
                <c:pt idx="1280">
                  <c:v>0.49427410421651008</c:v>
                </c:pt>
                <c:pt idx="1281">
                  <c:v>0.49410969256968595</c:v>
                </c:pt>
                <c:pt idx="1282">
                  <c:v>0.4939454227812225</c:v>
                </c:pt>
                <c:pt idx="1283">
                  <c:v>0.49378129467309856</c:v>
                </c:pt>
                <c:pt idx="1284">
                  <c:v>0.49361730806751675</c:v>
                </c:pt>
                <c:pt idx="1285">
                  <c:v>0.49345346278690289</c:v>
                </c:pt>
                <c:pt idx="1286">
                  <c:v>0.49328975865390529</c:v>
                </c:pt>
                <c:pt idx="1287">
                  <c:v>0.49312619549139508</c:v>
                </c:pt>
                <c:pt idx="1288">
                  <c:v>0.49296277312246578</c:v>
                </c:pt>
                <c:pt idx="1289">
                  <c:v>0.49279949137043261</c:v>
                </c:pt>
                <c:pt idx="1290">
                  <c:v>0.49263635005883266</c:v>
                </c:pt>
                <c:pt idx="1291">
                  <c:v>0.49247334901142437</c:v>
                </c:pt>
                <c:pt idx="1292">
                  <c:v>0.49231048805218774</c:v>
                </c:pt>
                <c:pt idx="1293">
                  <c:v>0.49214776700532314</c:v>
                </c:pt>
                <c:pt idx="1294">
                  <c:v>0.49198518569525163</c:v>
                </c:pt>
                <c:pt idx="1295">
                  <c:v>0.49182274394661535</c:v>
                </c:pt>
                <c:pt idx="1296">
                  <c:v>0.49166044158427513</c:v>
                </c:pt>
                <c:pt idx="1297">
                  <c:v>0.49149827843331295</c:v>
                </c:pt>
                <c:pt idx="1298">
                  <c:v>0.49133625431902939</c:v>
                </c:pt>
                <c:pt idx="1299">
                  <c:v>0.49117436906694467</c:v>
                </c:pt>
                <c:pt idx="1300">
                  <c:v>0.49101262250279798</c:v>
                </c:pt>
                <c:pt idx="1301">
                  <c:v>0.49085101445254703</c:v>
                </c:pt>
                <c:pt idx="1302">
                  <c:v>0.49068954474236781</c:v>
                </c:pt>
                <c:pt idx="1303">
                  <c:v>0.49052821319865508</c:v>
                </c:pt>
                <c:pt idx="1304">
                  <c:v>0.49036701964802071</c:v>
                </c:pt>
                <c:pt idx="1305">
                  <c:v>0.49020596391729443</c:v>
                </c:pt>
                <c:pt idx="1306">
                  <c:v>0.49004504583352337</c:v>
                </c:pt>
                <c:pt idx="1307">
                  <c:v>0.48988426522397188</c:v>
                </c:pt>
                <c:pt idx="1308">
                  <c:v>0.48972362191612068</c:v>
                </c:pt>
                <c:pt idx="1309">
                  <c:v>0.48956311573766687</c:v>
                </c:pt>
                <c:pt idx="1310">
                  <c:v>0.48940274651652466</c:v>
                </c:pt>
                <c:pt idx="1311">
                  <c:v>0.48924251408082325</c:v>
                </c:pt>
                <c:pt idx="1312">
                  <c:v>0.48908241825890786</c:v>
                </c:pt>
                <c:pt idx="1313">
                  <c:v>0.48892245887933938</c:v>
                </c:pt>
                <c:pt idx="1314">
                  <c:v>0.48876263577089352</c:v>
                </c:pt>
                <c:pt idx="1315">
                  <c:v>0.48860294876256083</c:v>
                </c:pt>
                <c:pt idx="1316">
                  <c:v>0.48844339768354678</c:v>
                </c:pt>
                <c:pt idx="1317">
                  <c:v>0.48828398236327109</c:v>
                </c:pt>
                <c:pt idx="1318">
                  <c:v>0.4881247026313672</c:v>
                </c:pt>
                <c:pt idx="1319">
                  <c:v>0.48796555831768251</c:v>
                </c:pt>
                <c:pt idx="1320">
                  <c:v>0.4878065492522784</c:v>
                </c:pt>
                <c:pt idx="1321">
                  <c:v>0.4876476752654289</c:v>
                </c:pt>
                <c:pt idx="1322">
                  <c:v>0.48748893618762135</c:v>
                </c:pt>
                <c:pt idx="1323">
                  <c:v>0.48733033184955576</c:v>
                </c:pt>
                <c:pt idx="1324">
                  <c:v>0.48717186208214425</c:v>
                </c:pt>
                <c:pt idx="1325">
                  <c:v>0.48701352671651194</c:v>
                </c:pt>
                <c:pt idx="1326">
                  <c:v>0.48685532558399514</c:v>
                </c:pt>
                <c:pt idx="1327">
                  <c:v>0.48669725851614198</c:v>
                </c:pt>
                <c:pt idx="1328">
                  <c:v>0.48653932534471234</c:v>
                </c:pt>
                <c:pt idx="1329">
                  <c:v>0.48638152590167683</c:v>
                </c:pt>
                <c:pt idx="1330">
                  <c:v>0.48622386001921686</c:v>
                </c:pt>
                <c:pt idx="1331">
                  <c:v>0.48606632752972501</c:v>
                </c:pt>
                <c:pt idx="1332">
                  <c:v>0.48590892826580356</c:v>
                </c:pt>
                <c:pt idx="1333">
                  <c:v>0.48575166206026527</c:v>
                </c:pt>
                <c:pt idx="1334">
                  <c:v>0.48559452874613229</c:v>
                </c:pt>
                <c:pt idx="1335">
                  <c:v>0.48543752815663682</c:v>
                </c:pt>
                <c:pt idx="1336">
                  <c:v>0.48528066012522009</c:v>
                </c:pt>
                <c:pt idx="1337">
                  <c:v>0.48512392448553221</c:v>
                </c:pt>
                <c:pt idx="1338">
                  <c:v>0.48496732107143237</c:v>
                </c:pt>
                <c:pt idx="1339">
                  <c:v>0.48481084971698801</c:v>
                </c:pt>
                <c:pt idx="1340">
                  <c:v>0.48465451025647471</c:v>
                </c:pt>
                <c:pt idx="1341">
                  <c:v>0.48449830252437648</c:v>
                </c:pt>
                <c:pt idx="1342">
                  <c:v>0.48434222635538454</c:v>
                </c:pt>
                <c:pt idx="1343">
                  <c:v>0.48418628158439764</c:v>
                </c:pt>
                <c:pt idx="1344">
                  <c:v>0.48403046804652217</c:v>
                </c:pt>
                <c:pt idx="1345">
                  <c:v>0.48387478557707092</c:v>
                </c:pt>
                <c:pt idx="1346">
                  <c:v>0.48371923401156341</c:v>
                </c:pt>
                <c:pt idx="1347">
                  <c:v>0.48356381318572594</c:v>
                </c:pt>
                <c:pt idx="1348">
                  <c:v>0.48340852293549086</c:v>
                </c:pt>
                <c:pt idx="1349">
                  <c:v>0.48325336309699574</c:v>
                </c:pt>
                <c:pt idx="1350">
                  <c:v>0.48309833350658471</c:v>
                </c:pt>
                <c:pt idx="1351">
                  <c:v>0.48294343400080686</c:v>
                </c:pt>
                <c:pt idx="1352">
                  <c:v>0.48278866441641621</c:v>
                </c:pt>
                <c:pt idx="1353">
                  <c:v>0.48263402459037219</c:v>
                </c:pt>
                <c:pt idx="1354">
                  <c:v>0.48247951435983821</c:v>
                </c:pt>
                <c:pt idx="1355">
                  <c:v>0.48232513356218237</c:v>
                </c:pt>
                <c:pt idx="1356">
                  <c:v>0.48217088203497699</c:v>
                </c:pt>
                <c:pt idx="1357">
                  <c:v>0.48201675961599788</c:v>
                </c:pt>
                <c:pt idx="1358">
                  <c:v>0.48186276614322437</c:v>
                </c:pt>
                <c:pt idx="1359">
                  <c:v>0.4817089014548398</c:v>
                </c:pt>
                <c:pt idx="1360">
                  <c:v>0.48155516538922982</c:v>
                </c:pt>
                <c:pt idx="1361">
                  <c:v>0.48140155778498311</c:v>
                </c:pt>
                <c:pt idx="1362">
                  <c:v>0.48124807848089118</c:v>
                </c:pt>
                <c:pt idx="1363">
                  <c:v>0.4810947273159476</c:v>
                </c:pt>
                <c:pt idx="1364">
                  <c:v>0.48094150412934777</c:v>
                </c:pt>
                <c:pt idx="1365">
                  <c:v>0.48078840876048951</c:v>
                </c:pt>
                <c:pt idx="1366">
                  <c:v>0.48063544104897166</c:v>
                </c:pt>
                <c:pt idx="1367">
                  <c:v>0.48048260083459454</c:v>
                </c:pt>
                <c:pt idx="1368">
                  <c:v>0.48032988795735931</c:v>
                </c:pt>
                <c:pt idx="1369">
                  <c:v>0.48017730225746824</c:v>
                </c:pt>
                <c:pt idx="1370">
                  <c:v>0.4800248435753241</c:v>
                </c:pt>
                <c:pt idx="1371">
                  <c:v>0.47987251175152945</c:v>
                </c:pt>
                <c:pt idx="1372">
                  <c:v>0.47972030662688769</c:v>
                </c:pt>
                <c:pt idx="1373">
                  <c:v>0.47956822804240123</c:v>
                </c:pt>
                <c:pt idx="1374">
                  <c:v>0.47941627583927238</c:v>
                </c:pt>
                <c:pt idx="1375">
                  <c:v>0.47926444985890304</c:v>
                </c:pt>
                <c:pt idx="1376">
                  <c:v>0.47911274994289321</c:v>
                </c:pt>
                <c:pt idx="1377">
                  <c:v>0.4789611759330426</c:v>
                </c:pt>
                <c:pt idx="1378">
                  <c:v>0.47880972767134911</c:v>
                </c:pt>
                <c:pt idx="1379">
                  <c:v>0.47865840500000867</c:v>
                </c:pt>
                <c:pt idx="1380">
                  <c:v>0.47850720776141564</c:v>
                </c:pt>
                <c:pt idx="1381">
                  <c:v>0.47835613579816211</c:v>
                </c:pt>
                <c:pt idx="1382">
                  <c:v>0.47820518895303743</c:v>
                </c:pt>
                <c:pt idx="1383">
                  <c:v>0.47805436706902826</c:v>
                </c:pt>
                <c:pt idx="1384">
                  <c:v>0.47790366998931866</c:v>
                </c:pt>
                <c:pt idx="1385">
                  <c:v>0.47775309755728929</c:v>
                </c:pt>
                <c:pt idx="1386">
                  <c:v>0.47760264961651705</c:v>
                </c:pt>
                <c:pt idx="1387">
                  <c:v>0.4774523260107757</c:v>
                </c:pt>
                <c:pt idx="1388">
                  <c:v>0.47730212658403465</c:v>
                </c:pt>
                <c:pt idx="1389">
                  <c:v>0.47715205118045911</c:v>
                </c:pt>
                <c:pt idx="1390">
                  <c:v>0.4770020996444102</c:v>
                </c:pt>
                <c:pt idx="1391">
                  <c:v>0.47685227182044398</c:v>
                </c:pt>
                <c:pt idx="1392">
                  <c:v>0.47670256755331158</c:v>
                </c:pt>
                <c:pt idx="1393">
                  <c:v>0.47655298668795948</c:v>
                </c:pt>
                <c:pt idx="1394">
                  <c:v>0.4764035290695281</c:v>
                </c:pt>
                <c:pt idx="1395">
                  <c:v>0.47625419454335238</c:v>
                </c:pt>
                <c:pt idx="1396">
                  <c:v>0.47610498295496151</c:v>
                </c:pt>
                <c:pt idx="1397">
                  <c:v>0.47595589415007861</c:v>
                </c:pt>
                <c:pt idx="1398">
                  <c:v>0.47580692797462004</c:v>
                </c:pt>
                <c:pt idx="1399">
                  <c:v>0.47565808427469558</c:v>
                </c:pt>
                <c:pt idx="1400">
                  <c:v>0.47550936289660872</c:v>
                </c:pt>
                <c:pt idx="1401">
                  <c:v>0.47536076368685509</c:v>
                </c:pt>
                <c:pt idx="1402">
                  <c:v>0.47521228649212321</c:v>
                </c:pt>
                <c:pt idx="1403">
                  <c:v>0.47506393115929413</c:v>
                </c:pt>
                <c:pt idx="1404">
                  <c:v>0.47491569753544077</c:v>
                </c:pt>
                <c:pt idx="1405">
                  <c:v>0.47476758546782838</c:v>
                </c:pt>
                <c:pt idx="1406">
                  <c:v>0.47461959480391358</c:v>
                </c:pt>
                <c:pt idx="1407">
                  <c:v>0.47447172539134425</c:v>
                </c:pt>
                <c:pt idx="1408">
                  <c:v>0.47432397707796004</c:v>
                </c:pt>
                <c:pt idx="1409">
                  <c:v>0.47417634971179107</c:v>
                </c:pt>
                <c:pt idx="1410">
                  <c:v>0.4740288431410582</c:v>
                </c:pt>
                <c:pt idx="1411">
                  <c:v>0.4738814572141728</c:v>
                </c:pt>
                <c:pt idx="1412">
                  <c:v>0.4737341917797368</c:v>
                </c:pt>
                <c:pt idx="1413">
                  <c:v>0.47358704668654172</c:v>
                </c:pt>
                <c:pt idx="1414">
                  <c:v>0.47344002178356875</c:v>
                </c:pt>
                <c:pt idx="1415">
                  <c:v>0.47329311691998921</c:v>
                </c:pt>
                <c:pt idx="1416">
                  <c:v>0.47314633194516309</c:v>
                </c:pt>
                <c:pt idx="1417">
                  <c:v>0.47299966670863952</c:v>
                </c:pt>
                <c:pt idx="1418">
                  <c:v>0.47285312106015676</c:v>
                </c:pt>
                <c:pt idx="1419">
                  <c:v>0.47270669484964134</c:v>
                </c:pt>
                <c:pt idx="1420">
                  <c:v>0.47256038792720811</c:v>
                </c:pt>
                <c:pt idx="1421">
                  <c:v>0.47241420014316032</c:v>
                </c:pt>
                <c:pt idx="1422">
                  <c:v>0.47226813134798867</c:v>
                </c:pt>
                <c:pt idx="1423">
                  <c:v>0.47212218139237172</c:v>
                </c:pt>
                <c:pt idx="1424">
                  <c:v>0.47197635012717548</c:v>
                </c:pt>
                <c:pt idx="1425">
                  <c:v>0.47183063740345288</c:v>
                </c:pt>
                <c:pt idx="1426">
                  <c:v>0.47168504307244385</c:v>
                </c:pt>
                <c:pt idx="1427">
                  <c:v>0.47153956698557525</c:v>
                </c:pt>
                <c:pt idx="1428">
                  <c:v>0.47139420899446022</c:v>
                </c:pt>
                <c:pt idx="1429">
                  <c:v>0.47124896895089757</c:v>
                </c:pt>
                <c:pt idx="1430">
                  <c:v>0.47110384670687311</c:v>
                </c:pt>
                <c:pt idx="1431">
                  <c:v>0.47095884211455769</c:v>
                </c:pt>
                <c:pt idx="1432">
                  <c:v>0.4708139550263078</c:v>
                </c:pt>
                <c:pt idx="1433">
                  <c:v>0.47066918529466539</c:v>
                </c:pt>
                <c:pt idx="1434">
                  <c:v>0.47052453277235734</c:v>
                </c:pt>
                <c:pt idx="1435">
                  <c:v>0.47037999731229518</c:v>
                </c:pt>
                <c:pt idx="1436">
                  <c:v>0.47023557876757549</c:v>
                </c:pt>
                <c:pt idx="1437">
                  <c:v>0.47009127699147868</c:v>
                </c:pt>
                <c:pt idx="1438">
                  <c:v>0.46994709183746941</c:v>
                </c:pt>
                <c:pt idx="1439">
                  <c:v>0.4698030231591967</c:v>
                </c:pt>
                <c:pt idx="1440">
                  <c:v>0.46965907081049252</c:v>
                </c:pt>
                <c:pt idx="1441">
                  <c:v>0.4695152346453727</c:v>
                </c:pt>
                <c:pt idx="1442">
                  <c:v>0.46937151451803627</c:v>
                </c:pt>
                <c:pt idx="1443">
                  <c:v>0.46922791028286509</c:v>
                </c:pt>
                <c:pt idx="1444">
                  <c:v>0.46908442179442367</c:v>
                </c:pt>
                <c:pt idx="1445">
                  <c:v>0.46894104890745919</c:v>
                </c:pt>
                <c:pt idx="1446">
                  <c:v>0.46879779147690126</c:v>
                </c:pt>
                <c:pt idx="1447">
                  <c:v>0.46865464935786127</c:v>
                </c:pt>
                <c:pt idx="1448">
                  <c:v>0.46851162240563227</c:v>
                </c:pt>
                <c:pt idx="1449">
                  <c:v>0.46836871047568962</c:v>
                </c:pt>
                <c:pt idx="1450">
                  <c:v>0.4682259134236893</c:v>
                </c:pt>
                <c:pt idx="1451">
                  <c:v>0.46808323110546868</c:v>
                </c:pt>
                <c:pt idx="1452">
                  <c:v>0.46794066337704626</c:v>
                </c:pt>
                <c:pt idx="1453">
                  <c:v>0.46779821009462097</c:v>
                </c:pt>
                <c:pt idx="1454">
                  <c:v>0.46765587111457219</c:v>
                </c:pt>
                <c:pt idx="1455">
                  <c:v>0.46751364629345987</c:v>
                </c:pt>
                <c:pt idx="1456">
                  <c:v>0.46737153548802335</c:v>
                </c:pt>
                <c:pt idx="1457">
                  <c:v>0.4672295385551824</c:v>
                </c:pt>
                <c:pt idx="1458">
                  <c:v>0.467087655352036</c:v>
                </c:pt>
                <c:pt idx="1459">
                  <c:v>0.46694588573586238</c:v>
                </c:pt>
                <c:pt idx="1460">
                  <c:v>0.46680422956411904</c:v>
                </c:pt>
                <c:pt idx="1461">
                  <c:v>0.4666626866944425</c:v>
                </c:pt>
                <c:pt idx="1462">
                  <c:v>0.46652125698464769</c:v>
                </c:pt>
                <c:pt idx="1463">
                  <c:v>0.46637994029272778</c:v>
                </c:pt>
                <c:pt idx="1464">
                  <c:v>0.46623873647685488</c:v>
                </c:pt>
                <c:pt idx="1465">
                  <c:v>0.4660976453953784</c:v>
                </c:pt>
                <c:pt idx="1466">
                  <c:v>0.46595666690682558</c:v>
                </c:pt>
                <c:pt idx="1467">
                  <c:v>0.46581580086990149</c:v>
                </c:pt>
                <c:pt idx="1468">
                  <c:v>0.46567504714348845</c:v>
                </c:pt>
                <c:pt idx="1469">
                  <c:v>0.46553440558664555</c:v>
                </c:pt>
                <c:pt idx="1470">
                  <c:v>0.46539387605860921</c:v>
                </c:pt>
                <c:pt idx="1471">
                  <c:v>0.46525345841879223</c:v>
                </c:pt>
                <c:pt idx="1472">
                  <c:v>0.46511315252678387</c:v>
                </c:pt>
                <c:pt idx="1473">
                  <c:v>0.46497295824234941</c:v>
                </c:pt>
                <c:pt idx="1474">
                  <c:v>0.46483287542543056</c:v>
                </c:pt>
                <c:pt idx="1475">
                  <c:v>0.46469290393614449</c:v>
                </c:pt>
                <c:pt idx="1476">
                  <c:v>0.46455304363478384</c:v>
                </c:pt>
                <c:pt idx="1477">
                  <c:v>0.46441329438181689</c:v>
                </c:pt>
                <c:pt idx="1478">
                  <c:v>0.46427365603788662</c:v>
                </c:pt>
                <c:pt idx="1479">
                  <c:v>0.46413412846381119</c:v>
                </c:pt>
                <c:pt idx="1480">
                  <c:v>0.46399471152058341</c:v>
                </c:pt>
                <c:pt idx="1481">
                  <c:v>0.46385540506937034</c:v>
                </c:pt>
                <c:pt idx="1482">
                  <c:v>0.46371620897151339</c:v>
                </c:pt>
                <c:pt idx="1483">
                  <c:v>0.463577123088528</c:v>
                </c:pt>
                <c:pt idx="1484">
                  <c:v>0.4634381472821032</c:v>
                </c:pt>
                <c:pt idx="1485">
                  <c:v>0.46329928141410198</c:v>
                </c:pt>
                <c:pt idx="1486">
                  <c:v>0.46316052534656038</c:v>
                </c:pt>
                <c:pt idx="1487">
                  <c:v>0.46302187894168756</c:v>
                </c:pt>
                <c:pt idx="1488">
                  <c:v>0.46288334206186565</c:v>
                </c:pt>
                <c:pt idx="1489">
                  <c:v>0.46274491456964961</c:v>
                </c:pt>
                <c:pt idx="1490">
                  <c:v>0.46260659632776685</c:v>
                </c:pt>
                <c:pt idx="1491">
                  <c:v>0.46246838719911676</c:v>
                </c:pt>
                <c:pt idx="1492">
                  <c:v>0.46233028704677115</c:v>
                </c:pt>
                <c:pt idx="1493">
                  <c:v>0.46219229573397347</c:v>
                </c:pt>
                <c:pt idx="1494">
                  <c:v>0.46205441312413875</c:v>
                </c:pt>
                <c:pt idx="1495">
                  <c:v>0.46191663908085373</c:v>
                </c:pt>
                <c:pt idx="1496">
                  <c:v>0.46177897346787594</c:v>
                </c:pt>
                <c:pt idx="1497">
                  <c:v>0.4616414161491339</c:v>
                </c:pt>
                <c:pt idx="1498">
                  <c:v>0.46150396698872731</c:v>
                </c:pt>
                <c:pt idx="1499">
                  <c:v>0.46136662585092614</c:v>
                </c:pt>
                <c:pt idx="1500">
                  <c:v>0.46122939260017037</c:v>
                </c:pt>
                <c:pt idx="1501">
                  <c:v>0.46109226710107087</c:v>
                </c:pt>
                <c:pt idx="1502">
                  <c:v>0.46095524921840769</c:v>
                </c:pt>
                <c:pt idx="1503">
                  <c:v>0.46081833881713086</c:v>
                </c:pt>
                <c:pt idx="1504">
                  <c:v>0.46068153576235993</c:v>
                </c:pt>
                <c:pt idx="1505">
                  <c:v>0.46054483991938372</c:v>
                </c:pt>
                <c:pt idx="1506">
                  <c:v>0.46040825115365991</c:v>
                </c:pt>
                <c:pt idx="1507">
                  <c:v>0.46027176933081515</c:v>
                </c:pt>
                <c:pt idx="1508">
                  <c:v>0.46013539431664485</c:v>
                </c:pt>
                <c:pt idx="1509">
                  <c:v>0.45999912597711251</c:v>
                </c:pt>
                <c:pt idx="1510">
                  <c:v>0.45986296417835026</c:v>
                </c:pt>
                <c:pt idx="1511">
                  <c:v>0.45972690878665778</c:v>
                </c:pt>
                <c:pt idx="1512">
                  <c:v>0.45959095966850272</c:v>
                </c:pt>
                <c:pt idx="1513">
                  <c:v>0.45945511669052053</c:v>
                </c:pt>
                <c:pt idx="1514">
                  <c:v>0.45931937971951375</c:v>
                </c:pt>
                <c:pt idx="1515">
                  <c:v>0.45918374862245193</c:v>
                </c:pt>
                <c:pt idx="1516">
                  <c:v>0.4590482232664721</c:v>
                </c:pt>
                <c:pt idx="1517">
                  <c:v>0.45891280351887759</c:v>
                </c:pt>
                <c:pt idx="1518">
                  <c:v>0.45877748924713813</c:v>
                </c:pt>
                <c:pt idx="1519">
                  <c:v>0.45864228031889026</c:v>
                </c:pt>
                <c:pt idx="1520">
                  <c:v>0.45850717660193629</c:v>
                </c:pt>
                <c:pt idx="1521">
                  <c:v>0.45837217796424451</c:v>
                </c:pt>
                <c:pt idx="1522">
                  <c:v>0.45823728427394872</c:v>
                </c:pt>
                <c:pt idx="1523">
                  <c:v>0.45810249539934855</c:v>
                </c:pt>
                <c:pt idx="1524">
                  <c:v>0.45796781120890867</c:v>
                </c:pt>
                <c:pt idx="1525">
                  <c:v>0.45783323157125883</c:v>
                </c:pt>
                <c:pt idx="1526">
                  <c:v>0.45769875635519375</c:v>
                </c:pt>
                <c:pt idx="1527">
                  <c:v>0.45756438542967265</c:v>
                </c:pt>
                <c:pt idx="1528">
                  <c:v>0.45743011866381922</c:v>
                </c:pt>
                <c:pt idx="1529">
                  <c:v>0.45729595592692168</c:v>
                </c:pt>
                <c:pt idx="1530">
                  <c:v>0.4571618970884318</c:v>
                </c:pt>
                <c:pt idx="1531">
                  <c:v>0.45702794201796548</c:v>
                </c:pt>
                <c:pt idx="1532">
                  <c:v>0.45689409058530234</c:v>
                </c:pt>
                <c:pt idx="1533">
                  <c:v>0.45676034266038512</c:v>
                </c:pt>
                <c:pt idx="1534">
                  <c:v>0.45662669811331985</c:v>
                </c:pt>
                <c:pt idx="1535">
                  <c:v>0.45649315681437574</c:v>
                </c:pt>
                <c:pt idx="1536">
                  <c:v>0.45635971863398472</c:v>
                </c:pt>
                <c:pt idx="1537">
                  <c:v>0.45622638344274108</c:v>
                </c:pt>
                <c:pt idx="1538">
                  <c:v>0.45609315111140192</c:v>
                </c:pt>
                <c:pt idx="1539">
                  <c:v>0.45596002151088627</c:v>
                </c:pt>
                <c:pt idx="1540">
                  <c:v>0.4558269945122751</c:v>
                </c:pt>
                <c:pt idx="1541">
                  <c:v>0.45569406998681145</c:v>
                </c:pt>
                <c:pt idx="1542">
                  <c:v>0.45556124780589957</c:v>
                </c:pt>
                <c:pt idx="1543">
                  <c:v>0.45542852784110532</c:v>
                </c:pt>
                <c:pt idx="1544">
                  <c:v>0.45529590996415575</c:v>
                </c:pt>
                <c:pt idx="1545">
                  <c:v>0.45516339404693884</c:v>
                </c:pt>
                <c:pt idx="1546">
                  <c:v>0.45503097996150299</c:v>
                </c:pt>
                <c:pt idx="1547">
                  <c:v>0.45489866758005792</c:v>
                </c:pt>
                <c:pt idx="1548">
                  <c:v>0.45476645677497313</c:v>
                </c:pt>
                <c:pt idx="1549">
                  <c:v>0.45463434741877834</c:v>
                </c:pt>
                <c:pt idx="1550">
                  <c:v>0.4545023393841634</c:v>
                </c:pt>
                <c:pt idx="1551">
                  <c:v>0.45437043254397796</c:v>
                </c:pt>
                <c:pt idx="1552">
                  <c:v>0.45423862677123106</c:v>
                </c:pt>
                <c:pt idx="1553">
                  <c:v>0.45410692193909102</c:v>
                </c:pt>
                <c:pt idx="1554">
                  <c:v>0.45397531792088586</c:v>
                </c:pt>
                <c:pt idx="1555">
                  <c:v>0.45384381459010192</c:v>
                </c:pt>
                <c:pt idx="1556">
                  <c:v>0.45371241182038458</c:v>
                </c:pt>
                <c:pt idx="1557">
                  <c:v>0.45358110948553787</c:v>
                </c:pt>
                <c:pt idx="1558">
                  <c:v>0.45344990745952407</c:v>
                </c:pt>
                <c:pt idx="1559">
                  <c:v>0.45331880561646354</c:v>
                </c:pt>
                <c:pt idx="1560">
                  <c:v>0.45318780383063489</c:v>
                </c:pt>
                <c:pt idx="1561">
                  <c:v>0.45305690197647425</c:v>
                </c:pt>
                <c:pt idx="1562">
                  <c:v>0.45292609992857541</c:v>
                </c:pt>
                <c:pt idx="1563">
                  <c:v>0.45279539756168957</c:v>
                </c:pt>
                <c:pt idx="1564">
                  <c:v>0.45266479475072491</c:v>
                </c:pt>
                <c:pt idx="1565">
                  <c:v>0.4525342913707468</c:v>
                </c:pt>
                <c:pt idx="1566">
                  <c:v>0.4524038872969775</c:v>
                </c:pt>
                <c:pt idx="1567">
                  <c:v>0.45227358240479559</c:v>
                </c:pt>
                <c:pt idx="1568">
                  <c:v>0.45214337656973591</c:v>
                </c:pt>
                <c:pt idx="1569">
                  <c:v>0.45201326966749017</c:v>
                </c:pt>
                <c:pt idx="1570">
                  <c:v>0.4518832615739054</c:v>
                </c:pt>
                <c:pt idx="1571">
                  <c:v>0.45175335216498458</c:v>
                </c:pt>
                <c:pt idx="1572">
                  <c:v>0.45162354131688648</c:v>
                </c:pt>
                <c:pt idx="1573">
                  <c:v>0.45149382890592527</c:v>
                </c:pt>
                <c:pt idx="1574">
                  <c:v>0.45136421480857003</c:v>
                </c:pt>
                <c:pt idx="1575">
                  <c:v>0.45123469890144535</c:v>
                </c:pt>
                <c:pt idx="1576">
                  <c:v>0.45110528106133013</c:v>
                </c:pt>
                <c:pt idx="1577">
                  <c:v>0.45097596116515826</c:v>
                </c:pt>
                <c:pt idx="1578">
                  <c:v>0.45084673909001799</c:v>
                </c:pt>
                <c:pt idx="1579">
                  <c:v>0.45071761471315175</c:v>
                </c:pt>
                <c:pt idx="1580">
                  <c:v>0.45058858791195594</c:v>
                </c:pt>
                <c:pt idx="1581">
                  <c:v>0.45045965856398118</c:v>
                </c:pt>
                <c:pt idx="1582">
                  <c:v>0.45033082654693135</c:v>
                </c:pt>
                <c:pt idx="1583">
                  <c:v>0.45020209173866388</c:v>
                </c:pt>
                <c:pt idx="1584">
                  <c:v>0.45007345401718962</c:v>
                </c:pt>
                <c:pt idx="1585">
                  <c:v>0.44994491326067254</c:v>
                </c:pt>
                <c:pt idx="1586">
                  <c:v>0.44981646934742936</c:v>
                </c:pt>
                <c:pt idx="1587">
                  <c:v>0.44968812215592935</c:v>
                </c:pt>
                <c:pt idx="1588">
                  <c:v>0.44955987156479477</c:v>
                </c:pt>
                <c:pt idx="1589">
                  <c:v>0.44943171745279981</c:v>
                </c:pt>
                <c:pt idx="1590">
                  <c:v>0.44930365969887093</c:v>
                </c:pt>
                <c:pt idx="1591">
                  <c:v>0.44917569818208636</c:v>
                </c:pt>
                <c:pt idx="1592">
                  <c:v>0.44904783278167626</c:v>
                </c:pt>
                <c:pt idx="1593">
                  <c:v>0.4489200633770225</c:v>
                </c:pt>
                <c:pt idx="1594">
                  <c:v>0.4487923898476579</c:v>
                </c:pt>
                <c:pt idx="1595">
                  <c:v>0.44866481207326664</c:v>
                </c:pt>
                <c:pt idx="1596">
                  <c:v>0.44853732993368417</c:v>
                </c:pt>
                <c:pt idx="1597">
                  <c:v>0.44840994330889627</c:v>
                </c:pt>
                <c:pt idx="1598">
                  <c:v>0.44828265207903956</c:v>
                </c:pt>
                <c:pt idx="1599">
                  <c:v>0.44815545612440111</c:v>
                </c:pt>
                <c:pt idx="1600">
                  <c:v>0.44802835532541818</c:v>
                </c:pt>
                <c:pt idx="1601">
                  <c:v>0.44790134956267813</c:v>
                </c:pt>
                <c:pt idx="1602">
                  <c:v>0.44777443871691786</c:v>
                </c:pt>
                <c:pt idx="1603">
                  <c:v>0.44764762266902447</c:v>
                </c:pt>
                <c:pt idx="1604">
                  <c:v>0.44752090130003414</c:v>
                </c:pt>
                <c:pt idx="1605">
                  <c:v>0.44739427449113234</c:v>
                </c:pt>
                <c:pt idx="1606">
                  <c:v>0.44726774212365394</c:v>
                </c:pt>
                <c:pt idx="1607">
                  <c:v>0.44714130407908248</c:v>
                </c:pt>
                <c:pt idx="1608">
                  <c:v>0.44701496023905013</c:v>
                </c:pt>
                <c:pt idx="1609">
                  <c:v>0.44688871048533796</c:v>
                </c:pt>
                <c:pt idx="1610">
                  <c:v>0.44676255469987519</c:v>
                </c:pt>
                <c:pt idx="1611">
                  <c:v>0.44663649276473916</c:v>
                </c:pt>
                <c:pt idx="1612">
                  <c:v>0.44651052456215506</c:v>
                </c:pt>
                <c:pt idx="1613">
                  <c:v>0.44638464997449634</c:v>
                </c:pt>
                <c:pt idx="1614">
                  <c:v>0.44625886888428373</c:v>
                </c:pt>
                <c:pt idx="1615">
                  <c:v>0.44613318117418538</c:v>
                </c:pt>
                <c:pt idx="1616">
                  <c:v>0.44600758672701679</c:v>
                </c:pt>
                <c:pt idx="1617">
                  <c:v>0.44588208542574026</c:v>
                </c:pt>
                <c:pt idx="1618">
                  <c:v>0.44575667715346556</c:v>
                </c:pt>
                <c:pt idx="1619">
                  <c:v>0.44563136179344853</c:v>
                </c:pt>
                <c:pt idx="1620">
                  <c:v>0.44550613922909171</c:v>
                </c:pt>
                <c:pt idx="1621">
                  <c:v>0.44538100934394409</c:v>
                </c:pt>
                <c:pt idx="1622">
                  <c:v>0.44525597202170075</c:v>
                </c:pt>
                <c:pt idx="1623">
                  <c:v>0.44513102714620256</c:v>
                </c:pt>
                <c:pt idx="1624">
                  <c:v>0.44500617460143632</c:v>
                </c:pt>
                <c:pt idx="1625">
                  <c:v>0.44488141427153449</c:v>
                </c:pt>
                <c:pt idx="1626">
                  <c:v>0.4447567460407747</c:v>
                </c:pt>
                <c:pt idx="1627">
                  <c:v>0.44463216979357983</c:v>
                </c:pt>
                <c:pt idx="1628">
                  <c:v>0.44450768541451813</c:v>
                </c:pt>
                <c:pt idx="1629">
                  <c:v>0.44438329278830235</c:v>
                </c:pt>
                <c:pt idx="1630">
                  <c:v>0.44425899179978989</c:v>
                </c:pt>
                <c:pt idx="1631">
                  <c:v>0.44413478233398312</c:v>
                </c:pt>
                <c:pt idx="1632">
                  <c:v>0.44401066427602814</c:v>
                </c:pt>
                <c:pt idx="1633">
                  <c:v>0.44388663751121543</c:v>
                </c:pt>
                <c:pt idx="1634">
                  <c:v>0.44376270192497963</c:v>
                </c:pt>
                <c:pt idx="1635">
                  <c:v>0.44363885740289888</c:v>
                </c:pt>
                <c:pt idx="1636">
                  <c:v>0.4435151038306947</c:v>
                </c:pt>
                <c:pt idx="1637">
                  <c:v>0.44339144109423267</c:v>
                </c:pt>
                <c:pt idx="1638">
                  <c:v>0.44326786907952109</c:v>
                </c:pt>
                <c:pt idx="1639">
                  <c:v>0.44314438767271136</c:v>
                </c:pt>
                <c:pt idx="1640">
                  <c:v>0.44302099676009798</c:v>
                </c:pt>
                <c:pt idx="1641">
                  <c:v>0.44289769622811803</c:v>
                </c:pt>
                <c:pt idx="1642">
                  <c:v>0.44277448596335089</c:v>
                </c:pt>
                <c:pt idx="1643">
                  <c:v>0.44265136585251857</c:v>
                </c:pt>
                <c:pt idx="1644">
                  <c:v>0.44252833578248513</c:v>
                </c:pt>
                <c:pt idx="1645">
                  <c:v>0.44240539564025649</c:v>
                </c:pt>
                <c:pt idx="1646">
                  <c:v>0.44228254531298067</c:v>
                </c:pt>
                <c:pt idx="1647">
                  <c:v>0.44215978468794692</c:v>
                </c:pt>
                <c:pt idx="1648">
                  <c:v>0.44203711365258619</c:v>
                </c:pt>
                <c:pt idx="1649">
                  <c:v>0.44191453209447074</c:v>
                </c:pt>
                <c:pt idx="1650">
                  <c:v>0.44179203990131377</c:v>
                </c:pt>
                <c:pt idx="1651">
                  <c:v>0.44166963696096923</c:v>
                </c:pt>
                <c:pt idx="1652">
                  <c:v>0.44154732316143236</c:v>
                </c:pt>
                <c:pt idx="1653">
                  <c:v>0.44142509839083838</c:v>
                </c:pt>
                <c:pt idx="1654">
                  <c:v>0.44130296253746304</c:v>
                </c:pt>
                <c:pt idx="1655">
                  <c:v>0.4411809154897226</c:v>
                </c:pt>
                <c:pt idx="1656">
                  <c:v>0.44105895713617305</c:v>
                </c:pt>
                <c:pt idx="1657">
                  <c:v>0.44093708736551013</c:v>
                </c:pt>
                <c:pt idx="1658">
                  <c:v>0.44081530606656966</c:v>
                </c:pt>
                <c:pt idx="1659">
                  <c:v>0.44069361312832661</c:v>
                </c:pt>
                <c:pt idx="1660">
                  <c:v>0.44057200843989552</c:v>
                </c:pt>
                <c:pt idx="1661">
                  <c:v>0.44045049189052971</c:v>
                </c:pt>
                <c:pt idx="1662">
                  <c:v>0.44032906336962196</c:v>
                </c:pt>
                <c:pt idx="1663">
                  <c:v>0.44020772276670361</c:v>
                </c:pt>
                <c:pt idx="1664">
                  <c:v>0.44008646997144452</c:v>
                </c:pt>
                <c:pt idx="1665">
                  <c:v>0.43996530487365332</c:v>
                </c:pt>
                <c:pt idx="1666">
                  <c:v>0.4398442273632765</c:v>
                </c:pt>
                <c:pt idx="1667">
                  <c:v>0.43972323733039897</c:v>
                </c:pt>
                <c:pt idx="1668">
                  <c:v>0.43960233466524362</c:v>
                </c:pt>
                <c:pt idx="1669">
                  <c:v>0.43948151925817086</c:v>
                </c:pt>
                <c:pt idx="1670">
                  <c:v>0.43936079099967884</c:v>
                </c:pt>
                <c:pt idx="1671">
                  <c:v>0.4392401497804031</c:v>
                </c:pt>
                <c:pt idx="1672">
                  <c:v>0.43911959549111623</c:v>
                </c:pt>
                <c:pt idx="1673">
                  <c:v>0.43899912802272834</c:v>
                </c:pt>
                <c:pt idx="1674">
                  <c:v>0.43887874726628612</c:v>
                </c:pt>
                <c:pt idx="1675">
                  <c:v>0.43875845311297296</c:v>
                </c:pt>
                <c:pt idx="1676">
                  <c:v>0.43863824545410884</c:v>
                </c:pt>
                <c:pt idx="1677">
                  <c:v>0.43851812418115033</c:v>
                </c:pt>
                <c:pt idx="1678">
                  <c:v>0.43839808918568995</c:v>
                </c:pt>
                <c:pt idx="1679">
                  <c:v>0.43827814035945634</c:v>
                </c:pt>
                <c:pt idx="1680">
                  <c:v>0.43815827759431419</c:v>
                </c:pt>
                <c:pt idx="1681">
                  <c:v>0.43803850078226358</c:v>
                </c:pt>
                <c:pt idx="1682">
                  <c:v>0.43791880981544029</c:v>
                </c:pt>
                <c:pt idx="1683">
                  <c:v>0.43779920458611565</c:v>
                </c:pt>
                <c:pt idx="1684">
                  <c:v>0.43767968498669579</c:v>
                </c:pt>
                <c:pt idx="1685">
                  <c:v>0.43756025090972206</c:v>
                </c:pt>
                <c:pt idx="1686">
                  <c:v>0.4374409022478708</c:v>
                </c:pt>
                <c:pt idx="1687">
                  <c:v>0.43732163889395281</c:v>
                </c:pt>
                <c:pt idx="1688">
                  <c:v>0.4372024607409134</c:v>
                </c:pt>
                <c:pt idx="1689">
                  <c:v>0.43708336768183237</c:v>
                </c:pt>
                <c:pt idx="1690">
                  <c:v>0.43696435960992375</c:v>
                </c:pt>
                <c:pt idx="1691">
                  <c:v>0.4368454364185354</c:v>
                </c:pt>
                <c:pt idx="1692">
                  <c:v>0.43672659800114882</c:v>
                </c:pt>
                <c:pt idx="1693">
                  <c:v>0.43660784425137988</c:v>
                </c:pt>
                <c:pt idx="1694">
                  <c:v>0.43648917506297735</c:v>
                </c:pt>
                <c:pt idx="1695">
                  <c:v>0.43637059032982339</c:v>
                </c:pt>
                <c:pt idx="1696">
                  <c:v>0.43625208994593356</c:v>
                </c:pt>
                <c:pt idx="1697">
                  <c:v>0.4361336738054562</c:v>
                </c:pt>
                <c:pt idx="1698">
                  <c:v>0.43601534180267271</c:v>
                </c:pt>
                <c:pt idx="1699">
                  <c:v>0.43589709383199704</c:v>
                </c:pt>
                <c:pt idx="1700">
                  <c:v>0.4357789297879755</c:v>
                </c:pt>
                <c:pt idx="1701">
                  <c:v>0.43566084956528706</c:v>
                </c:pt>
                <c:pt idx="1702">
                  <c:v>0.43554285305874263</c:v>
                </c:pt>
                <c:pt idx="1703">
                  <c:v>0.43542494016328509</c:v>
                </c:pt>
                <c:pt idx="1704">
                  <c:v>0.43530711077398926</c:v>
                </c:pt>
                <c:pt idx="1705">
                  <c:v>0.43518936478606174</c:v>
                </c:pt>
                <c:pt idx="1706">
                  <c:v>0.43507170209484042</c:v>
                </c:pt>
                <c:pt idx="1707">
                  <c:v>0.43495412259579447</c:v>
                </c:pt>
                <c:pt idx="1708">
                  <c:v>0.43483662618452468</c:v>
                </c:pt>
                <c:pt idx="1709">
                  <c:v>0.4347192127567624</c:v>
                </c:pt>
                <c:pt idx="1710">
                  <c:v>0.43460188220836993</c:v>
                </c:pt>
                <c:pt idx="1711">
                  <c:v>0.43448463443534047</c:v>
                </c:pt>
                <c:pt idx="1712">
                  <c:v>0.43436746933379755</c:v>
                </c:pt>
                <c:pt idx="1713">
                  <c:v>0.434250386799995</c:v>
                </c:pt>
                <c:pt idx="1714">
                  <c:v>0.43413338673031704</c:v>
                </c:pt>
                <c:pt idx="1715">
                  <c:v>0.43401646902127783</c:v>
                </c:pt>
                <c:pt idx="1716">
                  <c:v>0.43389963356952121</c:v>
                </c:pt>
                <c:pt idx="1717">
                  <c:v>0.43378288027182116</c:v>
                </c:pt>
                <c:pt idx="1718">
                  <c:v>0.43366620902508068</c:v>
                </c:pt>
                <c:pt idx="1719">
                  <c:v>0.43354961972633255</c:v>
                </c:pt>
                <c:pt idx="1720">
                  <c:v>0.43343311227273862</c:v>
                </c:pt>
                <c:pt idx="1721">
                  <c:v>0.43331668656158978</c:v>
                </c:pt>
                <c:pt idx="1722">
                  <c:v>0.43320034249030576</c:v>
                </c:pt>
                <c:pt idx="1723">
                  <c:v>0.43308407995643516</c:v>
                </c:pt>
                <c:pt idx="1724">
                  <c:v>0.43296789885765508</c:v>
                </c:pt>
                <c:pt idx="1725">
                  <c:v>0.43285179909177091</c:v>
                </c:pt>
                <c:pt idx="1726">
                  <c:v>0.43273578055671652</c:v>
                </c:pt>
                <c:pt idx="1727">
                  <c:v>0.43261984315055374</c:v>
                </c:pt>
                <c:pt idx="1728">
                  <c:v>0.43250398677147217</c:v>
                </c:pt>
                <c:pt idx="1729">
                  <c:v>0.43238821131778954</c:v>
                </c:pt>
                <c:pt idx="1730">
                  <c:v>0.43227251668795086</c:v>
                </c:pt>
                <c:pt idx="1731">
                  <c:v>0.43215690278052871</c:v>
                </c:pt>
                <c:pt idx="1732">
                  <c:v>0.432041369494223</c:v>
                </c:pt>
                <c:pt idx="1733">
                  <c:v>0.43192591672786057</c:v>
                </c:pt>
                <c:pt idx="1734">
                  <c:v>0.43181054438039546</c:v>
                </c:pt>
                <c:pt idx="1735">
                  <c:v>0.43169525235090844</c:v>
                </c:pt>
                <c:pt idx="1736">
                  <c:v>0.43158004053860682</c:v>
                </c:pt>
                <c:pt idx="1737">
                  <c:v>0.43146490884282451</c:v>
                </c:pt>
                <c:pt idx="1738">
                  <c:v>0.4313498571630216</c:v>
                </c:pt>
                <c:pt idx="1739">
                  <c:v>0.43123488539878474</c:v>
                </c:pt>
                <c:pt idx="1740">
                  <c:v>0.4311199934498261</c:v>
                </c:pt>
                <c:pt idx="1741">
                  <c:v>0.4310051812159838</c:v>
                </c:pt>
                <c:pt idx="1742">
                  <c:v>0.43089044859722209</c:v>
                </c:pt>
                <c:pt idx="1743">
                  <c:v>0.43077579549363026</c:v>
                </c:pt>
                <c:pt idx="1744">
                  <c:v>0.43066122180542299</c:v>
                </c:pt>
                <c:pt idx="1745">
                  <c:v>0.43054672743294076</c:v>
                </c:pt>
                <c:pt idx="1746">
                  <c:v>0.43043231227664841</c:v>
                </c:pt>
                <c:pt idx="1747">
                  <c:v>0.43031797623713597</c:v>
                </c:pt>
                <c:pt idx="1748">
                  <c:v>0.43020371921511835</c:v>
                </c:pt>
                <c:pt idx="1749">
                  <c:v>0.43008954111143499</c:v>
                </c:pt>
                <c:pt idx="1750">
                  <c:v>0.42997544182704961</c:v>
                </c:pt>
                <c:pt idx="1751">
                  <c:v>0.42986142126305033</c:v>
                </c:pt>
                <c:pt idx="1752">
                  <c:v>0.42974747932064938</c:v>
                </c:pt>
                <c:pt idx="1753">
                  <c:v>0.42963361590118293</c:v>
                </c:pt>
                <c:pt idx="1754">
                  <c:v>0.42951983090611118</c:v>
                </c:pt>
                <c:pt idx="1755">
                  <c:v>0.42940612423701763</c:v>
                </c:pt>
                <c:pt idx="1756">
                  <c:v>0.42929249579560946</c:v>
                </c:pt>
                <c:pt idx="1757">
                  <c:v>0.42917894548371738</c:v>
                </c:pt>
                <c:pt idx="1758">
                  <c:v>0.42906547320329502</c:v>
                </c:pt>
                <c:pt idx="1759">
                  <c:v>0.42895207885641906</c:v>
                </c:pt>
                <c:pt idx="1760">
                  <c:v>0.42883876234528934</c:v>
                </c:pt>
                <c:pt idx="1761">
                  <c:v>0.42872552357222815</c:v>
                </c:pt>
                <c:pt idx="1762">
                  <c:v>0.42861236243968043</c:v>
                </c:pt>
                <c:pt idx="1763">
                  <c:v>0.42849927885021361</c:v>
                </c:pt>
                <c:pt idx="1764">
                  <c:v>0.42838627270651741</c:v>
                </c:pt>
                <c:pt idx="1765">
                  <c:v>0.42827334391140359</c:v>
                </c:pt>
                <c:pt idx="1766">
                  <c:v>0.42816049236780568</c:v>
                </c:pt>
                <c:pt idx="1767">
                  <c:v>0.4280477179787795</c:v>
                </c:pt>
                <c:pt idx="1768">
                  <c:v>0.42793502064750222</c:v>
                </c:pt>
                <c:pt idx="1769">
                  <c:v>0.42782240027727236</c:v>
                </c:pt>
                <c:pt idx="1770">
                  <c:v>0.42770985677151019</c:v>
                </c:pt>
                <c:pt idx="1771">
                  <c:v>0.42759739003375685</c:v>
                </c:pt>
                <c:pt idx="1772">
                  <c:v>0.42748499996767475</c:v>
                </c:pt>
                <c:pt idx="1773">
                  <c:v>0.42737268647704707</c:v>
                </c:pt>
                <c:pt idx="1774">
                  <c:v>0.42726044946577779</c:v>
                </c:pt>
                <c:pt idx="1775">
                  <c:v>0.42714828883789124</c:v>
                </c:pt>
                <c:pt idx="1776">
                  <c:v>0.42703620449753288</c:v>
                </c:pt>
                <c:pt idx="1777">
                  <c:v>0.42692419634896744</c:v>
                </c:pt>
                <c:pt idx="1778">
                  <c:v>0.4268122642965807</c:v>
                </c:pt>
                <c:pt idx="1779">
                  <c:v>0.42670040824487798</c:v>
                </c:pt>
                <c:pt idx="1780">
                  <c:v>0.42658862809848452</c:v>
                </c:pt>
                <c:pt idx="1781">
                  <c:v>0.42647692376214513</c:v>
                </c:pt>
                <c:pt idx="1782">
                  <c:v>0.42636529514072447</c:v>
                </c:pt>
                <c:pt idx="1783">
                  <c:v>0.4262537421392063</c:v>
                </c:pt>
                <c:pt idx="1784">
                  <c:v>0.42614226466269373</c:v>
                </c:pt>
                <c:pt idx="1785">
                  <c:v>0.42603086261640899</c:v>
                </c:pt>
                <c:pt idx="1786">
                  <c:v>0.42591953590569309</c:v>
                </c:pt>
                <c:pt idx="1787">
                  <c:v>0.42580828443600599</c:v>
                </c:pt>
                <c:pt idx="1788">
                  <c:v>0.42569710811292638</c:v>
                </c:pt>
                <c:pt idx="1789">
                  <c:v>0.42558600684215114</c:v>
                </c:pt>
                <c:pt idx="1790">
                  <c:v>0.42547498052949556</c:v>
                </c:pt>
                <c:pt idx="1791">
                  <c:v>0.42536402908089355</c:v>
                </c:pt>
                <c:pt idx="1792">
                  <c:v>0.42525315240239647</c:v>
                </c:pt>
                <c:pt idx="1793">
                  <c:v>0.42514235040017379</c:v>
                </c:pt>
                <c:pt idx="1794">
                  <c:v>0.42503162298051311</c:v>
                </c:pt>
                <c:pt idx="1795">
                  <c:v>0.42492097004981905</c:v>
                </c:pt>
                <c:pt idx="1796">
                  <c:v>0.42481039151461392</c:v>
                </c:pt>
                <c:pt idx="1797">
                  <c:v>0.42469988728153746</c:v>
                </c:pt>
                <c:pt idx="1798">
                  <c:v>0.42458945725734648</c:v>
                </c:pt>
                <c:pt idx="1799">
                  <c:v>0.42447910134891476</c:v>
                </c:pt>
                <c:pt idx="1800">
                  <c:v>0.42436881946323285</c:v>
                </c:pt>
                <c:pt idx="1801">
                  <c:v>0.42425861150740829</c:v>
                </c:pt>
                <c:pt idx="1802">
                  <c:v>0.42414847738866507</c:v>
                </c:pt>
                <c:pt idx="1803">
                  <c:v>0.42403841701434353</c:v>
                </c:pt>
                <c:pt idx="1804">
                  <c:v>0.4239284302919003</c:v>
                </c:pt>
                <c:pt idx="1805">
                  <c:v>0.42381851712890811</c:v>
                </c:pt>
                <c:pt idx="1806">
                  <c:v>0.42370867743305596</c:v>
                </c:pt>
                <c:pt idx="1807">
                  <c:v>0.42359891111214842</c:v>
                </c:pt>
                <c:pt idx="1808">
                  <c:v>0.42348921807410567</c:v>
                </c:pt>
                <c:pt idx="1809">
                  <c:v>0.42337959822696386</c:v>
                </c:pt>
                <c:pt idx="1810">
                  <c:v>0.4232700514788742</c:v>
                </c:pt>
                <c:pt idx="1811">
                  <c:v>0.42316057773810312</c:v>
                </c:pt>
                <c:pt idx="1812">
                  <c:v>0.42305117691303235</c:v>
                </c:pt>
                <c:pt idx="1813">
                  <c:v>0.42294184891215869</c:v>
                </c:pt>
                <c:pt idx="1814">
                  <c:v>0.42283259364409348</c:v>
                </c:pt>
                <c:pt idx="1815">
                  <c:v>0.42272341101756289</c:v>
                </c:pt>
                <c:pt idx="1816">
                  <c:v>0.42261430094140762</c:v>
                </c:pt>
                <c:pt idx="1817">
                  <c:v>0.42250526332458288</c:v>
                </c:pt>
                <c:pt idx="1818">
                  <c:v>0.42239629807615792</c:v>
                </c:pt>
                <c:pt idx="1819">
                  <c:v>0.42228740510531632</c:v>
                </c:pt>
                <c:pt idx="1820">
                  <c:v>0.42217858432135535</c:v>
                </c:pt>
                <c:pt idx="1821">
                  <c:v>0.42206983563368639</c:v>
                </c:pt>
                <c:pt idx="1822">
                  <c:v>0.42196115895183439</c:v>
                </c:pt>
                <c:pt idx="1823">
                  <c:v>0.42185255418543777</c:v>
                </c:pt>
                <c:pt idx="1824">
                  <c:v>0.42174402124424842</c:v>
                </c:pt>
                <c:pt idx="1825">
                  <c:v>0.42163556003813163</c:v>
                </c:pt>
                <c:pt idx="1826">
                  <c:v>0.42152717047706545</c:v>
                </c:pt>
                <c:pt idx="1827">
                  <c:v>0.42141885247114114</c:v>
                </c:pt>
                <c:pt idx="1828">
                  <c:v>0.42131060593056269</c:v>
                </c:pt>
                <c:pt idx="1829">
                  <c:v>0.42120243076564706</c:v>
                </c:pt>
                <c:pt idx="1830">
                  <c:v>0.42109432688682324</c:v>
                </c:pt>
                <c:pt idx="1831">
                  <c:v>0.42098629420463307</c:v>
                </c:pt>
                <c:pt idx="1832">
                  <c:v>0.42087833262973051</c:v>
                </c:pt>
                <c:pt idx="1833">
                  <c:v>0.42077044207288145</c:v>
                </c:pt>
                <c:pt idx="1834">
                  <c:v>0.42066262244496416</c:v>
                </c:pt>
                <c:pt idx="1835">
                  <c:v>0.42055487365696842</c:v>
                </c:pt>
                <c:pt idx="1836">
                  <c:v>0.42044719561999577</c:v>
                </c:pt>
                <c:pt idx="1837">
                  <c:v>0.42033958824525947</c:v>
                </c:pt>
                <c:pt idx="1838">
                  <c:v>0.42023205144408399</c:v>
                </c:pt>
                <c:pt idx="1839">
                  <c:v>0.42012458512790518</c:v>
                </c:pt>
                <c:pt idx="1840">
                  <c:v>0.42001718920827014</c:v>
                </c:pt>
                <c:pt idx="1841">
                  <c:v>0.4199098635968368</c:v>
                </c:pt>
                <c:pt idx="1842">
                  <c:v>0.41980260820537396</c:v>
                </c:pt>
                <c:pt idx="1843">
                  <c:v>0.41969542294576123</c:v>
                </c:pt>
                <c:pt idx="1844">
                  <c:v>0.41958830772998879</c:v>
                </c:pt>
                <c:pt idx="1845">
                  <c:v>0.41948126247015727</c:v>
                </c:pt>
                <c:pt idx="1846">
                  <c:v>0.41937428707847746</c:v>
                </c:pt>
                <c:pt idx="1847">
                  <c:v>0.41926738146727061</c:v>
                </c:pt>
                <c:pt idx="1848">
                  <c:v>0.41916054554896776</c:v>
                </c:pt>
                <c:pt idx="1849">
                  <c:v>0.41905377923610981</c:v>
                </c:pt>
                <c:pt idx="1850">
                  <c:v>0.41894708244134765</c:v>
                </c:pt>
                <c:pt idx="1851">
                  <c:v>0.41884045507744166</c:v>
                </c:pt>
                <c:pt idx="1852">
                  <c:v>0.41873389705726155</c:v>
                </c:pt>
                <c:pt idx="1853">
                  <c:v>0.41862740829378664</c:v>
                </c:pt>
                <c:pt idx="1854">
                  <c:v>0.41852098870010535</c:v>
                </c:pt>
                <c:pt idx="1855">
                  <c:v>0.41841463818941499</c:v>
                </c:pt>
                <c:pt idx="1856">
                  <c:v>0.4183083566750222</c:v>
                </c:pt>
                <c:pt idx="1857">
                  <c:v>0.4182021440703419</c:v>
                </c:pt>
                <c:pt idx="1858">
                  <c:v>0.41809600028889804</c:v>
                </c:pt>
                <c:pt idx="1859">
                  <c:v>0.41798992524432305</c:v>
                </c:pt>
                <c:pt idx="1860">
                  <c:v>0.41788391885035764</c:v>
                </c:pt>
                <c:pt idx="1861">
                  <c:v>0.41777798102085067</c:v>
                </c:pt>
                <c:pt idx="1862">
                  <c:v>0.41767211166975948</c:v>
                </c:pt>
                <c:pt idx="1863">
                  <c:v>0.41756631071114902</c:v>
                </c:pt>
                <c:pt idx="1864">
                  <c:v>0.41746057805919223</c:v>
                </c:pt>
                <c:pt idx="1865">
                  <c:v>0.41735491362816979</c:v>
                </c:pt>
                <c:pt idx="1866">
                  <c:v>0.41724931733246995</c:v>
                </c:pt>
                <c:pt idx="1867">
                  <c:v>0.41714378908658817</c:v>
                </c:pt>
                <c:pt idx="1868">
                  <c:v>0.41703832880512759</c:v>
                </c:pt>
                <c:pt idx="1869">
                  <c:v>0.41693293640279822</c:v>
                </c:pt>
                <c:pt idx="1870">
                  <c:v>0.41682761179441719</c:v>
                </c:pt>
                <c:pt idx="1871">
                  <c:v>0.41672235489490861</c:v>
                </c:pt>
                <c:pt idx="1872">
                  <c:v>0.41661716561930323</c:v>
                </c:pt>
                <c:pt idx="1873">
                  <c:v>0.41651204388273844</c:v>
                </c:pt>
                <c:pt idx="1874">
                  <c:v>0.4164069896004583</c:v>
                </c:pt>
                <c:pt idx="1875">
                  <c:v>0.41630200268781303</c:v>
                </c:pt>
                <c:pt idx="1876">
                  <c:v>0.4161970830602591</c:v>
                </c:pt>
                <c:pt idx="1877">
                  <c:v>0.41609223063335915</c:v>
                </c:pt>
                <c:pt idx="1878">
                  <c:v>0.41598744532278181</c:v>
                </c:pt>
                <c:pt idx="1879">
                  <c:v>0.41588272704430146</c:v>
                </c:pt>
                <c:pt idx="1880">
                  <c:v>0.41577807571379805</c:v>
                </c:pt>
                <c:pt idx="1881">
                  <c:v>0.41567349124725755</c:v>
                </c:pt>
                <c:pt idx="1882">
                  <c:v>0.41556897356077083</c:v>
                </c:pt>
                <c:pt idx="1883">
                  <c:v>0.41546452257053434</c:v>
                </c:pt>
                <c:pt idx="1884">
                  <c:v>0.41536013819284967</c:v>
                </c:pt>
                <c:pt idx="1885">
                  <c:v>0.41525582034412334</c:v>
                </c:pt>
                <c:pt idx="1886">
                  <c:v>0.41515156894086697</c:v>
                </c:pt>
                <c:pt idx="1887">
                  <c:v>0.41504738389969675</c:v>
                </c:pt>
                <c:pt idx="1888">
                  <c:v>0.41494326513733354</c:v>
                </c:pt>
                <c:pt idx="1889">
                  <c:v>0.41483921257060291</c:v>
                </c:pt>
                <c:pt idx="1890">
                  <c:v>0.41473522611643454</c:v>
                </c:pt>
                <c:pt idx="1891">
                  <c:v>0.41463130569186252</c:v>
                </c:pt>
                <c:pt idx="1892">
                  <c:v>0.4145274512140249</c:v>
                </c:pt>
                <c:pt idx="1893">
                  <c:v>0.41442366260016406</c:v>
                </c:pt>
                <c:pt idx="1894">
                  <c:v>0.41431993976762582</c:v>
                </c:pt>
                <c:pt idx="1895">
                  <c:v>0.41421628263385984</c:v>
                </c:pt>
                <c:pt idx="1896">
                  <c:v>0.41411269111641968</c:v>
                </c:pt>
                <c:pt idx="1897">
                  <c:v>0.41400916513296199</c:v>
                </c:pt>
                <c:pt idx="1898">
                  <c:v>0.4139057046012467</c:v>
                </c:pt>
                <c:pt idx="1899">
                  <c:v>0.41380230943913743</c:v>
                </c:pt>
                <c:pt idx="1900">
                  <c:v>0.4136989795646005</c:v>
                </c:pt>
                <c:pt idx="1901">
                  <c:v>0.41359571489570507</c:v>
                </c:pt>
                <c:pt idx="1902">
                  <c:v>0.41349251535062348</c:v>
                </c:pt>
                <c:pt idx="1903">
                  <c:v>0.41338938084763055</c:v>
                </c:pt>
                <c:pt idx="1904">
                  <c:v>0.41328631130510368</c:v>
                </c:pt>
                <c:pt idx="1905">
                  <c:v>0.41318330664152259</c:v>
                </c:pt>
                <c:pt idx="1906">
                  <c:v>0.41308036677546955</c:v>
                </c:pt>
                <c:pt idx="1907">
                  <c:v>0.4129774916256288</c:v>
                </c:pt>
                <c:pt idx="1908">
                  <c:v>0.41287468111078668</c:v>
                </c:pt>
                <c:pt idx="1909">
                  <c:v>0.41277193514983157</c:v>
                </c:pt>
                <c:pt idx="1910">
                  <c:v>0.41266925366175328</c:v>
                </c:pt>
                <c:pt idx="1911">
                  <c:v>0.41256663656564385</c:v>
                </c:pt>
                <c:pt idx="1912">
                  <c:v>0.41246408378069632</c:v>
                </c:pt>
                <c:pt idx="1913">
                  <c:v>0.41236159522620525</c:v>
                </c:pt>
                <c:pt idx="1914">
                  <c:v>0.41225917082156682</c:v>
                </c:pt>
                <c:pt idx="1915">
                  <c:v>0.41215681048627806</c:v>
                </c:pt>
                <c:pt idx="1916">
                  <c:v>0.41205451413993699</c:v>
                </c:pt>
                <c:pt idx="1917">
                  <c:v>0.41195228170224263</c:v>
                </c:pt>
                <c:pt idx="1918">
                  <c:v>0.41185011309299485</c:v>
                </c:pt>
                <c:pt idx="1919">
                  <c:v>0.41174800823209406</c:v>
                </c:pt>
                <c:pt idx="1920">
                  <c:v>0.41164596703954104</c:v>
                </c:pt>
                <c:pt idx="1921">
                  <c:v>0.41154398943543735</c:v>
                </c:pt>
                <c:pt idx="1922">
                  <c:v>0.41144207533998445</c:v>
                </c:pt>
                <c:pt idx="1923">
                  <c:v>0.41134022467348413</c:v>
                </c:pt>
                <c:pt idx="1924">
                  <c:v>0.41123843735633819</c:v>
                </c:pt>
                <c:pt idx="1925">
                  <c:v>0.41113671330904816</c:v>
                </c:pt>
                <c:pt idx="1926">
                  <c:v>0.41103505245221555</c:v>
                </c:pt>
                <c:pt idx="1927">
                  <c:v>0.41093345470654141</c:v>
                </c:pt>
                <c:pt idx="1928">
                  <c:v>0.41083191999282631</c:v>
                </c:pt>
                <c:pt idx="1929">
                  <c:v>0.41073044823197008</c:v>
                </c:pt>
                <c:pt idx="1930">
                  <c:v>0.41062903934497214</c:v>
                </c:pt>
                <c:pt idx="1931">
                  <c:v>0.4105276932529307</c:v>
                </c:pt>
                <c:pt idx="1932">
                  <c:v>0.41042640987704304</c:v>
                </c:pt>
                <c:pt idx="1933">
                  <c:v>0.41032518913860577</c:v>
                </c:pt>
                <c:pt idx="1934">
                  <c:v>0.41022403095901361</c:v>
                </c:pt>
                <c:pt idx="1935">
                  <c:v>0.41012293525976029</c:v>
                </c:pt>
                <c:pt idx="1936">
                  <c:v>0.41002190196243815</c:v>
                </c:pt>
                <c:pt idx="1937">
                  <c:v>0.40992093098873761</c:v>
                </c:pt>
                <c:pt idx="1938">
                  <c:v>0.40982002226044756</c:v>
                </c:pt>
                <c:pt idx="1939">
                  <c:v>0.4097191756994551</c:v>
                </c:pt>
                <c:pt idx="1940">
                  <c:v>0.40961839122774513</c:v>
                </c:pt>
                <c:pt idx="1941">
                  <c:v>0.4095176687674007</c:v>
                </c:pt>
                <c:pt idx="1942">
                  <c:v>0.40941700824060251</c:v>
                </c:pt>
                <c:pt idx="1943">
                  <c:v>0.40931640956962884</c:v>
                </c:pt>
                <c:pt idx="1944">
                  <c:v>0.40921587267685566</c:v>
                </c:pt>
                <c:pt idx="1945">
                  <c:v>0.40911539748475639</c:v>
                </c:pt>
                <c:pt idx="1946">
                  <c:v>0.40901498391590152</c:v>
                </c:pt>
                <c:pt idx="1947">
                  <c:v>0.40891463189295874</c:v>
                </c:pt>
                <c:pt idx="1948">
                  <c:v>0.4088143413386931</c:v>
                </c:pt>
                <c:pt idx="1949">
                  <c:v>0.4087141121759662</c:v>
                </c:pt>
                <c:pt idx="1950">
                  <c:v>0.40861394432773662</c:v>
                </c:pt>
                <c:pt idx="1951">
                  <c:v>0.40851383771705957</c:v>
                </c:pt>
                <c:pt idx="1952">
                  <c:v>0.40841379226708691</c:v>
                </c:pt>
                <c:pt idx="1953">
                  <c:v>0.40831380790106681</c:v>
                </c:pt>
                <c:pt idx="1954">
                  <c:v>0.40821388454234375</c:v>
                </c:pt>
                <c:pt idx="1955">
                  <c:v>0.4081140221143586</c:v>
                </c:pt>
                <c:pt idx="1956">
                  <c:v>0.40801422054064818</c:v>
                </c:pt>
                <c:pt idx="1957">
                  <c:v>0.40791447974484513</c:v>
                </c:pt>
                <c:pt idx="1958">
                  <c:v>0.40781479965067813</c:v>
                </c:pt>
                <c:pt idx="1959">
                  <c:v>0.4077151801819715</c:v>
                </c:pt>
                <c:pt idx="1960">
                  <c:v>0.40761562126264517</c:v>
                </c:pt>
                <c:pt idx="1961">
                  <c:v>0.40751612281671457</c:v>
                </c:pt>
                <c:pt idx="1962">
                  <c:v>0.40741668476829035</c:v>
                </c:pt>
                <c:pt idx="1963">
                  <c:v>0.40731730704157854</c:v>
                </c:pt>
                <c:pt idx="1964">
                  <c:v>0.40721798956088029</c:v>
                </c:pt>
                <c:pt idx="1965">
                  <c:v>0.40711873225059153</c:v>
                </c:pt>
                <c:pt idx="1966">
                  <c:v>0.40701953503520333</c:v>
                </c:pt>
                <c:pt idx="1967">
                  <c:v>0.40692039783930151</c:v>
                </c:pt>
                <c:pt idx="1968">
                  <c:v>0.40682132058756632</c:v>
                </c:pt>
                <c:pt idx="1969">
                  <c:v>0.4067223032047726</c:v>
                </c:pt>
                <c:pt idx="1970">
                  <c:v>0.40662334561578972</c:v>
                </c:pt>
                <c:pt idx="1971">
                  <c:v>0.40652444774558127</c:v>
                </c:pt>
                <c:pt idx="1972">
                  <c:v>0.40642560951920487</c:v>
                </c:pt>
                <c:pt idx="1973">
                  <c:v>0.40632683086181248</c:v>
                </c:pt>
                <c:pt idx="1974">
                  <c:v>0.40622811169864959</c:v>
                </c:pt>
                <c:pt idx="1975">
                  <c:v>0.4061294519550559</c:v>
                </c:pt>
                <c:pt idx="1976">
                  <c:v>0.40603085155646457</c:v>
                </c:pt>
                <c:pt idx="1977">
                  <c:v>0.40593231042840233</c:v>
                </c:pt>
                <c:pt idx="1978">
                  <c:v>0.40583382849648941</c:v>
                </c:pt>
                <c:pt idx="1979">
                  <c:v>0.40573540568643962</c:v>
                </c:pt>
                <c:pt idx="1980">
                  <c:v>0.40563704192405953</c:v>
                </c:pt>
                <c:pt idx="1981">
                  <c:v>0.40553873713524913</c:v>
                </c:pt>
                <c:pt idx="1982">
                  <c:v>0.40544049124600129</c:v>
                </c:pt>
                <c:pt idx="1983">
                  <c:v>0.40534230418240191</c:v>
                </c:pt>
                <c:pt idx="1984">
                  <c:v>0.40524417587062944</c:v>
                </c:pt>
                <c:pt idx="1985">
                  <c:v>0.40514610623695491</c:v>
                </c:pt>
                <c:pt idx="1986">
                  <c:v>0.40504809520774232</c:v>
                </c:pt>
                <c:pt idx="1987">
                  <c:v>0.40495014270944762</c:v>
                </c:pt>
                <c:pt idx="1988">
                  <c:v>0.40485224866861913</c:v>
                </c:pt>
                <c:pt idx="1989">
                  <c:v>0.40475441301189763</c:v>
                </c:pt>
                <c:pt idx="1990">
                  <c:v>0.40465663566601551</c:v>
                </c:pt>
                <c:pt idx="1991">
                  <c:v>0.40455891655779758</c:v>
                </c:pt>
                <c:pt idx="1992">
                  <c:v>0.40446125561416008</c:v>
                </c:pt>
                <c:pt idx="1993">
                  <c:v>0.40436365276211117</c:v>
                </c:pt>
                <c:pt idx="1994">
                  <c:v>0.40426610792875062</c:v>
                </c:pt>
                <c:pt idx="1995">
                  <c:v>0.40416862104126966</c:v>
                </c:pt>
                <c:pt idx="1996">
                  <c:v>0.40407119202695074</c:v>
                </c:pt>
                <c:pt idx="1997">
                  <c:v>0.40397382081316779</c:v>
                </c:pt>
                <c:pt idx="1998">
                  <c:v>0.40387650732738578</c:v>
                </c:pt>
                <c:pt idx="1999">
                  <c:v>0.40377925149716071</c:v>
                </c:pt>
                <c:pt idx="2000">
                  <c:v>0.40368205325013928</c:v>
                </c:pt>
                <c:pt idx="2001">
                  <c:v>0.40358491251405954</c:v>
                </c:pt>
                <c:pt idx="2002">
                  <c:v>0.40348782921674969</c:v>
                </c:pt>
                <c:pt idx="2003">
                  <c:v>0.40339080328612864</c:v>
                </c:pt>
                <c:pt idx="2004">
                  <c:v>0.40329383465020591</c:v>
                </c:pt>
                <c:pt idx="2005">
                  <c:v>0.40319692323708123</c:v>
                </c:pt>
                <c:pt idx="2006">
                  <c:v>0.40310006897494449</c:v>
                </c:pt>
                <c:pt idx="2007">
                  <c:v>0.4030032717920759</c:v>
                </c:pt>
                <c:pt idx="2008">
                  <c:v>0.40290653161684553</c:v>
                </c:pt>
                <c:pt idx="2009">
                  <c:v>0.40280984837771333</c:v>
                </c:pt>
                <c:pt idx="2010">
                  <c:v>0.40271322200322923</c:v>
                </c:pt>
                <c:pt idx="2011">
                  <c:v>0.40261665242203243</c:v>
                </c:pt>
                <c:pt idx="2012">
                  <c:v>0.40252013956285204</c:v>
                </c:pt>
                <c:pt idx="2013">
                  <c:v>0.40242368335450651</c:v>
                </c:pt>
                <c:pt idx="2014">
                  <c:v>0.40232728372590354</c:v>
                </c:pt>
                <c:pt idx="2015">
                  <c:v>0.40223094060604009</c:v>
                </c:pt>
                <c:pt idx="2016">
                  <c:v>0.40213465392400227</c:v>
                </c:pt>
                <c:pt idx="2017">
                  <c:v>0.40203842360896513</c:v>
                </c:pt>
                <c:pt idx="2018">
                  <c:v>0.40194224959019259</c:v>
                </c:pt>
                <c:pt idx="2019">
                  <c:v>0.40184613179703732</c:v>
                </c:pt>
                <c:pt idx="2020">
                  <c:v>0.40175007015894082</c:v>
                </c:pt>
                <c:pt idx="2021">
                  <c:v>0.40165406460543285</c:v>
                </c:pt>
                <c:pt idx="2022">
                  <c:v>0.40155811506613182</c:v>
                </c:pt>
                <c:pt idx="2023">
                  <c:v>0.40146222147074451</c:v>
                </c:pt>
                <c:pt idx="2024">
                  <c:v>0.40136638374906553</c:v>
                </c:pt>
                <c:pt idx="2025">
                  <c:v>0.40127060183097818</c:v>
                </c:pt>
                <c:pt idx="2026">
                  <c:v>0.40117487564645321</c:v>
                </c:pt>
                <c:pt idx="2027">
                  <c:v>0.40107920512554951</c:v>
                </c:pt>
                <c:pt idx="2028">
                  <c:v>0.40098359019841379</c:v>
                </c:pt>
                <c:pt idx="2029">
                  <c:v>0.40088803079528035</c:v>
                </c:pt>
                <c:pt idx="2030">
                  <c:v>0.40079252684647082</c:v>
                </c:pt>
                <c:pt idx="2031">
                  <c:v>0.40069707828239465</c:v>
                </c:pt>
                <c:pt idx="2032">
                  <c:v>0.40060168503354854</c:v>
                </c:pt>
                <c:pt idx="2033">
                  <c:v>0.40050634703051613</c:v>
                </c:pt>
                <c:pt idx="2034">
                  <c:v>0.40041106420396833</c:v>
                </c:pt>
                <c:pt idx="2035">
                  <c:v>0.40031583648466329</c:v>
                </c:pt>
                <c:pt idx="2036">
                  <c:v>0.40022066380344573</c:v>
                </c:pt>
                <c:pt idx="2037">
                  <c:v>0.40012554609124718</c:v>
                </c:pt>
                <c:pt idx="2038">
                  <c:v>0.40003048327908608</c:v>
                </c:pt>
                <c:pt idx="2039">
                  <c:v>0.39993547529806733</c:v>
                </c:pt>
                <c:pt idx="2040">
                  <c:v>0.39984052207938203</c:v>
                </c:pt>
                <c:pt idx="2041">
                  <c:v>0.39974562355430804</c:v>
                </c:pt>
                <c:pt idx="2042">
                  <c:v>0.39965077965420925</c:v>
                </c:pt>
                <c:pt idx="2043">
                  <c:v>0.39955599031053568</c:v>
                </c:pt>
                <c:pt idx="2044">
                  <c:v>0.39946125545482336</c:v>
                </c:pt>
                <c:pt idx="2045">
                  <c:v>0.39936657501869427</c:v>
                </c:pt>
                <c:pt idx="2046">
                  <c:v>0.3992719489338562</c:v>
                </c:pt>
                <c:pt idx="2047">
                  <c:v>0.39917737713210277</c:v>
                </c:pt>
                <c:pt idx="2048">
                  <c:v>0.39908285954531292</c:v>
                </c:pt>
                <c:pt idx="2049">
                  <c:v>0.39898839610545123</c:v>
                </c:pt>
                <c:pt idx="2050">
                  <c:v>0.39889398674456777</c:v>
                </c:pt>
                <c:pt idx="2051">
                  <c:v>0.39879963139479768</c:v>
                </c:pt>
                <c:pt idx="2052">
                  <c:v>0.39870532998836128</c:v>
                </c:pt>
                <c:pt idx="2053">
                  <c:v>0.39861108245756421</c:v>
                </c:pt>
                <c:pt idx="2054">
                  <c:v>0.39851688873479679</c:v>
                </c:pt>
                <c:pt idx="2055">
                  <c:v>0.39842274875253414</c:v>
                </c:pt>
                <c:pt idx="2056">
                  <c:v>0.39832866244333642</c:v>
                </c:pt>
                <c:pt idx="2057">
                  <c:v>0.39823462973984813</c:v>
                </c:pt>
                <c:pt idx="2058">
                  <c:v>0.39814065057479853</c:v>
                </c:pt>
                <c:pt idx="2059">
                  <c:v>0.39804672488100096</c:v>
                </c:pt>
                <c:pt idx="2060">
                  <c:v>0.39795285259135349</c:v>
                </c:pt>
                <c:pt idx="2061">
                  <c:v>0.39785903363883812</c:v>
                </c:pt>
                <c:pt idx="2062">
                  <c:v>0.39776526795652106</c:v>
                </c:pt>
                <c:pt idx="2063">
                  <c:v>0.39767155547755251</c:v>
                </c:pt>
                <c:pt idx="2064">
                  <c:v>0.39757789613516648</c:v>
                </c:pt>
                <c:pt idx="2065">
                  <c:v>0.39748428986268081</c:v>
                </c:pt>
                <c:pt idx="2066">
                  <c:v>0.39739073659349716</c:v>
                </c:pt>
                <c:pt idx="2067">
                  <c:v>0.39729723626110053</c:v>
                </c:pt>
                <c:pt idx="2068">
                  <c:v>0.39720378879905954</c:v>
                </c:pt>
                <c:pt idx="2069">
                  <c:v>0.39711039414102622</c:v>
                </c:pt>
                <c:pt idx="2070">
                  <c:v>0.39701705222073558</c:v>
                </c:pt>
                <c:pt idx="2071">
                  <c:v>0.39692376297200616</c:v>
                </c:pt>
                <c:pt idx="2072">
                  <c:v>0.39683052632873933</c:v>
                </c:pt>
                <c:pt idx="2073">
                  <c:v>0.39673734222491952</c:v>
                </c:pt>
                <c:pt idx="2074">
                  <c:v>0.39664421059461374</c:v>
                </c:pt>
                <c:pt idx="2075">
                  <c:v>0.39655113137197218</c:v>
                </c:pt>
                <c:pt idx="2076">
                  <c:v>0.39645810449122731</c:v>
                </c:pt>
                <c:pt idx="2077">
                  <c:v>0.39636512988669426</c:v>
                </c:pt>
                <c:pt idx="2078">
                  <c:v>0.39627220749277065</c:v>
                </c:pt>
                <c:pt idx="2079">
                  <c:v>0.39617933724393628</c:v>
                </c:pt>
                <c:pt idx="2080">
                  <c:v>0.39608651907475323</c:v>
                </c:pt>
                <c:pt idx="2081">
                  <c:v>0.39599375291986588</c:v>
                </c:pt>
                <c:pt idx="2082">
                  <c:v>0.39590103871400029</c:v>
                </c:pt>
                <c:pt idx="2083">
                  <c:v>0.39580837639196464</c:v>
                </c:pt>
                <c:pt idx="2084">
                  <c:v>0.39571576588864898</c:v>
                </c:pt>
                <c:pt idx="2085">
                  <c:v>0.39562320713902493</c:v>
                </c:pt>
                <c:pt idx="2086">
                  <c:v>0.39553070007814567</c:v>
                </c:pt>
                <c:pt idx="2087">
                  <c:v>0.39543824464114613</c:v>
                </c:pt>
                <c:pt idx="2088">
                  <c:v>0.39534584076324247</c:v>
                </c:pt>
                <c:pt idx="2089">
                  <c:v>0.39525348837973207</c:v>
                </c:pt>
                <c:pt idx="2090">
                  <c:v>0.3951611874259936</c:v>
                </c:pt>
                <c:pt idx="2091">
                  <c:v>0.39506893783748692</c:v>
                </c:pt>
                <c:pt idx="2092">
                  <c:v>0.39497673954975276</c:v>
                </c:pt>
                <c:pt idx="2093">
                  <c:v>0.39488459249841273</c:v>
                </c:pt>
                <c:pt idx="2094">
                  <c:v>0.39479249661916926</c:v>
                </c:pt>
                <c:pt idx="2095">
                  <c:v>0.39470045184780556</c:v>
                </c:pt>
                <c:pt idx="2096">
                  <c:v>0.39460845812018536</c:v>
                </c:pt>
                <c:pt idx="2097">
                  <c:v>0.39451651537225269</c:v>
                </c:pt>
                <c:pt idx="2098">
                  <c:v>0.39442462354003222</c:v>
                </c:pt>
                <c:pt idx="2099">
                  <c:v>0.39433278255962895</c:v>
                </c:pt>
                <c:pt idx="2100">
                  <c:v>0.39424099236722782</c:v>
                </c:pt>
                <c:pt idx="2101">
                  <c:v>0.3941492528990938</c:v>
                </c:pt>
                <c:pt idx="2102">
                  <c:v>0.39405756409157239</c:v>
                </c:pt>
                <c:pt idx="2103">
                  <c:v>0.39396592588108831</c:v>
                </c:pt>
                <c:pt idx="2104">
                  <c:v>0.39387433820414641</c:v>
                </c:pt>
                <c:pt idx="2105">
                  <c:v>0.39378280099733109</c:v>
                </c:pt>
                <c:pt idx="2106">
                  <c:v>0.39369131419730657</c:v>
                </c:pt>
                <c:pt idx="2107">
                  <c:v>0.39359987774081623</c:v>
                </c:pt>
                <c:pt idx="2108">
                  <c:v>0.39350849156468298</c:v>
                </c:pt>
                <c:pt idx="2109">
                  <c:v>0.39341715560580903</c:v>
                </c:pt>
                <c:pt idx="2110">
                  <c:v>0.39332586980117584</c:v>
                </c:pt>
                <c:pt idx="2111">
                  <c:v>0.39323463408784376</c:v>
                </c:pt>
                <c:pt idx="2112">
                  <c:v>0.39314344840295223</c:v>
                </c:pt>
                <c:pt idx="2113">
                  <c:v>0.39305231268371965</c:v>
                </c:pt>
                <c:pt idx="2114">
                  <c:v>0.39296122686744306</c:v>
                </c:pt>
                <c:pt idx="2115">
                  <c:v>0.39287019089149833</c:v>
                </c:pt>
                <c:pt idx="2116">
                  <c:v>0.39277920469333971</c:v>
                </c:pt>
                <c:pt idx="2117">
                  <c:v>0.39268826821050018</c:v>
                </c:pt>
                <c:pt idx="2118">
                  <c:v>0.39259738138059108</c:v>
                </c:pt>
                <c:pt idx="2119">
                  <c:v>0.39250654414130187</c:v>
                </c:pt>
                <c:pt idx="2120">
                  <c:v>0.39241575643040028</c:v>
                </c:pt>
                <c:pt idx="2121">
                  <c:v>0.39232501818573218</c:v>
                </c:pt>
                <c:pt idx="2122">
                  <c:v>0.39223432934522151</c:v>
                </c:pt>
                <c:pt idx="2123">
                  <c:v>0.39214368984686993</c:v>
                </c:pt>
                <c:pt idx="2124">
                  <c:v>0.39205309962875695</c:v>
                </c:pt>
                <c:pt idx="2125">
                  <c:v>0.39196255862903995</c:v>
                </c:pt>
                <c:pt idx="2126">
                  <c:v>0.39187206678595371</c:v>
                </c:pt>
                <c:pt idx="2127">
                  <c:v>0.39178162403781058</c:v>
                </c:pt>
                <c:pt idx="2128">
                  <c:v>0.39169123032300052</c:v>
                </c:pt>
                <c:pt idx="2129">
                  <c:v>0.3916008855799904</c:v>
                </c:pt>
                <c:pt idx="2130">
                  <c:v>0.39151058974732478</c:v>
                </c:pt>
                <c:pt idx="2131">
                  <c:v>0.39142034276362486</c:v>
                </c:pt>
                <c:pt idx="2132">
                  <c:v>0.39133014456758924</c:v>
                </c:pt>
                <c:pt idx="2133">
                  <c:v>0.39123999509799345</c:v>
                </c:pt>
                <c:pt idx="2134">
                  <c:v>0.39114989429368952</c:v>
                </c:pt>
                <c:pt idx="2135">
                  <c:v>0.39105984209360645</c:v>
                </c:pt>
                <c:pt idx="2136">
                  <c:v>0.39096983843674987</c:v>
                </c:pt>
                <c:pt idx="2137">
                  <c:v>0.39087988326220202</c:v>
                </c:pt>
                <c:pt idx="2138">
                  <c:v>0.3907899765091214</c:v>
                </c:pt>
                <c:pt idx="2139">
                  <c:v>0.39070011811674282</c:v>
                </c:pt>
                <c:pt idx="2140">
                  <c:v>0.39061030802437779</c:v>
                </c:pt>
                <c:pt idx="2141">
                  <c:v>0.39052054617141352</c:v>
                </c:pt>
                <c:pt idx="2142">
                  <c:v>0.39043083249731331</c:v>
                </c:pt>
                <c:pt idx="2143">
                  <c:v>0.3903411669416168</c:v>
                </c:pt>
                <c:pt idx="2144">
                  <c:v>0.39025154944393914</c:v>
                </c:pt>
                <c:pt idx="2145">
                  <c:v>0.39016197994397128</c:v>
                </c:pt>
                <c:pt idx="2146">
                  <c:v>0.39007245838148008</c:v>
                </c:pt>
                <c:pt idx="2147">
                  <c:v>0.38998298469630782</c:v>
                </c:pt>
                <c:pt idx="2148">
                  <c:v>0.38989355882837234</c:v>
                </c:pt>
                <c:pt idx="2149">
                  <c:v>0.38980418071766687</c:v>
                </c:pt>
                <c:pt idx="2150">
                  <c:v>0.38971485030425973</c:v>
                </c:pt>
                <c:pt idx="2151">
                  <c:v>0.3896255675282948</c:v>
                </c:pt>
                <c:pt idx="2152">
                  <c:v>0.38953633232999096</c:v>
                </c:pt>
                <c:pt idx="2153">
                  <c:v>0.38944714464964203</c:v>
                </c:pt>
                <c:pt idx="2154">
                  <c:v>0.38935800442761659</c:v>
                </c:pt>
                <c:pt idx="2155">
                  <c:v>0.38926891160435856</c:v>
                </c:pt>
                <c:pt idx="2156">
                  <c:v>0.38917986612038619</c:v>
                </c:pt>
                <c:pt idx="2157">
                  <c:v>0.38909086791629233</c:v>
                </c:pt>
                <c:pt idx="2158">
                  <c:v>0.38900191693274472</c:v>
                </c:pt>
                <c:pt idx="2159">
                  <c:v>0.38891301311048532</c:v>
                </c:pt>
                <c:pt idx="2160">
                  <c:v>0.38882415639033041</c:v>
                </c:pt>
                <c:pt idx="2161">
                  <c:v>0.38873534671317073</c:v>
                </c:pt>
                <c:pt idx="2162">
                  <c:v>0.3886465840199711</c:v>
                </c:pt>
                <c:pt idx="2163">
                  <c:v>0.3885578682517703</c:v>
                </c:pt>
                <c:pt idx="2164">
                  <c:v>0.38846919934968138</c:v>
                </c:pt>
                <c:pt idx="2165">
                  <c:v>0.38838057725489106</c:v>
                </c:pt>
                <c:pt idx="2166">
                  <c:v>0.38829200190865992</c:v>
                </c:pt>
                <c:pt idx="2167">
                  <c:v>0.38820347325232235</c:v>
                </c:pt>
                <c:pt idx="2168">
                  <c:v>0.38811499122728627</c:v>
                </c:pt>
                <c:pt idx="2169">
                  <c:v>0.38802655577503303</c:v>
                </c:pt>
                <c:pt idx="2170">
                  <c:v>0.38793816683711757</c:v>
                </c:pt>
                <c:pt idx="2171">
                  <c:v>0.38784982435516824</c:v>
                </c:pt>
                <c:pt idx="2172">
                  <c:v>0.38776152827088639</c:v>
                </c:pt>
                <c:pt idx="2173">
                  <c:v>0.38767327852604677</c:v>
                </c:pt>
                <c:pt idx="2174">
                  <c:v>0.38758507506249712</c:v>
                </c:pt>
                <c:pt idx="2175">
                  <c:v>0.38749691782215806</c:v>
                </c:pt>
                <c:pt idx="2176">
                  <c:v>0.38740880674702316</c:v>
                </c:pt>
                <c:pt idx="2177">
                  <c:v>0.38732074177915893</c:v>
                </c:pt>
                <c:pt idx="2178">
                  <c:v>0.38723272286070426</c:v>
                </c:pt>
                <c:pt idx="2179">
                  <c:v>0.38714474993387105</c:v>
                </c:pt>
                <c:pt idx="2180">
                  <c:v>0.38705682294094329</c:v>
                </c:pt>
                <c:pt idx="2181">
                  <c:v>0.38696894182427771</c:v>
                </c:pt>
                <c:pt idx="2182">
                  <c:v>0.38688110652630336</c:v>
                </c:pt>
                <c:pt idx="2183">
                  <c:v>0.38679331698952141</c:v>
                </c:pt>
                <c:pt idx="2184">
                  <c:v>0.38670557315650517</c:v>
                </c:pt>
                <c:pt idx="2185">
                  <c:v>0.38661787496990019</c:v>
                </c:pt>
                <c:pt idx="2186">
                  <c:v>0.38653022237242385</c:v>
                </c:pt>
                <c:pt idx="2187">
                  <c:v>0.38644261530686541</c:v>
                </c:pt>
                <c:pt idx="2188">
                  <c:v>0.38635505371608597</c:v>
                </c:pt>
                <c:pt idx="2189">
                  <c:v>0.38626753754301846</c:v>
                </c:pt>
                <c:pt idx="2190">
                  <c:v>0.38618006673066718</c:v>
                </c:pt>
                <c:pt idx="2191">
                  <c:v>0.38609264122210801</c:v>
                </c:pt>
                <c:pt idx="2192">
                  <c:v>0.38600526096048854</c:v>
                </c:pt>
                <c:pt idx="2193">
                  <c:v>0.3859179258890274</c:v>
                </c:pt>
                <c:pt idx="2194">
                  <c:v>0.38583063595101447</c:v>
                </c:pt>
                <c:pt idx="2195">
                  <c:v>0.38574339108981098</c:v>
                </c:pt>
                <c:pt idx="2196">
                  <c:v>0.3856561912488492</c:v>
                </c:pt>
                <c:pt idx="2197">
                  <c:v>0.38556903637163226</c:v>
                </c:pt>
                <c:pt idx="2198">
                  <c:v>0.38548192640173429</c:v>
                </c:pt>
                <c:pt idx="2199">
                  <c:v>0.38539486128280021</c:v>
                </c:pt>
                <c:pt idx="2200">
                  <c:v>0.38530784095854576</c:v>
                </c:pt>
                <c:pt idx="2201">
                  <c:v>0.38522086537275702</c:v>
                </c:pt>
                <c:pt idx="2202">
                  <c:v>0.38513393446929101</c:v>
                </c:pt>
                <c:pt idx="2203">
                  <c:v>0.38504704819207486</c:v>
                </c:pt>
                <c:pt idx="2204">
                  <c:v>0.38496020648510632</c:v>
                </c:pt>
                <c:pt idx="2205">
                  <c:v>0.38487340929245323</c:v>
                </c:pt>
                <c:pt idx="2206">
                  <c:v>0.38478665655825361</c:v>
                </c:pt>
                <c:pt idx="2207">
                  <c:v>0.38469994822671594</c:v>
                </c:pt>
                <c:pt idx="2208">
                  <c:v>0.38461328424211821</c:v>
                </c:pt>
                <c:pt idx="2209">
                  <c:v>0.38452666454880863</c:v>
                </c:pt>
                <c:pt idx="2210">
                  <c:v>0.38444008909120525</c:v>
                </c:pt>
                <c:pt idx="2211">
                  <c:v>0.38435355781379577</c:v>
                </c:pt>
                <c:pt idx="2212">
                  <c:v>0.38426707066113763</c:v>
                </c:pt>
                <c:pt idx="2213">
                  <c:v>0.3841806275778577</c:v>
                </c:pt>
                <c:pt idx="2214">
                  <c:v>0.38409422850865249</c:v>
                </c:pt>
                <c:pt idx="2215">
                  <c:v>0.38400787339828801</c:v>
                </c:pt>
                <c:pt idx="2216">
                  <c:v>0.38392156219159929</c:v>
                </c:pt>
                <c:pt idx="2217">
                  <c:v>0.38383529483349083</c:v>
                </c:pt>
                <c:pt idx="2218">
                  <c:v>0.38374907126893609</c:v>
                </c:pt>
                <c:pt idx="2219">
                  <c:v>0.38366289144297777</c:v>
                </c:pt>
                <c:pt idx="2220">
                  <c:v>0.38357675530072743</c:v>
                </c:pt>
                <c:pt idx="2221">
                  <c:v>0.38349066278736543</c:v>
                </c:pt>
                <c:pt idx="2222">
                  <c:v>0.38340461384814112</c:v>
                </c:pt>
                <c:pt idx="2223">
                  <c:v>0.38331860842837245</c:v>
                </c:pt>
                <c:pt idx="2224">
                  <c:v>0.38323264647344601</c:v>
                </c:pt>
                <c:pt idx="2225">
                  <c:v>0.38314672792881677</c:v>
                </c:pt>
                <c:pt idx="2226">
                  <c:v>0.38306085274000851</c:v>
                </c:pt>
                <c:pt idx="2227">
                  <c:v>0.38297502085261304</c:v>
                </c:pt>
                <c:pt idx="2228">
                  <c:v>0.38288923221229054</c:v>
                </c:pt>
                <c:pt idx="2229">
                  <c:v>0.38280348676476944</c:v>
                </c:pt>
                <c:pt idx="2230">
                  <c:v>0.38271778445584631</c:v>
                </c:pt>
                <c:pt idx="2231">
                  <c:v>0.38263212523138557</c:v>
                </c:pt>
                <c:pt idx="2232">
                  <c:v>0.38254650903731968</c:v>
                </c:pt>
                <c:pt idx="2233">
                  <c:v>0.38246093581964902</c:v>
                </c:pt>
                <c:pt idx="2234">
                  <c:v>0.3823754055244416</c:v>
                </c:pt>
                <c:pt idx="2235">
                  <c:v>0.38228991809783325</c:v>
                </c:pt>
                <c:pt idx="2236">
                  <c:v>0.38220447348602721</c:v>
                </c:pt>
                <c:pt idx="2237">
                  <c:v>0.38211907163529446</c:v>
                </c:pt>
                <c:pt idx="2238">
                  <c:v>0.38203371249197327</c:v>
                </c:pt>
                <c:pt idx="2239">
                  <c:v>0.38194839600246921</c:v>
                </c:pt>
                <c:pt idx="2240">
                  <c:v>0.38186312211325513</c:v>
                </c:pt>
                <c:pt idx="2241">
                  <c:v>0.38177789077087126</c:v>
                </c:pt>
                <c:pt idx="2242">
                  <c:v>0.38169270192192462</c:v>
                </c:pt>
                <c:pt idx="2243">
                  <c:v>0.38160755551308928</c:v>
                </c:pt>
                <c:pt idx="2244">
                  <c:v>0.38152245149110642</c:v>
                </c:pt>
                <c:pt idx="2245">
                  <c:v>0.38143738980278397</c:v>
                </c:pt>
                <c:pt idx="2246">
                  <c:v>0.38135237039499659</c:v>
                </c:pt>
                <c:pt idx="2247">
                  <c:v>0.38126739321468545</c:v>
                </c:pt>
                <c:pt idx="2248">
                  <c:v>0.3811824582088586</c:v>
                </c:pt>
                <c:pt idx="2249">
                  <c:v>0.38109756532459044</c:v>
                </c:pt>
                <c:pt idx="2250">
                  <c:v>0.38101271450902174</c:v>
                </c:pt>
                <c:pt idx="2251">
                  <c:v>0.38092790570935969</c:v>
                </c:pt>
                <c:pt idx="2252">
                  <c:v>0.38084313887287774</c:v>
                </c:pt>
                <c:pt idx="2253">
                  <c:v>0.3807584139469154</c:v>
                </c:pt>
                <c:pt idx="2254">
                  <c:v>0.38067373087887835</c:v>
                </c:pt>
                <c:pt idx="2255">
                  <c:v>0.38058908961623827</c:v>
                </c:pt>
                <c:pt idx="2256">
                  <c:v>0.38050449010653281</c:v>
                </c:pt>
                <c:pt idx="2257">
                  <c:v>0.38041993229736526</c:v>
                </c:pt>
                <c:pt idx="2258">
                  <c:v>0.38033541613640487</c:v>
                </c:pt>
                <c:pt idx="2259">
                  <c:v>0.38025094157138645</c:v>
                </c:pt>
                <c:pt idx="2260">
                  <c:v>0.38016650855011053</c:v>
                </c:pt>
                <c:pt idx="2261">
                  <c:v>0.38008211702044292</c:v>
                </c:pt>
                <c:pt idx="2262">
                  <c:v>0.37999776693031506</c:v>
                </c:pt>
                <c:pt idx="2263">
                  <c:v>0.3799134582277236</c:v>
                </c:pt>
                <c:pt idx="2264">
                  <c:v>0.37982919086073058</c:v>
                </c:pt>
                <c:pt idx="2265">
                  <c:v>0.37974496477746306</c:v>
                </c:pt>
                <c:pt idx="2266">
                  <c:v>0.3796607799261133</c:v>
                </c:pt>
                <c:pt idx="2267">
                  <c:v>0.37957663625493865</c:v>
                </c:pt>
                <c:pt idx="2268">
                  <c:v>0.37949253371226116</c:v>
                </c:pt>
                <c:pt idx="2269">
                  <c:v>0.37940847224646801</c:v>
                </c:pt>
                <c:pt idx="2270">
                  <c:v>0.37932445180601088</c:v>
                </c:pt>
                <c:pt idx="2271">
                  <c:v>0.37924047233940633</c:v>
                </c:pt>
                <c:pt idx="2272">
                  <c:v>0.37915653379523551</c:v>
                </c:pt>
                <c:pt idx="2273">
                  <c:v>0.37907263612214398</c:v>
                </c:pt>
                <c:pt idx="2274">
                  <c:v>0.37898877926884178</c:v>
                </c:pt>
                <c:pt idx="2275">
                  <c:v>0.37890496318410338</c:v>
                </c:pt>
                <c:pt idx="2276">
                  <c:v>0.37882118781676766</c:v>
                </c:pt>
                <c:pt idx="2277">
                  <c:v>0.37873745311573737</c:v>
                </c:pt>
                <c:pt idx="2278">
                  <c:v>0.37865375902997955</c:v>
                </c:pt>
                <c:pt idx="2279">
                  <c:v>0.37857010550852543</c:v>
                </c:pt>
                <c:pt idx="2280">
                  <c:v>0.37848649250047006</c:v>
                </c:pt>
                <c:pt idx="2281">
                  <c:v>0.37840291995497216</c:v>
                </c:pt>
                <c:pt idx="2282">
                  <c:v>0.37831938782125474</c:v>
                </c:pt>
                <c:pt idx="2283">
                  <c:v>0.37823589604860414</c:v>
                </c:pt>
                <c:pt idx="2284">
                  <c:v>0.37815244458637048</c:v>
                </c:pt>
                <c:pt idx="2285">
                  <c:v>0.37806903338396736</c:v>
                </c:pt>
                <c:pt idx="2286">
                  <c:v>0.377985662390872</c:v>
                </c:pt>
                <c:pt idx="2287">
                  <c:v>0.37790233155662495</c:v>
                </c:pt>
                <c:pt idx="2288">
                  <c:v>0.37781904083083012</c:v>
                </c:pt>
                <c:pt idx="2289">
                  <c:v>0.37773579016315445</c:v>
                </c:pt>
                <c:pt idx="2290">
                  <c:v>0.37765257950332837</c:v>
                </c:pt>
                <c:pt idx="2291">
                  <c:v>0.3775694088011452</c:v>
                </c:pt>
                <c:pt idx="2292">
                  <c:v>0.37748627800646134</c:v>
                </c:pt>
                <c:pt idx="2293">
                  <c:v>0.37740318706919596</c:v>
                </c:pt>
                <c:pt idx="2294">
                  <c:v>0.37732013593933139</c:v>
                </c:pt>
                <c:pt idx="2295">
                  <c:v>0.37723712456691244</c:v>
                </c:pt>
                <c:pt idx="2296">
                  <c:v>0.37715415290204657</c:v>
                </c:pt>
                <c:pt idx="2297">
                  <c:v>0.3770712208949043</c:v>
                </c:pt>
                <c:pt idx="2298">
                  <c:v>0.37698832849571817</c:v>
                </c:pt>
                <c:pt idx="2299">
                  <c:v>0.37690547565478333</c:v>
                </c:pt>
                <c:pt idx="2300">
                  <c:v>0.37682266232245742</c:v>
                </c:pt>
                <c:pt idx="2301">
                  <c:v>0.37673988844916045</c:v>
                </c:pt>
                <c:pt idx="2302">
                  <c:v>0.37665715398537425</c:v>
                </c:pt>
                <c:pt idx="2303">
                  <c:v>0.37657445888164326</c:v>
                </c:pt>
                <c:pt idx="2304">
                  <c:v>0.37649180308857361</c:v>
                </c:pt>
                <c:pt idx="2305">
                  <c:v>0.3764091865568337</c:v>
                </c:pt>
                <c:pt idx="2306">
                  <c:v>0.37632660923715366</c:v>
                </c:pt>
                <c:pt idx="2307">
                  <c:v>0.37624407108032554</c:v>
                </c:pt>
                <c:pt idx="2308">
                  <c:v>0.37616157203720302</c:v>
                </c:pt>
                <c:pt idx="2309">
                  <c:v>0.37607911205870159</c:v>
                </c:pt>
                <c:pt idx="2310">
                  <c:v>0.37599669109579842</c:v>
                </c:pt>
                <c:pt idx="2311">
                  <c:v>0.37591430909953177</c:v>
                </c:pt>
                <c:pt idx="2312">
                  <c:v>0.37583196602100194</c:v>
                </c:pt>
                <c:pt idx="2313">
                  <c:v>0.37574966181137015</c:v>
                </c:pt>
                <c:pt idx="2314">
                  <c:v>0.37566739642185903</c:v>
                </c:pt>
                <c:pt idx="2315">
                  <c:v>0.37558516980375251</c:v>
                </c:pt>
                <c:pt idx="2316">
                  <c:v>0.37550298190839559</c:v>
                </c:pt>
                <c:pt idx="2317">
                  <c:v>0.37542083268719428</c:v>
                </c:pt>
                <c:pt idx="2318">
                  <c:v>0.37533872209161567</c:v>
                </c:pt>
                <c:pt idx="2319">
                  <c:v>0.37525665007318765</c:v>
                </c:pt>
                <c:pt idx="2320">
                  <c:v>0.37517461658349904</c:v>
                </c:pt>
                <c:pt idx="2321">
                  <c:v>0.37509262157419937</c:v>
                </c:pt>
                <c:pt idx="2322">
                  <c:v>0.37501066499699887</c:v>
                </c:pt>
                <c:pt idx="2323">
                  <c:v>0.37492874680366822</c:v>
                </c:pt>
                <c:pt idx="2324">
                  <c:v>0.37484686694603886</c:v>
                </c:pt>
                <c:pt idx="2325">
                  <c:v>0.37476502537600254</c:v>
                </c:pt>
                <c:pt idx="2326">
                  <c:v>0.37468322204551135</c:v>
                </c:pt>
                <c:pt idx="2327">
                  <c:v>0.37460145690657781</c:v>
                </c:pt>
                <c:pt idx="2328">
                  <c:v>0.37451972991127458</c:v>
                </c:pt>
                <c:pt idx="2329">
                  <c:v>0.37443804101173445</c:v>
                </c:pt>
                <c:pt idx="2330">
                  <c:v>0.37435639016015021</c:v>
                </c:pt>
                <c:pt idx="2331">
                  <c:v>0.37427477730877484</c:v>
                </c:pt>
                <c:pt idx="2332">
                  <c:v>0.3741932024099211</c:v>
                </c:pt>
                <c:pt idx="2333">
                  <c:v>0.37411166541596164</c:v>
                </c:pt>
                <c:pt idx="2334">
                  <c:v>0.37403016627932872</c:v>
                </c:pt>
                <c:pt idx="2335">
                  <c:v>0.3739487049525147</c:v>
                </c:pt>
                <c:pt idx="2336">
                  <c:v>0.37386728138807113</c:v>
                </c:pt>
                <c:pt idx="2337">
                  <c:v>0.37378589553860925</c:v>
                </c:pt>
                <c:pt idx="2338">
                  <c:v>0.37370454735679981</c:v>
                </c:pt>
                <c:pt idx="2339">
                  <c:v>0.3736232367953729</c:v>
                </c:pt>
                <c:pt idx="2340">
                  <c:v>0.37354196380711813</c:v>
                </c:pt>
                <c:pt idx="2341">
                  <c:v>0.37346072834488397</c:v>
                </c:pt>
                <c:pt idx="2342">
                  <c:v>0.37337953036157834</c:v>
                </c:pt>
                <c:pt idx="2343">
                  <c:v>0.37329836981016828</c:v>
                </c:pt>
                <c:pt idx="2344">
                  <c:v>0.37321724664367972</c:v>
                </c:pt>
                <c:pt idx="2345">
                  <c:v>0.37313616081519752</c:v>
                </c:pt>
                <c:pt idx="2346">
                  <c:v>0.37305511227786559</c:v>
                </c:pt>
                <c:pt idx="2347">
                  <c:v>0.37297410098488648</c:v>
                </c:pt>
                <c:pt idx="2348">
                  <c:v>0.37289312688952153</c:v>
                </c:pt>
                <c:pt idx="2349">
                  <c:v>0.37281218994509063</c:v>
                </c:pt>
                <c:pt idx="2350">
                  <c:v>0.37273129010497247</c:v>
                </c:pt>
                <c:pt idx="2351">
                  <c:v>0.37265042732260412</c:v>
                </c:pt>
                <c:pt idx="2352">
                  <c:v>0.37256960155148094</c:v>
                </c:pt>
                <c:pt idx="2353">
                  <c:v>0.37248881274515688</c:v>
                </c:pt>
                <c:pt idx="2354">
                  <c:v>0.37240806085724415</c:v>
                </c:pt>
                <c:pt idx="2355">
                  <c:v>0.37232734584141297</c:v>
                </c:pt>
                <c:pt idx="2356">
                  <c:v>0.37224666765139192</c:v>
                </c:pt>
                <c:pt idx="2357">
                  <c:v>0.37216602624096762</c:v>
                </c:pt>
                <c:pt idx="2358">
                  <c:v>0.3720854215639845</c:v>
                </c:pt>
                <c:pt idx="2359">
                  <c:v>0.37200485357434515</c:v>
                </c:pt>
                <c:pt idx="2360">
                  <c:v>0.3719243222260098</c:v>
                </c:pt>
                <c:pt idx="2361">
                  <c:v>0.37184382747299666</c:v>
                </c:pt>
                <c:pt idx="2362">
                  <c:v>0.37176336926938147</c:v>
                </c:pt>
                <c:pt idx="2363">
                  <c:v>0.37168294756929776</c:v>
                </c:pt>
                <c:pt idx="2364">
                  <c:v>0.37160256232693634</c:v>
                </c:pt>
                <c:pt idx="2365">
                  <c:v>0.37152221349654591</c:v>
                </c:pt>
                <c:pt idx="2366">
                  <c:v>0.3714419010324323</c:v>
                </c:pt>
                <c:pt idx="2367">
                  <c:v>0.37136162488895869</c:v>
                </c:pt>
                <c:pt idx="2368">
                  <c:v>0.37128138502054558</c:v>
                </c:pt>
                <c:pt idx="2369">
                  <c:v>0.3712011813816708</c:v>
                </c:pt>
                <c:pt idx="2370">
                  <c:v>0.37112101392686914</c:v>
                </c:pt>
                <c:pt idx="2371">
                  <c:v>0.37104088261073243</c:v>
                </c:pt>
                <c:pt idx="2372">
                  <c:v>0.37096078738790961</c:v>
                </c:pt>
                <c:pt idx="2373">
                  <c:v>0.37088072821310647</c:v>
                </c:pt>
                <c:pt idx="2374">
                  <c:v>0.37080070504108564</c:v>
                </c:pt>
                <c:pt idx="2375">
                  <c:v>0.37072071782666649</c:v>
                </c:pt>
                <c:pt idx="2376">
                  <c:v>0.37064076652472516</c:v>
                </c:pt>
                <c:pt idx="2377">
                  <c:v>0.37056085109019432</c:v>
                </c:pt>
                <c:pt idx="2378">
                  <c:v>0.37048097147806336</c:v>
                </c:pt>
                <c:pt idx="2379">
                  <c:v>0.37040112764337785</c:v>
                </c:pt>
                <c:pt idx="2380">
                  <c:v>0.37032131954124015</c:v>
                </c:pt>
                <c:pt idx="2381">
                  <c:v>0.37024154712680873</c:v>
                </c:pt>
                <c:pt idx="2382">
                  <c:v>0.37016181035529833</c:v>
                </c:pt>
                <c:pt idx="2383">
                  <c:v>0.37008210918197998</c:v>
                </c:pt>
                <c:pt idx="2384">
                  <c:v>0.37000244356218087</c:v>
                </c:pt>
                <c:pt idx="2385">
                  <c:v>0.36992281345128414</c:v>
                </c:pt>
                <c:pt idx="2386">
                  <c:v>0.36984321880472887</c:v>
                </c:pt>
                <c:pt idx="2387">
                  <c:v>0.36976365957801033</c:v>
                </c:pt>
                <c:pt idx="2388">
                  <c:v>0.36968413572667941</c:v>
                </c:pt>
                <c:pt idx="2389">
                  <c:v>0.36960464720634278</c:v>
                </c:pt>
                <c:pt idx="2390">
                  <c:v>0.36952519397266292</c:v>
                </c:pt>
                <c:pt idx="2391">
                  <c:v>0.36944577598135797</c:v>
                </c:pt>
                <c:pt idx="2392">
                  <c:v>0.36936639318820147</c:v>
                </c:pt>
                <c:pt idx="2393">
                  <c:v>0.36928704554902264</c:v>
                </c:pt>
                <c:pt idx="2394">
                  <c:v>0.369207733019706</c:v>
                </c:pt>
                <c:pt idx="2395">
                  <c:v>0.36912845555619156</c:v>
                </c:pt>
                <c:pt idx="2396">
                  <c:v>0.36904921311447458</c:v>
                </c:pt>
                <c:pt idx="2397">
                  <c:v>0.36897000565060545</c:v>
                </c:pt>
                <c:pt idx="2398">
                  <c:v>0.36889083312068971</c:v>
                </c:pt>
                <c:pt idx="2399">
                  <c:v>0.36881169548088821</c:v>
                </c:pt>
                <c:pt idx="2400">
                  <c:v>0.36873259268741659</c:v>
                </c:pt>
                <c:pt idx="2401">
                  <c:v>0.3686535246965455</c:v>
                </c:pt>
                <c:pt idx="2402">
                  <c:v>0.36857449146460042</c:v>
                </c:pt>
                <c:pt idx="2403">
                  <c:v>0.3684954929479618</c:v>
                </c:pt>
                <c:pt idx="2404">
                  <c:v>0.36841652910306472</c:v>
                </c:pt>
                <c:pt idx="2405">
                  <c:v>0.36833759988639875</c:v>
                </c:pt>
                <c:pt idx="2406">
                  <c:v>0.36825870525450843</c:v>
                </c:pt>
                <c:pt idx="2407">
                  <c:v>0.3681798451639926</c:v>
                </c:pt>
                <c:pt idx="2408">
                  <c:v>0.36810101957150454</c:v>
                </c:pt>
                <c:pt idx="2409">
                  <c:v>0.36802222843375204</c:v>
                </c:pt>
                <c:pt idx="2410">
                  <c:v>0.36794347170749719</c:v>
                </c:pt>
                <c:pt idx="2411">
                  <c:v>0.36786474934955626</c:v>
                </c:pt>
                <c:pt idx="2412">
                  <c:v>0.36778606131679992</c:v>
                </c:pt>
                <c:pt idx="2413">
                  <c:v>0.36770740756615261</c:v>
                </c:pt>
                <c:pt idx="2414">
                  <c:v>0.36762878805459326</c:v>
                </c:pt>
                <c:pt idx="2415">
                  <c:v>0.3675502027391544</c:v>
                </c:pt>
                <c:pt idx="2416">
                  <c:v>0.36747165157692274</c:v>
                </c:pt>
                <c:pt idx="2417">
                  <c:v>0.36739313452503863</c:v>
                </c:pt>
                <c:pt idx="2418">
                  <c:v>0.36731465154069648</c:v>
                </c:pt>
                <c:pt idx="2419">
                  <c:v>0.3672362025811442</c:v>
                </c:pt>
                <c:pt idx="2420">
                  <c:v>0.36715778760368328</c:v>
                </c:pt>
                <c:pt idx="2421">
                  <c:v>0.36707940656566912</c:v>
                </c:pt>
                <c:pt idx="2422">
                  <c:v>0.36700105942451033</c:v>
                </c:pt>
                <c:pt idx="2423">
                  <c:v>0.36692274613766918</c:v>
                </c:pt>
                <c:pt idx="2424">
                  <c:v>0.36684446666266102</c:v>
                </c:pt>
                <c:pt idx="2425">
                  <c:v>0.36676622095705491</c:v>
                </c:pt>
                <c:pt idx="2426">
                  <c:v>0.36668800897847292</c:v>
                </c:pt>
                <c:pt idx="2427">
                  <c:v>0.3666098306845903</c:v>
                </c:pt>
                <c:pt idx="2428">
                  <c:v>0.36653168603313541</c:v>
                </c:pt>
                <c:pt idx="2429">
                  <c:v>0.3664535749818898</c:v>
                </c:pt>
                <c:pt idx="2430">
                  <c:v>0.36637549748868792</c:v>
                </c:pt>
                <c:pt idx="2431">
                  <c:v>0.36629745351141707</c:v>
                </c:pt>
                <c:pt idx="2432">
                  <c:v>0.3662194430080174</c:v>
                </c:pt>
                <c:pt idx="2433">
                  <c:v>0.366141465936482</c:v>
                </c:pt>
                <c:pt idx="2434">
                  <c:v>0.3660635222548565</c:v>
                </c:pt>
                <c:pt idx="2435">
                  <c:v>0.36598561192123918</c:v>
                </c:pt>
                <c:pt idx="2436">
                  <c:v>0.36590773489378114</c:v>
                </c:pt>
                <c:pt idx="2437">
                  <c:v>0.3658298911306857</c:v>
                </c:pt>
                <c:pt idx="2438">
                  <c:v>0.36575208059020881</c:v>
                </c:pt>
                <c:pt idx="2439">
                  <c:v>0.36567430323065858</c:v>
                </c:pt>
                <c:pt idx="2440">
                  <c:v>0.36559655901039589</c:v>
                </c:pt>
                <c:pt idx="2441">
                  <c:v>0.36551884788783345</c:v>
                </c:pt>
                <c:pt idx="2442">
                  <c:v>0.36544116982143632</c:v>
                </c:pt>
                <c:pt idx="2443">
                  <c:v>0.36536352476972161</c:v>
                </c:pt>
                <c:pt idx="2444">
                  <c:v>0.36528591269125865</c:v>
                </c:pt>
                <c:pt idx="2445">
                  <c:v>0.36520833354466858</c:v>
                </c:pt>
                <c:pt idx="2446">
                  <c:v>0.36513078728862458</c:v>
                </c:pt>
                <c:pt idx="2447">
                  <c:v>0.3650532738818516</c:v>
                </c:pt>
                <c:pt idx="2448">
                  <c:v>0.36497579328312657</c:v>
                </c:pt>
                <c:pt idx="2449">
                  <c:v>0.36489834545127786</c:v>
                </c:pt>
                <c:pt idx="2450">
                  <c:v>0.36482093034518576</c:v>
                </c:pt>
                <c:pt idx="2451">
                  <c:v>0.36474354792378211</c:v>
                </c:pt>
                <c:pt idx="2452">
                  <c:v>0.36466619814605022</c:v>
                </c:pt>
                <c:pt idx="2453">
                  <c:v>0.36458888097102488</c:v>
                </c:pt>
                <c:pt idx="2454">
                  <c:v>0.36451159635779229</c:v>
                </c:pt>
                <c:pt idx="2455">
                  <c:v>0.3644343442654901</c:v>
                </c:pt>
                <c:pt idx="2456">
                  <c:v>0.36435712465330705</c:v>
                </c:pt>
                <c:pt idx="2457">
                  <c:v>0.36427993748048332</c:v>
                </c:pt>
                <c:pt idx="2458">
                  <c:v>0.36420278270630996</c:v>
                </c:pt>
                <c:pt idx="2459">
                  <c:v>0.36412566029012944</c:v>
                </c:pt>
                <c:pt idx="2460">
                  <c:v>0.36404857019133496</c:v>
                </c:pt>
                <c:pt idx="2461">
                  <c:v>0.36397151236937086</c:v>
                </c:pt>
                <c:pt idx="2462">
                  <c:v>0.36389448678373221</c:v>
                </c:pt>
                <c:pt idx="2463">
                  <c:v>0.36381749339396513</c:v>
                </c:pt>
                <c:pt idx="2464">
                  <c:v>0.36374053215966634</c:v>
                </c:pt>
                <c:pt idx="2465">
                  <c:v>0.36366360304048323</c:v>
                </c:pt>
                <c:pt idx="2466">
                  <c:v>0.36358670599611409</c:v>
                </c:pt>
                <c:pt idx="2467">
                  <c:v>0.36350984098630745</c:v>
                </c:pt>
                <c:pt idx="2468">
                  <c:v>0.36343300797086259</c:v>
                </c:pt>
                <c:pt idx="2469">
                  <c:v>0.36335620690962905</c:v>
                </c:pt>
                <c:pt idx="2470">
                  <c:v>0.36327943776250704</c:v>
                </c:pt>
                <c:pt idx="2471">
                  <c:v>0.36320270048944681</c:v>
                </c:pt>
                <c:pt idx="2472">
                  <c:v>0.3631259950504489</c:v>
                </c:pt>
                <c:pt idx="2473">
                  <c:v>0.36304932140556417</c:v>
                </c:pt>
                <c:pt idx="2474">
                  <c:v>0.36297267951489359</c:v>
                </c:pt>
                <c:pt idx="2475">
                  <c:v>0.3628960693385882</c:v>
                </c:pt>
                <c:pt idx="2476">
                  <c:v>0.36281949083684895</c:v>
                </c:pt>
                <c:pt idx="2477">
                  <c:v>0.36274294396992679</c:v>
                </c:pt>
                <c:pt idx="2478">
                  <c:v>0.36266642869812266</c:v>
                </c:pt>
                <c:pt idx="2479">
                  <c:v>0.3625899449817872</c:v>
                </c:pt>
                <c:pt idx="2480">
                  <c:v>0.36251349278132072</c:v>
                </c:pt>
                <c:pt idx="2481">
                  <c:v>0.36243707205717351</c:v>
                </c:pt>
                <c:pt idx="2482">
                  <c:v>0.36236068276984518</c:v>
                </c:pt>
                <c:pt idx="2483">
                  <c:v>0.3622843248798851</c:v>
                </c:pt>
                <c:pt idx="2484">
                  <c:v>0.36220799834789202</c:v>
                </c:pt>
                <c:pt idx="2485">
                  <c:v>0.36213170313451437</c:v>
                </c:pt>
                <c:pt idx="2486">
                  <c:v>0.36205543920044969</c:v>
                </c:pt>
                <c:pt idx="2487">
                  <c:v>0.36197920650644494</c:v>
                </c:pt>
                <c:pt idx="2488">
                  <c:v>0.36190300501329636</c:v>
                </c:pt>
                <c:pt idx="2489">
                  <c:v>0.36182683468184945</c:v>
                </c:pt>
                <c:pt idx="2490">
                  <c:v>0.36175069547299876</c:v>
                </c:pt>
                <c:pt idx="2491">
                  <c:v>0.36167458734768787</c:v>
                </c:pt>
                <c:pt idx="2492">
                  <c:v>0.36159851026690948</c:v>
                </c:pt>
                <c:pt idx="2493">
                  <c:v>0.36152246419170514</c:v>
                </c:pt>
                <c:pt idx="2494">
                  <c:v>0.36144644908316548</c:v>
                </c:pt>
                <c:pt idx="2495">
                  <c:v>0.36137046490242963</c:v>
                </c:pt>
                <c:pt idx="2496">
                  <c:v>0.36129451161068582</c:v>
                </c:pt>
                <c:pt idx="2497">
                  <c:v>0.36121858916917088</c:v>
                </c:pt>
                <c:pt idx="2498">
                  <c:v>0.36114269753917011</c:v>
                </c:pt>
                <c:pt idx="2499">
                  <c:v>0.36106683668201756</c:v>
                </c:pt>
                <c:pt idx="2500">
                  <c:v>0.36099100655909588</c:v>
                </c:pt>
                <c:pt idx="2501">
                  <c:v>0.36091520713183606</c:v>
                </c:pt>
                <c:pt idx="2502">
                  <c:v>0.36083943836171739</c:v>
                </c:pt>
                <c:pt idx="2503">
                  <c:v>0.36076370021026766</c:v>
                </c:pt>
                <c:pt idx="2504">
                  <c:v>0.36068799263906304</c:v>
                </c:pt>
                <c:pt idx="2505">
                  <c:v>0.36061231560972762</c:v>
                </c:pt>
                <c:pt idx="2506">
                  <c:v>0.36053666908393389</c:v>
                </c:pt>
                <c:pt idx="2507">
                  <c:v>0.36046105302340226</c:v>
                </c:pt>
                <c:pt idx="2508">
                  <c:v>0.36038546738990135</c:v>
                </c:pt>
                <c:pt idx="2509">
                  <c:v>0.36030991214524771</c:v>
                </c:pt>
                <c:pt idx="2510">
                  <c:v>0.36023438725130569</c:v>
                </c:pt>
                <c:pt idx="2511">
                  <c:v>0.36015889266998768</c:v>
                </c:pt>
                <c:pt idx="2512">
                  <c:v>0.36008342836325374</c:v>
                </c:pt>
                <c:pt idx="2513">
                  <c:v>0.36000799429311164</c:v>
                </c:pt>
                <c:pt idx="2514">
                  <c:v>0.3599325904216169</c:v>
                </c:pt>
                <c:pt idx="2515">
                  <c:v>0.35985721671087267</c:v>
                </c:pt>
                <c:pt idx="2516">
                  <c:v>0.35978187312302967</c:v>
                </c:pt>
                <c:pt idx="2517">
                  <c:v>0.35970655962028608</c:v>
                </c:pt>
                <c:pt idx="2518">
                  <c:v>0.35963127616488733</c:v>
                </c:pt>
                <c:pt idx="2519">
                  <c:v>0.35955602271912668</c:v>
                </c:pt>
                <c:pt idx="2520">
                  <c:v>0.35948079924534426</c:v>
                </c:pt>
                <c:pt idx="2521">
                  <c:v>0.35940560570592778</c:v>
                </c:pt>
                <c:pt idx="2522">
                  <c:v>0.35933044206331183</c:v>
                </c:pt>
                <c:pt idx="2523">
                  <c:v>0.35925530827997854</c:v>
                </c:pt>
                <c:pt idx="2524">
                  <c:v>0.35918020431845676</c:v>
                </c:pt>
                <c:pt idx="2525">
                  <c:v>0.3591051301413225</c:v>
                </c:pt>
                <c:pt idx="2526">
                  <c:v>0.35903008571119888</c:v>
                </c:pt>
                <c:pt idx="2527">
                  <c:v>0.35895507099075574</c:v>
                </c:pt>
                <c:pt idx="2528">
                  <c:v>0.3588800859427097</c:v>
                </c:pt>
                <c:pt idx="2529">
                  <c:v>0.35880513052982438</c:v>
                </c:pt>
                <c:pt idx="2530">
                  <c:v>0.35873020471491013</c:v>
                </c:pt>
                <c:pt idx="2531">
                  <c:v>0.35865530846082366</c:v>
                </c:pt>
                <c:pt idx="2532">
                  <c:v>0.35858044173046871</c:v>
                </c:pt>
                <c:pt idx="2533">
                  <c:v>0.35850560448679519</c:v>
                </c:pt>
                <c:pt idx="2534">
                  <c:v>0.35843079669279981</c:v>
                </c:pt>
                <c:pt idx="2535">
                  <c:v>0.35835601831152553</c:v>
                </c:pt>
                <c:pt idx="2536">
                  <c:v>0.3582812693060618</c:v>
                </c:pt>
                <c:pt idx="2537">
                  <c:v>0.35820654963954424</c:v>
                </c:pt>
                <c:pt idx="2538">
                  <c:v>0.35813185927515495</c:v>
                </c:pt>
                <c:pt idx="2539">
                  <c:v>0.35805719817612203</c:v>
                </c:pt>
                <c:pt idx="2540">
                  <c:v>0.35798256630571973</c:v>
                </c:pt>
                <c:pt idx="2541">
                  <c:v>0.35790796362726873</c:v>
                </c:pt>
                <c:pt idx="2542">
                  <c:v>0.35783339010413523</c:v>
                </c:pt>
                <c:pt idx="2543">
                  <c:v>0.35775884569973176</c:v>
                </c:pt>
                <c:pt idx="2544">
                  <c:v>0.35768433037751651</c:v>
                </c:pt>
                <c:pt idx="2545">
                  <c:v>0.35760984410099389</c:v>
                </c:pt>
                <c:pt idx="2546">
                  <c:v>0.35753538683371378</c:v>
                </c:pt>
                <c:pt idx="2547">
                  <c:v>0.3574609585392719</c:v>
                </c:pt>
                <c:pt idx="2548">
                  <c:v>0.35738655918130963</c:v>
                </c:pt>
                <c:pt idx="2549">
                  <c:v>0.35731218872351406</c:v>
                </c:pt>
                <c:pt idx="2550">
                  <c:v>0.35723784712961787</c:v>
                </c:pt>
                <c:pt idx="2551">
                  <c:v>0.35716353436339909</c:v>
                </c:pt>
                <c:pt idx="2552">
                  <c:v>0.35708925038868122</c:v>
                </c:pt>
                <c:pt idx="2553">
                  <c:v>0.35701499516933344</c:v>
                </c:pt>
                <c:pt idx="2554">
                  <c:v>0.35694076866926994</c:v>
                </c:pt>
                <c:pt idx="2555">
                  <c:v>0.35686657085245033</c:v>
                </c:pt>
                <c:pt idx="2556">
                  <c:v>0.35679240168287951</c:v>
                </c:pt>
                <c:pt idx="2557">
                  <c:v>0.35671826112460742</c:v>
                </c:pt>
                <c:pt idx="2558">
                  <c:v>0.35664414914172921</c:v>
                </c:pt>
                <c:pt idx="2559">
                  <c:v>0.35657006569838501</c:v>
                </c:pt>
                <c:pt idx="2560">
                  <c:v>0.35649601075876003</c:v>
                </c:pt>
                <c:pt idx="2561">
                  <c:v>0.35642198428708444</c:v>
                </c:pt>
                <c:pt idx="2562">
                  <c:v>0.3563479862476332</c:v>
                </c:pt>
                <c:pt idx="2563">
                  <c:v>0.35627401660472607</c:v>
                </c:pt>
                <c:pt idx="2564">
                  <c:v>0.35620007532272785</c:v>
                </c:pt>
                <c:pt idx="2565">
                  <c:v>0.35612616236604777</c:v>
                </c:pt>
                <c:pt idx="2566">
                  <c:v>0.35605227769913983</c:v>
                </c:pt>
                <c:pt idx="2567">
                  <c:v>0.35597842128650253</c:v>
                </c:pt>
                <c:pt idx="2568">
                  <c:v>0.3559045930926793</c:v>
                </c:pt>
                <c:pt idx="2569">
                  <c:v>0.35583079308225757</c:v>
                </c:pt>
                <c:pt idx="2570">
                  <c:v>0.35575702121986946</c:v>
                </c:pt>
                <c:pt idx="2571">
                  <c:v>0.35568327747019157</c:v>
                </c:pt>
                <c:pt idx="2572">
                  <c:v>0.35560956179794462</c:v>
                </c:pt>
                <c:pt idx="2573">
                  <c:v>0.35553587416789367</c:v>
                </c:pt>
                <c:pt idx="2574">
                  <c:v>0.35546221454484805</c:v>
                </c:pt>
                <c:pt idx="2575">
                  <c:v>0.35538858289366126</c:v>
                </c:pt>
                <c:pt idx="2576">
                  <c:v>0.35531497917923077</c:v>
                </c:pt>
                <c:pt idx="2577">
                  <c:v>0.35524140336649829</c:v>
                </c:pt>
                <c:pt idx="2578">
                  <c:v>0.35516785542044932</c:v>
                </c:pt>
                <c:pt idx="2579">
                  <c:v>0.35509433530611345</c:v>
                </c:pt>
                <c:pt idx="2580">
                  <c:v>0.35502084298856418</c:v>
                </c:pt>
                <c:pt idx="2581">
                  <c:v>0.35494737843291879</c:v>
                </c:pt>
                <c:pt idx="2582">
                  <c:v>0.35487394160433811</c:v>
                </c:pt>
                <c:pt idx="2583">
                  <c:v>0.35480053246802717</c:v>
                </c:pt>
                <c:pt idx="2584">
                  <c:v>0.35472715098923424</c:v>
                </c:pt>
                <c:pt idx="2585">
                  <c:v>0.35465379713325135</c:v>
                </c:pt>
                <c:pt idx="2586">
                  <c:v>0.35458047086541417</c:v>
                </c:pt>
                <c:pt idx="2587">
                  <c:v>0.35450717215110178</c:v>
                </c:pt>
                <c:pt idx="2588">
                  <c:v>0.35443390095573668</c:v>
                </c:pt>
                <c:pt idx="2589">
                  <c:v>0.35436065724478483</c:v>
                </c:pt>
                <c:pt idx="2590">
                  <c:v>0.35428744098375547</c:v>
                </c:pt>
                <c:pt idx="2591">
                  <c:v>0.35421425213820118</c:v>
                </c:pt>
                <c:pt idx="2592">
                  <c:v>0.35414109067371774</c:v>
                </c:pt>
                <c:pt idx="2593">
                  <c:v>0.35406795655594403</c:v>
                </c:pt>
                <c:pt idx="2594">
                  <c:v>0.35399484975056222</c:v>
                </c:pt>
                <c:pt idx="2595">
                  <c:v>0.35392177022329746</c:v>
                </c:pt>
                <c:pt idx="2596">
                  <c:v>0.35384871793991785</c:v>
                </c:pt>
                <c:pt idx="2597">
                  <c:v>0.35377569286623445</c:v>
                </c:pt>
                <c:pt idx="2598">
                  <c:v>0.35370269496810136</c:v>
                </c:pt>
                <c:pt idx="2599">
                  <c:v>0.35362972421141547</c:v>
                </c:pt>
                <c:pt idx="2600">
                  <c:v>0.35355678056211637</c:v>
                </c:pt>
                <c:pt idx="2601">
                  <c:v>0.35348386398618653</c:v>
                </c:pt>
                <c:pt idx="2602">
                  <c:v>0.35341097444965103</c:v>
                </c:pt>
                <c:pt idx="2603">
                  <c:v>0.35333811191857756</c:v>
                </c:pt>
                <c:pt idx="2604">
                  <c:v>0.35326527635907645</c:v>
                </c:pt>
                <c:pt idx="2605">
                  <c:v>0.35319246773730056</c:v>
                </c:pt>
                <c:pt idx="2606">
                  <c:v>0.35311968601944521</c:v>
                </c:pt>
                <c:pt idx="2607">
                  <c:v>0.35304693117174818</c:v>
                </c:pt>
                <c:pt idx="2608">
                  <c:v>0.35297420316048944</c:v>
                </c:pt>
                <c:pt idx="2609">
                  <c:v>0.35290150195199155</c:v>
                </c:pt>
                <c:pt idx="2610">
                  <c:v>0.35282882751261913</c:v>
                </c:pt>
                <c:pt idx="2611">
                  <c:v>0.35275617980877916</c:v>
                </c:pt>
                <c:pt idx="2612">
                  <c:v>0.35268355880692054</c:v>
                </c:pt>
                <c:pt idx="2613">
                  <c:v>0.35261096447353457</c:v>
                </c:pt>
                <c:pt idx="2614">
                  <c:v>0.35253839677515442</c:v>
                </c:pt>
                <c:pt idx="2615">
                  <c:v>0.35246585567835526</c:v>
                </c:pt>
                <c:pt idx="2616">
                  <c:v>0.35239334114975429</c:v>
                </c:pt>
                <c:pt idx="2617">
                  <c:v>0.35232085315601058</c:v>
                </c:pt>
                <c:pt idx="2618">
                  <c:v>0.35224839166382493</c:v>
                </c:pt>
                <c:pt idx="2619">
                  <c:v>0.35217595663994</c:v>
                </c:pt>
                <c:pt idx="2620">
                  <c:v>0.3521035480511403</c:v>
                </c:pt>
                <c:pt idx="2621">
                  <c:v>0.35203116586425193</c:v>
                </c:pt>
                <c:pt idx="2622">
                  <c:v>0.35195881004614249</c:v>
                </c:pt>
                <c:pt idx="2623">
                  <c:v>0.35188648056372129</c:v>
                </c:pt>
                <c:pt idx="2624">
                  <c:v>0.35181417738393927</c:v>
                </c:pt>
                <c:pt idx="2625">
                  <c:v>0.35174190047378873</c:v>
                </c:pt>
                <c:pt idx="2626">
                  <c:v>0.3516696498003033</c:v>
                </c:pt>
                <c:pt idx="2627">
                  <c:v>0.35159742533055799</c:v>
                </c:pt>
                <c:pt idx="2628">
                  <c:v>0.35152522703166944</c:v>
                </c:pt>
                <c:pt idx="2629">
                  <c:v>0.3514530548707952</c:v>
                </c:pt>
                <c:pt idx="2630">
                  <c:v>0.35138090881513423</c:v>
                </c:pt>
                <c:pt idx="2631">
                  <c:v>0.3513087888319264</c:v>
                </c:pt>
                <c:pt idx="2632">
                  <c:v>0.35123669488845305</c:v>
                </c:pt>
                <c:pt idx="2633">
                  <c:v>0.35116462695203637</c:v>
                </c:pt>
                <c:pt idx="2634">
                  <c:v>0.35109258499003954</c:v>
                </c:pt>
                <c:pt idx="2635">
                  <c:v>0.35102056896986683</c:v>
                </c:pt>
                <c:pt idx="2636">
                  <c:v>0.3509485788589633</c:v>
                </c:pt>
                <c:pt idx="2637">
                  <c:v>0.3508766146248149</c:v>
                </c:pt>
                <c:pt idx="2638">
                  <c:v>0.35080467623494827</c:v>
                </c:pt>
                <c:pt idx="2639">
                  <c:v>0.35073276365693112</c:v>
                </c:pt>
                <c:pt idx="2640">
                  <c:v>0.3506608768583715</c:v>
                </c:pt>
                <c:pt idx="2641">
                  <c:v>0.35058901580691831</c:v>
                </c:pt>
                <c:pt idx="2642">
                  <c:v>0.35051718047026098</c:v>
                </c:pt>
                <c:pt idx="2643">
                  <c:v>0.35044537081612953</c:v>
                </c:pt>
                <c:pt idx="2644">
                  <c:v>0.35037358681229447</c:v>
                </c:pt>
                <c:pt idx="2645">
                  <c:v>0.35030182842656671</c:v>
                </c:pt>
                <c:pt idx="2646">
                  <c:v>0.35023009562679752</c:v>
                </c:pt>
                <c:pt idx="2647">
                  <c:v>0.3501583883808787</c:v>
                </c:pt>
                <c:pt idx="2648">
                  <c:v>0.35008670665674219</c:v>
                </c:pt>
                <c:pt idx="2649">
                  <c:v>0.35001505042236009</c:v>
                </c:pt>
                <c:pt idx="2650">
                  <c:v>0.34994341964574494</c:v>
                </c:pt>
                <c:pt idx="2651">
                  <c:v>0.34987181429494923</c:v>
                </c:pt>
                <c:pt idx="2652">
                  <c:v>0.34980023433806562</c:v>
                </c:pt>
                <c:pt idx="2653">
                  <c:v>0.34972867974322669</c:v>
                </c:pt>
                <c:pt idx="2654">
                  <c:v>0.34965715047860524</c:v>
                </c:pt>
                <c:pt idx="2655">
                  <c:v>0.34958564651241386</c:v>
                </c:pt>
                <c:pt idx="2656">
                  <c:v>0.34951416781290506</c:v>
                </c:pt>
                <c:pt idx="2657">
                  <c:v>0.3494427143483711</c:v>
                </c:pt>
                <c:pt idx="2658">
                  <c:v>0.34937128608714418</c:v>
                </c:pt>
                <c:pt idx="2659">
                  <c:v>0.34929988299759612</c:v>
                </c:pt>
                <c:pt idx="2660">
                  <c:v>0.34922850504813857</c:v>
                </c:pt>
                <c:pt idx="2661">
                  <c:v>0.34915715220722265</c:v>
                </c:pt>
                <c:pt idx="2662">
                  <c:v>0.34908582444333924</c:v>
                </c:pt>
                <c:pt idx="2663">
                  <c:v>0.34901452172501857</c:v>
                </c:pt>
                <c:pt idx="2664">
                  <c:v>0.34894324402083055</c:v>
                </c:pt>
                <c:pt idx="2665">
                  <c:v>0.34887199129938445</c:v>
                </c:pt>
                <c:pt idx="2666">
                  <c:v>0.34880076352932893</c:v>
                </c:pt>
                <c:pt idx="2667">
                  <c:v>0.34872956067935201</c:v>
                </c:pt>
                <c:pt idx="2668">
                  <c:v>0.34865838271818089</c:v>
                </c:pt>
                <c:pt idx="2669">
                  <c:v>0.34858722961458227</c:v>
                </c:pt>
                <c:pt idx="2670">
                  <c:v>0.34851610133736177</c:v>
                </c:pt>
                <c:pt idx="2671">
                  <c:v>0.34844499785536437</c:v>
                </c:pt>
                <c:pt idx="2672">
                  <c:v>0.34837391913747395</c:v>
                </c:pt>
                <c:pt idx="2673">
                  <c:v>0.34830286515261372</c:v>
                </c:pt>
                <c:pt idx="2674">
                  <c:v>0.34823183586974554</c:v>
                </c:pt>
                <c:pt idx="2675">
                  <c:v>0.34816083125787045</c:v>
                </c:pt>
                <c:pt idx="2676">
                  <c:v>0.34808985128602832</c:v>
                </c:pt>
                <c:pt idx="2677">
                  <c:v>0.34801889592329799</c:v>
                </c:pt>
                <c:pt idx="2678">
                  <c:v>0.34794796513879689</c:v>
                </c:pt>
                <c:pt idx="2679">
                  <c:v>0.3478770589016813</c:v>
                </c:pt>
                <c:pt idx="2680">
                  <c:v>0.34780617718114631</c:v>
                </c:pt>
                <c:pt idx="2681">
                  <c:v>0.34773531994642554</c:v>
                </c:pt>
                <c:pt idx="2682">
                  <c:v>0.34766448716679127</c:v>
                </c:pt>
                <c:pt idx="2683">
                  <c:v>0.34759367881155429</c:v>
                </c:pt>
                <c:pt idx="2684">
                  <c:v>0.34752289485006405</c:v>
                </c:pt>
                <c:pt idx="2685">
                  <c:v>0.34745213525170821</c:v>
                </c:pt>
                <c:pt idx="2686">
                  <c:v>0.34738139998591311</c:v>
                </c:pt>
                <c:pt idx="2687">
                  <c:v>0.34731068902214318</c:v>
                </c:pt>
                <c:pt idx="2688">
                  <c:v>0.34724000232990154</c:v>
                </c:pt>
                <c:pt idx="2689">
                  <c:v>0.34716933987872928</c:v>
                </c:pt>
                <c:pt idx="2690">
                  <c:v>0.34709870163820578</c:v>
                </c:pt>
                <c:pt idx="2691">
                  <c:v>0.34702808757794862</c:v>
                </c:pt>
                <c:pt idx="2692">
                  <c:v>0.34695749766761352</c:v>
                </c:pt>
                <c:pt idx="2693">
                  <c:v>0.34688693187689434</c:v>
                </c:pt>
                <c:pt idx="2694">
                  <c:v>0.34681639017552274</c:v>
                </c:pt>
                <c:pt idx="2695">
                  <c:v>0.34674587253326866</c:v>
                </c:pt>
                <c:pt idx="2696">
                  <c:v>0.34667537891993983</c:v>
                </c:pt>
                <c:pt idx="2697">
                  <c:v>0.34660490930538185</c:v>
                </c:pt>
                <c:pt idx="2698">
                  <c:v>0.3465344636594781</c:v>
                </c:pt>
                <c:pt idx="2699">
                  <c:v>0.34646404195214997</c:v>
                </c:pt>
                <c:pt idx="2700">
                  <c:v>0.34639364415335649</c:v>
                </c:pt>
                <c:pt idx="2701">
                  <c:v>0.34632327023309428</c:v>
                </c:pt>
                <c:pt idx="2702">
                  <c:v>0.34625292016139764</c:v>
                </c:pt>
                <c:pt idx="2703">
                  <c:v>0.34618259390833872</c:v>
                </c:pt>
                <c:pt idx="2704">
                  <c:v>0.34611229144402694</c:v>
                </c:pt>
                <c:pt idx="2705">
                  <c:v>0.34604201273860935</c:v>
                </c:pt>
                <c:pt idx="2706">
                  <c:v>0.34597175776227035</c:v>
                </c:pt>
                <c:pt idx="2707">
                  <c:v>0.34590152648523198</c:v>
                </c:pt>
                <c:pt idx="2708">
                  <c:v>0.34583131887775354</c:v>
                </c:pt>
                <c:pt idx="2709">
                  <c:v>0.34576113491013144</c:v>
                </c:pt>
                <c:pt idx="2710">
                  <c:v>0.34569097455269981</c:v>
                </c:pt>
                <c:pt idx="2711">
                  <c:v>0.34562083777582964</c:v>
                </c:pt>
                <c:pt idx="2712">
                  <c:v>0.34555072454992919</c:v>
                </c:pt>
                <c:pt idx="2713">
                  <c:v>0.34548063484544383</c:v>
                </c:pt>
                <c:pt idx="2714">
                  <c:v>0.34541056863285624</c:v>
                </c:pt>
                <c:pt idx="2715">
                  <c:v>0.34534052588268588</c:v>
                </c:pt>
                <c:pt idx="2716">
                  <c:v>0.3452705065654893</c:v>
                </c:pt>
                <c:pt idx="2717">
                  <c:v>0.34520051065185997</c:v>
                </c:pt>
                <c:pt idx="2718">
                  <c:v>0.34513053811242839</c:v>
                </c:pt>
                <c:pt idx="2719">
                  <c:v>0.34506058891786173</c:v>
                </c:pt>
                <c:pt idx="2720">
                  <c:v>0.34499066303886416</c:v>
                </c:pt>
                <c:pt idx="2721">
                  <c:v>0.34492076044617631</c:v>
                </c:pt>
                <c:pt idx="2722">
                  <c:v>0.34485088111057594</c:v>
                </c:pt>
                <c:pt idx="2723">
                  <c:v>0.34478102500287722</c:v>
                </c:pt>
                <c:pt idx="2724">
                  <c:v>0.34471119209393092</c:v>
                </c:pt>
                <c:pt idx="2725">
                  <c:v>0.34464138235462455</c:v>
                </c:pt>
                <c:pt idx="2726">
                  <c:v>0.34457159575588209</c:v>
                </c:pt>
                <c:pt idx="2727">
                  <c:v>0.34450183226866393</c:v>
                </c:pt>
                <c:pt idx="2728">
                  <c:v>0.34443209186396695</c:v>
                </c:pt>
                <c:pt idx="2729">
                  <c:v>0.34436237451282448</c:v>
                </c:pt>
                <c:pt idx="2730">
                  <c:v>0.34429268018630615</c:v>
                </c:pt>
                <c:pt idx="2731">
                  <c:v>0.34422300885551793</c:v>
                </c:pt>
                <c:pt idx="2732">
                  <c:v>0.34415336049160195</c:v>
                </c:pt>
                <c:pt idx="2733">
                  <c:v>0.34408373506573675</c:v>
                </c:pt>
                <c:pt idx="2734">
                  <c:v>0.34401413254913682</c:v>
                </c:pt>
                <c:pt idx="2735">
                  <c:v>0.34394455291305293</c:v>
                </c:pt>
                <c:pt idx="2736">
                  <c:v>0.34387499612877176</c:v>
                </c:pt>
                <c:pt idx="2737">
                  <c:v>0.34380546216761632</c:v>
                </c:pt>
                <c:pt idx="2738">
                  <c:v>0.34373595100094528</c:v>
                </c:pt>
                <c:pt idx="2739">
                  <c:v>0.34366646260015338</c:v>
                </c:pt>
                <c:pt idx="2740">
                  <c:v>0.34359699693667134</c:v>
                </c:pt>
                <c:pt idx="2741">
                  <c:v>0.34352755398196572</c:v>
                </c:pt>
                <c:pt idx="2742">
                  <c:v>0.34345813370753869</c:v>
                </c:pt>
                <c:pt idx="2743">
                  <c:v>0.34338873608492831</c:v>
                </c:pt>
                <c:pt idx="2744">
                  <c:v>0.34331936108570854</c:v>
                </c:pt>
                <c:pt idx="2745">
                  <c:v>0.34325000868148869</c:v>
                </c:pt>
                <c:pt idx="2746">
                  <c:v>0.34318067884391396</c:v>
                </c:pt>
                <c:pt idx="2747">
                  <c:v>0.34311137154466487</c:v>
                </c:pt>
                <c:pt idx="2748">
                  <c:v>0.34304208675545783</c:v>
                </c:pt>
                <c:pt idx="2749">
                  <c:v>0.34297282444804439</c:v>
                </c:pt>
                <c:pt idx="2750">
                  <c:v>0.34290358459421177</c:v>
                </c:pt>
                <c:pt idx="2751">
                  <c:v>0.34283436716578247</c:v>
                </c:pt>
                <c:pt idx="2752">
                  <c:v>0.34276517213461449</c:v>
                </c:pt>
                <c:pt idx="2753">
                  <c:v>0.34269599947260104</c:v>
                </c:pt>
                <c:pt idx="2754">
                  <c:v>0.34262684915167058</c:v>
                </c:pt>
                <c:pt idx="2755">
                  <c:v>0.34255772114378691</c:v>
                </c:pt>
                <c:pt idx="2756">
                  <c:v>0.34248861542094894</c:v>
                </c:pt>
                <c:pt idx="2757">
                  <c:v>0.3424195319551907</c:v>
                </c:pt>
                <c:pt idx="2758">
                  <c:v>0.34235047071858132</c:v>
                </c:pt>
                <c:pt idx="2759">
                  <c:v>0.34228143168322506</c:v>
                </c:pt>
                <c:pt idx="2760">
                  <c:v>0.34221241482126113</c:v>
                </c:pt>
                <c:pt idx="2761">
                  <c:v>0.34214342010486365</c:v>
                </c:pt>
                <c:pt idx="2762">
                  <c:v>0.34207444750624172</c:v>
                </c:pt>
                <c:pt idx="2763">
                  <c:v>0.34200549699763932</c:v>
                </c:pt>
                <c:pt idx="2764">
                  <c:v>0.34193656855133536</c:v>
                </c:pt>
                <c:pt idx="2765">
                  <c:v>0.34186766213964326</c:v>
                </c:pt>
                <c:pt idx="2766">
                  <c:v>0.34179877773491135</c:v>
                </c:pt>
                <c:pt idx="2767">
                  <c:v>0.34172991530952279</c:v>
                </c:pt>
                <c:pt idx="2768">
                  <c:v>0.34166107483589525</c:v>
                </c:pt>
                <c:pt idx="2769">
                  <c:v>0.34159225628648088</c:v>
                </c:pt>
                <c:pt idx="2770">
                  <c:v>0.34152345963376673</c:v>
                </c:pt>
                <c:pt idx="2771">
                  <c:v>0.34145468485027414</c:v>
                </c:pt>
                <c:pt idx="2772">
                  <c:v>0.34138593190855904</c:v>
                </c:pt>
                <c:pt idx="2773">
                  <c:v>0.34131720078121158</c:v>
                </c:pt>
                <c:pt idx="2774">
                  <c:v>0.34124849144085667</c:v>
                </c:pt>
                <c:pt idx="2775">
                  <c:v>0.34117980386015334</c:v>
                </c:pt>
                <c:pt idx="2776">
                  <c:v>0.34111113801179493</c:v>
                </c:pt>
                <c:pt idx="2777">
                  <c:v>0.34104249386850904</c:v>
                </c:pt>
                <c:pt idx="2778">
                  <c:v>0.34097387140305768</c:v>
                </c:pt>
                <c:pt idx="2779">
                  <c:v>0.34090527058823689</c:v>
                </c:pt>
                <c:pt idx="2780">
                  <c:v>0.34083669139687678</c:v>
                </c:pt>
                <c:pt idx="2781">
                  <c:v>0.34076813380184168</c:v>
                </c:pt>
                <c:pt idx="2782">
                  <c:v>0.34069959777602998</c:v>
                </c:pt>
                <c:pt idx="2783">
                  <c:v>0.34063108329237396</c:v>
                </c:pt>
                <c:pt idx="2784">
                  <c:v>0.34056259032383995</c:v>
                </c:pt>
                <c:pt idx="2785">
                  <c:v>0.34049411884342834</c:v>
                </c:pt>
                <c:pt idx="2786">
                  <c:v>0.34042566882417313</c:v>
                </c:pt>
                <c:pt idx="2787">
                  <c:v>0.34035724023914227</c:v>
                </c:pt>
                <c:pt idx="2788">
                  <c:v>0.34028883306143759</c:v>
                </c:pt>
                <c:pt idx="2789">
                  <c:v>0.34022044726419465</c:v>
                </c:pt>
                <c:pt idx="2790">
                  <c:v>0.34015208282058262</c:v>
                </c:pt>
                <c:pt idx="2791">
                  <c:v>0.34008373970380446</c:v>
                </c:pt>
                <c:pt idx="2792">
                  <c:v>0.3400154178870966</c:v>
                </c:pt>
                <c:pt idx="2793">
                  <c:v>0.33994711734372929</c:v>
                </c:pt>
                <c:pt idx="2794">
                  <c:v>0.33987883804700619</c:v>
                </c:pt>
                <c:pt idx="2795">
                  <c:v>0.33981057997026437</c:v>
                </c:pt>
                <c:pt idx="2796">
                  <c:v>0.33974234308687451</c:v>
                </c:pt>
                <c:pt idx="2797">
                  <c:v>0.33967412737024066</c:v>
                </c:pt>
                <c:pt idx="2798">
                  <c:v>0.33960593279380025</c:v>
                </c:pt>
                <c:pt idx="2799">
                  <c:v>0.33953775933102398</c:v>
                </c:pt>
                <c:pt idx="2800">
                  <c:v>0.339469606955416</c:v>
                </c:pt>
                <c:pt idx="2801">
                  <c:v>0.33940147564051354</c:v>
                </c:pt>
                <c:pt idx="2802">
                  <c:v>0.33933336535988706</c:v>
                </c:pt>
                <c:pt idx="2803">
                  <c:v>0.3392652760871403</c:v>
                </c:pt>
                <c:pt idx="2804">
                  <c:v>0.33919720779591006</c:v>
                </c:pt>
                <c:pt idx="2805">
                  <c:v>0.33912916045986624</c:v>
                </c:pt>
                <c:pt idx="2806">
                  <c:v>0.33906113405271171</c:v>
                </c:pt>
                <c:pt idx="2807">
                  <c:v>0.33899312854818237</c:v>
                </c:pt>
                <c:pt idx="2808">
                  <c:v>0.33892514392004719</c:v>
                </c:pt>
                <c:pt idx="2809">
                  <c:v>0.33885718014210792</c:v>
                </c:pt>
                <c:pt idx="2810">
                  <c:v>0.33878923718819925</c:v>
                </c:pt>
                <c:pt idx="2811">
                  <c:v>0.33872131503218866</c:v>
                </c:pt>
                <c:pt idx="2812">
                  <c:v>0.33865341364797652</c:v>
                </c:pt>
                <c:pt idx="2813">
                  <c:v>0.3385855330094959</c:v>
                </c:pt>
                <c:pt idx="2814">
                  <c:v>0.33851767309071246</c:v>
                </c:pt>
                <c:pt idx="2815">
                  <c:v>0.33844983386562477</c:v>
                </c:pt>
                <c:pt idx="2816">
                  <c:v>0.33838201530826384</c:v>
                </c:pt>
                <c:pt idx="2817">
                  <c:v>0.33831421739269335</c:v>
                </c:pt>
                <c:pt idx="2818">
                  <c:v>0.33824644009300947</c:v>
                </c:pt>
                <c:pt idx="2819">
                  <c:v>0.33817868338334101</c:v>
                </c:pt>
                <c:pt idx="2820">
                  <c:v>0.33811094723784907</c:v>
                </c:pt>
                <c:pt idx="2821">
                  <c:v>0.3380432316307273</c:v>
                </c:pt>
                <c:pt idx="2822">
                  <c:v>0.33797553653620166</c:v>
                </c:pt>
                <c:pt idx="2823">
                  <c:v>0.33790786192853051</c:v>
                </c:pt>
                <c:pt idx="2824">
                  <c:v>0.33784020778200452</c:v>
                </c:pt>
                <c:pt idx="2825">
                  <c:v>0.33777257407094657</c:v>
                </c:pt>
                <c:pt idx="2826">
                  <c:v>0.33770496076971174</c:v>
                </c:pt>
                <c:pt idx="2827">
                  <c:v>0.33763736785268744</c:v>
                </c:pt>
                <c:pt idx="2828">
                  <c:v>0.3375697952942931</c:v>
                </c:pt>
                <c:pt idx="2829">
                  <c:v>0.33750224306898013</c:v>
                </c:pt>
                <c:pt idx="2830">
                  <c:v>0.33743471115123236</c:v>
                </c:pt>
                <c:pt idx="2831">
                  <c:v>0.33736719951556537</c:v>
                </c:pt>
                <c:pt idx="2832">
                  <c:v>0.33729970813652665</c:v>
                </c:pt>
                <c:pt idx="2833">
                  <c:v>0.33723223698869587</c:v>
                </c:pt>
                <c:pt idx="2834">
                  <c:v>0.33716478604668448</c:v>
                </c:pt>
                <c:pt idx="2835">
                  <c:v>0.33709735528513579</c:v>
                </c:pt>
                <c:pt idx="2836">
                  <c:v>0.33702994467872494</c:v>
                </c:pt>
                <c:pt idx="2837">
                  <c:v>0.33696255420215881</c:v>
                </c:pt>
                <c:pt idx="2838">
                  <c:v>0.33689518383017608</c:v>
                </c:pt>
                <c:pt idx="2839">
                  <c:v>0.33682783353754719</c:v>
                </c:pt>
                <c:pt idx="2840">
                  <c:v>0.33676050329907409</c:v>
                </c:pt>
                <c:pt idx="2841">
                  <c:v>0.33669319308959039</c:v>
                </c:pt>
                <c:pt idx="2842">
                  <c:v>0.33662590288396144</c:v>
                </c:pt>
                <c:pt idx="2843">
                  <c:v>0.33655863265708386</c:v>
                </c:pt>
                <c:pt idx="2844">
                  <c:v>0.33649138238388604</c:v>
                </c:pt>
                <c:pt idx="2845">
                  <c:v>0.33642415203932763</c:v>
                </c:pt>
                <c:pt idx="2846">
                  <c:v>0.33635694159839985</c:v>
                </c:pt>
                <c:pt idx="2847">
                  <c:v>0.33628975103612524</c:v>
                </c:pt>
                <c:pt idx="2848">
                  <c:v>0.33622258032755759</c:v>
                </c:pt>
                <c:pt idx="2849">
                  <c:v>0.33615542944778226</c:v>
                </c:pt>
                <c:pt idx="2850">
                  <c:v>0.33608829837191556</c:v>
                </c:pt>
                <c:pt idx="2851">
                  <c:v>0.33602118707510525</c:v>
                </c:pt>
                <c:pt idx="2852">
                  <c:v>0.33595409553253014</c:v>
                </c:pt>
                <c:pt idx="2853">
                  <c:v>0.33588702371940038</c:v>
                </c:pt>
                <c:pt idx="2854">
                  <c:v>0.33581997161095695</c:v>
                </c:pt>
                <c:pt idx="2855">
                  <c:v>0.33575293918247218</c:v>
                </c:pt>
                <c:pt idx="2856">
                  <c:v>0.3356859264092491</c:v>
                </c:pt>
                <c:pt idx="2857">
                  <c:v>0.33561893326662218</c:v>
                </c:pt>
                <c:pt idx="2858">
                  <c:v>0.33555195972995649</c:v>
                </c:pt>
                <c:pt idx="2859">
                  <c:v>0.33548500577464813</c:v>
                </c:pt>
                <c:pt idx="2860">
                  <c:v>0.33541807137612401</c:v>
                </c:pt>
                <c:pt idx="2861">
                  <c:v>0.33535115650984204</c:v>
                </c:pt>
                <c:pt idx="2862">
                  <c:v>0.33528426115129079</c:v>
                </c:pt>
                <c:pt idx="2863">
                  <c:v>0.33521738527598954</c:v>
                </c:pt>
                <c:pt idx="2864">
                  <c:v>0.33515052885948848</c:v>
                </c:pt>
                <c:pt idx="2865">
                  <c:v>0.33508369187736836</c:v>
                </c:pt>
                <c:pt idx="2866">
                  <c:v>0.33501687430524058</c:v>
                </c:pt>
                <c:pt idx="2867">
                  <c:v>0.33495007611874711</c:v>
                </c:pt>
                <c:pt idx="2868">
                  <c:v>0.33488329729356064</c:v>
                </c:pt>
                <c:pt idx="2869">
                  <c:v>0.33481653780538423</c:v>
                </c:pt>
                <c:pt idx="2870">
                  <c:v>0.33474979762995144</c:v>
                </c:pt>
                <c:pt idx="2871">
                  <c:v>0.33468307674302639</c:v>
                </c:pt>
                <c:pt idx="2872">
                  <c:v>0.33461637512040349</c:v>
                </c:pt>
                <c:pt idx="2873">
                  <c:v>0.33454969273790769</c:v>
                </c:pt>
                <c:pt idx="2874">
                  <c:v>0.33448302957139409</c:v>
                </c:pt>
                <c:pt idx="2875">
                  <c:v>0.33441638559674813</c:v>
                </c:pt>
                <c:pt idx="2876">
                  <c:v>0.33434976078988571</c:v>
                </c:pt>
                <c:pt idx="2877">
                  <c:v>0.33428315512675272</c:v>
                </c:pt>
                <c:pt idx="2878">
                  <c:v>0.33421656858332527</c:v>
                </c:pt>
                <c:pt idx="2879">
                  <c:v>0.33415000113560972</c:v>
                </c:pt>
                <c:pt idx="2880">
                  <c:v>0.33408345275964252</c:v>
                </c:pt>
                <c:pt idx="2881">
                  <c:v>0.33401692343149009</c:v>
                </c:pt>
                <c:pt idx="2882">
                  <c:v>0.33395041312724894</c:v>
                </c:pt>
                <c:pt idx="2883">
                  <c:v>0.33388392182304566</c:v>
                </c:pt>
                <c:pt idx="2884">
                  <c:v>0.33381744949503667</c:v>
                </c:pt>
                <c:pt idx="2885">
                  <c:v>0.33375099611940839</c:v>
                </c:pt>
                <c:pt idx="2886">
                  <c:v>0.33368456167237709</c:v>
                </c:pt>
                <c:pt idx="2887">
                  <c:v>0.33361814613018898</c:v>
                </c:pt>
                <c:pt idx="2888">
                  <c:v>0.33355174946911992</c:v>
                </c:pt>
                <c:pt idx="2889">
                  <c:v>0.33348537166547559</c:v>
                </c:pt>
                <c:pt idx="2890">
                  <c:v>0.33341901269559149</c:v>
                </c:pt>
                <c:pt idx="2891">
                  <c:v>0.33335267253583284</c:v>
                </c:pt>
                <c:pt idx="2892">
                  <c:v>0.33328635116259431</c:v>
                </c:pt>
                <c:pt idx="2893">
                  <c:v>0.33322004855230031</c:v>
                </c:pt>
                <c:pt idx="2894">
                  <c:v>0.33315376468140501</c:v>
                </c:pt>
                <c:pt idx="2895">
                  <c:v>0.33308749952639188</c:v>
                </c:pt>
                <c:pt idx="2896">
                  <c:v>0.33302125306377395</c:v>
                </c:pt>
                <c:pt idx="2897">
                  <c:v>0.3329550252700938</c:v>
                </c:pt>
                <c:pt idx="2898">
                  <c:v>0.33288881612192345</c:v>
                </c:pt>
                <c:pt idx="2899">
                  <c:v>0.33282262559586429</c:v>
                </c:pt>
                <c:pt idx="2900">
                  <c:v>0.33275645366854695</c:v>
                </c:pt>
                <c:pt idx="2901">
                  <c:v>0.3326903003166316</c:v>
                </c:pt>
                <c:pt idx="2902">
                  <c:v>0.33262416551680757</c:v>
                </c:pt>
                <c:pt idx="2903">
                  <c:v>0.33255804924579352</c:v>
                </c:pt>
                <c:pt idx="2904">
                  <c:v>0.33249195148033722</c:v>
                </c:pt>
                <c:pt idx="2905">
                  <c:v>0.3324258721972157</c:v>
                </c:pt>
                <c:pt idx="2906">
                  <c:v>0.33235981137323517</c:v>
                </c:pt>
                <c:pt idx="2907">
                  <c:v>0.33229376898523083</c:v>
                </c:pt>
                <c:pt idx="2908">
                  <c:v>0.33222774501006697</c:v>
                </c:pt>
                <c:pt idx="2909">
                  <c:v>0.33216173942463706</c:v>
                </c:pt>
                <c:pt idx="2910">
                  <c:v>0.3320957522058634</c:v>
                </c:pt>
                <c:pt idx="2911">
                  <c:v>0.33202978333069733</c:v>
                </c:pt>
                <c:pt idx="2912">
                  <c:v>0.33196383277611902</c:v>
                </c:pt>
                <c:pt idx="2913">
                  <c:v>0.33189790051913776</c:v>
                </c:pt>
                <c:pt idx="2914">
                  <c:v>0.33183198653679141</c:v>
                </c:pt>
                <c:pt idx="2915">
                  <c:v>0.33176609080614683</c:v>
                </c:pt>
                <c:pt idx="2916">
                  <c:v>0.3317002133042995</c:v>
                </c:pt>
                <c:pt idx="2917">
                  <c:v>0.33163435400837388</c:v>
                </c:pt>
                <c:pt idx="2918">
                  <c:v>0.33156851289552297</c:v>
                </c:pt>
                <c:pt idx="2919">
                  <c:v>0.33150268994292836</c:v>
                </c:pt>
                <c:pt idx="2920">
                  <c:v>0.33143688512780051</c:v>
                </c:pt>
                <c:pt idx="2921">
                  <c:v>0.33137109842737833</c:v>
                </c:pt>
                <c:pt idx="2922">
                  <c:v>0.3313053298189293</c:v>
                </c:pt>
                <c:pt idx="2923">
                  <c:v>0.33123957927974934</c:v>
                </c:pt>
                <c:pt idx="2924">
                  <c:v>0.33117384678716322</c:v>
                </c:pt>
                <c:pt idx="2925">
                  <c:v>0.33110813231852371</c:v>
                </c:pt>
                <c:pt idx="2926">
                  <c:v>0.33104243585121229</c:v>
                </c:pt>
                <c:pt idx="2927">
                  <c:v>0.33097675736263865</c:v>
                </c:pt>
                <c:pt idx="2928">
                  <c:v>0.33091109683024106</c:v>
                </c:pt>
                <c:pt idx="2929">
                  <c:v>0.33084545423148587</c:v>
                </c:pt>
                <c:pt idx="2930">
                  <c:v>0.33077982954386781</c:v>
                </c:pt>
                <c:pt idx="2931">
                  <c:v>0.3307142227449098</c:v>
                </c:pt>
                <c:pt idx="2932">
                  <c:v>0.33064863381216314</c:v>
                </c:pt>
                <c:pt idx="2933">
                  <c:v>0.33058306272320703</c:v>
                </c:pt>
                <c:pt idx="2934">
                  <c:v>0.33051750945564901</c:v>
                </c:pt>
                <c:pt idx="2935">
                  <c:v>0.33045197398712456</c:v>
                </c:pt>
                <c:pt idx="2936">
                  <c:v>0.3303864562952975</c:v>
                </c:pt>
                <c:pt idx="2937">
                  <c:v>0.33032095635785941</c:v>
                </c:pt>
                <c:pt idx="2938">
                  <c:v>0.33025547415252987</c:v>
                </c:pt>
                <c:pt idx="2939">
                  <c:v>0.33019000965705669</c:v>
                </c:pt>
                <c:pt idx="2940">
                  <c:v>0.33012456284921532</c:v>
                </c:pt>
                <c:pt idx="2941">
                  <c:v>0.33005913370680923</c:v>
                </c:pt>
                <c:pt idx="2942">
                  <c:v>0.32999372220766959</c:v>
                </c:pt>
                <c:pt idx="2943">
                  <c:v>0.32992832832965568</c:v>
                </c:pt>
                <c:pt idx="2944">
                  <c:v>0.32986295205065441</c:v>
                </c:pt>
                <c:pt idx="2945">
                  <c:v>0.32979759334858033</c:v>
                </c:pt>
                <c:pt idx="2946">
                  <c:v>0.32973225220137575</c:v>
                </c:pt>
                <c:pt idx="2947">
                  <c:v>0.32966692858701097</c:v>
                </c:pt>
                <c:pt idx="2948">
                  <c:v>0.32960162248348346</c:v>
                </c:pt>
                <c:pt idx="2949">
                  <c:v>0.32953633386881859</c:v>
                </c:pt>
                <c:pt idx="2950">
                  <c:v>0.32947106272106924</c:v>
                </c:pt>
                <c:pt idx="2951">
                  <c:v>0.32940580901831584</c:v>
                </c:pt>
                <c:pt idx="2952">
                  <c:v>0.32934057273866635</c:v>
                </c:pt>
                <c:pt idx="2953">
                  <c:v>0.32927535386025608</c:v>
                </c:pt>
                <c:pt idx="2954">
                  <c:v>0.32921015236124807</c:v>
                </c:pt>
                <c:pt idx="2955">
                  <c:v>0.32914496821983236</c:v>
                </c:pt>
                <c:pt idx="2956">
                  <c:v>0.3290798014142266</c:v>
                </c:pt>
                <c:pt idx="2957">
                  <c:v>0.32901465192267582</c:v>
                </c:pt>
                <c:pt idx="2958">
                  <c:v>0.32894951972345221</c:v>
                </c:pt>
                <c:pt idx="2959">
                  <c:v>0.32888440479485537</c:v>
                </c:pt>
                <c:pt idx="2960">
                  <c:v>0.32881930711521196</c:v>
                </c:pt>
                <c:pt idx="2961">
                  <c:v>0.3287542266628759</c:v>
                </c:pt>
                <c:pt idx="2962">
                  <c:v>0.32868916341622845</c:v>
                </c:pt>
                <c:pt idx="2963">
                  <c:v>0.32862411735367775</c:v>
                </c:pt>
                <c:pt idx="2964">
                  <c:v>0.32855908845365911</c:v>
                </c:pt>
                <c:pt idx="2965">
                  <c:v>0.32849407669463498</c:v>
                </c:pt>
                <c:pt idx="2966">
                  <c:v>0.3284290820550948</c:v>
                </c:pt>
                <c:pt idx="2967">
                  <c:v>0.32836410451355497</c:v>
                </c:pt>
                <c:pt idx="2968">
                  <c:v>0.32829914404855887</c:v>
                </c:pt>
                <c:pt idx="2969">
                  <c:v>0.32823420063867681</c:v>
                </c:pt>
                <c:pt idx="2970">
                  <c:v>0.32816927426250603</c:v>
                </c:pt>
                <c:pt idx="2971">
                  <c:v>0.32810436489867056</c:v>
                </c:pt>
                <c:pt idx="2972">
                  <c:v>0.32803947252582122</c:v>
                </c:pt>
                <c:pt idx="2973">
                  <c:v>0.32797459712263582</c:v>
                </c:pt>
                <c:pt idx="2974">
                  <c:v>0.3279097386678187</c:v>
                </c:pt>
                <c:pt idx="2975">
                  <c:v>0.32784489714010107</c:v>
                </c:pt>
                <c:pt idx="2976">
                  <c:v>0.32778007251824071</c:v>
                </c:pt>
                <c:pt idx="2977">
                  <c:v>0.3277152647810222</c:v>
                </c:pt>
                <c:pt idx="2978">
                  <c:v>0.32765047390725666</c:v>
                </c:pt>
                <c:pt idx="2979">
                  <c:v>0.32758569987578173</c:v>
                </c:pt>
                <c:pt idx="2980">
                  <c:v>0.32752094266546178</c:v>
                </c:pt>
                <c:pt idx="2981">
                  <c:v>0.32745620225518757</c:v>
                </c:pt>
                <c:pt idx="2982">
                  <c:v>0.32739147862387646</c:v>
                </c:pt>
                <c:pt idx="2983">
                  <c:v>0.32732677175047203</c:v>
                </c:pt>
                <c:pt idx="2984">
                  <c:v>0.32726208161394466</c:v>
                </c:pt>
                <c:pt idx="2985">
                  <c:v>0.3271974081932908</c:v>
                </c:pt>
                <c:pt idx="2986">
                  <c:v>0.3271327514675334</c:v>
                </c:pt>
                <c:pt idx="2987">
                  <c:v>0.32706811141572162</c:v>
                </c:pt>
                <c:pt idx="2988">
                  <c:v>0.32700348801693113</c:v>
                </c:pt>
                <c:pt idx="2989">
                  <c:v>0.32693888125026371</c:v>
                </c:pt>
                <c:pt idx="2990">
                  <c:v>0.32687429109484728</c:v>
                </c:pt>
                <c:pt idx="2991">
                  <c:v>0.32680971752983612</c:v>
                </c:pt>
                <c:pt idx="2992">
                  <c:v>0.32674516053441061</c:v>
                </c:pt>
                <c:pt idx="2993">
                  <c:v>0.32668062008777721</c:v>
                </c:pt>
                <c:pt idx="2994">
                  <c:v>0.32661609616916859</c:v>
                </c:pt>
                <c:pt idx="2995">
                  <c:v>0.32655158875784329</c:v>
                </c:pt>
                <c:pt idx="2996">
                  <c:v>0.3264870978330861</c:v>
                </c:pt>
                <c:pt idx="2997">
                  <c:v>0.32642262337420769</c:v>
                </c:pt>
                <c:pt idx="2998">
                  <c:v>0.32635816536054463</c:v>
                </c:pt>
                <c:pt idx="2999">
                  <c:v>0.3262937237714596</c:v>
                </c:pt>
                <c:pt idx="3000">
                  <c:v>0.32622929858634098</c:v>
                </c:pt>
                <c:pt idx="3001">
                  <c:v>0.32616488978460317</c:v>
                </c:pt>
                <c:pt idx="3002">
                  <c:v>0.3261004973456863</c:v>
                </c:pt>
                <c:pt idx="3003">
                  <c:v>0.3260361212490564</c:v>
                </c:pt>
                <c:pt idx="3004">
                  <c:v>0.32597176147420515</c:v>
                </c:pt>
                <c:pt idx="3005">
                  <c:v>0.3259074180006501</c:v>
                </c:pt>
                <c:pt idx="3006">
                  <c:v>0.32584309080793428</c:v>
                </c:pt>
                <c:pt idx="3007">
                  <c:v>0.32577877987562676</c:v>
                </c:pt>
                <c:pt idx="3008">
                  <c:v>0.32571448518332186</c:v>
                </c:pt>
                <c:pt idx="3009">
                  <c:v>0.32565020671063982</c:v>
                </c:pt>
                <c:pt idx="3010">
                  <c:v>0.3255859444372261</c:v>
                </c:pt>
                <c:pt idx="3011">
                  <c:v>0.32552169834275219</c:v>
                </c:pt>
                <c:pt idx="3012">
                  <c:v>0.3254574684069147</c:v>
                </c:pt>
                <c:pt idx="3013">
                  <c:v>0.32539325460943574</c:v>
                </c:pt>
                <c:pt idx="3014">
                  <c:v>0.32532905693006309</c:v>
                </c:pt>
                <c:pt idx="3015">
                  <c:v>0.32526487534856979</c:v>
                </c:pt>
                <c:pt idx="3016">
                  <c:v>0.32520070984475435</c:v>
                </c:pt>
                <c:pt idx="3017">
                  <c:v>0.32513656039844041</c:v>
                </c:pt>
                <c:pt idx="3018">
                  <c:v>0.32507242698947725</c:v>
                </c:pt>
                <c:pt idx="3019">
                  <c:v>0.3250083095977393</c:v>
                </c:pt>
                <c:pt idx="3020">
                  <c:v>0.32494420820312608</c:v>
                </c:pt>
                <c:pt idx="3021">
                  <c:v>0.32488012278556255</c:v>
                </c:pt>
                <c:pt idx="3022">
                  <c:v>0.32481605332499891</c:v>
                </c:pt>
                <c:pt idx="3023">
                  <c:v>0.32475199980141023</c:v>
                </c:pt>
                <c:pt idx="3024">
                  <c:v>0.32468796219479701</c:v>
                </c:pt>
                <c:pt idx="3025">
                  <c:v>0.32462394048518461</c:v>
                </c:pt>
                <c:pt idx="3026">
                  <c:v>0.32455993465262373</c:v>
                </c:pt>
                <c:pt idx="3027">
                  <c:v>0.32449594467718984</c:v>
                </c:pt>
                <c:pt idx="3028">
                  <c:v>0.32443197053898343</c:v>
                </c:pt>
                <c:pt idx="3029">
                  <c:v>0.32436801221813027</c:v>
                </c:pt>
                <c:pt idx="3030">
                  <c:v>0.32430406969478071</c:v>
                </c:pt>
                <c:pt idx="3031">
                  <c:v>0.32424014294911019</c:v>
                </c:pt>
                <c:pt idx="3032">
                  <c:v>0.32417623196131895</c:v>
                </c:pt>
                <c:pt idx="3033">
                  <c:v>0.32411233671163214</c:v>
                </c:pt>
                <c:pt idx="3034">
                  <c:v>0.32404845718029979</c:v>
                </c:pt>
                <c:pt idx="3035">
                  <c:v>0.32398459334759649</c:v>
                </c:pt>
                <c:pt idx="3036">
                  <c:v>0.32392074519382169</c:v>
                </c:pt>
                <c:pt idx="3037">
                  <c:v>0.32385691269929978</c:v>
                </c:pt>
                <c:pt idx="3038">
                  <c:v>0.3237930958443796</c:v>
                </c:pt>
                <c:pt idx="3039">
                  <c:v>0.32372929460943461</c:v>
                </c:pt>
                <c:pt idx="3040">
                  <c:v>0.32366550897486301</c:v>
                </c:pt>
                <c:pt idx="3041">
                  <c:v>0.32360173892108768</c:v>
                </c:pt>
                <c:pt idx="3042">
                  <c:v>0.32353798442855586</c:v>
                </c:pt>
                <c:pt idx="3043">
                  <c:v>0.32347424547773951</c:v>
                </c:pt>
                <c:pt idx="3044">
                  <c:v>0.32341052204913501</c:v>
                </c:pt>
                <c:pt idx="3045">
                  <c:v>0.32334681412326327</c:v>
                </c:pt>
                <c:pt idx="3046">
                  <c:v>0.32328312168066953</c:v>
                </c:pt>
                <c:pt idx="3047">
                  <c:v>0.32321944470192354</c:v>
                </c:pt>
                <c:pt idx="3048">
                  <c:v>0.32315578316761945</c:v>
                </c:pt>
                <c:pt idx="3049">
                  <c:v>0.32309213705837575</c:v>
                </c:pt>
                <c:pt idx="3050">
                  <c:v>0.32302850635483515</c:v>
                </c:pt>
                <c:pt idx="3051">
                  <c:v>0.32296489103766468</c:v>
                </c:pt>
                <c:pt idx="3052">
                  <c:v>0.32290129108755583</c:v>
                </c:pt>
                <c:pt idx="3053">
                  <c:v>0.32283770648522414</c:v>
                </c:pt>
                <c:pt idx="3054">
                  <c:v>0.3227741372114093</c:v>
                </c:pt>
                <c:pt idx="3055">
                  <c:v>0.32271058324687529</c:v>
                </c:pt>
                <c:pt idx="3056">
                  <c:v>0.32264704457241022</c:v>
                </c:pt>
                <c:pt idx="3057">
                  <c:v>0.32258352116882627</c:v>
                </c:pt>
                <c:pt idx="3058">
                  <c:v>0.32252001301695971</c:v>
                </c:pt>
                <c:pt idx="3059">
                  <c:v>0.32245652009767078</c:v>
                </c:pt>
                <c:pt idx="3060">
                  <c:v>0.32239304239184396</c:v>
                </c:pt>
                <c:pt idx="3061">
                  <c:v>0.32232957988038752</c:v>
                </c:pt>
                <c:pt idx="3062">
                  <c:v>0.3222661325442337</c:v>
                </c:pt>
                <c:pt idx="3063">
                  <c:v>0.32220270036433873</c:v>
                </c:pt>
                <c:pt idx="3064">
                  <c:v>0.32213928332168279</c:v>
                </c:pt>
                <c:pt idx="3065">
                  <c:v>0.32207588139726978</c:v>
                </c:pt>
                <c:pt idx="3066">
                  <c:v>0.32201249457212749</c:v>
                </c:pt>
                <c:pt idx="3067">
                  <c:v>0.3219491228273077</c:v>
                </c:pt>
                <c:pt idx="3068">
                  <c:v>0.3218857661438857</c:v>
                </c:pt>
                <c:pt idx="3069">
                  <c:v>0.32182242450296067</c:v>
                </c:pt>
                <c:pt idx="3070">
                  <c:v>0.32175909788565543</c:v>
                </c:pt>
                <c:pt idx="3071">
                  <c:v>0.32169578627311662</c:v>
                </c:pt>
                <c:pt idx="3072">
                  <c:v>0.32163248964651453</c:v>
                </c:pt>
                <c:pt idx="3073">
                  <c:v>0.32156920798704286</c:v>
                </c:pt>
                <c:pt idx="3074">
                  <c:v>0.32150594127591903</c:v>
                </c:pt>
                <c:pt idx="3075">
                  <c:v>0.32144268949438426</c:v>
                </c:pt>
                <c:pt idx="3076">
                  <c:v>0.32137945262370304</c:v>
                </c:pt>
                <c:pt idx="3077">
                  <c:v>0.32131623064516329</c:v>
                </c:pt>
                <c:pt idx="3078">
                  <c:v>0.32125302354007684</c:v>
                </c:pt>
                <c:pt idx="3079">
                  <c:v>0.32118983128977852</c:v>
                </c:pt>
                <c:pt idx="3080">
                  <c:v>0.32112665387562678</c:v>
                </c:pt>
                <c:pt idx="3081">
                  <c:v>0.32106349127900347</c:v>
                </c:pt>
                <c:pt idx="3082">
                  <c:v>0.32100034348131379</c:v>
                </c:pt>
                <c:pt idx="3083">
                  <c:v>0.32093721046398627</c:v>
                </c:pt>
                <c:pt idx="3084">
                  <c:v>0.32087409220847274</c:v>
                </c:pt>
                <c:pt idx="3085">
                  <c:v>0.3208109886962483</c:v>
                </c:pt>
                <c:pt idx="3086">
                  <c:v>0.32074789990881131</c:v>
                </c:pt>
                <c:pt idx="3087">
                  <c:v>0.32068482582768332</c:v>
                </c:pt>
                <c:pt idx="3088">
                  <c:v>0.32062176643440915</c:v>
                </c:pt>
                <c:pt idx="3089">
                  <c:v>0.3205587217105566</c:v>
                </c:pt>
                <c:pt idx="3090">
                  <c:v>0.32049569163771691</c:v>
                </c:pt>
                <c:pt idx="3091">
                  <c:v>0.3204326761975041</c:v>
                </c:pt>
                <c:pt idx="3092">
                  <c:v>0.32036967537155536</c:v>
                </c:pt>
                <c:pt idx="3093">
                  <c:v>0.32030668914153115</c:v>
                </c:pt>
                <c:pt idx="3094">
                  <c:v>0.32024371748911462</c:v>
                </c:pt>
                <c:pt idx="3095">
                  <c:v>0.32018076039601207</c:v>
                </c:pt>
                <c:pt idx="3096">
                  <c:v>0.32011781784395266</c:v>
                </c:pt>
                <c:pt idx="3097">
                  <c:v>0.32005488981468866</c:v>
                </c:pt>
                <c:pt idx="3098">
                  <c:v>0.31999197628999515</c:v>
                </c:pt>
                <c:pt idx="3099">
                  <c:v>0.31992907725166991</c:v>
                </c:pt>
                <c:pt idx="3100">
                  <c:v>0.31986619268153382</c:v>
                </c:pt>
                <c:pt idx="3101">
                  <c:v>0.31980332256143046</c:v>
                </c:pt>
                <c:pt idx="3102">
                  <c:v>0.31974046687322616</c:v>
                </c:pt>
                <c:pt idx="3103">
                  <c:v>0.31967762559881008</c:v>
                </c:pt>
                <c:pt idx="3104">
                  <c:v>0.31961479872009396</c:v>
                </c:pt>
                <c:pt idx="3105">
                  <c:v>0.3195519862190126</c:v>
                </c:pt>
                <c:pt idx="3106">
                  <c:v>0.31948918807752302</c:v>
                </c:pt>
                <c:pt idx="3107">
                  <c:v>0.31942640427760505</c:v>
                </c:pt>
                <c:pt idx="3108">
                  <c:v>0.31936363480126134</c:v>
                </c:pt>
                <c:pt idx="3109">
                  <c:v>0.3193008796305169</c:v>
                </c:pt>
                <c:pt idx="3110">
                  <c:v>0.3192381387474193</c:v>
                </c:pt>
                <c:pt idx="3111">
                  <c:v>0.31917541213403866</c:v>
                </c:pt>
                <c:pt idx="3112">
                  <c:v>0.31911269977246776</c:v>
                </c:pt>
                <c:pt idx="3113">
                  <c:v>0.31905000164482161</c:v>
                </c:pt>
                <c:pt idx="3114">
                  <c:v>0.31898731773323785</c:v>
                </c:pt>
                <c:pt idx="3115">
                  <c:v>0.31892464801987636</c:v>
                </c:pt>
                <c:pt idx="3116">
                  <c:v>0.31886199248691965</c:v>
                </c:pt>
                <c:pt idx="3117">
                  <c:v>0.31879935111657237</c:v>
                </c:pt>
                <c:pt idx="3118">
                  <c:v>0.31873672389106161</c:v>
                </c:pt>
                <c:pt idx="3119">
                  <c:v>0.31867411079263669</c:v>
                </c:pt>
                <c:pt idx="3120">
                  <c:v>0.31861151180356928</c:v>
                </c:pt>
                <c:pt idx="3121">
                  <c:v>0.31854892690615333</c:v>
                </c:pt>
                <c:pt idx="3122">
                  <c:v>0.31848635608270481</c:v>
                </c:pt>
                <c:pt idx="3123">
                  <c:v>0.31842379931556214</c:v>
                </c:pt>
                <c:pt idx="3124">
                  <c:v>0.31836125658708575</c:v>
                </c:pt>
                <c:pt idx="3125">
                  <c:v>0.31829872787965829</c:v>
                </c:pt>
                <c:pt idx="3126">
                  <c:v>0.31823621317568429</c:v>
                </c:pt>
                <c:pt idx="3127">
                  <c:v>0.3181737124575908</c:v>
                </c:pt>
                <c:pt idx="3128">
                  <c:v>0.31811122570782646</c:v>
                </c:pt>
                <c:pt idx="3129">
                  <c:v>0.31804875290886225</c:v>
                </c:pt>
                <c:pt idx="3130">
                  <c:v>0.31798629404319095</c:v>
                </c:pt>
                <c:pt idx="3131">
                  <c:v>0.31792384909332749</c:v>
                </c:pt>
                <c:pt idx="3132">
                  <c:v>0.31786141804180862</c:v>
                </c:pt>
                <c:pt idx="3133">
                  <c:v>0.31779900087119295</c:v>
                </c:pt>
                <c:pt idx="3134">
                  <c:v>0.31773659756406114</c:v>
                </c:pt>
                <c:pt idx="3135">
                  <c:v>0.31767420810301567</c:v>
                </c:pt>
                <c:pt idx="3136">
                  <c:v>0.3176118324706807</c:v>
                </c:pt>
                <c:pt idx="3137">
                  <c:v>0.31754947064970235</c:v>
                </c:pt>
                <c:pt idx="3138">
                  <c:v>0.31748712262274859</c:v>
                </c:pt>
                <c:pt idx="3139">
                  <c:v>0.31742478837250893</c:v>
                </c:pt>
                <c:pt idx="3140">
                  <c:v>0.31736246788169464</c:v>
                </c:pt>
                <c:pt idx="3141">
                  <c:v>0.31730016113303883</c:v>
                </c:pt>
                <c:pt idx="3142">
                  <c:v>0.31723786810929616</c:v>
                </c:pt>
                <c:pt idx="3143">
                  <c:v>0.31717558879324304</c:v>
                </c:pt>
                <c:pt idx="3144">
                  <c:v>0.31711332316767732</c:v>
                </c:pt>
                <c:pt idx="3145">
                  <c:v>0.31705107121541859</c:v>
                </c:pt>
                <c:pt idx="3146">
                  <c:v>0.31698883291930791</c:v>
                </c:pt>
                <c:pt idx="3147">
                  <c:v>0.31692660826220798</c:v>
                </c:pt>
                <c:pt idx="3148">
                  <c:v>0.31686439722700288</c:v>
                </c:pt>
                <c:pt idx="3149">
                  <c:v>0.31680219979659824</c:v>
                </c:pt>
                <c:pt idx="3150">
                  <c:v>0.31674001595392109</c:v>
                </c:pt>
                <c:pt idx="3151">
                  <c:v>0.31667784568192003</c:v>
                </c:pt>
                <c:pt idx="3152">
                  <c:v>0.31661568896356485</c:v>
                </c:pt>
                <c:pt idx="3153">
                  <c:v>0.31655354578184686</c:v>
                </c:pt>
                <c:pt idx="3154">
                  <c:v>0.31649141611977866</c:v>
                </c:pt>
                <c:pt idx="3155">
                  <c:v>0.31642929996039415</c:v>
                </c:pt>
                <c:pt idx="3156">
                  <c:v>0.31636719728674856</c:v>
                </c:pt>
                <c:pt idx="3157">
                  <c:v>0.31630510808191836</c:v>
                </c:pt>
                <c:pt idx="3158">
                  <c:v>0.31624303232900136</c:v>
                </c:pt>
                <c:pt idx="3159">
                  <c:v>0.31618097001111639</c:v>
                </c:pt>
                <c:pt idx="3160">
                  <c:v>0.31611892111140349</c:v>
                </c:pt>
                <c:pt idx="3161">
                  <c:v>0.31605688561302414</c:v>
                </c:pt>
                <c:pt idx="3162">
                  <c:v>0.31599486349916062</c:v>
                </c:pt>
                <c:pt idx="3163">
                  <c:v>0.31593285475301647</c:v>
                </c:pt>
                <c:pt idx="3164">
                  <c:v>0.31587085935781617</c:v>
                </c:pt>
                <c:pt idx="3165">
                  <c:v>0.31580887729680551</c:v>
                </c:pt>
                <c:pt idx="3166">
                  <c:v>0.31574690855325105</c:v>
                </c:pt>
                <c:pt idx="3167">
                  <c:v>0.31568495311044048</c:v>
                </c:pt>
                <c:pt idx="3168">
                  <c:v>0.31562301095168249</c:v>
                </c:pt>
                <c:pt idx="3169">
                  <c:v>0.31556108206030659</c:v>
                </c:pt>
                <c:pt idx="3170">
                  <c:v>0.3154991664196633</c:v>
                </c:pt>
                <c:pt idx="3171">
                  <c:v>0.315437264013124</c:v>
                </c:pt>
                <c:pt idx="3172">
                  <c:v>0.31537537482408101</c:v>
                </c:pt>
                <c:pt idx="3173">
                  <c:v>0.31531349883594739</c:v>
                </c:pt>
                <c:pt idx="3174">
                  <c:v>0.31525163603215706</c:v>
                </c:pt>
                <c:pt idx="3175">
                  <c:v>0.31518978639616468</c:v>
                </c:pt>
                <c:pt idx="3176">
                  <c:v>0.31512794991144583</c:v>
                </c:pt>
                <c:pt idx="3177">
                  <c:v>0.31506612656149668</c:v>
                </c:pt>
                <c:pt idx="3178">
                  <c:v>0.31500431632983411</c:v>
                </c:pt>
                <c:pt idx="3179">
                  <c:v>0.31494251919999566</c:v>
                </c:pt>
                <c:pt idx="3180">
                  <c:v>0.31488073515553977</c:v>
                </c:pt>
                <c:pt idx="3181">
                  <c:v>0.31481896418004524</c:v>
                </c:pt>
                <c:pt idx="3182">
                  <c:v>0.31475720625711151</c:v>
                </c:pt>
                <c:pt idx="3183">
                  <c:v>0.31469546137035881</c:v>
                </c:pt>
                <c:pt idx="3184">
                  <c:v>0.31463372950342766</c:v>
                </c:pt>
                <c:pt idx="3185">
                  <c:v>0.3145720106399793</c:v>
                </c:pt>
                <c:pt idx="3186">
                  <c:v>0.31451030476369529</c:v>
                </c:pt>
                <c:pt idx="3187">
                  <c:v>0.31444861185827794</c:v>
                </c:pt>
                <c:pt idx="3188">
                  <c:v>0.31438693190744976</c:v>
                </c:pt>
                <c:pt idx="3189">
                  <c:v>0.31432526489495383</c:v>
                </c:pt>
                <c:pt idx="3190">
                  <c:v>0.31426361080455345</c:v>
                </c:pt>
                <c:pt idx="3191">
                  <c:v>0.31420196962003266</c:v>
                </c:pt>
                <c:pt idx="3192">
                  <c:v>0.31414034132519542</c:v>
                </c:pt>
                <c:pt idx="3193">
                  <c:v>0.31407872590386632</c:v>
                </c:pt>
                <c:pt idx="3194">
                  <c:v>0.31401712333989001</c:v>
                </c:pt>
                <c:pt idx="3195">
                  <c:v>0.31395553361713169</c:v>
                </c:pt>
                <c:pt idx="3196">
                  <c:v>0.31389395671947662</c:v>
                </c:pt>
                <c:pt idx="3197">
                  <c:v>0.31383239263083024</c:v>
                </c:pt>
                <c:pt idx="3198">
                  <c:v>0.31377084133511846</c:v>
                </c:pt>
                <c:pt idx="3199">
                  <c:v>0.31370930281628701</c:v>
                </c:pt>
                <c:pt idx="3200">
                  <c:v>0.31364777705830199</c:v>
                </c:pt>
                <c:pt idx="3201">
                  <c:v>0.3135862640451495</c:v>
                </c:pt>
                <c:pt idx="3202">
                  <c:v>0.31352476376083588</c:v>
                </c:pt>
                <c:pt idx="3203">
                  <c:v>0.31346327618938746</c:v>
                </c:pt>
                <c:pt idx="3204">
                  <c:v>0.31340180131485057</c:v>
                </c:pt>
                <c:pt idx="3205">
                  <c:v>0.31334033912129161</c:v>
                </c:pt>
                <c:pt idx="3206">
                  <c:v>0.31327888959279698</c:v>
                </c:pt>
                <c:pt idx="3207">
                  <c:v>0.31321745271347312</c:v>
                </c:pt>
                <c:pt idx="3208">
                  <c:v>0.31315602846744617</c:v>
                </c:pt>
                <c:pt idx="3209">
                  <c:v>0.31309461683886247</c:v>
                </c:pt>
                <c:pt idx="3210">
                  <c:v>0.31303321781188814</c:v>
                </c:pt>
                <c:pt idx="3211">
                  <c:v>0.31297183137070916</c:v>
                </c:pt>
                <c:pt idx="3212">
                  <c:v>0.31291045749953134</c:v>
                </c:pt>
                <c:pt idx="3213">
                  <c:v>0.31284909618258033</c:v>
                </c:pt>
                <c:pt idx="3214">
                  <c:v>0.3127877474041017</c:v>
                </c:pt>
                <c:pt idx="3215">
                  <c:v>0.31272641114836053</c:v>
                </c:pt>
                <c:pt idx="3216">
                  <c:v>0.31266508739964183</c:v>
                </c:pt>
                <c:pt idx="3217">
                  <c:v>0.31260377614225032</c:v>
                </c:pt>
                <c:pt idx="3218">
                  <c:v>0.31254247736051044</c:v>
                </c:pt>
                <c:pt idx="3219">
                  <c:v>0.31248119103876615</c:v>
                </c:pt>
                <c:pt idx="3220">
                  <c:v>0.31241991716138112</c:v>
                </c:pt>
                <c:pt idx="3221">
                  <c:v>0.3123586557127388</c:v>
                </c:pt>
                <c:pt idx="3222">
                  <c:v>0.3122974066772421</c:v>
                </c:pt>
                <c:pt idx="3223">
                  <c:v>0.31223617003931342</c:v>
                </c:pt>
                <c:pt idx="3224">
                  <c:v>0.31217494578339489</c:v>
                </c:pt>
                <c:pt idx="3225">
                  <c:v>0.31211373389394809</c:v>
                </c:pt>
                <c:pt idx="3226">
                  <c:v>0.31205253435545405</c:v>
                </c:pt>
                <c:pt idx="3227">
                  <c:v>0.31199134715241328</c:v>
                </c:pt>
                <c:pt idx="3228">
                  <c:v>0.31193017226934588</c:v>
                </c:pt>
                <c:pt idx="3229">
                  <c:v>0.31186900969079129</c:v>
                </c:pt>
                <c:pt idx="3230">
                  <c:v>0.31180785940130817</c:v>
                </c:pt>
                <c:pt idx="3231">
                  <c:v>0.31174672138547482</c:v>
                </c:pt>
                <c:pt idx="3232">
                  <c:v>0.31168559562788883</c:v>
                </c:pt>
                <c:pt idx="3233">
                  <c:v>0.31162448211316701</c:v>
                </c:pt>
                <c:pt idx="3234">
                  <c:v>0.31156338082594565</c:v>
                </c:pt>
                <c:pt idx="3235">
                  <c:v>0.31150229175088007</c:v>
                </c:pt>
                <c:pt idx="3236">
                  <c:v>0.31144121487264514</c:v>
                </c:pt>
                <c:pt idx="3237">
                  <c:v>0.31138015017593473</c:v>
                </c:pt>
                <c:pt idx="3238">
                  <c:v>0.31131909764546206</c:v>
                </c:pt>
                <c:pt idx="3239">
                  <c:v>0.3112580572659594</c:v>
                </c:pt>
                <c:pt idx="3240">
                  <c:v>0.31119702902217833</c:v>
                </c:pt>
                <c:pt idx="3241">
                  <c:v>0.31113601289888948</c:v>
                </c:pt>
                <c:pt idx="3242">
                  <c:v>0.31107500888088258</c:v>
                </c:pt>
                <c:pt idx="3243">
                  <c:v>0.31101401695296649</c:v>
                </c:pt>
                <c:pt idx="3244">
                  <c:v>0.31095303709996919</c:v>
                </c:pt>
                <c:pt idx="3245">
                  <c:v>0.31089206930673752</c:v>
                </c:pt>
                <c:pt idx="3246">
                  <c:v>0.31083111355813742</c:v>
                </c:pt>
                <c:pt idx="3247">
                  <c:v>0.31077016983905392</c:v>
                </c:pt>
                <c:pt idx="3248">
                  <c:v>0.310709238134391</c:v>
                </c:pt>
                <c:pt idx="3249">
                  <c:v>0.31064831842907142</c:v>
                </c:pt>
                <c:pt idx="3250">
                  <c:v>0.31058741070803692</c:v>
                </c:pt>
                <c:pt idx="3251">
                  <c:v>0.31052651495624833</c:v>
                </c:pt>
                <c:pt idx="3252">
                  <c:v>0.31046563115868514</c:v>
                </c:pt>
                <c:pt idx="3253">
                  <c:v>0.31040475930034578</c:v>
                </c:pt>
                <c:pt idx="3254">
                  <c:v>0.3103438993662474</c:v>
                </c:pt>
                <c:pt idx="3255">
                  <c:v>0.31028305134142614</c:v>
                </c:pt>
                <c:pt idx="3256">
                  <c:v>0.31022221521093679</c:v>
                </c:pt>
                <c:pt idx="3257">
                  <c:v>0.31016139095985285</c:v>
                </c:pt>
                <c:pt idx="3258">
                  <c:v>0.31010057857326673</c:v>
                </c:pt>
                <c:pt idx="3259">
                  <c:v>0.31003977803628935</c:v>
                </c:pt>
                <c:pt idx="3260">
                  <c:v>0.30997898933405044</c:v>
                </c:pt>
                <c:pt idx="3261">
                  <c:v>0.30991821245169826</c:v>
                </c:pt>
                <c:pt idx="3262">
                  <c:v>0.30985744737439996</c:v>
                </c:pt>
                <c:pt idx="3263">
                  <c:v>0.30979669408734112</c:v>
                </c:pt>
                <c:pt idx="3264">
                  <c:v>0.30973595257572584</c:v>
                </c:pt>
                <c:pt idx="3265">
                  <c:v>0.30967522282477689</c:v>
                </c:pt>
                <c:pt idx="3266">
                  <c:v>0.30961450481973568</c:v>
                </c:pt>
                <c:pt idx="3267">
                  <c:v>0.30955379854586196</c:v>
                </c:pt>
                <c:pt idx="3268">
                  <c:v>0.3094931039884341</c:v>
                </c:pt>
                <c:pt idx="3269">
                  <c:v>0.30943242113274877</c:v>
                </c:pt>
                <c:pt idx="3270">
                  <c:v>0.30937174996412142</c:v>
                </c:pt>
                <c:pt idx="3271">
                  <c:v>0.30931109046788569</c:v>
                </c:pt>
                <c:pt idx="3272">
                  <c:v>0.30925044262939355</c:v>
                </c:pt>
                <c:pt idx="3273">
                  <c:v>0.3091898064340155</c:v>
                </c:pt>
                <c:pt idx="3274">
                  <c:v>0.30912918186714045</c:v>
                </c:pt>
                <c:pt idx="3275">
                  <c:v>0.30906856891417556</c:v>
                </c:pt>
                <c:pt idx="3276">
                  <c:v>0.30900796756054616</c:v>
                </c:pt>
                <c:pt idx="3277">
                  <c:v>0.30894737779169612</c:v>
                </c:pt>
                <c:pt idx="3278">
                  <c:v>0.30888679959308757</c:v>
                </c:pt>
                <c:pt idx="3279">
                  <c:v>0.30882623295020062</c:v>
                </c:pt>
                <c:pt idx="3280">
                  <c:v>0.30876567784853381</c:v>
                </c:pt>
                <c:pt idx="3281">
                  <c:v>0.30870513427360385</c:v>
                </c:pt>
                <c:pt idx="3282">
                  <c:v>0.3086446022109457</c:v>
                </c:pt>
                <c:pt idx="3283">
                  <c:v>0.30858408164611223</c:v>
                </c:pt>
                <c:pt idx="3284">
                  <c:v>0.30852357256467466</c:v>
                </c:pt>
                <c:pt idx="3285">
                  <c:v>0.3084630749522223</c:v>
                </c:pt>
                <c:pt idx="3286">
                  <c:v>0.30840258879436244</c:v>
                </c:pt>
                <c:pt idx="3287">
                  <c:v>0.30834211407672046</c:v>
                </c:pt>
                <c:pt idx="3288">
                  <c:v>0.30828165078493985</c:v>
                </c:pt>
                <c:pt idx="3289">
                  <c:v>0.30822119890468208</c:v>
                </c:pt>
                <c:pt idx="3290">
                  <c:v>0.3081607584216266</c:v>
                </c:pt>
                <c:pt idx="3291">
                  <c:v>0.3081003293214708</c:v>
                </c:pt>
                <c:pt idx="3292">
                  <c:v>0.3080399115899301</c:v>
                </c:pt>
                <c:pt idx="3293">
                  <c:v>0.30797950521273776</c:v>
                </c:pt>
                <c:pt idx="3294">
                  <c:v>0.30791911017564505</c:v>
                </c:pt>
                <c:pt idx="3295">
                  <c:v>0.30785872646442092</c:v>
                </c:pt>
                <c:pt idx="3296">
                  <c:v>0.30779835406485245</c:v>
                </c:pt>
                <c:pt idx="3297">
                  <c:v>0.3077379929627444</c:v>
                </c:pt>
                <c:pt idx="3298">
                  <c:v>0.30767764314391938</c:v>
                </c:pt>
                <c:pt idx="3299">
                  <c:v>0.3076173045942176</c:v>
                </c:pt>
                <c:pt idx="3300">
                  <c:v>0.30755697729949744</c:v>
                </c:pt>
                <c:pt idx="3301">
                  <c:v>0.30749666124563474</c:v>
                </c:pt>
                <c:pt idx="3302">
                  <c:v>0.30743635641852307</c:v>
                </c:pt>
                <c:pt idx="3303">
                  <c:v>0.30737606280407376</c:v>
                </c:pt>
                <c:pt idx="3304">
                  <c:v>0.30731578038821589</c:v>
                </c:pt>
                <c:pt idx="3305">
                  <c:v>0.30725550915689609</c:v>
                </c:pt>
                <c:pt idx="3306">
                  <c:v>0.30719524909607859</c:v>
                </c:pt>
                <c:pt idx="3307">
                  <c:v>0.30713500019174544</c:v>
                </c:pt>
                <c:pt idx="3308">
                  <c:v>0.30707476242989606</c:v>
                </c:pt>
                <c:pt idx="3309">
                  <c:v>0.30701453579654758</c:v>
                </c:pt>
                <c:pt idx="3310">
                  <c:v>0.3069543202777345</c:v>
                </c:pt>
                <c:pt idx="3311">
                  <c:v>0.30689411585950915</c:v>
                </c:pt>
                <c:pt idx="3312">
                  <c:v>0.30683392252794112</c:v>
                </c:pt>
                <c:pt idx="3313">
                  <c:v>0.30677374026911752</c:v>
                </c:pt>
                <c:pt idx="3314">
                  <c:v>0.30671356906914288</c:v>
                </c:pt>
                <c:pt idx="3315">
                  <c:v>0.30665340891413934</c:v>
                </c:pt>
                <c:pt idx="3316">
                  <c:v>0.30659325979024632</c:v>
                </c:pt>
                <c:pt idx="3317">
                  <c:v>0.30653312168362068</c:v>
                </c:pt>
                <c:pt idx="3318">
                  <c:v>0.30647299458043653</c:v>
                </c:pt>
                <c:pt idx="3319">
                  <c:v>0.30641287846688559</c:v>
                </c:pt>
                <c:pt idx="3320">
                  <c:v>0.30635277332917665</c:v>
                </c:pt>
                <c:pt idx="3321">
                  <c:v>0.30629267915353592</c:v>
                </c:pt>
                <c:pt idx="3322">
                  <c:v>0.30623259592620694</c:v>
                </c:pt>
                <c:pt idx="3323">
                  <c:v>0.30617252363345038</c:v>
                </c:pt>
                <c:pt idx="3324">
                  <c:v>0.30611246226154432</c:v>
                </c:pt>
                <c:pt idx="3325">
                  <c:v>0.30605241179678383</c:v>
                </c:pt>
                <c:pt idx="3326">
                  <c:v>0.30599237222548148</c:v>
                </c:pt>
                <c:pt idx="3327">
                  <c:v>0.30593234353396676</c:v>
                </c:pt>
                <c:pt idx="3328">
                  <c:v>0.30587232570858647</c:v>
                </c:pt>
                <c:pt idx="3329">
                  <c:v>0.30581231873570436</c:v>
                </c:pt>
                <c:pt idx="3330">
                  <c:v>0.30575232260170154</c:v>
                </c:pt>
                <c:pt idx="3331">
                  <c:v>0.30569233729297607</c:v>
                </c:pt>
                <c:pt idx="3332">
                  <c:v>0.30563236279594308</c:v>
                </c:pt>
                <c:pt idx="3333">
                  <c:v>0.30557239909703465</c:v>
                </c:pt>
                <c:pt idx="3334">
                  <c:v>0.30551244618270024</c:v>
                </c:pt>
                <c:pt idx="3335">
                  <c:v>0.30545250403940588</c:v>
                </c:pt>
                <c:pt idx="3336">
                  <c:v>0.30539257265363484</c:v>
                </c:pt>
                <c:pt idx="3337">
                  <c:v>0.30533265201188736</c:v>
                </c:pt>
                <c:pt idx="3338">
                  <c:v>0.30527274210068045</c:v>
                </c:pt>
                <c:pt idx="3339">
                  <c:v>0.30521284290654821</c:v>
                </c:pt>
                <c:pt idx="3340">
                  <c:v>0.30515295441604146</c:v>
                </c:pt>
                <c:pt idx="3341">
                  <c:v>0.30509307661572815</c:v>
                </c:pt>
                <c:pt idx="3342">
                  <c:v>0.30503320949219292</c:v>
                </c:pt>
                <c:pt idx="3343">
                  <c:v>0.30497335303203721</c:v>
                </c:pt>
                <c:pt idx="3344">
                  <c:v>0.30491350722187938</c:v>
                </c:pt>
                <c:pt idx="3345">
                  <c:v>0.30485367204835451</c:v>
                </c:pt>
                <c:pt idx="3346">
                  <c:v>0.3047938474981145</c:v>
                </c:pt>
                <c:pt idx="3347">
                  <c:v>0.30473403355782802</c:v>
                </c:pt>
                <c:pt idx="3348">
                  <c:v>0.30467423021418033</c:v>
                </c:pt>
                <c:pt idx="3349">
                  <c:v>0.30461443745387357</c:v>
                </c:pt>
                <c:pt idx="3350">
                  <c:v>0.30455465526362646</c:v>
                </c:pt>
                <c:pt idx="3351">
                  <c:v>0.30449488363017446</c:v>
                </c:pt>
                <c:pt idx="3352">
                  <c:v>0.30443512254026966</c:v>
                </c:pt>
                <c:pt idx="3353">
                  <c:v>0.30437537198068071</c:v>
                </c:pt>
                <c:pt idx="3354">
                  <c:v>0.30431563193819289</c:v>
                </c:pt>
                <c:pt idx="3355">
                  <c:v>0.30425590239960809</c:v>
                </c:pt>
                <c:pt idx="3356">
                  <c:v>0.30419618335174486</c:v>
                </c:pt>
                <c:pt idx="3357">
                  <c:v>0.30413647478143807</c:v>
                </c:pt>
                <c:pt idx="3358">
                  <c:v>0.30407677667553928</c:v>
                </c:pt>
                <c:pt idx="3359">
                  <c:v>0.3040170890209164</c:v>
                </c:pt>
                <c:pt idx="3360">
                  <c:v>0.30395741180445407</c:v>
                </c:pt>
                <c:pt idx="3361">
                  <c:v>0.30389774501305317</c:v>
                </c:pt>
                <c:pt idx="3362">
                  <c:v>0.3038380886336311</c:v>
                </c:pt>
                <c:pt idx="3363">
                  <c:v>0.30377844265312159</c:v>
                </c:pt>
                <c:pt idx="3364">
                  <c:v>0.30371880705847493</c:v>
                </c:pt>
                <c:pt idx="3365">
                  <c:v>0.30365918183665763</c:v>
                </c:pt>
                <c:pt idx="3366">
                  <c:v>0.30359956697465262</c:v>
                </c:pt>
                <c:pt idx="3367">
                  <c:v>0.3035399624594593</c:v>
                </c:pt>
                <c:pt idx="3368">
                  <c:v>0.3034803682780931</c:v>
                </c:pt>
                <c:pt idx="3369">
                  <c:v>0.30342078441758596</c:v>
                </c:pt>
                <c:pt idx="3370">
                  <c:v>0.30336121086498596</c:v>
                </c:pt>
                <c:pt idx="3371">
                  <c:v>0.30330164760735767</c:v>
                </c:pt>
                <c:pt idx="3372">
                  <c:v>0.30324209463178159</c:v>
                </c:pt>
                <c:pt idx="3373">
                  <c:v>0.30318255192535459</c:v>
                </c:pt>
                <c:pt idx="3374">
                  <c:v>0.30312301947518966</c:v>
                </c:pt>
                <c:pt idx="3375">
                  <c:v>0.30306349726841614</c:v>
                </c:pt>
                <c:pt idx="3376">
                  <c:v>0.30300398529217937</c:v>
                </c:pt>
                <c:pt idx="3377">
                  <c:v>0.30294448353364078</c:v>
                </c:pt>
                <c:pt idx="3378">
                  <c:v>0.30288499197997798</c:v>
                </c:pt>
                <c:pt idx="3379">
                  <c:v>0.3028255106183847</c:v>
                </c:pt>
                <c:pt idx="3380">
                  <c:v>0.30276603943607078</c:v>
                </c:pt>
                <c:pt idx="3381">
                  <c:v>0.30270657842026188</c:v>
                </c:pt>
                <c:pt idx="3382">
                  <c:v>0.30264712755820006</c:v>
                </c:pt>
                <c:pt idx="3383">
                  <c:v>0.30258768683714304</c:v>
                </c:pt>
                <c:pt idx="3384">
                  <c:v>0.30252825624436469</c:v>
                </c:pt>
                <c:pt idx="3385">
                  <c:v>0.30246883576715478</c:v>
                </c:pt>
                <c:pt idx="3386">
                  <c:v>0.30240942539281929</c:v>
                </c:pt>
                <c:pt idx="3387">
                  <c:v>0.3023500251086797</c:v>
                </c:pt>
                <c:pt idx="3388">
                  <c:v>0.30229063490207375</c:v>
                </c:pt>
                <c:pt idx="3389">
                  <c:v>0.30223125476035484</c:v>
                </c:pt>
                <c:pt idx="3390">
                  <c:v>0.30217188467089245</c:v>
                </c:pt>
                <c:pt idx="3391">
                  <c:v>0.3021125246210718</c:v>
                </c:pt>
                <c:pt idx="3392">
                  <c:v>0.30205317459829389</c:v>
                </c:pt>
                <c:pt idx="3393">
                  <c:v>0.30199383458997558</c:v>
                </c:pt>
                <c:pt idx="3394">
                  <c:v>0.30193450458354959</c:v>
                </c:pt>
                <c:pt idx="3395">
                  <c:v>0.30187518456646434</c:v>
                </c:pt>
                <c:pt idx="3396">
                  <c:v>0.30181587452618391</c:v>
                </c:pt>
                <c:pt idx="3397">
                  <c:v>0.30175657445018833</c:v>
                </c:pt>
                <c:pt idx="3398">
                  <c:v>0.3016972843259732</c:v>
                </c:pt>
                <c:pt idx="3399">
                  <c:v>0.3016380041410498</c:v>
                </c:pt>
                <c:pt idx="3400">
                  <c:v>0.30157873388294509</c:v>
                </c:pt>
                <c:pt idx="3401">
                  <c:v>0.30151947353920178</c:v>
                </c:pt>
                <c:pt idx="3402">
                  <c:v>0.30146022309737813</c:v>
                </c:pt>
                <c:pt idx="3403">
                  <c:v>0.30140098254504799</c:v>
                </c:pt>
                <c:pt idx="3404">
                  <c:v>0.30134175186980083</c:v>
                </c:pt>
                <c:pt idx="3405">
                  <c:v>0.3012825310592418</c:v>
                </c:pt>
                <c:pt idx="3406">
                  <c:v>0.3012233201009914</c:v>
                </c:pt>
                <c:pt idx="3407">
                  <c:v>0.30116411898268586</c:v>
                </c:pt>
                <c:pt idx="3408">
                  <c:v>0.30110492769197666</c:v>
                </c:pt>
                <c:pt idx="3409">
                  <c:v>0.30104574621653124</c:v>
                </c:pt>
                <c:pt idx="3410">
                  <c:v>0.30098657454403205</c:v>
                </c:pt>
                <c:pt idx="3411">
                  <c:v>0.30092741266217715</c:v>
                </c:pt>
                <c:pt idx="3412">
                  <c:v>0.30086826055868016</c:v>
                </c:pt>
                <c:pt idx="3413">
                  <c:v>0.30080911822126999</c:v>
                </c:pt>
                <c:pt idx="3414">
                  <c:v>0.30074998563769106</c:v>
                </c:pt>
                <c:pt idx="3415">
                  <c:v>0.3006908627957029</c:v>
                </c:pt>
                <c:pt idx="3416">
                  <c:v>0.30063174968308082</c:v>
                </c:pt>
                <c:pt idx="3417">
                  <c:v>0.30057264628761515</c:v>
                </c:pt>
                <c:pt idx="3418">
                  <c:v>0.3005135525971116</c:v>
                </c:pt>
                <c:pt idx="3419">
                  <c:v>0.30045446859939123</c:v>
                </c:pt>
                <c:pt idx="3420">
                  <c:v>0.30039539428229051</c:v>
                </c:pt>
                <c:pt idx="3421">
                  <c:v>0.30033632963366086</c:v>
                </c:pt>
                <c:pt idx="3422">
                  <c:v>0.30027727464136922</c:v>
                </c:pt>
                <c:pt idx="3423">
                  <c:v>0.30021822929329761</c:v>
                </c:pt>
                <c:pt idx="3424">
                  <c:v>0.30015919357734339</c:v>
                </c:pt>
                <c:pt idx="3425">
                  <c:v>0.30010016748141899</c:v>
                </c:pt>
                <c:pt idx="3426">
                  <c:v>0.30004115099345197</c:v>
                </c:pt>
                <c:pt idx="3427">
                  <c:v>0.29998214410138518</c:v>
                </c:pt>
                <c:pt idx="3428">
                  <c:v>0.29992314679317661</c:v>
                </c:pt>
                <c:pt idx="3429">
                  <c:v>0.29986415905679914</c:v>
                </c:pt>
                <c:pt idx="3430">
                  <c:v>0.29980518088024094</c:v>
                </c:pt>
                <c:pt idx="3431">
                  <c:v>0.29974621225150527</c:v>
                </c:pt>
                <c:pt idx="3432">
                  <c:v>0.29968725315861039</c:v>
                </c:pt>
                <c:pt idx="3433">
                  <c:v>0.29962830358958947</c:v>
                </c:pt>
                <c:pt idx="3434">
                  <c:v>0.29956936353249081</c:v>
                </c:pt>
                <c:pt idx="3435">
                  <c:v>0.29951043297537788</c:v>
                </c:pt>
                <c:pt idx="3436">
                  <c:v>0.29945151190632885</c:v>
                </c:pt>
                <c:pt idx="3437">
                  <c:v>0.29939260031343695</c:v>
                </c:pt>
                <c:pt idx="3438">
                  <c:v>0.29933369818481032</c:v>
                </c:pt>
                <c:pt idx="3439">
                  <c:v>0.29927480550857216</c:v>
                </c:pt>
                <c:pt idx="3440">
                  <c:v>0.29921592227286048</c:v>
                </c:pt>
                <c:pt idx="3441">
                  <c:v>0.29915704846582813</c:v>
                </c:pt>
                <c:pt idx="3442">
                  <c:v>0.29909818407564293</c:v>
                </c:pt>
                <c:pt idx="3443">
                  <c:v>0.29903932909048742</c:v>
                </c:pt>
                <c:pt idx="3444">
                  <c:v>0.2989804834985591</c:v>
                </c:pt>
                <c:pt idx="3445">
                  <c:v>0.29892164728807014</c:v>
                </c:pt>
                <c:pt idx="3446">
                  <c:v>0.29886282044724771</c:v>
                </c:pt>
                <c:pt idx="3447">
                  <c:v>0.29880400296433357</c:v>
                </c:pt>
                <c:pt idx="3448">
                  <c:v>0.29874519482758427</c:v>
                </c:pt>
                <c:pt idx="3449">
                  <c:v>0.29868639602527114</c:v>
                </c:pt>
                <c:pt idx="3450">
                  <c:v>0.29862760654568027</c:v>
                </c:pt>
                <c:pt idx="3451">
                  <c:v>0.29856882637711235</c:v>
                </c:pt>
                <c:pt idx="3452">
                  <c:v>0.29851005550788279</c:v>
                </c:pt>
                <c:pt idx="3453">
                  <c:v>0.29845129392632158</c:v>
                </c:pt>
                <c:pt idx="3454">
                  <c:v>0.29839254162077361</c:v>
                </c:pt>
                <c:pt idx="3455">
                  <c:v>0.29833379857959813</c:v>
                </c:pt>
                <c:pt idx="3456">
                  <c:v>0.29827506479116905</c:v>
                </c:pt>
                <c:pt idx="3457">
                  <c:v>0.29821634024387506</c:v>
                </c:pt>
                <c:pt idx="3458">
                  <c:v>0.29815762492611925</c:v>
                </c:pt>
                <c:pt idx="3459">
                  <c:v>0.29809891882631917</c:v>
                </c:pt>
                <c:pt idx="3460">
                  <c:v>0.29804022193290702</c:v>
                </c:pt>
                <c:pt idx="3461">
                  <c:v>0.29798153423432971</c:v>
                </c:pt>
                <c:pt idx="3462">
                  <c:v>0.29792285571904831</c:v>
                </c:pt>
                <c:pt idx="3463">
                  <c:v>0.29786418637553858</c:v>
                </c:pt>
                <c:pt idx="3464">
                  <c:v>0.29780552619229061</c:v>
                </c:pt>
                <c:pt idx="3465">
                  <c:v>0.29774687515780907</c:v>
                </c:pt>
                <c:pt idx="3466">
                  <c:v>0.297688233260613</c:v>
                </c:pt>
                <c:pt idx="3467">
                  <c:v>0.29762960048923587</c:v>
                </c:pt>
                <c:pt idx="3468">
                  <c:v>0.29757097683222539</c:v>
                </c:pt>
                <c:pt idx="3469">
                  <c:v>0.29751236227814387</c:v>
                </c:pt>
                <c:pt idx="3470">
                  <c:v>0.29745375681556779</c:v>
                </c:pt>
                <c:pt idx="3471">
                  <c:v>0.29739516043308811</c:v>
                </c:pt>
                <c:pt idx="3472">
                  <c:v>0.29733657311931</c:v>
                </c:pt>
                <c:pt idx="3473">
                  <c:v>0.297277994862853</c:v>
                </c:pt>
                <c:pt idx="3474">
                  <c:v>0.29721942565235088</c:v>
                </c:pt>
                <c:pt idx="3475">
                  <c:v>0.2971608654764516</c:v>
                </c:pt>
                <c:pt idx="3476">
                  <c:v>0.29710231432381767</c:v>
                </c:pt>
                <c:pt idx="3477">
                  <c:v>0.29704377218312544</c:v>
                </c:pt>
                <c:pt idx="3478">
                  <c:v>0.29698523904306573</c:v>
                </c:pt>
                <c:pt idx="3479">
                  <c:v>0.29692671489234335</c:v>
                </c:pt>
                <c:pt idx="3480">
                  <c:v>0.29686819971967754</c:v>
                </c:pt>
                <c:pt idx="3481">
                  <c:v>0.29680969351380154</c:v>
                </c:pt>
                <c:pt idx="3482">
                  <c:v>0.29675119626346275</c:v>
                </c:pt>
                <c:pt idx="3483">
                  <c:v>0.29669270795742259</c:v>
                </c:pt>
                <c:pt idx="3484">
                  <c:v>0.29663422858445682</c:v>
                </c:pt>
                <c:pt idx="3485">
                  <c:v>0.29657575813335507</c:v>
                </c:pt>
                <c:pt idx="3486">
                  <c:v>0.29651729659292114</c:v>
                </c:pt>
                <c:pt idx="3487">
                  <c:v>0.29645884395197281</c:v>
                </c:pt>
                <c:pt idx="3488">
                  <c:v>0.296400400199342</c:v>
                </c:pt>
                <c:pt idx="3489">
                  <c:v>0.29634196532387458</c:v>
                </c:pt>
                <c:pt idx="3490">
                  <c:v>0.29628353931443036</c:v>
                </c:pt>
                <c:pt idx="3491">
                  <c:v>0.29622512215988328</c:v>
                </c:pt>
                <c:pt idx="3492">
                  <c:v>0.29616671384912113</c:v>
                </c:pt>
                <c:pt idx="3493">
                  <c:v>0.29610831437104562</c:v>
                </c:pt>
                <c:pt idx="3494">
                  <c:v>0.2960499237145725</c:v>
                </c:pt>
                <c:pt idx="3495">
                  <c:v>0.29599154186863136</c:v>
                </c:pt>
                <c:pt idx="3496">
                  <c:v>0.29593316882216564</c:v>
                </c:pt>
                <c:pt idx="3497">
                  <c:v>0.29587480456413279</c:v>
                </c:pt>
                <c:pt idx="3498">
                  <c:v>0.29581644908350385</c:v>
                </c:pt>
                <c:pt idx="3499">
                  <c:v>0.29575810236926414</c:v>
                </c:pt>
                <c:pt idx="3500">
                  <c:v>0.2956997644104124</c:v>
                </c:pt>
                <c:pt idx="3501">
                  <c:v>0.29564143519596131</c:v>
                </c:pt>
                <c:pt idx="3502">
                  <c:v>0.29558311471493731</c:v>
                </c:pt>
                <c:pt idx="3503">
                  <c:v>0.29552480295638084</c:v>
                </c:pt>
                <c:pt idx="3504">
                  <c:v>0.29546649990934576</c:v>
                </c:pt>
                <c:pt idx="3505">
                  <c:v>0.29540820556289976</c:v>
                </c:pt>
                <c:pt idx="3506">
                  <c:v>0.29534991990612441</c:v>
                </c:pt>
                <c:pt idx="3507">
                  <c:v>0.29529164292811488</c:v>
                </c:pt>
                <c:pt idx="3508">
                  <c:v>0.29523337461797994</c:v>
                </c:pt>
                <c:pt idx="3509">
                  <c:v>0.29517511496484206</c:v>
                </c:pt>
                <c:pt idx="3510">
                  <c:v>0.29511686395783759</c:v>
                </c:pt>
                <c:pt idx="3511">
                  <c:v>0.29505862158611618</c:v>
                </c:pt>
                <c:pt idx="3512">
                  <c:v>0.2950003878388413</c:v>
                </c:pt>
                <c:pt idx="3513">
                  <c:v>0.29494216270518986</c:v>
                </c:pt>
                <c:pt idx="3514">
                  <c:v>0.2948839461743526</c:v>
                </c:pt>
                <c:pt idx="3515">
                  <c:v>0.2948257382355336</c:v>
                </c:pt>
                <c:pt idx="3516">
                  <c:v>0.29476753887795054</c:v>
                </c:pt>
                <c:pt idx="3517">
                  <c:v>0.29470934809083471</c:v>
                </c:pt>
                <c:pt idx="3518">
                  <c:v>0.29465116586343088</c:v>
                </c:pt>
                <c:pt idx="3519">
                  <c:v>0.29459299218499729</c:v>
                </c:pt>
                <c:pt idx="3520">
                  <c:v>0.29453482704480555</c:v>
                </c:pt>
                <c:pt idx="3521">
                  <c:v>0.29447667043214104</c:v>
                </c:pt>
                <c:pt idx="3522">
                  <c:v>0.29441852233630228</c:v>
                </c:pt>
                <c:pt idx="3523">
                  <c:v>0.29436038274660137</c:v>
                </c:pt>
                <c:pt idx="3524">
                  <c:v>0.29430225165236373</c:v>
                </c:pt>
                <c:pt idx="3525">
                  <c:v>0.2942441290429284</c:v>
                </c:pt>
                <c:pt idx="3526">
                  <c:v>0.29418601490764745</c:v>
                </c:pt>
                <c:pt idx="3527">
                  <c:v>0.29412790923588661</c:v>
                </c:pt>
                <c:pt idx="3528">
                  <c:v>0.29406981201702476</c:v>
                </c:pt>
                <c:pt idx="3529">
                  <c:v>0.29401172324045427</c:v>
                </c:pt>
                <c:pt idx="3530">
                  <c:v>0.29395364289558074</c:v>
                </c:pt>
                <c:pt idx="3531">
                  <c:v>0.29389557097182295</c:v>
                </c:pt>
                <c:pt idx="3532">
                  <c:v>0.2938375074586132</c:v>
                </c:pt>
                <c:pt idx="3533">
                  <c:v>0.29377945234539693</c:v>
                </c:pt>
                <c:pt idx="3534">
                  <c:v>0.29372140562163274</c:v>
                </c:pt>
                <c:pt idx="3535">
                  <c:v>0.29366336727679254</c:v>
                </c:pt>
                <c:pt idx="3536">
                  <c:v>0.29360533730036154</c:v>
                </c:pt>
                <c:pt idx="3537">
                  <c:v>0.29354731568183806</c:v>
                </c:pt>
                <c:pt idx="3538">
                  <c:v>0.29348930241073351</c:v>
                </c:pt>
                <c:pt idx="3539">
                  <c:v>0.29343129747657254</c:v>
                </c:pt>
                <c:pt idx="3540">
                  <c:v>0.29337330086889313</c:v>
                </c:pt>
                <c:pt idx="3541">
                  <c:v>0.29331531257724602</c:v>
                </c:pt>
                <c:pt idx="3542">
                  <c:v>0.29325733259119535</c:v>
                </c:pt>
                <c:pt idx="3543">
                  <c:v>0.29319936090031817</c:v>
                </c:pt>
                <c:pt idx="3544">
                  <c:v>0.29314139749420481</c:v>
                </c:pt>
                <c:pt idx="3545">
                  <c:v>0.29308344236245859</c:v>
                </c:pt>
                <c:pt idx="3546">
                  <c:v>0.29302549549469575</c:v>
                </c:pt>
                <c:pt idx="3547">
                  <c:v>0.2929675568805456</c:v>
                </c:pt>
                <c:pt idx="3548">
                  <c:v>0.29290962650965069</c:v>
                </c:pt>
                <c:pt idx="3549">
                  <c:v>0.29285170437166624</c:v>
                </c:pt>
                <c:pt idx="3550">
                  <c:v>0.29279379045626069</c:v>
                </c:pt>
                <c:pt idx="3551">
                  <c:v>0.29273588475311541</c:v>
                </c:pt>
                <c:pt idx="3552">
                  <c:v>0.29267798725192457</c:v>
                </c:pt>
                <c:pt idx="3553">
                  <c:v>0.29262009794239541</c:v>
                </c:pt>
                <c:pt idx="3554">
                  <c:v>0.29256221681424804</c:v>
                </c:pt>
                <c:pt idx="3555">
                  <c:v>0.29250434385721552</c:v>
                </c:pt>
                <c:pt idx="3556">
                  <c:v>0.29244647906104376</c:v>
                </c:pt>
                <c:pt idx="3557">
                  <c:v>0.29238862241549152</c:v>
                </c:pt>
                <c:pt idx="3558">
                  <c:v>0.29233077391033035</c:v>
                </c:pt>
                <c:pt idx="3559">
                  <c:v>0.29227293353534484</c:v>
                </c:pt>
                <c:pt idx="3560">
                  <c:v>0.29221510128033223</c:v>
                </c:pt>
                <c:pt idx="3561">
                  <c:v>0.29215727713510259</c:v>
                </c:pt>
                <c:pt idx="3562">
                  <c:v>0.29209946108947876</c:v>
                </c:pt>
                <c:pt idx="3563">
                  <c:v>0.29204165313329644</c:v>
                </c:pt>
                <c:pt idx="3564">
                  <c:v>0.29198385325640408</c:v>
                </c:pt>
                <c:pt idx="3565">
                  <c:v>0.29192606144866262</c:v>
                </c:pt>
                <c:pt idx="3566">
                  <c:v>0.29186827769994617</c:v>
                </c:pt>
                <c:pt idx="3567">
                  <c:v>0.29181050200014114</c:v>
                </c:pt>
                <c:pt idx="3568">
                  <c:v>0.29175273433914689</c:v>
                </c:pt>
                <c:pt idx="3569">
                  <c:v>0.29169497470687522</c:v>
                </c:pt>
                <c:pt idx="3570">
                  <c:v>0.29163722309325085</c:v>
                </c:pt>
                <c:pt idx="3571">
                  <c:v>0.291579479488211</c:v>
                </c:pt>
                <c:pt idx="3572">
                  <c:v>0.29152174388170554</c:v>
                </c:pt>
                <c:pt idx="3573">
                  <c:v>0.29146401626369689</c:v>
                </c:pt>
                <c:pt idx="3574">
                  <c:v>0.29140629662416023</c:v>
                </c:pt>
                <c:pt idx="3575">
                  <c:v>0.29134858495308313</c:v>
                </c:pt>
                <c:pt idx="3576">
                  <c:v>0.29129088124046593</c:v>
                </c:pt>
                <c:pt idx="3577">
                  <c:v>0.29123318547632121</c:v>
                </c:pt>
                <c:pt idx="3578">
                  <c:v>0.29117549765067441</c:v>
                </c:pt>
                <c:pt idx="3579">
                  <c:v>0.29111781775356338</c:v>
                </c:pt>
                <c:pt idx="3580">
                  <c:v>0.2910601457750383</c:v>
                </c:pt>
                <c:pt idx="3581">
                  <c:v>0.29100248170516213</c:v>
                </c:pt>
                <c:pt idx="3582">
                  <c:v>0.29094482553401013</c:v>
                </c:pt>
                <c:pt idx="3583">
                  <c:v>0.29088717725166996</c:v>
                </c:pt>
                <c:pt idx="3584">
                  <c:v>0.29082953684824181</c:v>
                </c:pt>
                <c:pt idx="3585">
                  <c:v>0.29077190431383837</c:v>
                </c:pt>
                <c:pt idx="3586">
                  <c:v>0.29071427963858454</c:v>
                </c:pt>
                <c:pt idx="3587">
                  <c:v>0.29065666281261776</c:v>
                </c:pt>
                <c:pt idx="3588">
                  <c:v>0.29059905382608775</c:v>
                </c:pt>
                <c:pt idx="3589">
                  <c:v>0.29054145266915676</c:v>
                </c:pt>
                <c:pt idx="3590">
                  <c:v>0.29048385933199922</c:v>
                </c:pt>
                <c:pt idx="3591">
                  <c:v>0.2904262738048019</c:v>
                </c:pt>
                <c:pt idx="3592">
                  <c:v>0.29036869607776394</c:v>
                </c:pt>
                <c:pt idx="3593">
                  <c:v>0.29031112614109683</c:v>
                </c:pt>
                <c:pt idx="3594">
                  <c:v>0.29025356398502428</c:v>
                </c:pt>
                <c:pt idx="3595">
                  <c:v>0.29019600959978209</c:v>
                </c:pt>
                <c:pt idx="3596">
                  <c:v>0.29013846297561874</c:v>
                </c:pt>
                <c:pt idx="3597">
                  <c:v>0.29008092410279457</c:v>
                </c:pt>
                <c:pt idx="3598">
                  <c:v>0.29002339297158225</c:v>
                </c:pt>
                <c:pt idx="3599">
                  <c:v>0.28996586957226672</c:v>
                </c:pt>
                <c:pt idx="3600">
                  <c:v>0.28990835389514508</c:v>
                </c:pt>
                <c:pt idx="3601">
                  <c:v>0.28985084593052657</c:v>
                </c:pt>
                <c:pt idx="3602">
                  <c:v>0.28979334566873266</c:v>
                </c:pt>
                <c:pt idx="3603">
                  <c:v>0.28973585310009686</c:v>
                </c:pt>
                <c:pt idx="3604">
                  <c:v>0.28967836821496495</c:v>
                </c:pt>
                <c:pt idx="3605">
                  <c:v>0.2896208910036947</c:v>
                </c:pt>
                <c:pt idx="3606">
                  <c:v>0.28956342145665603</c:v>
                </c:pt>
                <c:pt idx="3607">
                  <c:v>0.28950595956423092</c:v>
                </c:pt>
                <c:pt idx="3608">
                  <c:v>0.28944850531681354</c:v>
                </c:pt>
                <c:pt idx="3609">
                  <c:v>0.28939105870480997</c:v>
                </c:pt>
                <c:pt idx="3610">
                  <c:v>0.28933361971863825</c:v>
                </c:pt>
                <c:pt idx="3611">
                  <c:v>0.28927618834872881</c:v>
                </c:pt>
                <c:pt idx="3612">
                  <c:v>0.2892187645855237</c:v>
                </c:pt>
                <c:pt idx="3613">
                  <c:v>0.28916134841947716</c:v>
                </c:pt>
                <c:pt idx="3614">
                  <c:v>0.28910393984105531</c:v>
                </c:pt>
                <c:pt idx="3615">
                  <c:v>0.28904653884073639</c:v>
                </c:pt>
                <c:pt idx="3616">
                  <c:v>0.28898914540901044</c:v>
                </c:pt>
                <c:pt idx="3617">
                  <c:v>0.28893175953637945</c:v>
                </c:pt>
                <c:pt idx="3618">
                  <c:v>0.28887438121335735</c:v>
                </c:pt>
                <c:pt idx="3619">
                  <c:v>0.28881701043047009</c:v>
                </c:pt>
                <c:pt idx="3620">
                  <c:v>0.28875964717825536</c:v>
                </c:pt>
                <c:pt idx="3621">
                  <c:v>0.28870229144726273</c:v>
                </c:pt>
                <c:pt idx="3622">
                  <c:v>0.28864494322805367</c:v>
                </c:pt>
                <c:pt idx="3623">
                  <c:v>0.28858760251120158</c:v>
                </c:pt>
                <c:pt idx="3624">
                  <c:v>0.28853026928729153</c:v>
                </c:pt>
                <c:pt idx="3625">
                  <c:v>0.28847294354692044</c:v>
                </c:pt>
                <c:pt idx="3626">
                  <c:v>0.2884156252806972</c:v>
                </c:pt>
                <c:pt idx="3627">
                  <c:v>0.28835831447924226</c:v>
                </c:pt>
                <c:pt idx="3628">
                  <c:v>0.28830101113318796</c:v>
                </c:pt>
                <c:pt idx="3629">
                  <c:v>0.28824371523317827</c:v>
                </c:pt>
                <c:pt idx="3630">
                  <c:v>0.28818642676986922</c:v>
                </c:pt>
                <c:pt idx="3631">
                  <c:v>0.28812914573392823</c:v>
                </c:pt>
                <c:pt idx="3632">
                  <c:v>0.28807187211603447</c:v>
                </c:pt>
                <c:pt idx="3633">
                  <c:v>0.288014605906879</c:v>
                </c:pt>
                <c:pt idx="3634">
                  <c:v>0.28795734709716442</c:v>
                </c:pt>
                <c:pt idx="3635">
                  <c:v>0.28790009567760499</c:v>
                </c:pt>
                <c:pt idx="3636">
                  <c:v>0.2878428516389267</c:v>
                </c:pt>
                <c:pt idx="3637">
                  <c:v>0.28778561497186711</c:v>
                </c:pt>
                <c:pt idx="3638">
                  <c:v>0.28772838566717546</c:v>
                </c:pt>
                <c:pt idx="3639">
                  <c:v>0.28767116371561258</c:v>
                </c:pt>
                <c:pt idx="3640">
                  <c:v>0.28761394910795074</c:v>
                </c:pt>
                <c:pt idx="3641">
                  <c:v>0.28755674183497415</c:v>
                </c:pt>
                <c:pt idx="3642">
                  <c:v>0.28749954188747828</c:v>
                </c:pt>
                <c:pt idx="3643">
                  <c:v>0.28744234925627021</c:v>
                </c:pt>
                <c:pt idx="3644">
                  <c:v>0.28738516393216856</c:v>
                </c:pt>
                <c:pt idx="3645">
                  <c:v>0.28732798590600361</c:v>
                </c:pt>
                <c:pt idx="3646">
                  <c:v>0.28727081516861697</c:v>
                </c:pt>
                <c:pt idx="3647">
                  <c:v>0.28721365171086177</c:v>
                </c:pt>
                <c:pt idx="3648">
                  <c:v>0.28715649552360267</c:v>
                </c:pt>
                <c:pt idx="3649">
                  <c:v>0.28709934659771585</c:v>
                </c:pt>
                <c:pt idx="3650">
                  <c:v>0.28704220492408888</c:v>
                </c:pt>
                <c:pt idx="3651">
                  <c:v>0.28698507049362065</c:v>
                </c:pt>
                <c:pt idx="3652">
                  <c:v>0.2869279432972216</c:v>
                </c:pt>
                <c:pt idx="3653">
                  <c:v>0.2868708233258136</c:v>
                </c:pt>
                <c:pt idx="3654">
                  <c:v>0.28681371057032989</c:v>
                </c:pt>
                <c:pt idx="3655">
                  <c:v>0.28675660502171496</c:v>
                </c:pt>
                <c:pt idx="3656">
                  <c:v>0.28669950667092486</c:v>
                </c:pt>
                <c:pt idx="3657">
                  <c:v>0.28664241550892694</c:v>
                </c:pt>
                <c:pt idx="3658">
                  <c:v>0.28658533152669974</c:v>
                </c:pt>
                <c:pt idx="3659">
                  <c:v>0.28652825471523319</c:v>
                </c:pt>
                <c:pt idx="3660">
                  <c:v>0.28647118506552871</c:v>
                </c:pt>
                <c:pt idx="3661">
                  <c:v>0.28641412256859877</c:v>
                </c:pt>
                <c:pt idx="3662">
                  <c:v>0.28635706721546722</c:v>
                </c:pt>
                <c:pt idx="3663">
                  <c:v>0.28630001899716917</c:v>
                </c:pt>
                <c:pt idx="3664">
                  <c:v>0.28624297790475101</c:v>
                </c:pt>
                <c:pt idx="3665">
                  <c:v>0.28618594392927027</c:v>
                </c:pt>
                <c:pt idx="3666">
                  <c:v>0.28612891706179583</c:v>
                </c:pt>
                <c:pt idx="3667">
                  <c:v>0.2860718972934076</c:v>
                </c:pt>
                <c:pt idx="3668">
                  <c:v>0.28601488461519697</c:v>
                </c:pt>
                <c:pt idx="3669">
                  <c:v>0.28595787901826625</c:v>
                </c:pt>
                <c:pt idx="3670">
                  <c:v>0.28590088049372891</c:v>
                </c:pt>
                <c:pt idx="3671">
                  <c:v>0.2858438890327098</c:v>
                </c:pt>
                <c:pt idx="3672">
                  <c:v>0.28578690462634476</c:v>
                </c:pt>
                <c:pt idx="3673">
                  <c:v>0.28572992726578073</c:v>
                </c:pt>
                <c:pt idx="3674">
                  <c:v>0.28567295694217576</c:v>
                </c:pt>
                <c:pt idx="3675">
                  <c:v>0.28561599364669904</c:v>
                </c:pt>
                <c:pt idx="3676">
                  <c:v>0.28555903737053095</c:v>
                </c:pt>
                <c:pt idx="3677">
                  <c:v>0.28550208810486266</c:v>
                </c:pt>
                <c:pt idx="3678">
                  <c:v>0.28544514584089664</c:v>
                </c:pt>
                <c:pt idx="3679">
                  <c:v>0.28538821056984631</c:v>
                </c:pt>
                <c:pt idx="3680">
                  <c:v>0.28533128228293614</c:v>
                </c:pt>
                <c:pt idx="3681">
                  <c:v>0.28527436097140157</c:v>
                </c:pt>
                <c:pt idx="3682">
                  <c:v>0.28521744662648901</c:v>
                </c:pt>
                <c:pt idx="3683">
                  <c:v>0.285160539239456</c:v>
                </c:pt>
                <c:pt idx="3684">
                  <c:v>0.28510363880157091</c:v>
                </c:pt>
                <c:pt idx="3685">
                  <c:v>0.28504674530411311</c:v>
                </c:pt>
                <c:pt idx="3686">
                  <c:v>0.28498985873837301</c:v>
                </c:pt>
                <c:pt idx="3687">
                  <c:v>0.28493297909565174</c:v>
                </c:pt>
                <c:pt idx="3688">
                  <c:v>0.28487610636726157</c:v>
                </c:pt>
                <c:pt idx="3689">
                  <c:v>0.28481924054452545</c:v>
                </c:pt>
                <c:pt idx="3690">
                  <c:v>0.28476238161877748</c:v>
                </c:pt>
                <c:pt idx="3691">
                  <c:v>0.28470552958136236</c:v>
                </c:pt>
                <c:pt idx="3692">
                  <c:v>0.28464868442363594</c:v>
                </c:pt>
                <c:pt idx="3693">
                  <c:v>0.28459184613696453</c:v>
                </c:pt>
                <c:pt idx="3694">
                  <c:v>0.28453501471272574</c:v>
                </c:pt>
                <c:pt idx="3695">
                  <c:v>0.28447819014230769</c:v>
                </c:pt>
                <c:pt idx="3696">
                  <c:v>0.28442137241710941</c:v>
                </c:pt>
                <c:pt idx="3697">
                  <c:v>0.2843645615285405</c:v>
                </c:pt>
                <c:pt idx="3698">
                  <c:v>0.28430775746802184</c:v>
                </c:pt>
                <c:pt idx="3699">
                  <c:v>0.28425096022698465</c:v>
                </c:pt>
                <c:pt idx="3700">
                  <c:v>0.28419416979687095</c:v>
                </c:pt>
                <c:pt idx="3701">
                  <c:v>0.28413738616913364</c:v>
                </c:pt>
                <c:pt idx="3702">
                  <c:v>0.28408060933523632</c:v>
                </c:pt>
                <c:pt idx="3703">
                  <c:v>0.2840238392866532</c:v>
                </c:pt>
                <c:pt idx="3704">
                  <c:v>0.28396707601486926</c:v>
                </c:pt>
                <c:pt idx="3705">
                  <c:v>0.28391031951138029</c:v>
                </c:pt>
                <c:pt idx="3706">
                  <c:v>0.28385356976769244</c:v>
                </c:pt>
                <c:pt idx="3707">
                  <c:v>0.28379682677532286</c:v>
                </c:pt>
                <c:pt idx="3708">
                  <c:v>0.28374009052579902</c:v>
                </c:pt>
                <c:pt idx="3709">
                  <c:v>0.28368336101065933</c:v>
                </c:pt>
                <c:pt idx="3710">
                  <c:v>0.28362663822145268</c:v>
                </c:pt>
                <c:pt idx="3711">
                  <c:v>0.28356992214973847</c:v>
                </c:pt>
                <c:pt idx="3712">
                  <c:v>0.2835132127870868</c:v>
                </c:pt>
                <c:pt idx="3713">
                  <c:v>0.28345651012507839</c:v>
                </c:pt>
                <c:pt idx="3714">
                  <c:v>0.28339981415530446</c:v>
                </c:pt>
                <c:pt idx="3715">
                  <c:v>0.2833431248693668</c:v>
                </c:pt>
                <c:pt idx="3716">
                  <c:v>0.28328644225887767</c:v>
                </c:pt>
                <c:pt idx="3717">
                  <c:v>0.28322976631545999</c:v>
                </c:pt>
                <c:pt idx="3718">
                  <c:v>0.28317309703074711</c:v>
                </c:pt>
                <c:pt idx="3719">
                  <c:v>0.28311643439638284</c:v>
                </c:pt>
                <c:pt idx="3720">
                  <c:v>0.28305977840402158</c:v>
                </c:pt>
                <c:pt idx="3721">
                  <c:v>0.28300312904532815</c:v>
                </c:pt>
                <c:pt idx="3722">
                  <c:v>0.28294648631197777</c:v>
                </c:pt>
                <c:pt idx="3723">
                  <c:v>0.28288985019565621</c:v>
                </c:pt>
                <c:pt idx="3724">
                  <c:v>0.28283322068805966</c:v>
                </c:pt>
                <c:pt idx="3725">
                  <c:v>0.28277659778089465</c:v>
                </c:pt>
                <c:pt idx="3726">
                  <c:v>0.28271998146587818</c:v>
                </c:pt>
                <c:pt idx="3727">
                  <c:v>0.2826633717347376</c:v>
                </c:pt>
                <c:pt idx="3728">
                  <c:v>0.2826067685792108</c:v>
                </c:pt>
                <c:pt idx="3729">
                  <c:v>0.28255017199104576</c:v>
                </c:pt>
                <c:pt idx="3730">
                  <c:v>0.28249358196200108</c:v>
                </c:pt>
                <c:pt idx="3731">
                  <c:v>0.28243699848384551</c:v>
                </c:pt>
                <c:pt idx="3732">
                  <c:v>0.28238042154835824</c:v>
                </c:pt>
                <c:pt idx="3733">
                  <c:v>0.28232385114732877</c:v>
                </c:pt>
                <c:pt idx="3734">
                  <c:v>0.28226728727255684</c:v>
                </c:pt>
                <c:pt idx="3735">
                  <c:v>0.28221072991585255</c:v>
                </c:pt>
                <c:pt idx="3736">
                  <c:v>0.28215417906903628</c:v>
                </c:pt>
                <c:pt idx="3737">
                  <c:v>0.28209763472393862</c:v>
                </c:pt>
                <c:pt idx="3738">
                  <c:v>0.28204109687240031</c:v>
                </c:pt>
                <c:pt idx="3739">
                  <c:v>0.28198456550627266</c:v>
                </c:pt>
                <c:pt idx="3740">
                  <c:v>0.28192804061741689</c:v>
                </c:pt>
                <c:pt idx="3741">
                  <c:v>0.28187152219770456</c:v>
                </c:pt>
                <c:pt idx="3742">
                  <c:v>0.28181501023901734</c:v>
                </c:pt>
                <c:pt idx="3743">
                  <c:v>0.28175850473324732</c:v>
                </c:pt>
                <c:pt idx="3744">
                  <c:v>0.28170200567229653</c:v>
                </c:pt>
                <c:pt idx="3745">
                  <c:v>0.28164551304807722</c:v>
                </c:pt>
                <c:pt idx="3746">
                  <c:v>0.28158902685251175</c:v>
                </c:pt>
                <c:pt idx="3747">
                  <c:v>0.28153254707753284</c:v>
                </c:pt>
                <c:pt idx="3748">
                  <c:v>0.28147607371508304</c:v>
                </c:pt>
                <c:pt idx="3749">
                  <c:v>0.28141960675711514</c:v>
                </c:pt>
                <c:pt idx="3750">
                  <c:v>0.28136314619559211</c:v>
                </c:pt>
                <c:pt idx="3751">
                  <c:v>0.28130669202248687</c:v>
                </c:pt>
                <c:pt idx="3752">
                  <c:v>0.28125024422978251</c:v>
                </c:pt>
                <c:pt idx="3753">
                  <c:v>0.28119380280947204</c:v>
                </c:pt>
                <c:pt idx="3754">
                  <c:v>0.28113736775355874</c:v>
                </c:pt>
                <c:pt idx="3755">
                  <c:v>0.28108093905405579</c:v>
                </c:pt>
                <c:pt idx="3756">
                  <c:v>0.28102451670298634</c:v>
                </c:pt>
                <c:pt idx="3757">
                  <c:v>0.28096810069238359</c:v>
                </c:pt>
                <c:pt idx="3758">
                  <c:v>0.28091169101429087</c:v>
                </c:pt>
                <c:pt idx="3759">
                  <c:v>0.28085528766076129</c:v>
                </c:pt>
                <c:pt idx="3760">
                  <c:v>0.2807988906238581</c:v>
                </c:pt>
                <c:pt idx="3761">
                  <c:v>0.28074249989565442</c:v>
                </c:pt>
                <c:pt idx="3762">
                  <c:v>0.2806861154682333</c:v>
                </c:pt>
                <c:pt idx="3763">
                  <c:v>0.28062973733368785</c:v>
                </c:pt>
                <c:pt idx="3764">
                  <c:v>0.28057336548412093</c:v>
                </c:pt>
                <c:pt idx="3765">
                  <c:v>0.28051699991164547</c:v>
                </c:pt>
                <c:pt idx="3766">
                  <c:v>0.28046064060838416</c:v>
                </c:pt>
                <c:pt idx="3767">
                  <c:v>0.28040428756646968</c:v>
                </c:pt>
                <c:pt idx="3768">
                  <c:v>0.28034794077804448</c:v>
                </c:pt>
                <c:pt idx="3769">
                  <c:v>0.28029160023526106</c:v>
                </c:pt>
                <c:pt idx="3770">
                  <c:v>0.28023526593028153</c:v>
                </c:pt>
                <c:pt idx="3771">
                  <c:v>0.28017893785527798</c:v>
                </c:pt>
                <c:pt idx="3772">
                  <c:v>0.28012261600243221</c:v>
                </c:pt>
                <c:pt idx="3773">
                  <c:v>0.28006630036393609</c:v>
                </c:pt>
                <c:pt idx="3774">
                  <c:v>0.28000999093199103</c:v>
                </c:pt>
                <c:pt idx="3775">
                  <c:v>0.27995368769880824</c:v>
                </c:pt>
                <c:pt idx="3776">
                  <c:v>0.27989739065660879</c:v>
                </c:pt>
                <c:pt idx="3777">
                  <c:v>0.27984109979762356</c:v>
                </c:pt>
                <c:pt idx="3778">
                  <c:v>0.27978481511409314</c:v>
                </c:pt>
                <c:pt idx="3779">
                  <c:v>0.27972853659826763</c:v>
                </c:pt>
                <c:pt idx="3780">
                  <c:v>0.27967226424240732</c:v>
                </c:pt>
                <c:pt idx="3781">
                  <c:v>0.27961599803878173</c:v>
                </c:pt>
                <c:pt idx="3782">
                  <c:v>0.27955973797967049</c:v>
                </c:pt>
                <c:pt idx="3783">
                  <c:v>0.27950348405736253</c:v>
                </c:pt>
                <c:pt idx="3784">
                  <c:v>0.2794472362641568</c:v>
                </c:pt>
                <c:pt idx="3785">
                  <c:v>0.27939099459236172</c:v>
                </c:pt>
                <c:pt idx="3786">
                  <c:v>0.27933475903429539</c:v>
                </c:pt>
                <c:pt idx="3787">
                  <c:v>0.27927852958228555</c:v>
                </c:pt>
                <c:pt idx="3788">
                  <c:v>0.27922230622866973</c:v>
                </c:pt>
                <c:pt idx="3789">
                  <c:v>0.27916608896579481</c:v>
                </c:pt>
                <c:pt idx="3790">
                  <c:v>0.27910987778601742</c:v>
                </c:pt>
                <c:pt idx="3791">
                  <c:v>0.27905367268170372</c:v>
                </c:pt>
                <c:pt idx="3792">
                  <c:v>0.27899747364522959</c:v>
                </c:pt>
                <c:pt idx="3793">
                  <c:v>0.27894128066898038</c:v>
                </c:pt>
                <c:pt idx="3794">
                  <c:v>0.27888509374535081</c:v>
                </c:pt>
                <c:pt idx="3795">
                  <c:v>0.2788289128667456</c:v>
                </c:pt>
                <c:pt idx="3796">
                  <c:v>0.2787727380255785</c:v>
                </c:pt>
                <c:pt idx="3797">
                  <c:v>0.27871656921427318</c:v>
                </c:pt>
                <c:pt idx="3798">
                  <c:v>0.27866040642526246</c:v>
                </c:pt>
                <c:pt idx="3799">
                  <c:v>0.27860424965098907</c:v>
                </c:pt>
                <c:pt idx="3800">
                  <c:v>0.2785480988839048</c:v>
                </c:pt>
                <c:pt idx="3801">
                  <c:v>0.27849195411647126</c:v>
                </c:pt>
                <c:pt idx="3802">
                  <c:v>0.27843581534115919</c:v>
                </c:pt>
                <c:pt idx="3803">
                  <c:v>0.2783796825504492</c:v>
                </c:pt>
                <c:pt idx="3804">
                  <c:v>0.27832355573683087</c:v>
                </c:pt>
                <c:pt idx="3805">
                  <c:v>0.27826743489280359</c:v>
                </c:pt>
                <c:pt idx="3806">
                  <c:v>0.2782113200108759</c:v>
                </c:pt>
                <c:pt idx="3807">
                  <c:v>0.27815521108356589</c:v>
                </c:pt>
                <c:pt idx="3808">
                  <c:v>0.27809910810340099</c:v>
                </c:pt>
                <c:pt idx="3809">
                  <c:v>0.27804301106291796</c:v>
                </c:pt>
                <c:pt idx="3810">
                  <c:v>0.27798691995466307</c:v>
                </c:pt>
                <c:pt idx="3811">
                  <c:v>0.27793083477119179</c:v>
                </c:pt>
                <c:pt idx="3812">
                  <c:v>0.27787475550506907</c:v>
                </c:pt>
                <c:pt idx="3813">
                  <c:v>0.2778186821488689</c:v>
                </c:pt>
                <c:pt idx="3814">
                  <c:v>0.27776261469517505</c:v>
                </c:pt>
                <c:pt idx="3815">
                  <c:v>0.27770655313658027</c:v>
                </c:pt>
                <c:pt idx="3816">
                  <c:v>0.2776504974656866</c:v>
                </c:pt>
                <c:pt idx="3817">
                  <c:v>0.27759444767510549</c:v>
                </c:pt>
                <c:pt idx="3818">
                  <c:v>0.2775384037574577</c:v>
                </c:pt>
                <c:pt idx="3819">
                  <c:v>0.2774823657053731</c:v>
                </c:pt>
                <c:pt idx="3820">
                  <c:v>0.27742633351149087</c:v>
                </c:pt>
                <c:pt idx="3821">
                  <c:v>0.27737030716845945</c:v>
                </c:pt>
                <c:pt idx="3822">
                  <c:v>0.27731428666893654</c:v>
                </c:pt>
                <c:pt idx="3823">
                  <c:v>0.27725827200558895</c:v>
                </c:pt>
                <c:pt idx="3824">
                  <c:v>0.2772022631710927</c:v>
                </c:pt>
                <c:pt idx="3825">
                  <c:v>0.27714626015813315</c:v>
                </c:pt>
                <c:pt idx="3826">
                  <c:v>0.2770902629594047</c:v>
                </c:pt>
                <c:pt idx="3827">
                  <c:v>0.27703427156761101</c:v>
                </c:pt>
                <c:pt idx="3828">
                  <c:v>0.2769782859754647</c:v>
                </c:pt>
                <c:pt idx="3829">
                  <c:v>0.2769223061756878</c:v>
                </c:pt>
                <c:pt idx="3830">
                  <c:v>0.27686633216101136</c:v>
                </c:pt>
                <c:pt idx="3831">
                  <c:v>0.27681036392417546</c:v>
                </c:pt>
                <c:pt idx="3832">
                  <c:v>0.2767544014579294</c:v>
                </c:pt>
                <c:pt idx="3833">
                  <c:v>0.27669844475503164</c:v>
                </c:pt>
                <c:pt idx="3834">
                  <c:v>0.27664249380824957</c:v>
                </c:pt>
                <c:pt idx="3835">
                  <c:v>0.27658654861035969</c:v>
                </c:pt>
                <c:pt idx="3836">
                  <c:v>0.27653060915414762</c:v>
                </c:pt>
                <c:pt idx="3837">
                  <c:v>0.27647467543240806</c:v>
                </c:pt>
                <c:pt idx="3838">
                  <c:v>0.2764187474379447</c:v>
                </c:pt>
                <c:pt idx="3839">
                  <c:v>0.27636282516357019</c:v>
                </c:pt>
                <c:pt idx="3840">
                  <c:v>0.27630690860210644</c:v>
                </c:pt>
                <c:pt idx="3841">
                  <c:v>0.27625099774638406</c:v>
                </c:pt>
                <c:pt idx="3842">
                  <c:v>0.27619509258924285</c:v>
                </c:pt>
                <c:pt idx="3843">
                  <c:v>0.27613919312353152</c:v>
                </c:pt>
                <c:pt idx="3844">
                  <c:v>0.27608329934210785</c:v>
                </c:pt>
                <c:pt idx="3845">
                  <c:v>0.27602741123783847</c:v>
                </c:pt>
                <c:pt idx="3846">
                  <c:v>0.27597152880359899</c:v>
                </c:pt>
                <c:pt idx="3847">
                  <c:v>0.27591565203227397</c:v>
                </c:pt>
                <c:pt idx="3848">
                  <c:v>0.275859780916757</c:v>
                </c:pt>
                <c:pt idx="3849">
                  <c:v>0.27580391544995042</c:v>
                </c:pt>
                <c:pt idx="3850">
                  <c:v>0.27574805562476556</c:v>
                </c:pt>
                <c:pt idx="3851">
                  <c:v>0.2756922014341226</c:v>
                </c:pt>
                <c:pt idx="3852">
                  <c:v>0.27563635287095078</c:v>
                </c:pt>
                <c:pt idx="3853">
                  <c:v>0.27558050992818789</c:v>
                </c:pt>
                <c:pt idx="3854">
                  <c:v>0.27552467259878088</c:v>
                </c:pt>
                <c:pt idx="3855">
                  <c:v>0.27546884087568546</c:v>
                </c:pt>
                <c:pt idx="3856">
                  <c:v>0.27541301475186608</c:v>
                </c:pt>
                <c:pt idx="3857">
                  <c:v>0.27535719422029614</c:v>
                </c:pt>
                <c:pt idx="3858">
                  <c:v>0.27530137927395781</c:v>
                </c:pt>
                <c:pt idx="3859">
                  <c:v>0.27524556990584209</c:v>
                </c:pt>
                <c:pt idx="3860">
                  <c:v>0.27518976610894874</c:v>
                </c:pt>
                <c:pt idx="3861">
                  <c:v>0.27513396787628636</c:v>
                </c:pt>
                <c:pt idx="3862">
                  <c:v>0.27507817520087213</c:v>
                </c:pt>
                <c:pt idx="3863">
                  <c:v>0.27502238807573237</c:v>
                </c:pt>
                <c:pt idx="3864">
                  <c:v>0.27496660649390187</c:v>
                </c:pt>
                <c:pt idx="3865">
                  <c:v>0.27491083044842413</c:v>
                </c:pt>
                <c:pt idx="3866">
                  <c:v>0.27485505993235149</c:v>
                </c:pt>
                <c:pt idx="3867">
                  <c:v>0.27479929493874511</c:v>
                </c:pt>
                <c:pt idx="3868">
                  <c:v>0.27474353546067459</c:v>
                </c:pt>
                <c:pt idx="3869">
                  <c:v>0.27468778149121847</c:v>
                </c:pt>
                <c:pt idx="3870">
                  <c:v>0.27463203302346384</c:v>
                </c:pt>
                <c:pt idx="3871">
                  <c:v>0.27457629005050654</c:v>
                </c:pt>
                <c:pt idx="3872">
                  <c:v>0.27452055256545105</c:v>
                </c:pt>
                <c:pt idx="3873">
                  <c:v>0.27446482056141042</c:v>
                </c:pt>
                <c:pt idx="3874">
                  <c:v>0.27440909403150648</c:v>
                </c:pt>
                <c:pt idx="3875">
                  <c:v>0.27435337296886958</c:v>
                </c:pt>
                <c:pt idx="3876">
                  <c:v>0.2742976573666388</c:v>
                </c:pt>
                <c:pt idx="3877">
                  <c:v>0.27424194721796175</c:v>
                </c:pt>
                <c:pt idx="3878">
                  <c:v>0.2741862425159946</c:v>
                </c:pt>
                <c:pt idx="3879">
                  <c:v>0.27413054325390224</c:v>
                </c:pt>
                <c:pt idx="3880">
                  <c:v>0.27407484942485805</c:v>
                </c:pt>
                <c:pt idx="3881">
                  <c:v>0.27401916102204393</c:v>
                </c:pt>
                <c:pt idx="3882">
                  <c:v>0.27396347803865051</c:v>
                </c:pt>
                <c:pt idx="3883">
                  <c:v>0.27390780046787677</c:v>
                </c:pt>
                <c:pt idx="3884">
                  <c:v>0.27385212830293026</c:v>
                </c:pt>
                <c:pt idx="3885">
                  <c:v>0.27379646153702719</c:v>
                </c:pt>
                <c:pt idx="3886">
                  <c:v>0.27374080016339225</c:v>
                </c:pt>
                <c:pt idx="3887">
                  <c:v>0.27368514417525841</c:v>
                </c:pt>
                <c:pt idx="3888">
                  <c:v>0.27362949356586735</c:v>
                </c:pt>
                <c:pt idx="3889">
                  <c:v>0.27357384832846932</c:v>
                </c:pt>
                <c:pt idx="3890">
                  <c:v>0.27351820845632274</c:v>
                </c:pt>
                <c:pt idx="3891">
                  <c:v>0.27346257394269474</c:v>
                </c:pt>
                <c:pt idx="3892">
                  <c:v>0.27340694478086069</c:v>
                </c:pt>
                <c:pt idx="3893">
                  <c:v>0.27335132096410464</c:v>
                </c:pt>
                <c:pt idx="3894">
                  <c:v>0.27329570248571894</c:v>
                </c:pt>
                <c:pt idx="3895">
                  <c:v>0.27324008933900429</c:v>
                </c:pt>
                <c:pt idx="3896">
                  <c:v>0.27318448151726993</c:v>
                </c:pt>
                <c:pt idx="3897">
                  <c:v>0.27312887901383343</c:v>
                </c:pt>
                <c:pt idx="3898">
                  <c:v>0.27307328182202073</c:v>
                </c:pt>
                <c:pt idx="3899">
                  <c:v>0.27301768993516617</c:v>
                </c:pt>
                <c:pt idx="3900">
                  <c:v>0.27296210334661247</c:v>
                </c:pt>
                <c:pt idx="3901">
                  <c:v>0.27290652204971072</c:v>
                </c:pt>
                <c:pt idx="3902">
                  <c:v>0.27285094603782023</c:v>
                </c:pt>
                <c:pt idx="3903">
                  <c:v>0.27279537530430886</c:v>
                </c:pt>
                <c:pt idx="3904">
                  <c:v>0.27273980984255258</c:v>
                </c:pt>
                <c:pt idx="3905">
                  <c:v>0.27268424964593574</c:v>
                </c:pt>
                <c:pt idx="3906">
                  <c:v>0.27262869470785106</c:v>
                </c:pt>
                <c:pt idx="3907">
                  <c:v>0.27257314502169949</c:v>
                </c:pt>
                <c:pt idx="3908">
                  <c:v>0.27251760058089036</c:v>
                </c:pt>
                <c:pt idx="3909">
                  <c:v>0.27246206137884105</c:v>
                </c:pt>
                <c:pt idx="3910">
                  <c:v>0.27240652740897736</c:v>
                </c:pt>
                <c:pt idx="3911">
                  <c:v>0.27235099866473339</c:v>
                </c:pt>
                <c:pt idx="3912">
                  <c:v>0.27229547513955138</c:v>
                </c:pt>
                <c:pt idx="3913">
                  <c:v>0.27223995682688185</c:v>
                </c:pt>
                <c:pt idx="3914">
                  <c:v>0.27218444372018341</c:v>
                </c:pt>
                <c:pt idx="3915">
                  <c:v>0.27212893581292308</c:v>
                </c:pt>
                <c:pt idx="3916">
                  <c:v>0.27207343309857596</c:v>
                </c:pt>
                <c:pt idx="3917">
                  <c:v>0.27201793557062537</c:v>
                </c:pt>
                <c:pt idx="3918">
                  <c:v>0.2719624432225628</c:v>
                </c:pt>
                <c:pt idx="3919">
                  <c:v>0.27190695604788789</c:v>
                </c:pt>
                <c:pt idx="3920">
                  <c:v>0.27185147404010845</c:v>
                </c:pt>
                <c:pt idx="3921">
                  <c:v>0.27179599719274039</c:v>
                </c:pt>
                <c:pt idx="3922">
                  <c:v>0.27174052549930794</c:v>
                </c:pt>
                <c:pt idx="3923">
                  <c:v>0.27168505895334327</c:v>
                </c:pt>
                <c:pt idx="3924">
                  <c:v>0.27162959754838667</c:v>
                </c:pt>
                <c:pt idx="3925">
                  <c:v>0.27157414127798662</c:v>
                </c:pt>
                <c:pt idx="3926">
                  <c:v>0.27151869013569968</c:v>
                </c:pt>
                <c:pt idx="3927">
                  <c:v>0.27146324411509049</c:v>
                </c:pt>
                <c:pt idx="3928">
                  <c:v>0.27140780320973174</c:v>
                </c:pt>
                <c:pt idx="3929">
                  <c:v>0.27135236741320412</c:v>
                </c:pt>
                <c:pt idx="3930">
                  <c:v>0.27129693671909655</c:v>
                </c:pt>
                <c:pt idx="3931">
                  <c:v>0.27124151112100592</c:v>
                </c:pt>
                <c:pt idx="3932">
                  <c:v>0.27118609061253707</c:v>
                </c:pt>
                <c:pt idx="3933">
                  <c:v>0.27113067518730299</c:v>
                </c:pt>
                <c:pt idx="3934">
                  <c:v>0.27107526483892458</c:v>
                </c:pt>
                <c:pt idx="3935">
                  <c:v>0.27101985956103086</c:v>
                </c:pt>
                <c:pt idx="3936">
                  <c:v>0.27096445934725866</c:v>
                </c:pt>
                <c:pt idx="3937">
                  <c:v>0.27090906419125305</c:v>
                </c:pt>
                <c:pt idx="3938">
                  <c:v>0.27085367408666688</c:v>
                </c:pt>
                <c:pt idx="3939">
                  <c:v>0.27079828902716102</c:v>
                </c:pt>
                <c:pt idx="3940">
                  <c:v>0.27074290900640424</c:v>
                </c:pt>
                <c:pt idx="3941">
                  <c:v>0.27068753401807349</c:v>
                </c:pt>
                <c:pt idx="3942">
                  <c:v>0.27063216405585333</c:v>
                </c:pt>
                <c:pt idx="3943">
                  <c:v>0.27057679911343641</c:v>
                </c:pt>
                <c:pt idx="3944">
                  <c:v>0.27052143918452326</c:v>
                </c:pt>
                <c:pt idx="3945">
                  <c:v>0.27046608426282243</c:v>
                </c:pt>
                <c:pt idx="3946">
                  <c:v>0.27041073434205021</c:v>
                </c:pt>
                <c:pt idx="3947">
                  <c:v>0.27035538941593079</c:v>
                </c:pt>
                <c:pt idx="3948">
                  <c:v>0.27030004947819641</c:v>
                </c:pt>
                <c:pt idx="3949">
                  <c:v>0.27024471452258697</c:v>
                </c:pt>
                <c:pt idx="3950">
                  <c:v>0.2701893845428503</c:v>
                </c:pt>
                <c:pt idx="3951">
                  <c:v>0.27013405953274205</c:v>
                </c:pt>
                <c:pt idx="3952">
                  <c:v>0.27007873948602579</c:v>
                </c:pt>
                <c:pt idx="3953">
                  <c:v>0.27002342439647287</c:v>
                </c:pt>
                <c:pt idx="3954">
                  <c:v>0.26996811425786243</c:v>
                </c:pt>
                <c:pt idx="3955">
                  <c:v>0.26991280906398135</c:v>
                </c:pt>
                <c:pt idx="3956">
                  <c:v>0.26985750880862452</c:v>
                </c:pt>
                <c:pt idx="3957">
                  <c:v>0.26980221348559447</c:v>
                </c:pt>
                <c:pt idx="3958">
                  <c:v>0.26974692308870146</c:v>
                </c:pt>
                <c:pt idx="3959">
                  <c:v>0.26969163761176357</c:v>
                </c:pt>
                <c:pt idx="3960">
                  <c:v>0.26963635704860672</c:v>
                </c:pt>
                <c:pt idx="3961">
                  <c:v>0.26958108139306453</c:v>
                </c:pt>
                <c:pt idx="3962">
                  <c:v>0.26952581063897824</c:v>
                </c:pt>
                <c:pt idx="3963">
                  <c:v>0.269470544780197</c:v>
                </c:pt>
                <c:pt idx="3964">
                  <c:v>0.26941528381057761</c:v>
                </c:pt>
                <c:pt idx="3965">
                  <c:v>0.26936002772398449</c:v>
                </c:pt>
                <c:pt idx="3966">
                  <c:v>0.2693047765142898</c:v>
                </c:pt>
                <c:pt idx="3967">
                  <c:v>0.26924953017537356</c:v>
                </c:pt>
                <c:pt idx="3968">
                  <c:v>0.26919428870112327</c:v>
                </c:pt>
                <c:pt idx="3969">
                  <c:v>0.26913905208543415</c:v>
                </c:pt>
                <c:pt idx="3970">
                  <c:v>0.26908382032220907</c:v>
                </c:pt>
                <c:pt idx="3971">
                  <c:v>0.26902859340535862</c:v>
                </c:pt>
                <c:pt idx="3972">
                  <c:v>0.268973371328801</c:v>
                </c:pt>
                <c:pt idx="3973">
                  <c:v>0.26891815408646202</c:v>
                </c:pt>
                <c:pt idx="3974">
                  <c:v>0.26886294167227504</c:v>
                </c:pt>
                <c:pt idx="3975">
                  <c:v>0.26880773408018127</c:v>
                </c:pt>
                <c:pt idx="3976">
                  <c:v>0.26875253130412929</c:v>
                </c:pt>
                <c:pt idx="3977">
                  <c:v>0.26869733333807533</c:v>
                </c:pt>
                <c:pt idx="3978">
                  <c:v>0.26864214017598326</c:v>
                </c:pt>
                <c:pt idx="3979">
                  <c:v>0.26858695181182451</c:v>
                </c:pt>
                <c:pt idx="3980">
                  <c:v>0.26853176823957808</c:v>
                </c:pt>
                <c:pt idx="3981">
                  <c:v>0.26847658945323033</c:v>
                </c:pt>
                <c:pt idx="3982">
                  <c:v>0.26842141544677561</c:v>
                </c:pt>
                <c:pt idx="3983">
                  <c:v>0.26836624621421534</c:v>
                </c:pt>
                <c:pt idx="3984">
                  <c:v>0.26831108174955876</c:v>
                </c:pt>
                <c:pt idx="3985">
                  <c:v>0.26825592204682241</c:v>
                </c:pt>
                <c:pt idx="3986">
                  <c:v>0.26820076710003066</c:v>
                </c:pt>
                <c:pt idx="3987">
                  <c:v>0.26814561690321509</c:v>
                </c:pt>
                <c:pt idx="3988">
                  <c:v>0.26809047145041481</c:v>
                </c:pt>
                <c:pt idx="3989">
                  <c:v>0.26803533073567642</c:v>
                </c:pt>
                <c:pt idx="3990">
                  <c:v>0.26798019475305423</c:v>
                </c:pt>
                <c:pt idx="3991">
                  <c:v>0.26792506349660966</c:v>
                </c:pt>
                <c:pt idx="3992">
                  <c:v>0.26786993696041173</c:v>
                </c:pt>
                <c:pt idx="3993">
                  <c:v>0.267814815138537</c:v>
                </c:pt>
                <c:pt idx="3994">
                  <c:v>0.26775969802506933</c:v>
                </c:pt>
                <c:pt idx="3995">
                  <c:v>0.26770458561410004</c:v>
                </c:pt>
                <c:pt idx="3996">
                  <c:v>0.26764947789972782</c:v>
                </c:pt>
                <c:pt idx="3997">
                  <c:v>0.26759437487605892</c:v>
                </c:pt>
                <c:pt idx="3998">
                  <c:v>0.26753927653720688</c:v>
                </c:pt>
                <c:pt idx="3999">
                  <c:v>0.26748418287729253</c:v>
                </c:pt>
                <c:pt idx="4000">
                  <c:v>0.26742909389044422</c:v>
                </c:pt>
                <c:pt idx="4001">
                  <c:v>0.26737400957079771</c:v>
                </c:pt>
                <c:pt idx="4002">
                  <c:v>0.26731892991249595</c:v>
                </c:pt>
                <c:pt idx="4003">
                  <c:v>0.26726385490968935</c:v>
                </c:pt>
                <c:pt idx="4004">
                  <c:v>0.26720878455653557</c:v>
                </c:pt>
                <c:pt idx="4005">
                  <c:v>0.26715371884719979</c:v>
                </c:pt>
                <c:pt idx="4006">
                  <c:v>0.2670986577758544</c:v>
                </c:pt>
                <c:pt idx="4007">
                  <c:v>0.26704360133667887</c:v>
                </c:pt>
                <c:pt idx="4008">
                  <c:v>0.26698854952386047</c:v>
                </c:pt>
                <c:pt idx="4009">
                  <c:v>0.26693350233159341</c:v>
                </c:pt>
                <c:pt idx="4010">
                  <c:v>0.2668784597540792</c:v>
                </c:pt>
                <c:pt idx="4011">
                  <c:v>0.2668234217855267</c:v>
                </c:pt>
                <c:pt idx="4012">
                  <c:v>0.2667683884201521</c:v>
                </c:pt>
                <c:pt idx="4013">
                  <c:v>0.26671335965217879</c:v>
                </c:pt>
                <c:pt idx="4014">
                  <c:v>0.26665833547583734</c:v>
                </c:pt>
                <c:pt idx="4015">
                  <c:v>0.26660331588536562</c:v>
                </c:pt>
                <c:pt idx="4016">
                  <c:v>0.2665483008750088</c:v>
                </c:pt>
                <c:pt idx="4017">
                  <c:v>0.26649329043901915</c:v>
                </c:pt>
                <c:pt idx="4018">
                  <c:v>0.26643828457165619</c:v>
                </c:pt>
                <c:pt idx="4019">
                  <c:v>0.26638328326718663</c:v>
                </c:pt>
                <c:pt idx="4020">
                  <c:v>0.26632828651988455</c:v>
                </c:pt>
                <c:pt idx="4021">
                  <c:v>0.26627329432403102</c:v>
                </c:pt>
                <c:pt idx="4022">
                  <c:v>0.26621830667391416</c:v>
                </c:pt>
                <c:pt idx="4023">
                  <c:v>0.26616332356382966</c:v>
                </c:pt>
                <c:pt idx="4024">
                  <c:v>0.26610834498808006</c:v>
                </c:pt>
                <c:pt idx="4025">
                  <c:v>0.26605337094097514</c:v>
                </c:pt>
                <c:pt idx="4026">
                  <c:v>0.26599840141683179</c:v>
                </c:pt>
                <c:pt idx="4027">
                  <c:v>0.26594343640997409</c:v>
                </c:pt>
                <c:pt idx="4028">
                  <c:v>0.26588847591473319</c:v>
                </c:pt>
                <c:pt idx="4029">
                  <c:v>0.26583351992544735</c:v>
                </c:pt>
                <c:pt idx="4030">
                  <c:v>0.26577856843646197</c:v>
                </c:pt>
                <c:pt idx="4031">
                  <c:v>0.26572362144212963</c:v>
                </c:pt>
                <c:pt idx="4032">
                  <c:v>0.26566867893680979</c:v>
                </c:pt>
                <c:pt idx="4033">
                  <c:v>0.26561374091486911</c:v>
                </c:pt>
                <c:pt idx="4034">
                  <c:v>0.26555880737068127</c:v>
                </c:pt>
                <c:pt idx="4035">
                  <c:v>0.26550387829862721</c:v>
                </c:pt>
                <c:pt idx="4036">
                  <c:v>0.26544895369309462</c:v>
                </c:pt>
                <c:pt idx="4037">
                  <c:v>0.2653940335484784</c:v>
                </c:pt>
                <c:pt idx="4038">
                  <c:v>0.26533911785918046</c:v>
                </c:pt>
                <c:pt idx="4039">
                  <c:v>0.26528420661960983</c:v>
                </c:pt>
                <c:pt idx="4040">
                  <c:v>0.26522929982418231</c:v>
                </c:pt>
                <c:pt idx="4041">
                  <c:v>0.26517439746732091</c:v>
                </c:pt>
                <c:pt idx="4042">
                  <c:v>0.26511949954345565</c:v>
                </c:pt>
                <c:pt idx="4043">
                  <c:v>0.26506460604702342</c:v>
                </c:pt>
                <c:pt idx="4044">
                  <c:v>0.26500971697246811</c:v>
                </c:pt>
                <c:pt idx="4045">
                  <c:v>0.26495483231424066</c:v>
                </c:pt>
                <c:pt idx="4046">
                  <c:v>0.264899952066799</c:v>
                </c:pt>
                <c:pt idx="4047">
                  <c:v>0.26484507622460784</c:v>
                </c:pt>
                <c:pt idx="4048">
                  <c:v>0.26479020478213899</c:v>
                </c:pt>
                <c:pt idx="4049">
                  <c:v>0.26473533773387115</c:v>
                </c:pt>
                <c:pt idx="4050">
                  <c:v>0.26468047507428993</c:v>
                </c:pt>
                <c:pt idx="4051">
                  <c:v>0.26462561679788793</c:v>
                </c:pt>
                <c:pt idx="4052">
                  <c:v>0.26457076289916459</c:v>
                </c:pt>
                <c:pt idx="4053">
                  <c:v>0.26451591337262625</c:v>
                </c:pt>
                <c:pt idx="4054">
                  <c:v>0.2644610682127862</c:v>
                </c:pt>
                <c:pt idx="4055">
                  <c:v>0.26440622741416459</c:v>
                </c:pt>
                <c:pt idx="4056">
                  <c:v>0.26435139097128835</c:v>
                </c:pt>
                <c:pt idx="4057">
                  <c:v>0.26429655887869147</c:v>
                </c:pt>
                <c:pt idx="4058">
                  <c:v>0.2642417311309147</c:v>
                </c:pt>
                <c:pt idx="4059">
                  <c:v>0.26418690772250564</c:v>
                </c:pt>
                <c:pt idx="4060">
                  <c:v>0.26413208864801863</c:v>
                </c:pt>
                <c:pt idx="4061">
                  <c:v>0.26407727390201502</c:v>
                </c:pt>
                <c:pt idx="4062">
                  <c:v>0.26402246347906294</c:v>
                </c:pt>
                <c:pt idx="4063">
                  <c:v>0.26396765737373729</c:v>
                </c:pt>
                <c:pt idx="4064">
                  <c:v>0.26391285558061972</c:v>
                </c:pt>
                <c:pt idx="4065">
                  <c:v>0.26385805809429891</c:v>
                </c:pt>
                <c:pt idx="4066">
                  <c:v>0.26380326490937001</c:v>
                </c:pt>
                <c:pt idx="4067">
                  <c:v>0.26374847602043516</c:v>
                </c:pt>
                <c:pt idx="4068">
                  <c:v>0.26369369142210336</c:v>
                </c:pt>
                <c:pt idx="4069">
                  <c:v>0.26363891110899013</c:v>
                </c:pt>
                <c:pt idx="4070">
                  <c:v>0.26358413507571787</c:v>
                </c:pt>
                <c:pt idx="4071">
                  <c:v>0.26352936331691568</c:v>
                </c:pt>
                <c:pt idx="4072">
                  <c:v>0.2634745958272196</c:v>
                </c:pt>
                <c:pt idx="4073">
                  <c:v>0.26341983260127211</c:v>
                </c:pt>
                <c:pt idx="4074">
                  <c:v>0.26336507363372258</c:v>
                </c:pt>
                <c:pt idx="4075">
                  <c:v>0.26331031891922707</c:v>
                </c:pt>
                <c:pt idx="4076">
                  <c:v>0.26325556845244835</c:v>
                </c:pt>
                <c:pt idx="4077">
                  <c:v>0.26320082222805585</c:v>
                </c:pt>
                <c:pt idx="4078">
                  <c:v>0.26314608024072578</c:v>
                </c:pt>
                <c:pt idx="4079">
                  <c:v>0.26309134248514082</c:v>
                </c:pt>
                <c:pt idx="4080">
                  <c:v>0.26303660895599063</c:v>
                </c:pt>
                <c:pt idx="4081">
                  <c:v>0.26298187964797132</c:v>
                </c:pt>
                <c:pt idx="4082">
                  <c:v>0.26292715455578564</c:v>
                </c:pt>
                <c:pt idx="4083">
                  <c:v>0.26287243367414315</c:v>
                </c:pt>
                <c:pt idx="4084">
                  <c:v>0.26281771699775991</c:v>
                </c:pt>
                <c:pt idx="4085">
                  <c:v>0.2627630045213587</c:v>
                </c:pt>
                <c:pt idx="4086">
                  <c:v>0.26270829623966879</c:v>
                </c:pt>
                <c:pt idx="4087">
                  <c:v>0.26265359214742628</c:v>
                </c:pt>
                <c:pt idx="4088">
                  <c:v>0.26259889223937372</c:v>
                </c:pt>
                <c:pt idx="4089">
                  <c:v>0.26254419651026017</c:v>
                </c:pt>
                <c:pt idx="4090">
                  <c:v>0.26248950495484152</c:v>
                </c:pt>
                <c:pt idx="4091">
                  <c:v>0.26243481756788006</c:v>
                </c:pt>
                <c:pt idx="4092">
                  <c:v>0.26238013434414476</c:v>
                </c:pt>
                <c:pt idx="4093">
                  <c:v>0.26232545527841106</c:v>
                </c:pt>
                <c:pt idx="4094">
                  <c:v>0.26227078036546098</c:v>
                </c:pt>
                <c:pt idx="4095">
                  <c:v>0.26221610960008318</c:v>
                </c:pt>
                <c:pt idx="4096">
                  <c:v>0.26216144297707278</c:v>
                </c:pt>
                <c:pt idx="4097">
                  <c:v>0.26210678049123137</c:v>
                </c:pt>
                <c:pt idx="4098">
                  <c:v>0.26205212213736717</c:v>
                </c:pt>
                <c:pt idx="4099">
                  <c:v>0.26199746791029493</c:v>
                </c:pt>
                <c:pt idx="4100">
                  <c:v>0.26194281780483586</c:v>
                </c:pt>
                <c:pt idx="4101">
                  <c:v>0.26188817181581753</c:v>
                </c:pt>
                <c:pt idx="4102">
                  <c:v>0.26183352993807429</c:v>
                </c:pt>
                <c:pt idx="4103">
                  <c:v>0.26177889216644679</c:v>
                </c:pt>
                <c:pt idx="4104">
                  <c:v>0.26172425849578218</c:v>
                </c:pt>
                <c:pt idx="4105">
                  <c:v>0.26166962892093398</c:v>
                </c:pt>
                <c:pt idx="4106">
                  <c:v>0.26161500343676236</c:v>
                </c:pt>
                <c:pt idx="4107">
                  <c:v>0.26156038203813392</c:v>
                </c:pt>
                <c:pt idx="4108">
                  <c:v>0.26150576471992149</c:v>
                </c:pt>
                <c:pt idx="4109">
                  <c:v>0.26145115147700448</c:v>
                </c:pt>
                <c:pt idx="4110">
                  <c:v>0.26139654230426884</c:v>
                </c:pt>
                <c:pt idx="4111">
                  <c:v>0.26134193719660681</c:v>
                </c:pt>
                <c:pt idx="4112">
                  <c:v>0.26128733614891692</c:v>
                </c:pt>
                <c:pt idx="4113">
                  <c:v>0.26123273915610429</c:v>
                </c:pt>
                <c:pt idx="4114">
                  <c:v>0.26117814621308044</c:v>
                </c:pt>
                <c:pt idx="4115">
                  <c:v>0.26112355731476317</c:v>
                </c:pt>
                <c:pt idx="4116">
                  <c:v>0.26106897245607663</c:v>
                </c:pt>
                <c:pt idx="4117">
                  <c:v>0.2610143916319515</c:v>
                </c:pt>
                <c:pt idx="4118">
                  <c:v>0.26095981483732472</c:v>
                </c:pt>
                <c:pt idx="4119">
                  <c:v>0.26090524206713961</c:v>
                </c:pt>
                <c:pt idx="4120">
                  <c:v>0.26085067331634565</c:v>
                </c:pt>
                <c:pt idx="4121">
                  <c:v>0.26079610857989904</c:v>
                </c:pt>
                <c:pt idx="4122">
                  <c:v>0.26074154785276205</c:v>
                </c:pt>
                <c:pt idx="4123">
                  <c:v>0.26068699112990323</c:v>
                </c:pt>
                <c:pt idx="4124">
                  <c:v>0.26063243840629757</c:v>
                </c:pt>
                <c:pt idx="4125">
                  <c:v>0.26057788967692636</c:v>
                </c:pt>
                <c:pt idx="4126">
                  <c:v>0.26052334493677715</c:v>
                </c:pt>
                <c:pt idx="4127">
                  <c:v>0.26046880418084378</c:v>
                </c:pt>
                <c:pt idx="4128">
                  <c:v>0.26041426740412632</c:v>
                </c:pt>
                <c:pt idx="4129">
                  <c:v>0.26035973460163131</c:v>
                </c:pt>
                <c:pt idx="4130">
                  <c:v>0.26030520576837129</c:v>
                </c:pt>
                <c:pt idx="4131">
                  <c:v>0.26025068089936521</c:v>
                </c:pt>
                <c:pt idx="4132">
                  <c:v>0.2601961599896383</c:v>
                </c:pt>
                <c:pt idx="4133">
                  <c:v>0.26014164303422199</c:v>
                </c:pt>
                <c:pt idx="4134">
                  <c:v>0.26008713002815392</c:v>
                </c:pt>
                <c:pt idx="4135">
                  <c:v>0.26003262096647789</c:v>
                </c:pt>
                <c:pt idx="4136">
                  <c:v>0.25997811584424413</c:v>
                </c:pt>
                <c:pt idx="4137">
                  <c:v>0.25992361465650887</c:v>
                </c:pt>
                <c:pt idx="4138">
                  <c:v>0.25986911739833468</c:v>
                </c:pt>
                <c:pt idx="4139">
                  <c:v>0.25981462406479022</c:v>
                </c:pt>
                <c:pt idx="4140">
                  <c:v>0.25976013465095049</c:v>
                </c:pt>
                <c:pt idx="4141">
                  <c:v>0.25970564915189653</c:v>
                </c:pt>
                <c:pt idx="4142">
                  <c:v>0.25965116756271556</c:v>
                </c:pt>
                <c:pt idx="4143">
                  <c:v>0.25959668987850099</c:v>
                </c:pt>
                <c:pt idx="4144">
                  <c:v>0.25954221609435252</c:v>
                </c:pt>
                <c:pt idx="4145">
                  <c:v>0.25948774620537579</c:v>
                </c:pt>
                <c:pt idx="4146">
                  <c:v>0.2594332802066826</c:v>
                </c:pt>
                <c:pt idx="4147">
                  <c:v>0.25937881809339114</c:v>
                </c:pt>
                <c:pt idx="4148">
                  <c:v>0.25932435986062541</c:v>
                </c:pt>
                <c:pt idx="4149">
                  <c:v>0.25926990550351575</c:v>
                </c:pt>
                <c:pt idx="4150">
                  <c:v>0.25921545501719834</c:v>
                </c:pt>
                <c:pt idx="4151">
                  <c:v>0.25916100839681588</c:v>
                </c:pt>
                <c:pt idx="4152">
                  <c:v>0.25910656563751683</c:v>
                </c:pt>
                <c:pt idx="4153">
                  <c:v>0.25905212673445582</c:v>
                </c:pt>
                <c:pt idx="4154">
                  <c:v>0.25899769168279352</c:v>
                </c:pt>
                <c:pt idx="4155">
                  <c:v>0.25894326047769689</c:v>
                </c:pt>
                <c:pt idx="4156">
                  <c:v>0.25888883311433875</c:v>
                </c:pt>
                <c:pt idx="4157">
                  <c:v>0.258834409587898</c:v>
                </c:pt>
                <c:pt idx="4158">
                  <c:v>0.25877998989355949</c:v>
                </c:pt>
                <c:pt idx="4159">
                  <c:v>0.25872557402651447</c:v>
                </c:pt>
                <c:pt idx="4160">
                  <c:v>0.25867116198195989</c:v>
                </c:pt>
                <c:pt idx="4161">
                  <c:v>0.25861675375509879</c:v>
                </c:pt>
                <c:pt idx="4162">
                  <c:v>0.25856234934114036</c:v>
                </c:pt>
                <c:pt idx="4163">
                  <c:v>0.25850794873529964</c:v>
                </c:pt>
                <c:pt idx="4164">
                  <c:v>0.25845355193279779</c:v>
                </c:pt>
                <c:pt idx="4165">
                  <c:v>0.25839915892886184</c:v>
                </c:pt>
                <c:pt idx="4166">
                  <c:v>0.25834476971872505</c:v>
                </c:pt>
                <c:pt idx="4167">
                  <c:v>0.25829038429762641</c:v>
                </c:pt>
                <c:pt idx="4168">
                  <c:v>0.25823600266081098</c:v>
                </c:pt>
                <c:pt idx="4169">
                  <c:v>0.25818162480352974</c:v>
                </c:pt>
                <c:pt idx="4170">
                  <c:v>0.25812725072103976</c:v>
                </c:pt>
                <c:pt idx="4171">
                  <c:v>0.25807288040860399</c:v>
                </c:pt>
                <c:pt idx="4172">
                  <c:v>0.25801851386149133</c:v>
                </c:pt>
                <c:pt idx="4173">
                  <c:v>0.25796415107497644</c:v>
                </c:pt>
                <c:pt idx="4174">
                  <c:v>0.25790979204434028</c:v>
                </c:pt>
                <c:pt idx="4175">
                  <c:v>0.25785543676486938</c:v>
                </c:pt>
                <c:pt idx="4176">
                  <c:v>0.25780108523185635</c:v>
                </c:pt>
                <c:pt idx="4177">
                  <c:v>0.25774673744059978</c:v>
                </c:pt>
                <c:pt idx="4178">
                  <c:v>0.25769239338640404</c:v>
                </c:pt>
                <c:pt idx="4179">
                  <c:v>0.25763805306457932</c:v>
                </c:pt>
                <c:pt idx="4180">
                  <c:v>0.25758371647044181</c:v>
                </c:pt>
                <c:pt idx="4181">
                  <c:v>0.25752938359931371</c:v>
                </c:pt>
                <c:pt idx="4182">
                  <c:v>0.2574750544465228</c:v>
                </c:pt>
                <c:pt idx="4183">
                  <c:v>0.25742072900740287</c:v>
                </c:pt>
                <c:pt idx="4184">
                  <c:v>0.2573664072772936</c:v>
                </c:pt>
                <c:pt idx="4185">
                  <c:v>0.25731208925154048</c:v>
                </c:pt>
                <c:pt idx="4186">
                  <c:v>0.25725777492549484</c:v>
                </c:pt>
                <c:pt idx="4187">
                  <c:v>0.25720346429451391</c:v>
                </c:pt>
                <c:pt idx="4188">
                  <c:v>0.25714915735396049</c:v>
                </c:pt>
                <c:pt idx="4189">
                  <c:v>0.25709485409920357</c:v>
                </c:pt>
                <c:pt idx="4190">
                  <c:v>0.25704055452561769</c:v>
                </c:pt>
                <c:pt idx="4191">
                  <c:v>0.25698625862858332</c:v>
                </c:pt>
                <c:pt idx="4192">
                  <c:v>0.25693196640348664</c:v>
                </c:pt>
                <c:pt idx="4193">
                  <c:v>0.25687767784571974</c:v>
                </c:pt>
                <c:pt idx="4194">
                  <c:v>0.2568233929506803</c:v>
                </c:pt>
                <c:pt idx="4195">
                  <c:v>0.25676911171377192</c:v>
                </c:pt>
                <c:pt idx="4196">
                  <c:v>0.25671483413040402</c:v>
                </c:pt>
                <c:pt idx="4197">
                  <c:v>0.2566605601959917</c:v>
                </c:pt>
                <c:pt idx="4198">
                  <c:v>0.25660628990595569</c:v>
                </c:pt>
                <c:pt idx="4199">
                  <c:v>0.25655202325572268</c:v>
                </c:pt>
                <c:pt idx="4200">
                  <c:v>0.25649776024072501</c:v>
                </c:pt>
                <c:pt idx="4201">
                  <c:v>0.25644350085640072</c:v>
                </c:pt>
                <c:pt idx="4202">
                  <c:v>0.25638924509819361</c:v>
                </c:pt>
                <c:pt idx="4203">
                  <c:v>0.25633499296155321</c:v>
                </c:pt>
                <c:pt idx="4204">
                  <c:v>0.25628074444193477</c:v>
                </c:pt>
                <c:pt idx="4205">
                  <c:v>0.25622649953479915</c:v>
                </c:pt>
                <c:pt idx="4206">
                  <c:v>0.25617225823561302</c:v>
                </c:pt>
                <c:pt idx="4207">
                  <c:v>0.25611802053984872</c:v>
                </c:pt>
                <c:pt idx="4208">
                  <c:v>0.25606378644298416</c:v>
                </c:pt>
                <c:pt idx="4209">
                  <c:v>0.25600955594050312</c:v>
                </c:pt>
                <c:pt idx="4210">
                  <c:v>0.25595532902789481</c:v>
                </c:pt>
                <c:pt idx="4211">
                  <c:v>0.25590110570065433</c:v>
                </c:pt>
                <c:pt idx="4212">
                  <c:v>0.25584688595428234</c:v>
                </c:pt>
                <c:pt idx="4213">
                  <c:v>0.25579266978428505</c:v>
                </c:pt>
                <c:pt idx="4214">
                  <c:v>0.25573845718617438</c:v>
                </c:pt>
                <c:pt idx="4215">
                  <c:v>0.25568424815546809</c:v>
                </c:pt>
                <c:pt idx="4216">
                  <c:v>0.25563004268768919</c:v>
                </c:pt>
                <c:pt idx="4217">
                  <c:v>0.25557584077836654</c:v>
                </c:pt>
                <c:pt idx="4218">
                  <c:v>0.25552164242303449</c:v>
                </c:pt>
                <c:pt idx="4219">
                  <c:v>0.25546744761723328</c:v>
                </c:pt>
                <c:pt idx="4220">
                  <c:v>0.25541325635650836</c:v>
                </c:pt>
                <c:pt idx="4221">
                  <c:v>0.25535906863641089</c:v>
                </c:pt>
                <c:pt idx="4222">
                  <c:v>0.25530488445249788</c:v>
                </c:pt>
                <c:pt idx="4223">
                  <c:v>0.25525070380033155</c:v>
                </c:pt>
                <c:pt idx="4224">
                  <c:v>0.25519652667547987</c:v>
                </c:pt>
                <c:pt idx="4225">
                  <c:v>0.25514235307351635</c:v>
                </c:pt>
                <c:pt idx="4226">
                  <c:v>0.25508818299002006</c:v>
                </c:pt>
                <c:pt idx="4227">
                  <c:v>0.2550340164205756</c:v>
                </c:pt>
                <c:pt idx="4228">
                  <c:v>0.25497985336077311</c:v>
                </c:pt>
                <c:pt idx="4229">
                  <c:v>0.25492569380620822</c:v>
                </c:pt>
                <c:pt idx="4230">
                  <c:v>0.25487153775248222</c:v>
                </c:pt>
                <c:pt idx="4231">
                  <c:v>0.25481738519520186</c:v>
                </c:pt>
                <c:pt idx="4232">
                  <c:v>0.25476323612997931</c:v>
                </c:pt>
                <c:pt idx="4233">
                  <c:v>0.25470909055243224</c:v>
                </c:pt>
                <c:pt idx="4234">
                  <c:v>0.25465494845818409</c:v>
                </c:pt>
                <c:pt idx="4235">
                  <c:v>0.25460080984286354</c:v>
                </c:pt>
                <c:pt idx="4236">
                  <c:v>0.25454667470210468</c:v>
                </c:pt>
                <c:pt idx="4237">
                  <c:v>0.25449254303154734</c:v>
                </c:pt>
                <c:pt idx="4238">
                  <c:v>0.25443841482683671</c:v>
                </c:pt>
                <c:pt idx="4239">
                  <c:v>0.2543842900836234</c:v>
                </c:pt>
                <c:pt idx="4240">
                  <c:v>0.25433016879756343</c:v>
                </c:pt>
                <c:pt idx="4241">
                  <c:v>0.25427605096431849</c:v>
                </c:pt>
                <c:pt idx="4242">
                  <c:v>0.2542219365795555</c:v>
                </c:pt>
                <c:pt idx="4243">
                  <c:v>0.25416782563894691</c:v>
                </c:pt>
                <c:pt idx="4244">
                  <c:v>0.25411371813817046</c:v>
                </c:pt>
                <c:pt idx="4245">
                  <c:v>0.25405961407290967</c:v>
                </c:pt>
                <c:pt idx="4246">
                  <c:v>0.25400551343885308</c:v>
                </c:pt>
                <c:pt idx="4247">
                  <c:v>0.25395141623169487</c:v>
                </c:pt>
                <c:pt idx="4248">
                  <c:v>0.25389732244713442</c:v>
                </c:pt>
                <c:pt idx="4249">
                  <c:v>0.25384323208087689</c:v>
                </c:pt>
                <c:pt idx="4250">
                  <c:v>0.25378914512863238</c:v>
                </c:pt>
                <c:pt idx="4251">
                  <c:v>0.25373506158611664</c:v>
                </c:pt>
                <c:pt idx="4252">
                  <c:v>0.25368098144905077</c:v>
                </c:pt>
                <c:pt idx="4253">
                  <c:v>0.25362690471316124</c:v>
                </c:pt>
                <c:pt idx="4254">
                  <c:v>0.25357283137417969</c:v>
                </c:pt>
                <c:pt idx="4255">
                  <c:v>0.25351876142784341</c:v>
                </c:pt>
                <c:pt idx="4256">
                  <c:v>0.25346469486989481</c:v>
                </c:pt>
                <c:pt idx="4257">
                  <c:v>0.25341063169608186</c:v>
                </c:pt>
                <c:pt idx="4258">
                  <c:v>0.25335657190215766</c:v>
                </c:pt>
                <c:pt idx="4259">
                  <c:v>0.25330251548388066</c:v>
                </c:pt>
                <c:pt idx="4260">
                  <c:v>0.25324846243701482</c:v>
                </c:pt>
                <c:pt idx="4261">
                  <c:v>0.25319441275732923</c:v>
                </c:pt>
                <c:pt idx="4262">
                  <c:v>0.25314036644059834</c:v>
                </c:pt>
                <c:pt idx="4263">
                  <c:v>0.2530863234826019</c:v>
                </c:pt>
                <c:pt idx="4264">
                  <c:v>0.25303228387912502</c:v>
                </c:pt>
                <c:pt idx="4265">
                  <c:v>0.252978247625958</c:v>
                </c:pt>
                <c:pt idx="4266">
                  <c:v>0.25292421471889648</c:v>
                </c:pt>
                <c:pt idx="4267">
                  <c:v>0.25287018515374138</c:v>
                </c:pt>
                <c:pt idx="4268">
                  <c:v>0.25281615892629894</c:v>
                </c:pt>
                <c:pt idx="4269">
                  <c:v>0.25276213603238046</c:v>
                </c:pt>
                <c:pt idx="4270">
                  <c:v>0.25270811646780267</c:v>
                </c:pt>
                <c:pt idx="4271">
                  <c:v>0.25265410022838763</c:v>
                </c:pt>
                <c:pt idx="4272">
                  <c:v>0.25260008730996242</c:v>
                </c:pt>
                <c:pt idx="4273">
                  <c:v>0.25254607770835952</c:v>
                </c:pt>
                <c:pt idx="4274">
                  <c:v>0.25249207141941649</c:v>
                </c:pt>
                <c:pt idx="4275">
                  <c:v>0.25243806843897632</c:v>
                </c:pt>
                <c:pt idx="4276">
                  <c:v>0.25238406876288705</c:v>
                </c:pt>
                <c:pt idx="4277">
                  <c:v>0.252330072387002</c:v>
                </c:pt>
                <c:pt idx="4278">
                  <c:v>0.2522760793071796</c:v>
                </c:pt>
                <c:pt idx="4279">
                  <c:v>0.25222208951928371</c:v>
                </c:pt>
                <c:pt idx="4280">
                  <c:v>0.25216810301918313</c:v>
                </c:pt>
                <c:pt idx="4281">
                  <c:v>0.25211411980275189</c:v>
                </c:pt>
                <c:pt idx="4282">
                  <c:v>0.25206013986586939</c:v>
                </c:pt>
                <c:pt idx="4283">
                  <c:v>0.25200616320441999</c:v>
                </c:pt>
                <c:pt idx="4284">
                  <c:v>0.25195218981429324</c:v>
                </c:pt>
                <c:pt idx="4285">
                  <c:v>0.25189821969138393</c:v>
                </c:pt>
                <c:pt idx="4286">
                  <c:v>0.25184425283159201</c:v>
                </c:pt>
                <c:pt idx="4287">
                  <c:v>0.25179028923082242</c:v>
                </c:pt>
                <c:pt idx="4288">
                  <c:v>0.25173632888498548</c:v>
                </c:pt>
                <c:pt idx="4289">
                  <c:v>0.25168237178999642</c:v>
                </c:pt>
                <c:pt idx="4290">
                  <c:v>0.25162841794177571</c:v>
                </c:pt>
                <c:pt idx="4291">
                  <c:v>0.25157446733624889</c:v>
                </c:pt>
                <c:pt idx="4292">
                  <c:v>0.25152051996934671</c:v>
                </c:pt>
                <c:pt idx="4293">
                  <c:v>0.25146657583700494</c:v>
                </c:pt>
                <c:pt idx="4294">
                  <c:v>0.25141263493516441</c:v>
                </c:pt>
                <c:pt idx="4295">
                  <c:v>0.25135869725977111</c:v>
                </c:pt>
                <c:pt idx="4296">
                  <c:v>0.25130476280677616</c:v>
                </c:pt>
                <c:pt idx="4297">
                  <c:v>0.25125083157213562</c:v>
                </c:pt>
                <c:pt idx="4298">
                  <c:v>0.25119690355181079</c:v>
                </c:pt>
                <c:pt idx="4299">
                  <c:v>0.251142978741768</c:v>
                </c:pt>
                <c:pt idx="4300">
                  <c:v>0.25108905713797847</c:v>
                </c:pt>
                <c:pt idx="4301">
                  <c:v>0.25103513873641875</c:v>
                </c:pt>
                <c:pt idx="4302">
                  <c:v>0.25098122353307023</c:v>
                </c:pt>
                <c:pt idx="4303">
                  <c:v>0.25092731152391939</c:v>
                </c:pt>
                <c:pt idx="4304">
                  <c:v>0.25087340270495784</c:v>
                </c:pt>
                <c:pt idx="4305">
                  <c:v>0.25081949707218204</c:v>
                </c:pt>
                <c:pt idx="4306">
                  <c:v>0.2507655946215937</c:v>
                </c:pt>
                <c:pt idx="4307">
                  <c:v>0.25071169534919935</c:v>
                </c:pt>
                <c:pt idx="4308">
                  <c:v>0.25065779925101067</c:v>
                </c:pt>
                <c:pt idx="4309">
                  <c:v>0.25060390632304425</c:v>
                </c:pt>
                <c:pt idx="4310">
                  <c:v>0.2505500165613217</c:v>
                </c:pt>
                <c:pt idx="4311">
                  <c:v>0.25049612996186965</c:v>
                </c:pt>
                <c:pt idx="4312">
                  <c:v>0.25044224652071972</c:v>
                </c:pt>
                <c:pt idx="4313">
                  <c:v>0.25038836623390848</c:v>
                </c:pt>
                <c:pt idx="4314">
                  <c:v>0.25033448909747757</c:v>
                </c:pt>
                <c:pt idx="4315">
                  <c:v>0.25028061510747335</c:v>
                </c:pt>
                <c:pt idx="4316">
                  <c:v>0.25022674425994745</c:v>
                </c:pt>
                <c:pt idx="4317">
                  <c:v>0.25017287655095627</c:v>
                </c:pt>
                <c:pt idx="4318">
                  <c:v>0.25011901197656117</c:v>
                </c:pt>
                <c:pt idx="4319">
                  <c:v>0.25006515053282852</c:v>
                </c:pt>
                <c:pt idx="4320">
                  <c:v>0.25001129221582957</c:v>
                </c:pt>
                <c:pt idx="4321">
                  <c:v>0.24995743702164053</c:v>
                </c:pt>
                <c:pt idx="4322">
                  <c:v>0.24990358494634254</c:v>
                </c:pt>
                <c:pt idx="4323">
                  <c:v>0.24984973598602159</c:v>
                </c:pt>
                <c:pt idx="4324">
                  <c:v>0.2497958901367687</c:v>
                </c:pt>
                <c:pt idx="4325">
                  <c:v>0.24974204739467967</c:v>
                </c:pt>
                <c:pt idx="4326">
                  <c:v>0.24968820775585532</c:v>
                </c:pt>
                <c:pt idx="4327">
                  <c:v>0.24963437121640122</c:v>
                </c:pt>
                <c:pt idx="4328">
                  <c:v>0.24958053777242797</c:v>
                </c:pt>
                <c:pt idx="4329">
                  <c:v>0.24952670742005101</c:v>
                </c:pt>
                <c:pt idx="4330">
                  <c:v>0.24947288015539057</c:v>
                </c:pt>
                <c:pt idx="4331">
                  <c:v>0.24941905597457187</c:v>
                </c:pt>
                <c:pt idx="4332">
                  <c:v>0.24936523487372489</c:v>
                </c:pt>
                <c:pt idx="4333">
                  <c:v>0.24931141684898456</c:v>
                </c:pt>
                <c:pt idx="4334">
                  <c:v>0.24925760189649057</c:v>
                </c:pt>
                <c:pt idx="4335">
                  <c:v>0.24920379001238754</c:v>
                </c:pt>
                <c:pt idx="4336">
                  <c:v>0.24914998119282483</c:v>
                </c:pt>
                <c:pt idx="4337">
                  <c:v>0.24909617543395673</c:v>
                </c:pt>
                <c:pt idx="4338">
                  <c:v>0.2490423727319423</c:v>
                </c:pt>
                <c:pt idx="4339">
                  <c:v>0.24898857308294547</c:v>
                </c:pt>
                <c:pt idx="4340">
                  <c:v>0.24893477648313489</c:v>
                </c:pt>
                <c:pt idx="4341">
                  <c:v>0.2488809829286841</c:v>
                </c:pt>
                <c:pt idx="4342">
                  <c:v>0.24882719241577142</c:v>
                </c:pt>
                <c:pt idx="4343">
                  <c:v>0.24877340494057995</c:v>
                </c:pt>
                <c:pt idx="4344">
                  <c:v>0.24871962049929766</c:v>
                </c:pt>
                <c:pt idx="4345">
                  <c:v>0.24866583908811712</c:v>
                </c:pt>
                <c:pt idx="4346">
                  <c:v>0.24861206070323591</c:v>
                </c:pt>
                <c:pt idx="4347">
                  <c:v>0.24855828534085619</c:v>
                </c:pt>
                <c:pt idx="4348">
                  <c:v>0.24850451299718504</c:v>
                </c:pt>
                <c:pt idx="4349">
                  <c:v>0.24845074366843412</c:v>
                </c:pt>
                <c:pt idx="4350">
                  <c:v>0.24839697735082003</c:v>
                </c:pt>
                <c:pt idx="4351">
                  <c:v>0.248343214040564</c:v>
                </c:pt>
                <c:pt idx="4352">
                  <c:v>0.24828945373389205</c:v>
                </c:pt>
                <c:pt idx="4353">
                  <c:v>0.24823569642703491</c:v>
                </c:pt>
                <c:pt idx="4354">
                  <c:v>0.2481819421162281</c:v>
                </c:pt>
                <c:pt idx="4355">
                  <c:v>0.24812819079771173</c:v>
                </c:pt>
                <c:pt idx="4356">
                  <c:v>0.24807444246773078</c:v>
                </c:pt>
                <c:pt idx="4357">
                  <c:v>0.24802069712253486</c:v>
                </c:pt>
                <c:pt idx="4358">
                  <c:v>0.24796695475837829</c:v>
                </c:pt>
                <c:pt idx="4359">
                  <c:v>0.24791321537152017</c:v>
                </c:pt>
                <c:pt idx="4360">
                  <c:v>0.24785947895822413</c:v>
                </c:pt>
                <c:pt idx="4361">
                  <c:v>0.24780574551475867</c:v>
                </c:pt>
                <c:pt idx="4362">
                  <c:v>0.24775201503739686</c:v>
                </c:pt>
                <c:pt idx="4363">
                  <c:v>0.24769828752241649</c:v>
                </c:pt>
                <c:pt idx="4364">
                  <c:v>0.24764456296609996</c:v>
                </c:pt>
                <c:pt idx="4365">
                  <c:v>0.24759084136473447</c:v>
                </c:pt>
                <c:pt idx="4366">
                  <c:v>0.2475371227146117</c:v>
                </c:pt>
                <c:pt idx="4367">
                  <c:v>0.24748340701202817</c:v>
                </c:pt>
                <c:pt idx="4368">
                  <c:v>0.24742969425328487</c:v>
                </c:pt>
                <c:pt idx="4369">
                  <c:v>0.24737598443468758</c:v>
                </c:pt>
                <c:pt idx="4370">
                  <c:v>0.24732227755254663</c:v>
                </c:pt>
                <c:pt idx="4371">
                  <c:v>0.247268573603177</c:v>
                </c:pt>
                <c:pt idx="4372">
                  <c:v>0.24721487258289826</c:v>
                </c:pt>
                <c:pt idx="4373">
                  <c:v>0.24716117448803471</c:v>
                </c:pt>
                <c:pt idx="4374">
                  <c:v>0.24710747931491517</c:v>
                </c:pt>
                <c:pt idx="4375">
                  <c:v>0.24705378705987305</c:v>
                </c:pt>
                <c:pt idx="4376">
                  <c:v>0.24700009771924641</c:v>
                </c:pt>
                <c:pt idx="4377">
                  <c:v>0.24694641128937792</c:v>
                </c:pt>
                <c:pt idx="4378">
                  <c:v>0.24689272776661481</c:v>
                </c:pt>
                <c:pt idx="4379">
                  <c:v>0.24683904714730884</c:v>
                </c:pt>
                <c:pt idx="4380">
                  <c:v>0.24678536942781645</c:v>
                </c:pt>
                <c:pt idx="4381">
                  <c:v>0.24673169460449859</c:v>
                </c:pt>
                <c:pt idx="4382">
                  <c:v>0.24667802267372085</c:v>
                </c:pt>
                <c:pt idx="4383">
                  <c:v>0.24662435363185323</c:v>
                </c:pt>
                <c:pt idx="4384">
                  <c:v>0.24657068747527047</c:v>
                </c:pt>
                <c:pt idx="4385">
                  <c:v>0.24651702420035168</c:v>
                </c:pt>
                <c:pt idx="4386">
                  <c:v>0.24646336380348069</c:v>
                </c:pt>
                <c:pt idx="4387">
                  <c:v>0.24640970628104572</c:v>
                </c:pt>
                <c:pt idx="4388">
                  <c:v>0.2463560516294396</c:v>
                </c:pt>
                <c:pt idx="4389">
                  <c:v>0.24630239984505969</c:v>
                </c:pt>
                <c:pt idx="4390">
                  <c:v>0.24624875092430784</c:v>
                </c:pt>
                <c:pt idx="4391">
                  <c:v>0.24619510486359042</c:v>
                </c:pt>
                <c:pt idx="4392">
                  <c:v>0.2461414616593183</c:v>
                </c:pt>
                <c:pt idx="4393">
                  <c:v>0.24608782130790693</c:v>
                </c:pt>
                <c:pt idx="4394">
                  <c:v>0.24603418380577613</c:v>
                </c:pt>
                <c:pt idx="4395">
                  <c:v>0.24598054914935033</c:v>
                </c:pt>
                <c:pt idx="4396">
                  <c:v>0.24592691733505836</c:v>
                </c:pt>
                <c:pt idx="4397">
                  <c:v>0.24587328835933361</c:v>
                </c:pt>
                <c:pt idx="4398">
                  <c:v>0.24581966221861387</c:v>
                </c:pt>
                <c:pt idx="4399">
                  <c:v>0.24576603890934146</c:v>
                </c:pt>
                <c:pt idx="4400">
                  <c:v>0.24571241842796313</c:v>
                </c:pt>
                <c:pt idx="4401">
                  <c:v>0.24565880077093011</c:v>
                </c:pt>
                <c:pt idx="4402">
                  <c:v>0.24560518593469804</c:v>
                </c:pt>
                <c:pt idx="4403">
                  <c:v>0.24555157391572713</c:v>
                </c:pt>
                <c:pt idx="4404">
                  <c:v>0.24549796471048183</c:v>
                </c:pt>
                <c:pt idx="4405">
                  <c:v>0.24544435831543118</c:v>
                </c:pt>
                <c:pt idx="4406">
                  <c:v>0.24539075472704866</c:v>
                </c:pt>
                <c:pt idx="4407">
                  <c:v>0.24533715394181208</c:v>
                </c:pt>
                <c:pt idx="4408">
                  <c:v>0.24528355595620374</c:v>
                </c:pt>
                <c:pt idx="4409">
                  <c:v>0.2452299607667103</c:v>
                </c:pt>
                <c:pt idx="4410">
                  <c:v>0.2451763683698229</c:v>
                </c:pt>
                <c:pt idx="4411">
                  <c:v>0.245122778762037</c:v>
                </c:pt>
                <c:pt idx="4412">
                  <c:v>0.24506919193985255</c:v>
                </c:pt>
                <c:pt idx="4413">
                  <c:v>0.24501560789977378</c:v>
                </c:pt>
                <c:pt idx="4414">
                  <c:v>0.24496202663830943</c:v>
                </c:pt>
                <c:pt idx="4415">
                  <c:v>0.24490844815197255</c:v>
                </c:pt>
                <c:pt idx="4416">
                  <c:v>0.24485487243728057</c:v>
                </c:pt>
                <c:pt idx="4417">
                  <c:v>0.24480129949075527</c:v>
                </c:pt>
                <c:pt idx="4418">
                  <c:v>0.24474772930892288</c:v>
                </c:pt>
                <c:pt idx="4419">
                  <c:v>0.24469416188831389</c:v>
                </c:pt>
                <c:pt idx="4420">
                  <c:v>0.24464059722546319</c:v>
                </c:pt>
                <c:pt idx="4421">
                  <c:v>0.24458703531691006</c:v>
                </c:pt>
                <c:pt idx="4422">
                  <c:v>0.24453347615919799</c:v>
                </c:pt>
                <c:pt idx="4423">
                  <c:v>0.24447991974887501</c:v>
                </c:pt>
                <c:pt idx="4424">
                  <c:v>0.24442636608249324</c:v>
                </c:pt>
                <c:pt idx="4425">
                  <c:v>0.24437281515660939</c:v>
                </c:pt>
                <c:pt idx="4426">
                  <c:v>0.24431926696778422</c:v>
                </c:pt>
                <c:pt idx="4427">
                  <c:v>0.24426572151258305</c:v>
                </c:pt>
                <c:pt idx="4428">
                  <c:v>0.24421217878757531</c:v>
                </c:pt>
                <c:pt idx="4429">
                  <c:v>0.24415863878933491</c:v>
                </c:pt>
                <c:pt idx="4430">
                  <c:v>0.24410510151443993</c:v>
                </c:pt>
                <c:pt idx="4431">
                  <c:v>0.2440515669594728</c:v>
                </c:pt>
                <c:pt idx="4432">
                  <c:v>0.24399803512102022</c:v>
                </c:pt>
                <c:pt idx="4433">
                  <c:v>0.24394450599567322</c:v>
                </c:pt>
                <c:pt idx="4434">
                  <c:v>0.24389097958002701</c:v>
                </c:pt>
                <c:pt idx="4435">
                  <c:v>0.24383745587068115</c:v>
                </c:pt>
                <c:pt idx="4436">
                  <c:v>0.24378393486423949</c:v>
                </c:pt>
                <c:pt idx="4437">
                  <c:v>0.24373041655731006</c:v>
                </c:pt>
                <c:pt idx="4438">
                  <c:v>0.24367690094650524</c:v>
                </c:pt>
                <c:pt idx="4439">
                  <c:v>0.24362338802844155</c:v>
                </c:pt>
                <c:pt idx="4440">
                  <c:v>0.24356987779973985</c:v>
                </c:pt>
                <c:pt idx="4441">
                  <c:v>0.24351637025702519</c:v>
                </c:pt>
                <c:pt idx="4442">
                  <c:v>0.24346286539692691</c:v>
                </c:pt>
                <c:pt idx="4443">
                  <c:v>0.24340936321607848</c:v>
                </c:pt>
                <c:pt idx="4444">
                  <c:v>0.2433558637111177</c:v>
                </c:pt>
                <c:pt idx="4445">
                  <c:v>0.24330236687868653</c:v>
                </c:pt>
                <c:pt idx="4446">
                  <c:v>0.24324887271543119</c:v>
                </c:pt>
                <c:pt idx="4447">
                  <c:v>0.24319538121800202</c:v>
                </c:pt>
                <c:pt idx="4448">
                  <c:v>0.24314189238305367</c:v>
                </c:pt>
                <c:pt idx="4449">
                  <c:v>0.24308840620724492</c:v>
                </c:pt>
                <c:pt idx="4450">
                  <c:v>0.24303492268723875</c:v>
                </c:pt>
                <c:pt idx="4451">
                  <c:v>0.24298144181970241</c:v>
                </c:pt>
                <c:pt idx="4452">
                  <c:v>0.24292796360130717</c:v>
                </c:pt>
                <c:pt idx="4453">
                  <c:v>0.24287448802872866</c:v>
                </c:pt>
                <c:pt idx="4454">
                  <c:v>0.24282101509864651</c:v>
                </c:pt>
                <c:pt idx="4455">
                  <c:v>0.24276754480774465</c:v>
                </c:pt>
                <c:pt idx="4456">
                  <c:v>0.24271407715271109</c:v>
                </c:pt>
                <c:pt idx="4457">
                  <c:v>0.2426606121302381</c:v>
                </c:pt>
                <c:pt idx="4458">
                  <c:v>0.24260714973702191</c:v>
                </c:pt>
                <c:pt idx="4459">
                  <c:v>0.24255368996976312</c:v>
                </c:pt>
                <c:pt idx="4460">
                  <c:v>0.24250023282516628</c:v>
                </c:pt>
                <c:pt idx="4461">
                  <c:v>0.24244677829994024</c:v>
                </c:pt>
                <c:pt idx="4462">
                  <c:v>0.24239332639079783</c:v>
                </c:pt>
                <c:pt idx="4463">
                  <c:v>0.24233987709445612</c:v>
                </c:pt>
                <c:pt idx="4464">
                  <c:v>0.24228643040763623</c:v>
                </c:pt>
                <c:pt idx="4465">
                  <c:v>0.24223298632706342</c:v>
                </c:pt>
                <c:pt idx="4466">
                  <c:v>0.2421795448494671</c:v>
                </c:pt>
                <c:pt idx="4467">
                  <c:v>0.24212610597158069</c:v>
                </c:pt>
                <c:pt idx="4468">
                  <c:v>0.2420726696901418</c:v>
                </c:pt>
                <c:pt idx="4469">
                  <c:v>0.24201923600189207</c:v>
                </c:pt>
                <c:pt idx="4470">
                  <c:v>0.2419658049035773</c:v>
                </c:pt>
                <c:pt idx="4471">
                  <c:v>0.24191237639194726</c:v>
                </c:pt>
                <c:pt idx="4472">
                  <c:v>0.24185895046375594</c:v>
                </c:pt>
                <c:pt idx="4473">
                  <c:v>0.24180552711576125</c:v>
                </c:pt>
                <c:pt idx="4474">
                  <c:v>0.24175210634472535</c:v>
                </c:pt>
                <c:pt idx="4475">
                  <c:v>0.24169868814741427</c:v>
                </c:pt>
                <c:pt idx="4476">
                  <c:v>0.24164527252059828</c:v>
                </c:pt>
                <c:pt idx="4477">
                  <c:v>0.24159185946105152</c:v>
                </c:pt>
                <c:pt idx="4478">
                  <c:v>0.24153844896555235</c:v>
                </c:pt>
                <c:pt idx="4479">
                  <c:v>0.24148504103088306</c:v>
                </c:pt>
                <c:pt idx="4480">
                  <c:v>0.24143163565383002</c:v>
                </c:pt>
                <c:pt idx="4481">
                  <c:v>0.24137823283118365</c:v>
                </c:pt>
                <c:pt idx="4482">
                  <c:v>0.24132483255973833</c:v>
                </c:pt>
                <c:pt idx="4483">
                  <c:v>0.24127143483629257</c:v>
                </c:pt>
                <c:pt idx="4484">
                  <c:v>0.24121803965764876</c:v>
                </c:pt>
                <c:pt idx="4485">
                  <c:v>0.24116464702061344</c:v>
                </c:pt>
                <c:pt idx="4486">
                  <c:v>0.24111125692199706</c:v>
                </c:pt>
                <c:pt idx="4487">
                  <c:v>0.24105786935861412</c:v>
                </c:pt>
                <c:pt idx="4488">
                  <c:v>0.24100448432728308</c:v>
                </c:pt>
                <c:pt idx="4489">
                  <c:v>0.24095110182482649</c:v>
                </c:pt>
                <c:pt idx="4490">
                  <c:v>0.24089772184807073</c:v>
                </c:pt>
                <c:pt idx="4491">
                  <c:v>0.24084434439384633</c:v>
                </c:pt>
                <c:pt idx="4492">
                  <c:v>0.24079096945898762</c:v>
                </c:pt>
                <c:pt idx="4493">
                  <c:v>0.2407375970403331</c:v>
                </c:pt>
                <c:pt idx="4494">
                  <c:v>0.24068422713472507</c:v>
                </c:pt>
                <c:pt idx="4495">
                  <c:v>0.24063085973900983</c:v>
                </c:pt>
                <c:pt idx="4496">
                  <c:v>0.24057749485003777</c:v>
                </c:pt>
                <c:pt idx="4497">
                  <c:v>0.24052413246466303</c:v>
                </c:pt>
                <c:pt idx="4498">
                  <c:v>0.24047077257974389</c:v>
                </c:pt>
                <c:pt idx="4499">
                  <c:v>0.24041741519214238</c:v>
                </c:pt>
                <c:pt idx="4500">
                  <c:v>0.24036406029872465</c:v>
                </c:pt>
                <c:pt idx="4501">
                  <c:v>0.24031070789636061</c:v>
                </c:pt>
                <c:pt idx="4502">
                  <c:v>0.2402573579819243</c:v>
                </c:pt>
                <c:pt idx="4503">
                  <c:v>0.24020401055229346</c:v>
                </c:pt>
                <c:pt idx="4504">
                  <c:v>0.24015066560434994</c:v>
                </c:pt>
                <c:pt idx="4505">
                  <c:v>0.24009732313497936</c:v>
                </c:pt>
                <c:pt idx="4506">
                  <c:v>0.24004398314107137</c:v>
                </c:pt>
                <c:pt idx="4507">
                  <c:v>0.23999064561951941</c:v>
                </c:pt>
                <c:pt idx="4508">
                  <c:v>0.23993731056722092</c:v>
                </c:pt>
                <c:pt idx="4509">
                  <c:v>0.23988397798107713</c:v>
                </c:pt>
                <c:pt idx="4510">
                  <c:v>0.2398306478579933</c:v>
                </c:pt>
                <c:pt idx="4511">
                  <c:v>0.23977732019487838</c:v>
                </c:pt>
                <c:pt idx="4512">
                  <c:v>0.23972399498864536</c:v>
                </c:pt>
                <c:pt idx="4513">
                  <c:v>0.23967067223621108</c:v>
                </c:pt>
                <c:pt idx="4514">
                  <c:v>0.23961735193449615</c:v>
                </c:pt>
                <c:pt idx="4515">
                  <c:v>0.2395640340804252</c:v>
                </c:pt>
                <c:pt idx="4516">
                  <c:v>0.23951071867092655</c:v>
                </c:pt>
                <c:pt idx="4517">
                  <c:v>0.23945740570293253</c:v>
                </c:pt>
                <c:pt idx="4518">
                  <c:v>0.23940409517337918</c:v>
                </c:pt>
                <c:pt idx="4519">
                  <c:v>0.23935078707920651</c:v>
                </c:pt>
                <c:pt idx="4520">
                  <c:v>0.23929748141735827</c:v>
                </c:pt>
                <c:pt idx="4521">
                  <c:v>0.23924417818478211</c:v>
                </c:pt>
                <c:pt idx="4522">
                  <c:v>0.23919087737842948</c:v>
                </c:pt>
                <c:pt idx="4523">
                  <c:v>0.23913757899525567</c:v>
                </c:pt>
                <c:pt idx="4524">
                  <c:v>0.23908428303221979</c:v>
                </c:pt>
                <c:pt idx="4525">
                  <c:v>0.23903098948628476</c:v>
                </c:pt>
                <c:pt idx="4526">
                  <c:v>0.23897769835441729</c:v>
                </c:pt>
                <c:pt idx="4527">
                  <c:v>0.23892440963358794</c:v>
                </c:pt>
                <c:pt idx="4528">
                  <c:v>0.23887112332077107</c:v>
                </c:pt>
                <c:pt idx="4529">
                  <c:v>0.23881783941294477</c:v>
                </c:pt>
                <c:pt idx="4530">
                  <c:v>0.23876455790709103</c:v>
                </c:pt>
                <c:pt idx="4531">
                  <c:v>0.23871127880019549</c:v>
                </c:pt>
                <c:pt idx="4532">
                  <c:v>0.23865800208924773</c:v>
                </c:pt>
                <c:pt idx="4533">
                  <c:v>0.23860472777124098</c:v>
                </c:pt>
                <c:pt idx="4534">
                  <c:v>0.23855145584317231</c:v>
                </c:pt>
                <c:pt idx="4535">
                  <c:v>0.2384981863020425</c:v>
                </c:pt>
                <c:pt idx="4536">
                  <c:v>0.23844491914485619</c:v>
                </c:pt>
                <c:pt idx="4537">
                  <c:v>0.2383916543686217</c:v>
                </c:pt>
                <c:pt idx="4538">
                  <c:v>0.23833839197035112</c:v>
                </c:pt>
                <c:pt idx="4539">
                  <c:v>0.23828513194706027</c:v>
                </c:pt>
                <c:pt idx="4540">
                  <c:v>0.23823187429576884</c:v>
                </c:pt>
                <c:pt idx="4541">
                  <c:v>0.23817861901350004</c:v>
                </c:pt>
                <c:pt idx="4542">
                  <c:v>0.23812536609728099</c:v>
                </c:pt>
                <c:pt idx="4543">
                  <c:v>0.23807211554414251</c:v>
                </c:pt>
                <c:pt idx="4544">
                  <c:v>0.23801886735111907</c:v>
                </c:pt>
                <c:pt idx="4545">
                  <c:v>0.237965621515249</c:v>
                </c:pt>
                <c:pt idx="4546">
                  <c:v>0.23791237803357415</c:v>
                </c:pt>
                <c:pt idx="4547">
                  <c:v>0.23785913690314028</c:v>
                </c:pt>
                <c:pt idx="4548">
                  <c:v>0.23780589812099673</c:v>
                </c:pt>
                <c:pt idx="4549">
                  <c:v>0.23775266168419665</c:v>
                </c:pt>
                <c:pt idx="4550">
                  <c:v>0.2376994275897967</c:v>
                </c:pt>
                <c:pt idx="4551">
                  <c:v>0.23764619583485747</c:v>
                </c:pt>
                <c:pt idx="4552">
                  <c:v>0.23759296641644306</c:v>
                </c:pt>
                <c:pt idx="4553">
                  <c:v>0.23753973933162137</c:v>
                </c:pt>
                <c:pt idx="4554">
                  <c:v>0.23748651457746384</c:v>
                </c:pt>
                <c:pt idx="4555">
                  <c:v>0.23743329215104578</c:v>
                </c:pt>
                <c:pt idx="4556">
                  <c:v>0.237380072049446</c:v>
                </c:pt>
                <c:pt idx="4557">
                  <c:v>0.23732685426974703</c:v>
                </c:pt>
                <c:pt idx="4558">
                  <c:v>0.23727363880903515</c:v>
                </c:pt>
                <c:pt idx="4559">
                  <c:v>0.23722042566440013</c:v>
                </c:pt>
                <c:pt idx="4560">
                  <c:v>0.23716721483293554</c:v>
                </c:pt>
                <c:pt idx="4561">
                  <c:v>0.23711400631173848</c:v>
                </c:pt>
                <c:pt idx="4562">
                  <c:v>0.23706080009790981</c:v>
                </c:pt>
                <c:pt idx="4563">
                  <c:v>0.23700759618855391</c:v>
                </c:pt>
                <c:pt idx="4564">
                  <c:v>0.23695439458077888</c:v>
                </c:pt>
                <c:pt idx="4565">
                  <c:v>0.23690119527169642</c:v>
                </c:pt>
                <c:pt idx="4566">
                  <c:v>0.2368479982584219</c:v>
                </c:pt>
                <c:pt idx="4567">
                  <c:v>0.23679480353807417</c:v>
                </c:pt>
                <c:pt idx="4568">
                  <c:v>0.23674161110777586</c:v>
                </c:pt>
                <c:pt idx="4569">
                  <c:v>0.23668842096465312</c:v>
                </c:pt>
                <c:pt idx="4570">
                  <c:v>0.23663523310583576</c:v>
                </c:pt>
                <c:pt idx="4571">
                  <c:v>0.2365820475284571</c:v>
                </c:pt>
                <c:pt idx="4572">
                  <c:v>0.23652886422965413</c:v>
                </c:pt>
                <c:pt idx="4573">
                  <c:v>0.23647568320656751</c:v>
                </c:pt>
                <c:pt idx="4574">
                  <c:v>0.23642250445634128</c:v>
                </c:pt>
                <c:pt idx="4575">
                  <c:v>0.23636932797612326</c:v>
                </c:pt>
                <c:pt idx="4576">
                  <c:v>0.23631615376306472</c:v>
                </c:pt>
                <c:pt idx="4577">
                  <c:v>0.23626298181432059</c:v>
                </c:pt>
                <c:pt idx="4578">
                  <c:v>0.23620981212704933</c:v>
                </c:pt>
                <c:pt idx="4579">
                  <c:v>0.23615664469841299</c:v>
                </c:pt>
                <c:pt idx="4580">
                  <c:v>0.23610347952557711</c:v>
                </c:pt>
                <c:pt idx="4581">
                  <c:v>0.23605031660571091</c:v>
                </c:pt>
                <c:pt idx="4582">
                  <c:v>0.23599715593598705</c:v>
                </c:pt>
                <c:pt idx="4583">
                  <c:v>0.2359439975135818</c:v>
                </c:pt>
                <c:pt idx="4584">
                  <c:v>0.23589084133567492</c:v>
                </c:pt>
                <c:pt idx="4585">
                  <c:v>0.23583768739944982</c:v>
                </c:pt>
                <c:pt idx="4586">
                  <c:v>0.23578453570209329</c:v>
                </c:pt>
                <c:pt idx="4587">
                  <c:v>0.23573138624079576</c:v>
                </c:pt>
                <c:pt idx="4588">
                  <c:v>0.2356782390127512</c:v>
                </c:pt>
                <c:pt idx="4589">
                  <c:v>0.23562509401515697</c:v>
                </c:pt>
                <c:pt idx="4590">
                  <c:v>0.23557195124521413</c:v>
                </c:pt>
                <c:pt idx="4591">
                  <c:v>0.23551881070012706</c:v>
                </c:pt>
                <c:pt idx="4592">
                  <c:v>0.23546567237710381</c:v>
                </c:pt>
                <c:pt idx="4593">
                  <c:v>0.23541253627335584</c:v>
                </c:pt>
                <c:pt idx="4594">
                  <c:v>0.23535940238609818</c:v>
                </c:pt>
                <c:pt idx="4595">
                  <c:v>0.23530627071254923</c:v>
                </c:pt>
                <c:pt idx="4596">
                  <c:v>0.23525314124993107</c:v>
                </c:pt>
                <c:pt idx="4597">
                  <c:v>0.23520001399546905</c:v>
                </c:pt>
                <c:pt idx="4598">
                  <c:v>0.23514688894639221</c:v>
                </c:pt>
                <c:pt idx="4599">
                  <c:v>0.23509376609993288</c:v>
                </c:pt>
                <c:pt idx="4600">
                  <c:v>0.23504064545332704</c:v>
                </c:pt>
                <c:pt idx="4601">
                  <c:v>0.23498752700381395</c:v>
                </c:pt>
                <c:pt idx="4602">
                  <c:v>0.2349344107486365</c:v>
                </c:pt>
                <c:pt idx="4603">
                  <c:v>0.23488129668504101</c:v>
                </c:pt>
                <c:pt idx="4604">
                  <c:v>0.23482818481027715</c:v>
                </c:pt>
                <c:pt idx="4605">
                  <c:v>0.23477507512159815</c:v>
                </c:pt>
                <c:pt idx="4606">
                  <c:v>0.2347219676162606</c:v>
                </c:pt>
                <c:pt idx="4607">
                  <c:v>0.23466886229152467</c:v>
                </c:pt>
                <c:pt idx="4608">
                  <c:v>0.2346157591446538</c:v>
                </c:pt>
                <c:pt idx="4609">
                  <c:v>0.23456265817291497</c:v>
                </c:pt>
                <c:pt idx="4610">
                  <c:v>0.23450955937357856</c:v>
                </c:pt>
                <c:pt idx="4611">
                  <c:v>0.23445646274391843</c:v>
                </c:pt>
                <c:pt idx="4612">
                  <c:v>0.23440336828121172</c:v>
                </c:pt>
                <c:pt idx="4613">
                  <c:v>0.23435027598273916</c:v>
                </c:pt>
                <c:pt idx="4614">
                  <c:v>0.23429718584578474</c:v>
                </c:pt>
                <c:pt idx="4615">
                  <c:v>0.234244097867636</c:v>
                </c:pt>
                <c:pt idx="4616">
                  <c:v>0.23419101204558374</c:v>
                </c:pt>
                <c:pt idx="4617">
                  <c:v>0.23413792837692229</c:v>
                </c:pt>
                <c:pt idx="4618">
                  <c:v>0.23408484685894929</c:v>
                </c:pt>
                <c:pt idx="4619">
                  <c:v>0.23403176748896579</c:v>
                </c:pt>
                <c:pt idx="4620">
                  <c:v>0.23397869026427626</c:v>
                </c:pt>
                <c:pt idx="4621">
                  <c:v>0.23392561518218849</c:v>
                </c:pt>
                <c:pt idx="4622">
                  <c:v>0.23387254224001378</c:v>
                </c:pt>
                <c:pt idx="4623">
                  <c:v>0.23381947143506659</c:v>
                </c:pt>
                <c:pt idx="4624">
                  <c:v>0.23376640276466495</c:v>
                </c:pt>
                <c:pt idx="4625">
                  <c:v>0.23371333622613014</c:v>
                </c:pt>
                <c:pt idx="4626">
                  <c:v>0.23366027181678686</c:v>
                </c:pt>
                <c:pt idx="4627">
                  <c:v>0.23360720953396313</c:v>
                </c:pt>
                <c:pt idx="4628">
                  <c:v>0.23355414937499036</c:v>
                </c:pt>
                <c:pt idx="4629">
                  <c:v>0.23350109133720326</c:v>
                </c:pt>
                <c:pt idx="4630">
                  <c:v>0.23344803541793993</c:v>
                </c:pt>
                <c:pt idx="4631">
                  <c:v>0.23339498161454178</c:v>
                </c:pt>
                <c:pt idx="4632">
                  <c:v>0.2333419299243536</c:v>
                </c:pt>
                <c:pt idx="4633">
                  <c:v>0.23328888034472345</c:v>
                </c:pt>
                <c:pt idx="4634">
                  <c:v>0.23323583287300273</c:v>
                </c:pt>
                <c:pt idx="4635">
                  <c:v>0.23318278750654625</c:v>
                </c:pt>
                <c:pt idx="4636">
                  <c:v>0.23312974424271199</c:v>
                </c:pt>
                <c:pt idx="4637">
                  <c:v>0.23307670307886141</c:v>
                </c:pt>
                <c:pt idx="4638">
                  <c:v>0.23302366401235916</c:v>
                </c:pt>
                <c:pt idx="4639">
                  <c:v>0.23297062704057322</c:v>
                </c:pt>
                <c:pt idx="4640">
                  <c:v>0.2329175921608749</c:v>
                </c:pt>
                <c:pt idx="4641">
                  <c:v>0.23286455937063885</c:v>
                </c:pt>
                <c:pt idx="4642">
                  <c:v>0.23281152866724286</c:v>
                </c:pt>
                <c:pt idx="4643">
                  <c:v>0.23275850004806822</c:v>
                </c:pt>
                <c:pt idx="4644">
                  <c:v>0.23270547351049931</c:v>
                </c:pt>
                <c:pt idx="4645">
                  <c:v>0.23265244905192395</c:v>
                </c:pt>
                <c:pt idx="4646">
                  <c:v>0.2325994266697331</c:v>
                </c:pt>
                <c:pt idx="4647">
                  <c:v>0.23254640636132115</c:v>
                </c:pt>
                <c:pt idx="4648">
                  <c:v>0.2324933881240856</c:v>
                </c:pt>
                <c:pt idx="4649">
                  <c:v>0.23244037195542733</c:v>
                </c:pt>
                <c:pt idx="4650">
                  <c:v>0.23238735785275044</c:v>
                </c:pt>
                <c:pt idx="4651">
                  <c:v>0.23233434581346227</c:v>
                </c:pt>
                <c:pt idx="4652">
                  <c:v>0.23228133583497346</c:v>
                </c:pt>
                <c:pt idx="4653">
                  <c:v>0.23222832791469783</c:v>
                </c:pt>
                <c:pt idx="4654">
                  <c:v>0.23217532205005253</c:v>
                </c:pt>
                <c:pt idx="4655">
                  <c:v>0.23212231823845789</c:v>
                </c:pt>
                <c:pt idx="4656">
                  <c:v>0.2320693164773375</c:v>
                </c:pt>
                <c:pt idx="4657">
                  <c:v>0.23201631676411819</c:v>
                </c:pt>
                <c:pt idx="4658">
                  <c:v>0.23196331909623</c:v>
                </c:pt>
                <c:pt idx="4659">
                  <c:v>0.23191032347110616</c:v>
                </c:pt>
                <c:pt idx="4660">
                  <c:v>0.23185732988618324</c:v>
                </c:pt>
                <c:pt idx="4661">
                  <c:v>0.23180433833890091</c:v>
                </c:pt>
                <c:pt idx="4662">
                  <c:v>0.23175134882670212</c:v>
                </c:pt>
                <c:pt idx="4663">
                  <c:v>0.23169836134703295</c:v>
                </c:pt>
                <c:pt idx="4664">
                  <c:v>0.23164537589734277</c:v>
                </c:pt>
                <c:pt idx="4665">
                  <c:v>0.23159239247508415</c:v>
                </c:pt>
                <c:pt idx="4666">
                  <c:v>0.23153941107771278</c:v>
                </c:pt>
                <c:pt idx="4667">
                  <c:v>0.23148643170268765</c:v>
                </c:pt>
                <c:pt idx="4668">
                  <c:v>0.23143345434747079</c:v>
                </c:pt>
                <c:pt idx="4669">
                  <c:v>0.2313804790095276</c:v>
                </c:pt>
                <c:pt idx="4670">
                  <c:v>0.23132750568632646</c:v>
                </c:pt>
                <c:pt idx="4671">
                  <c:v>0.23127453437533912</c:v>
                </c:pt>
                <c:pt idx="4672">
                  <c:v>0.23122156507404035</c:v>
                </c:pt>
                <c:pt idx="4673">
                  <c:v>0.23116859777990822</c:v>
                </c:pt>
                <c:pt idx="4674">
                  <c:v>0.2311156324904238</c:v>
                </c:pt>
                <c:pt idx="4675">
                  <c:v>0.23106266920307153</c:v>
                </c:pt>
                <c:pt idx="4676">
                  <c:v>0.23100970791533879</c:v>
                </c:pt>
                <c:pt idx="4677">
                  <c:v>0.23095674862471632</c:v>
                </c:pt>
                <c:pt idx="4678">
                  <c:v>0.23090379132869782</c:v>
                </c:pt>
                <c:pt idx="4679">
                  <c:v>0.23085083602478024</c:v>
                </c:pt>
                <c:pt idx="4680">
                  <c:v>0.2307978827104637</c:v>
                </c:pt>
                <c:pt idx="4681">
                  <c:v>0.23074493138325136</c:v>
                </c:pt>
                <c:pt idx="4682">
                  <c:v>0.23069198204064961</c:v>
                </c:pt>
                <c:pt idx="4683">
                  <c:v>0.23063903468016786</c:v>
                </c:pt>
                <c:pt idx="4684">
                  <c:v>0.23058608929931879</c:v>
                </c:pt>
                <c:pt idx="4685">
                  <c:v>0.23053314589561805</c:v>
                </c:pt>
                <c:pt idx="4686">
                  <c:v>0.23048020446658452</c:v>
                </c:pt>
                <c:pt idx="4687">
                  <c:v>0.23042726500974012</c:v>
                </c:pt>
                <c:pt idx="4688">
                  <c:v>0.23037432752260995</c:v>
                </c:pt>
                <c:pt idx="4689">
                  <c:v>0.23032139200272209</c:v>
                </c:pt>
                <c:pt idx="4690">
                  <c:v>0.23026845844760793</c:v>
                </c:pt>
                <c:pt idx="4691">
                  <c:v>0.23021552685480176</c:v>
                </c:pt>
                <c:pt idx="4692">
                  <c:v>0.23016259722184107</c:v>
                </c:pt>
                <c:pt idx="4693">
                  <c:v>0.23010966954626638</c:v>
                </c:pt>
                <c:pt idx="4694">
                  <c:v>0.23005674382562136</c:v>
                </c:pt>
                <c:pt idx="4695">
                  <c:v>0.23000382005745271</c:v>
                </c:pt>
                <c:pt idx="4696">
                  <c:v>0.22995089823931025</c:v>
                </c:pt>
                <c:pt idx="4697">
                  <c:v>0.22989797836874684</c:v>
                </c:pt>
                <c:pt idx="4698">
                  <c:v>0.22984506044331843</c:v>
                </c:pt>
                <c:pt idx="4699">
                  <c:v>0.22979214446058402</c:v>
                </c:pt>
                <c:pt idx="4700">
                  <c:v>0.22973923041810568</c:v>
                </c:pt>
                <c:pt idx="4701">
                  <c:v>0.22968631831344857</c:v>
                </c:pt>
                <c:pt idx="4702">
                  <c:v>0.22963340814418087</c:v>
                </c:pt>
                <c:pt idx="4703">
                  <c:v>0.22958049990787383</c:v>
                </c:pt>
                <c:pt idx="4704">
                  <c:v>0.2295275936021017</c:v>
                </c:pt>
                <c:pt idx="4705">
                  <c:v>0.22947468922444189</c:v>
                </c:pt>
                <c:pt idx="4706">
                  <c:v>0.22942178677247468</c:v>
                </c:pt>
                <c:pt idx="4707">
                  <c:v>0.22936888624378354</c:v>
                </c:pt>
                <c:pt idx="4708">
                  <c:v>0.2293159876359549</c:v>
                </c:pt>
                <c:pt idx="4709">
                  <c:v>0.22926309094657821</c:v>
                </c:pt>
                <c:pt idx="4710">
                  <c:v>0.22921019617324603</c:v>
                </c:pt>
                <c:pt idx="4711">
                  <c:v>0.2291573033135538</c:v>
                </c:pt>
                <c:pt idx="4712">
                  <c:v>0.22910441236510012</c:v>
                </c:pt>
                <c:pt idx="4713">
                  <c:v>0.22905152332548651</c:v>
                </c:pt>
                <c:pt idx="4714">
                  <c:v>0.22899863619231753</c:v>
                </c:pt>
                <c:pt idx="4715">
                  <c:v>0.22894575096320072</c:v>
                </c:pt>
                <c:pt idx="4716">
                  <c:v>0.22889286763574671</c:v>
                </c:pt>
                <c:pt idx="4717">
                  <c:v>0.22883998620756899</c:v>
                </c:pt>
                <c:pt idx="4718">
                  <c:v>0.22878710667628419</c:v>
                </c:pt>
                <c:pt idx="4719">
                  <c:v>0.22873422903951179</c:v>
                </c:pt>
                <c:pt idx="4720">
                  <c:v>0.22868135329487441</c:v>
                </c:pt>
                <c:pt idx="4721">
                  <c:v>0.22862847943999751</c:v>
                </c:pt>
                <c:pt idx="4722">
                  <c:v>0.22857560747250966</c:v>
                </c:pt>
                <c:pt idx="4723">
                  <c:v>0.22852273739004222</c:v>
                </c:pt>
                <c:pt idx="4724">
                  <c:v>0.22846986919022977</c:v>
                </c:pt>
                <c:pt idx="4725">
                  <c:v>0.22841700287070965</c:v>
                </c:pt>
                <c:pt idx="4726">
                  <c:v>0.22836413842912226</c:v>
                </c:pt>
                <c:pt idx="4727">
                  <c:v>0.22831127586311098</c:v>
                </c:pt>
                <c:pt idx="4728">
                  <c:v>0.22825841517032205</c:v>
                </c:pt>
                <c:pt idx="4729">
                  <c:v>0.22820555634840481</c:v>
                </c:pt>
                <c:pt idx="4730">
                  <c:v>0.22815269939501137</c:v>
                </c:pt>
                <c:pt idx="4731">
                  <c:v>0.22809984430779695</c:v>
                </c:pt>
                <c:pt idx="4732">
                  <c:v>0.22804699108441961</c:v>
                </c:pt>
                <c:pt idx="4733">
                  <c:v>0.22799413972254046</c:v>
                </c:pt>
                <c:pt idx="4734">
                  <c:v>0.22794129021982334</c:v>
                </c:pt>
                <c:pt idx="4735">
                  <c:v>0.22788844257393526</c:v>
                </c:pt>
                <c:pt idx="4736">
                  <c:v>0.22783559678254597</c:v>
                </c:pt>
                <c:pt idx="4737">
                  <c:v>0.2277827528433283</c:v>
                </c:pt>
                <c:pt idx="4738">
                  <c:v>0.22772991075395785</c:v>
                </c:pt>
                <c:pt idx="4739">
                  <c:v>0.22767707051211331</c:v>
                </c:pt>
                <c:pt idx="4740">
                  <c:v>0.22762423211547606</c:v>
                </c:pt>
                <c:pt idx="4741">
                  <c:v>0.22757139556173056</c:v>
                </c:pt>
                <c:pt idx="4742">
                  <c:v>0.22751856084856417</c:v>
                </c:pt>
                <c:pt idx="4743">
                  <c:v>0.22746572797366707</c:v>
                </c:pt>
                <c:pt idx="4744">
                  <c:v>0.22741289693473241</c:v>
                </c:pt>
                <c:pt idx="4745">
                  <c:v>0.22736006772945616</c:v>
                </c:pt>
                <c:pt idx="4746">
                  <c:v>0.22730724035553729</c:v>
                </c:pt>
                <c:pt idx="4747">
                  <c:v>0.22725441481067751</c:v>
                </c:pt>
                <c:pt idx="4748">
                  <c:v>0.22720159109258159</c:v>
                </c:pt>
                <c:pt idx="4749">
                  <c:v>0.22714876919895702</c:v>
                </c:pt>
                <c:pt idx="4750">
                  <c:v>0.22709594912751424</c:v>
                </c:pt>
                <c:pt idx="4751">
                  <c:v>0.22704313087596659</c:v>
                </c:pt>
                <c:pt idx="4752">
                  <c:v>0.22699031444203024</c:v>
                </c:pt>
                <c:pt idx="4753">
                  <c:v>0.2269374998234242</c:v>
                </c:pt>
                <c:pt idx="4754">
                  <c:v>0.22688468701787043</c:v>
                </c:pt>
                <c:pt idx="4755">
                  <c:v>0.22683187602309365</c:v>
                </c:pt>
                <c:pt idx="4756">
                  <c:v>0.2267790668368215</c:v>
                </c:pt>
                <c:pt idx="4757">
                  <c:v>0.22672625945678446</c:v>
                </c:pt>
                <c:pt idx="4758">
                  <c:v>0.2266734538807158</c:v>
                </c:pt>
                <c:pt idx="4759">
                  <c:v>0.2266206501063518</c:v>
                </c:pt>
                <c:pt idx="4760">
                  <c:v>0.22656784813143133</c:v>
                </c:pt>
                <c:pt idx="4761">
                  <c:v>0.22651504795369631</c:v>
                </c:pt>
                <c:pt idx="4762">
                  <c:v>0.22646224957089139</c:v>
                </c:pt>
                <c:pt idx="4763">
                  <c:v>0.22640945298076409</c:v>
                </c:pt>
                <c:pt idx="4764">
                  <c:v>0.22635665818106473</c:v>
                </c:pt>
                <c:pt idx="4765">
                  <c:v>0.22630386516954651</c:v>
                </c:pt>
                <c:pt idx="4766">
                  <c:v>0.22625107394396532</c:v>
                </c:pt>
                <c:pt idx="4767">
                  <c:v>0.22619828450208007</c:v>
                </c:pt>
                <c:pt idx="4768">
                  <c:v>0.22614549684165225</c:v>
                </c:pt>
                <c:pt idx="4769">
                  <c:v>0.22609271096044634</c:v>
                </c:pt>
                <c:pt idx="4770">
                  <c:v>0.22603992685622953</c:v>
                </c:pt>
                <c:pt idx="4771">
                  <c:v>0.22598714452677185</c:v>
                </c:pt>
                <c:pt idx="4772">
                  <c:v>0.22593436396984615</c:v>
                </c:pt>
                <c:pt idx="4773">
                  <c:v>0.22588158518322798</c:v>
                </c:pt>
                <c:pt idx="4774">
                  <c:v>0.22582880816469583</c:v>
                </c:pt>
                <c:pt idx="4775">
                  <c:v>0.22577603291203083</c:v>
                </c:pt>
                <c:pt idx="4776">
                  <c:v>0.22572325942301699</c:v>
                </c:pt>
                <c:pt idx="4777">
                  <c:v>0.22567048769544104</c:v>
                </c:pt>
                <c:pt idx="4778">
                  <c:v>0.22561771772709255</c:v>
                </c:pt>
                <c:pt idx="4779">
                  <c:v>0.22556494951576378</c:v>
                </c:pt>
                <c:pt idx="4780">
                  <c:v>0.22551218305924989</c:v>
                </c:pt>
                <c:pt idx="4781">
                  <c:v>0.22545941835534866</c:v>
                </c:pt>
                <c:pt idx="4782">
                  <c:v>0.22540665540186075</c:v>
                </c:pt>
                <c:pt idx="4783">
                  <c:v>0.22535389419658947</c:v>
                </c:pt>
                <c:pt idx="4784">
                  <c:v>0.22530113473734101</c:v>
                </c:pt>
                <c:pt idx="4785">
                  <c:v>0.22524837702192421</c:v>
                </c:pt>
                <c:pt idx="4786">
                  <c:v>0.22519562104815072</c:v>
                </c:pt>
                <c:pt idx="4787">
                  <c:v>0.22514286681383494</c:v>
                </c:pt>
                <c:pt idx="4788">
                  <c:v>0.22509011431679396</c:v>
                </c:pt>
                <c:pt idx="4789">
                  <c:v>0.22503736355484766</c:v>
                </c:pt>
                <c:pt idx="4790">
                  <c:v>0.22498461452581858</c:v>
                </c:pt>
                <c:pt idx="4791">
                  <c:v>0.22493186722753214</c:v>
                </c:pt>
                <c:pt idx="4792">
                  <c:v>0.22487912165781632</c:v>
                </c:pt>
                <c:pt idx="4793">
                  <c:v>0.22482637781450193</c:v>
                </c:pt>
                <c:pt idx="4794">
                  <c:v>0.22477363569542247</c:v>
                </c:pt>
                <c:pt idx="4795">
                  <c:v>0.22472089529841419</c:v>
                </c:pt>
                <c:pt idx="4796">
                  <c:v>0.22466815662131598</c:v>
                </c:pt>
                <c:pt idx="4797">
                  <c:v>0.22461541966196955</c:v>
                </c:pt>
                <c:pt idx="4798">
                  <c:v>0.22456268441821919</c:v>
                </c:pt>
                <c:pt idx="4799">
                  <c:v>0.22450995088791206</c:v>
                </c:pt>
                <c:pt idx="4800">
                  <c:v>0.22445721906889782</c:v>
                </c:pt>
                <c:pt idx="4801">
                  <c:v>0.22440448895902898</c:v>
                </c:pt>
                <c:pt idx="4802">
                  <c:v>0.22435176055616074</c:v>
                </c:pt>
                <c:pt idx="4803">
                  <c:v>0.22429903385815089</c:v>
                </c:pt>
                <c:pt idx="4804">
                  <c:v>0.22424630886286001</c:v>
                </c:pt>
                <c:pt idx="4805">
                  <c:v>0.22419358556815128</c:v>
                </c:pt>
                <c:pt idx="4806">
                  <c:v>0.22414086397189067</c:v>
                </c:pt>
                <c:pt idx="4807">
                  <c:v>0.22408814407194672</c:v>
                </c:pt>
                <c:pt idx="4808">
                  <c:v>0.22403542586619071</c:v>
                </c:pt>
                <c:pt idx="4809">
                  <c:v>0.22398270935249651</c:v>
                </c:pt>
                <c:pt idx="4810">
                  <c:v>0.22392999452874082</c:v>
                </c:pt>
                <c:pt idx="4811">
                  <c:v>0.2238772813928028</c:v>
                </c:pt>
                <c:pt idx="4812">
                  <c:v>0.22382456994256447</c:v>
                </c:pt>
                <c:pt idx="4813">
                  <c:v>0.22377186017591036</c:v>
                </c:pt>
                <c:pt idx="4814">
                  <c:v>0.22371915209072771</c:v>
                </c:pt>
                <c:pt idx="4815">
                  <c:v>0.22366644568490637</c:v>
                </c:pt>
                <c:pt idx="4816">
                  <c:v>0.22361374095633896</c:v>
                </c:pt>
                <c:pt idx="4817">
                  <c:v>0.22356103790292062</c:v>
                </c:pt>
                <c:pt idx="4818">
                  <c:v>0.22350833652254914</c:v>
                </c:pt>
                <c:pt idx="4819">
                  <c:v>0.22345563681312505</c:v>
                </c:pt>
                <c:pt idx="4820">
                  <c:v>0.22340293877255135</c:v>
                </c:pt>
                <c:pt idx="4821">
                  <c:v>0.22335024239873388</c:v>
                </c:pt>
                <c:pt idx="4822">
                  <c:v>0.22329754768958093</c:v>
                </c:pt>
                <c:pt idx="4823">
                  <c:v>0.22324485464300348</c:v>
                </c:pt>
                <c:pt idx="4824">
                  <c:v>0.22319216325691513</c:v>
                </c:pt>
                <c:pt idx="4825">
                  <c:v>0.22313947352923214</c:v>
                </c:pt>
                <c:pt idx="4826">
                  <c:v>0.22308678545787328</c:v>
                </c:pt>
                <c:pt idx="4827">
                  <c:v>0.22303409904076005</c:v>
                </c:pt>
                <c:pt idx="4828">
                  <c:v>0.22298141427581647</c:v>
                </c:pt>
                <c:pt idx="4829">
                  <c:v>0.22292873116096923</c:v>
                </c:pt>
                <c:pt idx="4830">
                  <c:v>0.22287604969414754</c:v>
                </c:pt>
                <c:pt idx="4831">
                  <c:v>0.22282336987328333</c:v>
                </c:pt>
                <c:pt idx="4832">
                  <c:v>0.222770691696311</c:v>
                </c:pt>
                <c:pt idx="4833">
                  <c:v>0.22271801516116763</c:v>
                </c:pt>
                <c:pt idx="4834">
                  <c:v>0.22266534026579285</c:v>
                </c:pt>
                <c:pt idx="4835">
                  <c:v>0.22261266700812887</c:v>
                </c:pt>
                <c:pt idx="4836">
                  <c:v>0.22255999538612053</c:v>
                </c:pt>
                <c:pt idx="4837">
                  <c:v>0.22250732539771514</c:v>
                </c:pt>
                <c:pt idx="4838">
                  <c:v>0.22245465704086276</c:v>
                </c:pt>
                <c:pt idx="4839">
                  <c:v>0.22240199031351582</c:v>
                </c:pt>
                <c:pt idx="4840">
                  <c:v>0.22234932521362949</c:v>
                </c:pt>
                <c:pt idx="4841">
                  <c:v>0.22229666173916141</c:v>
                </c:pt>
                <c:pt idx="4842">
                  <c:v>0.22224399988807184</c:v>
                </c:pt>
                <c:pt idx="4843">
                  <c:v>0.22219133965832349</c:v>
                </c:pt>
                <c:pt idx="4844">
                  <c:v>0.22213868104788184</c:v>
                </c:pt>
                <c:pt idx="4845">
                  <c:v>0.22208602405471464</c:v>
                </c:pt>
                <c:pt idx="4846">
                  <c:v>0.22203336867679249</c:v>
                </c:pt>
                <c:pt idx="4847">
                  <c:v>0.22198071491208826</c:v>
                </c:pt>
                <c:pt idx="4848">
                  <c:v>0.22192806275857754</c:v>
                </c:pt>
                <c:pt idx="4849">
                  <c:v>0.22187541221423845</c:v>
                </c:pt>
                <c:pt idx="4850">
                  <c:v>0.22182276327705153</c:v>
                </c:pt>
                <c:pt idx="4851">
                  <c:v>0.22177011594500001</c:v>
                </c:pt>
                <c:pt idx="4852">
                  <c:v>0.22171747021606952</c:v>
                </c:pt>
                <c:pt idx="4853">
                  <c:v>0.22166482608824833</c:v>
                </c:pt>
                <c:pt idx="4854">
                  <c:v>0.22161218355952711</c:v>
                </c:pt>
                <c:pt idx="4855">
                  <c:v>0.22155954262789918</c:v>
                </c:pt>
                <c:pt idx="4856">
                  <c:v>0.22150690329136022</c:v>
                </c:pt>
                <c:pt idx="4857">
                  <c:v>0.22145426554790865</c:v>
                </c:pt>
                <c:pt idx="4858">
                  <c:v>0.22140162939554514</c:v>
                </c:pt>
                <c:pt idx="4859">
                  <c:v>0.22134899483227313</c:v>
                </c:pt>
                <c:pt idx="4860">
                  <c:v>0.22129636185609836</c:v>
                </c:pt>
                <c:pt idx="4861">
                  <c:v>0.22124373046502918</c:v>
                </c:pt>
                <c:pt idx="4862">
                  <c:v>0.22119110065707637</c:v>
                </c:pt>
                <c:pt idx="4863">
                  <c:v>0.22113847243025325</c:v>
                </c:pt>
                <c:pt idx="4864">
                  <c:v>0.22108584578257573</c:v>
                </c:pt>
                <c:pt idx="4865">
                  <c:v>0.22103322071206197</c:v>
                </c:pt>
                <c:pt idx="4866">
                  <c:v>0.22098059721673285</c:v>
                </c:pt>
                <c:pt idx="4867">
                  <c:v>0.22092797529461158</c:v>
                </c:pt>
                <c:pt idx="4868">
                  <c:v>0.22087535494372398</c:v>
                </c:pt>
                <c:pt idx="4869">
                  <c:v>0.22082273616209822</c:v>
                </c:pt>
                <c:pt idx="4870">
                  <c:v>0.22077011894776502</c:v>
                </c:pt>
                <c:pt idx="4871">
                  <c:v>0.22071750329875753</c:v>
                </c:pt>
                <c:pt idx="4872">
                  <c:v>0.22066488921311145</c:v>
                </c:pt>
                <c:pt idx="4873">
                  <c:v>0.22061227668886482</c:v>
                </c:pt>
                <c:pt idx="4874">
                  <c:v>0.22055966572405827</c:v>
                </c:pt>
                <c:pt idx="4875">
                  <c:v>0.22050705631673478</c:v>
                </c:pt>
                <c:pt idx="4876">
                  <c:v>0.22045444846493986</c:v>
                </c:pt>
                <c:pt idx="4877">
                  <c:v>0.22040184216672143</c:v>
                </c:pt>
                <c:pt idx="4878">
                  <c:v>0.22034923742012988</c:v>
                </c:pt>
                <c:pt idx="4879">
                  <c:v>0.22029663422321807</c:v>
                </c:pt>
                <c:pt idx="4880">
                  <c:v>0.22024403257404124</c:v>
                </c:pt>
                <c:pt idx="4881">
                  <c:v>0.22019143247065714</c:v>
                </c:pt>
                <c:pt idx="4882">
                  <c:v>0.22013883391112588</c:v>
                </c:pt>
                <c:pt idx="4883">
                  <c:v>0.22008623689351012</c:v>
                </c:pt>
                <c:pt idx="4884">
                  <c:v>0.22003364141587478</c:v>
                </c:pt>
                <c:pt idx="4885">
                  <c:v>0.21998104747628738</c:v>
                </c:pt>
                <c:pt idx="4886">
                  <c:v>0.21992845507281777</c:v>
                </c:pt>
                <c:pt idx="4887">
                  <c:v>0.2198758642035383</c:v>
                </c:pt>
                <c:pt idx="4888">
                  <c:v>0.21982327486652359</c:v>
                </c:pt>
                <c:pt idx="4889">
                  <c:v>0.21977068705985084</c:v>
                </c:pt>
                <c:pt idx="4890">
                  <c:v>0.21971810078159953</c:v>
                </c:pt>
                <c:pt idx="4891">
                  <c:v>0.21966551602985171</c:v>
                </c:pt>
                <c:pt idx="4892">
                  <c:v>0.21961293280269165</c:v>
                </c:pt>
                <c:pt idx="4893">
                  <c:v>0.21956035109820612</c:v>
                </c:pt>
                <c:pt idx="4894">
                  <c:v>0.2195077709144844</c:v>
                </c:pt>
                <c:pt idx="4895">
                  <c:v>0.2194551922496179</c:v>
                </c:pt>
                <c:pt idx="4896">
                  <c:v>0.21940261510170067</c:v>
                </c:pt>
                <c:pt idx="4897">
                  <c:v>0.21935003946882906</c:v>
                </c:pt>
                <c:pt idx="4898">
                  <c:v>0.21929746534910177</c:v>
                </c:pt>
                <c:pt idx="4899">
                  <c:v>0.21924489274061992</c:v>
                </c:pt>
                <c:pt idx="4900">
                  <c:v>0.21919232164148708</c:v>
                </c:pt>
                <c:pt idx="4901">
                  <c:v>0.21913975204980907</c:v>
                </c:pt>
                <c:pt idx="4902">
                  <c:v>0.21908718396369423</c:v>
                </c:pt>
                <c:pt idx="4903">
                  <c:v>0.2190346173812531</c:v>
                </c:pt>
                <c:pt idx="4904">
                  <c:v>0.21898205230059878</c:v>
                </c:pt>
                <c:pt idx="4905">
                  <c:v>0.21892948871984658</c:v>
                </c:pt>
                <c:pt idx="4906">
                  <c:v>0.21887692663711433</c:v>
                </c:pt>
                <c:pt idx="4907">
                  <c:v>0.21882436605052202</c:v>
                </c:pt>
                <c:pt idx="4908">
                  <c:v>0.21877180695819221</c:v>
                </c:pt>
                <c:pt idx="4909">
                  <c:v>0.21871924935824968</c:v>
                </c:pt>
                <c:pt idx="4910">
                  <c:v>0.2186666932488216</c:v>
                </c:pt>
                <c:pt idx="4911">
                  <c:v>0.21861413862803752</c:v>
                </c:pt>
                <c:pt idx="4912">
                  <c:v>0.21856158549402929</c:v>
                </c:pt>
                <c:pt idx="4913">
                  <c:v>0.21850903384493114</c:v>
                </c:pt>
                <c:pt idx="4914">
                  <c:v>0.2184564836788796</c:v>
                </c:pt>
                <c:pt idx="4915">
                  <c:v>0.21840393499401362</c:v>
                </c:pt>
                <c:pt idx="4916">
                  <c:v>0.21835138778847435</c:v>
                </c:pt>
                <c:pt idx="4917">
                  <c:v>0.21829884206040545</c:v>
                </c:pt>
                <c:pt idx="4918">
                  <c:v>0.21824629780795271</c:v>
                </c:pt>
                <c:pt idx="4919">
                  <c:v>0.21819375502926444</c:v>
                </c:pt>
                <c:pt idx="4920">
                  <c:v>0.21814121372249112</c:v>
                </c:pt>
                <c:pt idx="4921">
                  <c:v>0.21808867388578565</c:v>
                </c:pt>
                <c:pt idx="4922">
                  <c:v>0.21803613551730319</c:v>
                </c:pt>
                <c:pt idx="4923">
                  <c:v>0.21798359861520128</c:v>
                </c:pt>
                <c:pt idx="4924">
                  <c:v>0.21793106317763969</c:v>
                </c:pt>
                <c:pt idx="4925">
                  <c:v>0.21787852920278053</c:v>
                </c:pt>
                <c:pt idx="4926">
                  <c:v>0.2178259966887883</c:v>
                </c:pt>
                <c:pt idx="4927">
                  <c:v>0.21777346563382963</c:v>
                </c:pt>
                <c:pt idx="4928">
                  <c:v>0.21772093603607362</c:v>
                </c:pt>
                <c:pt idx="4929">
                  <c:v>0.21766840789369157</c:v>
                </c:pt>
                <c:pt idx="4930">
                  <c:v>0.21761588120485711</c:v>
                </c:pt>
                <c:pt idx="4931">
                  <c:v>0.21756335596774615</c:v>
                </c:pt>
                <c:pt idx="4932">
                  <c:v>0.21751083218053691</c:v>
                </c:pt>
                <c:pt idx="4933">
                  <c:v>0.21745830984140985</c:v>
                </c:pt>
                <c:pt idx="4934">
                  <c:v>0.21740578894854776</c:v>
                </c:pt>
                <c:pt idx="4935">
                  <c:v>0.21735326950013567</c:v>
                </c:pt>
                <c:pt idx="4936">
                  <c:v>0.21730075149436098</c:v>
                </c:pt>
                <c:pt idx="4937">
                  <c:v>0.21724823492941323</c:v>
                </c:pt>
                <c:pt idx="4938">
                  <c:v>0.21719571980348432</c:v>
                </c:pt>
                <c:pt idx="4939">
                  <c:v>0.21714320611476837</c:v>
                </c:pt>
                <c:pt idx="4940">
                  <c:v>0.21709069386146182</c:v>
                </c:pt>
                <c:pt idx="4941">
                  <c:v>0.21703818304176337</c:v>
                </c:pt>
                <c:pt idx="4942">
                  <c:v>0.21698567365387389</c:v>
                </c:pt>
                <c:pt idx="4943">
                  <c:v>0.21693316569599666</c:v>
                </c:pt>
                <c:pt idx="4944">
                  <c:v>0.21688065916633706</c:v>
                </c:pt>
                <c:pt idx="4945">
                  <c:v>0.21682815406310285</c:v>
                </c:pt>
                <c:pt idx="4946">
                  <c:v>0.21677565038450392</c:v>
                </c:pt>
                <c:pt idx="4947">
                  <c:v>0.21672314812875251</c:v>
                </c:pt>
                <c:pt idx="4948">
                  <c:v>0.21667064729406302</c:v>
                </c:pt>
                <c:pt idx="4949">
                  <c:v>0.21661814787865216</c:v>
                </c:pt>
                <c:pt idx="4950">
                  <c:v>0.21656564988073884</c:v>
                </c:pt>
                <c:pt idx="4951">
                  <c:v>0.21651315329854426</c:v>
                </c:pt>
                <c:pt idx="4952">
                  <c:v>0.21646065813029172</c:v>
                </c:pt>
                <c:pt idx="4953">
                  <c:v>0.21640816437420693</c:v>
                </c:pt>
                <c:pt idx="4954">
                  <c:v>0.21635567202851766</c:v>
                </c:pt>
                <c:pt idx="4955">
                  <c:v>0.21630318109145397</c:v>
                </c:pt>
                <c:pt idx="4956">
                  <c:v>0.21625069156124824</c:v>
                </c:pt>
                <c:pt idx="4957">
                  <c:v>0.21619820343613488</c:v>
                </c:pt>
                <c:pt idx="4958">
                  <c:v>0.21614571671435068</c:v>
                </c:pt>
                <c:pt idx="4959">
                  <c:v>0.2160932313941345</c:v>
                </c:pt>
                <c:pt idx="4960">
                  <c:v>0.21604074747372756</c:v>
                </c:pt>
                <c:pt idx="4961">
                  <c:v>0.21598826495137316</c:v>
                </c:pt>
                <c:pt idx="4962">
                  <c:v>0.21593578382531692</c:v>
                </c:pt>
                <c:pt idx="4963">
                  <c:v>0.21588330409380649</c:v>
                </c:pt>
                <c:pt idx="4964">
                  <c:v>0.21583082575509194</c:v>
                </c:pt>
                <c:pt idx="4965">
                  <c:v>0.21577834880742536</c:v>
                </c:pt>
                <c:pt idx="4966">
                  <c:v>0.21572587324906112</c:v>
                </c:pt>
                <c:pt idx="4967">
                  <c:v>0.21567339907825572</c:v>
                </c:pt>
                <c:pt idx="4968">
                  <c:v>0.21562092629326796</c:v>
                </c:pt>
                <c:pt idx="4969">
                  <c:v>0.21556845489235865</c:v>
                </c:pt>
                <c:pt idx="4970">
                  <c:v>0.21551598487379095</c:v>
                </c:pt>
                <c:pt idx="4971">
                  <c:v>0.21546351623583015</c:v>
                </c:pt>
                <c:pt idx="4972">
                  <c:v>0.21541104897674362</c:v>
                </c:pt>
                <c:pt idx="4973">
                  <c:v>0.21535858309480108</c:v>
                </c:pt>
                <c:pt idx="4974">
                  <c:v>0.21530611858827425</c:v>
                </c:pt>
                <c:pt idx="4975">
                  <c:v>0.21525365545543715</c:v>
                </c:pt>
                <c:pt idx="4976">
                  <c:v>0.21520119369456583</c:v>
                </c:pt>
                <c:pt idx="4977">
                  <c:v>0.21514873330393866</c:v>
                </c:pt>
                <c:pt idx="4978">
                  <c:v>0.21509627428183606</c:v>
                </c:pt>
                <c:pt idx="4979">
                  <c:v>0.21504381662654068</c:v>
                </c:pt>
                <c:pt idx="4980">
                  <c:v>0.2149913603363372</c:v>
                </c:pt>
                <c:pt idx="4981">
                  <c:v>0.21493890540951263</c:v>
                </c:pt>
                <c:pt idx="4982">
                  <c:v>0.21488645184435598</c:v>
                </c:pt>
                <c:pt idx="4983">
                  <c:v>0.21483399963915853</c:v>
                </c:pt>
                <c:pt idx="4984">
                  <c:v>0.21478154879221353</c:v>
                </c:pt>
                <c:pt idx="4985">
                  <c:v>0.21472909930181658</c:v>
                </c:pt>
                <c:pt idx="4986">
                  <c:v>0.21467665116626533</c:v>
                </c:pt>
                <c:pt idx="4987">
                  <c:v>0.21462420438385948</c:v>
                </c:pt>
                <c:pt idx="4988">
                  <c:v>0.21457175895290101</c:v>
                </c:pt>
                <c:pt idx="4989">
                  <c:v>0.2145193148716939</c:v>
                </c:pt>
                <c:pt idx="4990">
                  <c:v>0.2144668721385444</c:v>
                </c:pt>
                <c:pt idx="4991">
                  <c:v>0.21441443075176073</c:v>
                </c:pt>
                <c:pt idx="4992">
                  <c:v>0.21436199070965334</c:v>
                </c:pt>
                <c:pt idx="4993">
                  <c:v>0.21430955201053475</c:v>
                </c:pt>
                <c:pt idx="4994">
                  <c:v>0.21425711465271968</c:v>
                </c:pt>
                <c:pt idx="4995">
                  <c:v>0.2142046786345248</c:v>
                </c:pt>
                <c:pt idx="4996">
                  <c:v>0.2141522439542691</c:v>
                </c:pt>
                <c:pt idx="4997">
                  <c:v>0.2140998106102735</c:v>
                </c:pt>
                <c:pt idx="4998">
                  <c:v>0.21404737860086115</c:v>
                </c:pt>
                <c:pt idx="4999">
                  <c:v>0.21399494792435719</c:v>
                </c:pt>
                <c:pt idx="5000">
                  <c:v>0.213942518579089</c:v>
                </c:pt>
                <c:pt idx="5001">
                  <c:v>0.21389009056338595</c:v>
                </c:pt>
                <c:pt idx="5002">
                  <c:v>0.21383766387557954</c:v>
                </c:pt>
                <c:pt idx="5003">
                  <c:v>0.21378523851400338</c:v>
                </c:pt>
                <c:pt idx="5004">
                  <c:v>0.21373281447699313</c:v>
                </c:pt>
                <c:pt idx="5005">
                  <c:v>0.21368039176288661</c:v>
                </c:pt>
                <c:pt idx="5006">
                  <c:v>0.21362797037002365</c:v>
                </c:pt>
                <c:pt idx="5007">
                  <c:v>0.21357555029674621</c:v>
                </c:pt>
                <c:pt idx="5008">
                  <c:v>0.21352313154139829</c:v>
                </c:pt>
                <c:pt idx="5009">
                  <c:v>0.21347071410232604</c:v>
                </c:pt>
                <c:pt idx="5010">
                  <c:v>0.21341829797787759</c:v>
                </c:pt>
                <c:pt idx="5011">
                  <c:v>0.21336588316640326</c:v>
                </c:pt>
                <c:pt idx="5012">
                  <c:v>0.21331346966625528</c:v>
                </c:pt>
                <c:pt idx="5013">
                  <c:v>0.21326105747578811</c:v>
                </c:pt>
                <c:pt idx="5014">
                  <c:v>0.2132086465933582</c:v>
                </c:pt>
                <c:pt idx="5015">
                  <c:v>0.213156237017324</c:v>
                </c:pt>
                <c:pt idx="5016">
                  <c:v>0.21310382874604622</c:v>
                </c:pt>
                <c:pt idx="5017">
                  <c:v>0.21305142177788736</c:v>
                </c:pt>
                <c:pt idx="5018">
                  <c:v>0.21299901611121219</c:v>
                </c:pt>
                <c:pt idx="5019">
                  <c:v>0.21294661174438742</c:v>
                </c:pt>
                <c:pt idx="5020">
                  <c:v>0.2128942086757819</c:v>
                </c:pt>
                <c:pt idx="5021">
                  <c:v>0.21284180690376636</c:v>
                </c:pt>
                <c:pt idx="5022">
                  <c:v>0.21278940642671379</c:v>
                </c:pt>
                <c:pt idx="5023">
                  <c:v>0.21273700724299904</c:v>
                </c:pt>
                <c:pt idx="5024">
                  <c:v>0.21268460935099914</c:v>
                </c:pt>
                <c:pt idx="5025">
                  <c:v>0.21263221274909302</c:v>
                </c:pt>
                <c:pt idx="5026">
                  <c:v>0.21257981743566182</c:v>
                </c:pt>
                <c:pt idx="5027">
                  <c:v>0.21252742340908848</c:v>
                </c:pt>
                <c:pt idx="5028">
                  <c:v>0.21247503066775819</c:v>
                </c:pt>
                <c:pt idx="5029">
                  <c:v>0.212422639210058</c:v>
                </c:pt>
                <c:pt idx="5030">
                  <c:v>0.21237024903437712</c:v>
                </c:pt>
                <c:pt idx="5031">
                  <c:v>0.21231786013910672</c:v>
                </c:pt>
                <c:pt idx="5032">
                  <c:v>0.21226547252263991</c:v>
                </c:pt>
                <c:pt idx="5033">
                  <c:v>0.21221308618337201</c:v>
                </c:pt>
                <c:pt idx="5034">
                  <c:v>0.21216070111970015</c:v>
                </c:pt>
                <c:pt idx="5035">
                  <c:v>0.21210831733002361</c:v>
                </c:pt>
                <c:pt idx="5036">
                  <c:v>0.21205593481274357</c:v>
                </c:pt>
                <c:pt idx="5037">
                  <c:v>0.21200355356626333</c:v>
                </c:pt>
                <c:pt idx="5038">
                  <c:v>0.2119511735889881</c:v>
                </c:pt>
                <c:pt idx="5039">
                  <c:v>0.21189879487932517</c:v>
                </c:pt>
                <c:pt idx="5040">
                  <c:v>0.21184641743568375</c:v>
                </c:pt>
                <c:pt idx="5041">
                  <c:v>0.21179404125647514</c:v>
                </c:pt>
                <c:pt idx="5042">
                  <c:v>0.21174166634011249</c:v>
                </c:pt>
                <c:pt idx="5043">
                  <c:v>0.2116892926850111</c:v>
                </c:pt>
                <c:pt idx="5044">
                  <c:v>0.21163692028958814</c:v>
                </c:pt>
                <c:pt idx="5045">
                  <c:v>0.21158454915226288</c:v>
                </c:pt>
                <c:pt idx="5046">
                  <c:v>0.21153217927145646</c:v>
                </c:pt>
                <c:pt idx="5047">
                  <c:v>0.21147981064559201</c:v>
                </c:pt>
                <c:pt idx="5048">
                  <c:v>0.21142744327309479</c:v>
                </c:pt>
                <c:pt idx="5049">
                  <c:v>0.21137507715239184</c:v>
                </c:pt>
                <c:pt idx="5050">
                  <c:v>0.21132271228191229</c:v>
                </c:pt>
                <c:pt idx="5051">
                  <c:v>0.2112703486600872</c:v>
                </c:pt>
                <c:pt idx="5052">
                  <c:v>0.21121798628534963</c:v>
                </c:pt>
                <c:pt idx="5053">
                  <c:v>0.21116562515613452</c:v>
                </c:pt>
                <c:pt idx="5054">
                  <c:v>0.21111326527087892</c:v>
                </c:pt>
                <c:pt idx="5055">
                  <c:v>0.21106090662802171</c:v>
                </c:pt>
                <c:pt idx="5056">
                  <c:v>0.21100854922600382</c:v>
                </c:pt>
                <c:pt idx="5057">
                  <c:v>0.21095619306326804</c:v>
                </c:pt>
                <c:pt idx="5058">
                  <c:v>0.21090383813825925</c:v>
                </c:pt>
                <c:pt idx="5059">
                  <c:v>0.21085148444942411</c:v>
                </c:pt>
                <c:pt idx="5060">
                  <c:v>0.21079913199521139</c:v>
                </c:pt>
                <c:pt idx="5061">
                  <c:v>0.21074678077407169</c:v>
                </c:pt>
                <c:pt idx="5062">
                  <c:v>0.21069443078445763</c:v>
                </c:pt>
                <c:pt idx="5063">
                  <c:v>0.21064208202482376</c:v>
                </c:pt>
                <c:pt idx="5064">
                  <c:v>0.21058973449362653</c:v>
                </c:pt>
                <c:pt idx="5065">
                  <c:v>0.21053738818932435</c:v>
                </c:pt>
                <c:pt idx="5066">
                  <c:v>0.21048504311037758</c:v>
                </c:pt>
                <c:pt idx="5067">
                  <c:v>0.21043269925524849</c:v>
                </c:pt>
                <c:pt idx="5068">
                  <c:v>0.21038035662240126</c:v>
                </c:pt>
                <c:pt idx="5069">
                  <c:v>0.21032801521030206</c:v>
                </c:pt>
                <c:pt idx="5070">
                  <c:v>0.21027567501741895</c:v>
                </c:pt>
                <c:pt idx="5071">
                  <c:v>0.2102233360422219</c:v>
                </c:pt>
                <c:pt idx="5072">
                  <c:v>0.21017099828318281</c:v>
                </c:pt>
                <c:pt idx="5073">
                  <c:v>0.2101186617387755</c:v>
                </c:pt>
                <c:pt idx="5074">
                  <c:v>0.21006632640747569</c:v>
                </c:pt>
                <c:pt idx="5075">
                  <c:v>0.21001399228776108</c:v>
                </c:pt>
                <c:pt idx="5076">
                  <c:v>0.20996165937811115</c:v>
                </c:pt>
                <c:pt idx="5077">
                  <c:v>0.2099093276770074</c:v>
                </c:pt>
                <c:pt idx="5078">
                  <c:v>0.20985699718293327</c:v>
                </c:pt>
                <c:pt idx="5079">
                  <c:v>0.20980466789437391</c:v>
                </c:pt>
                <c:pt idx="5080">
                  <c:v>0.20975233980981661</c:v>
                </c:pt>
                <c:pt idx="5081">
                  <c:v>0.20970001292775037</c:v>
                </c:pt>
                <c:pt idx="5082">
                  <c:v>0.20964768724666619</c:v>
                </c:pt>
                <c:pt idx="5083">
                  <c:v>0.20959536276505691</c:v>
                </c:pt>
                <c:pt idx="5084">
                  <c:v>0.20954303948141734</c:v>
                </c:pt>
                <c:pt idx="5085">
                  <c:v>0.20949071739424405</c:v>
                </c:pt>
                <c:pt idx="5086">
                  <c:v>0.20943839650203563</c:v>
                </c:pt>
                <c:pt idx="5087">
                  <c:v>0.20938607680329246</c:v>
                </c:pt>
                <c:pt idx="5088">
                  <c:v>0.20933375829651688</c:v>
                </c:pt>
                <c:pt idx="5089">
                  <c:v>0.20928144098021301</c:v>
                </c:pt>
                <c:pt idx="5090">
                  <c:v>0.20922912485288694</c:v>
                </c:pt>
                <c:pt idx="5091">
                  <c:v>0.20917680991304657</c:v>
                </c:pt>
                <c:pt idx="5092">
                  <c:v>0.20912449615920173</c:v>
                </c:pt>
                <c:pt idx="5093">
                  <c:v>0.2090721835898641</c:v>
                </c:pt>
                <c:pt idx="5094">
                  <c:v>0.20901987220354717</c:v>
                </c:pt>
                <c:pt idx="5095">
                  <c:v>0.20896756199876643</c:v>
                </c:pt>
                <c:pt idx="5096">
                  <c:v>0.20891525297403901</c:v>
                </c:pt>
                <c:pt idx="5097">
                  <c:v>0.20886294512788417</c:v>
                </c:pt>
                <c:pt idx="5098">
                  <c:v>0.20881063845882283</c:v>
                </c:pt>
                <c:pt idx="5099">
                  <c:v>0.20875833296537785</c:v>
                </c:pt>
                <c:pt idx="5100">
                  <c:v>0.2087060286460739</c:v>
                </c:pt>
                <c:pt idx="5101">
                  <c:v>0.20865372549943761</c:v>
                </c:pt>
                <c:pt idx="5102">
                  <c:v>0.20860142352399724</c:v>
                </c:pt>
                <c:pt idx="5103">
                  <c:v>0.20854912271828316</c:v>
                </c:pt>
                <c:pt idx="5104">
                  <c:v>0.2084968230808274</c:v>
                </c:pt>
                <c:pt idx="5105">
                  <c:v>0.20844452461016388</c:v>
                </c:pt>
                <c:pt idx="5106">
                  <c:v>0.2083922273048284</c:v>
                </c:pt>
                <c:pt idx="5107">
                  <c:v>0.20833993116335853</c:v>
                </c:pt>
                <c:pt idx="5108">
                  <c:v>0.20828763618429375</c:v>
                </c:pt>
                <c:pt idx="5109">
                  <c:v>0.2082353423661753</c:v>
                </c:pt>
                <c:pt idx="5110">
                  <c:v>0.20818304970754634</c:v>
                </c:pt>
                <c:pt idx="5111">
                  <c:v>0.20813075820695173</c:v>
                </c:pt>
                <c:pt idx="5112">
                  <c:v>0.20807846786293832</c:v>
                </c:pt>
                <c:pt idx="5113">
                  <c:v>0.2080261786740546</c:v>
                </c:pt>
                <c:pt idx="5114">
                  <c:v>0.20797389063885102</c:v>
                </c:pt>
                <c:pt idx="5115">
                  <c:v>0.20792160375587981</c:v>
                </c:pt>
                <c:pt idx="5116">
                  <c:v>0.20786931802369502</c:v>
                </c:pt>
                <c:pt idx="5117">
                  <c:v>0.20781703344085245</c:v>
                </c:pt>
                <c:pt idx="5118">
                  <c:v>0.20776475000590985</c:v>
                </c:pt>
                <c:pt idx="5119">
                  <c:v>0.2077124677174266</c:v>
                </c:pt>
                <c:pt idx="5120">
                  <c:v>0.2076601865739641</c:v>
                </c:pt>
                <c:pt idx="5121">
                  <c:v>0.20760790657408532</c:v>
                </c:pt>
                <c:pt idx="5122">
                  <c:v>0.20755562771635525</c:v>
                </c:pt>
                <c:pt idx="5123">
                  <c:v>0.20750334999934053</c:v>
                </c:pt>
                <c:pt idx="5124">
                  <c:v>0.20745107342160968</c:v>
                </c:pt>
                <c:pt idx="5125">
                  <c:v>0.207398797981733</c:v>
                </c:pt>
                <c:pt idx="5126">
                  <c:v>0.20734652367828252</c:v>
                </c:pt>
                <c:pt idx="5127">
                  <c:v>0.20729425050983219</c:v>
                </c:pt>
                <c:pt idx="5128">
                  <c:v>0.20724197847495762</c:v>
                </c:pt>
                <c:pt idx="5129">
                  <c:v>0.20718970757223631</c:v>
                </c:pt>
                <c:pt idx="5130">
                  <c:v>0.20713743780024743</c:v>
                </c:pt>
                <c:pt idx="5131">
                  <c:v>0.20708516915757208</c:v>
                </c:pt>
                <c:pt idx="5132">
                  <c:v>0.207032901642793</c:v>
                </c:pt>
                <c:pt idx="5133">
                  <c:v>0.20698063525449484</c:v>
                </c:pt>
                <c:pt idx="5134">
                  <c:v>0.20692836999126385</c:v>
                </c:pt>
                <c:pt idx="5135">
                  <c:v>0.20687610585168828</c:v>
                </c:pt>
                <c:pt idx="5136">
                  <c:v>0.20682384283435795</c:v>
                </c:pt>
                <c:pt idx="5137">
                  <c:v>0.20677158093786455</c:v>
                </c:pt>
                <c:pt idx="5138">
                  <c:v>0.20671932016080155</c:v>
                </c:pt>
                <c:pt idx="5139">
                  <c:v>0.20666706050176412</c:v>
                </c:pt>
                <c:pt idx="5140">
                  <c:v>0.20661480195934925</c:v>
                </c:pt>
                <c:pt idx="5141">
                  <c:v>0.20656254453215564</c:v>
                </c:pt>
                <c:pt idx="5142">
                  <c:v>0.20651028821878384</c:v>
                </c:pt>
                <c:pt idx="5143">
                  <c:v>0.206458033017836</c:v>
                </c:pt>
                <c:pt idx="5144">
                  <c:v>0.2064057789279162</c:v>
                </c:pt>
                <c:pt idx="5145">
                  <c:v>0.20635352594763015</c:v>
                </c:pt>
                <c:pt idx="5146">
                  <c:v>0.20630127407558535</c:v>
                </c:pt>
                <c:pt idx="5147">
                  <c:v>0.20624902331039105</c:v>
                </c:pt>
                <c:pt idx="5148">
                  <c:v>0.20619677365065825</c:v>
                </c:pt>
                <c:pt idx="5149">
                  <c:v>0.20614452509499967</c:v>
                </c:pt>
                <c:pt idx="5150">
                  <c:v>0.20609227764202981</c:v>
                </c:pt>
                <c:pt idx="5151">
                  <c:v>0.20604003129036483</c:v>
                </c:pt>
                <c:pt idx="5152">
                  <c:v>0.20598778603862275</c:v>
                </c:pt>
                <c:pt idx="5153">
                  <c:v>0.20593554188542321</c:v>
                </c:pt>
                <c:pt idx="5154">
                  <c:v>0.20588329882938763</c:v>
                </c:pt>
                <c:pt idx="5155">
                  <c:v>0.20583105686913919</c:v>
                </c:pt>
                <c:pt idx="5156">
                  <c:v>0.20577881600330272</c:v>
                </c:pt>
                <c:pt idx="5157">
                  <c:v>0.20572657623050489</c:v>
                </c:pt>
                <c:pt idx="5158">
                  <c:v>0.20567433754937392</c:v>
                </c:pt>
                <c:pt idx="5159">
                  <c:v>0.20562209995853994</c:v>
                </c:pt>
                <c:pt idx="5160">
                  <c:v>0.20556986345663469</c:v>
                </c:pt>
                <c:pt idx="5161">
                  <c:v>0.20551762804229165</c:v>
                </c:pt>
                <c:pt idx="5162">
                  <c:v>0.20546539371414602</c:v>
                </c:pt>
                <c:pt idx="5163">
                  <c:v>0.20541316047083472</c:v>
                </c:pt>
                <c:pt idx="5164">
                  <c:v>0.20536092831099631</c:v>
                </c:pt>
                <c:pt idx="5165">
                  <c:v>0.20530869723327122</c:v>
                </c:pt>
                <c:pt idx="5166">
                  <c:v>0.20525646723630139</c:v>
                </c:pt>
                <c:pt idx="5167">
                  <c:v>0.20520423831873061</c:v>
                </c:pt>
                <c:pt idx="5168">
                  <c:v>0.20515201047920431</c:v>
                </c:pt>
                <c:pt idx="5169">
                  <c:v>0.20509978371636961</c:v>
                </c:pt>
                <c:pt idx="5170">
                  <c:v>0.20504755802887542</c:v>
                </c:pt>
                <c:pt idx="5171">
                  <c:v>0.20499533341537218</c:v>
                </c:pt>
                <c:pt idx="5172">
                  <c:v>0.2049431098745122</c:v>
                </c:pt>
                <c:pt idx="5173">
                  <c:v>0.20489088740494932</c:v>
                </c:pt>
                <c:pt idx="5174">
                  <c:v>0.2048386660053392</c:v>
                </c:pt>
                <c:pt idx="5175">
                  <c:v>0.20478644567433912</c:v>
                </c:pt>
                <c:pt idx="5176">
                  <c:v>0.20473422641060809</c:v>
                </c:pt>
                <c:pt idx="5177">
                  <c:v>0.20468200821280672</c:v>
                </c:pt>
                <c:pt idx="5178">
                  <c:v>0.20462979107959739</c:v>
                </c:pt>
                <c:pt idx="5179">
                  <c:v>0.20457757500964407</c:v>
                </c:pt>
                <c:pt idx="5180">
                  <c:v>0.20452536000161256</c:v>
                </c:pt>
                <c:pt idx="5181">
                  <c:v>0.20447314605417014</c:v>
                </c:pt>
                <c:pt idx="5182">
                  <c:v>0.20442093316598592</c:v>
                </c:pt>
                <c:pt idx="5183">
                  <c:v>0.20436872133573056</c:v>
                </c:pt>
                <c:pt idx="5184">
                  <c:v>0.20431651056207648</c:v>
                </c:pt>
                <c:pt idx="5185">
                  <c:v>0.20426430084369773</c:v>
                </c:pt>
                <c:pt idx="5186">
                  <c:v>0.20421209217927</c:v>
                </c:pt>
                <c:pt idx="5187">
                  <c:v>0.2041598845674707</c:v>
                </c:pt>
                <c:pt idx="5188">
                  <c:v>0.20410767800697882</c:v>
                </c:pt>
                <c:pt idx="5189">
                  <c:v>0.20405547249647513</c:v>
                </c:pt>
                <c:pt idx="5190">
                  <c:v>0.20400326803464189</c:v>
                </c:pt>
                <c:pt idx="5191">
                  <c:v>0.20395106462016316</c:v>
                </c:pt>
                <c:pt idx="5192">
                  <c:v>0.20389886225172454</c:v>
                </c:pt>
                <c:pt idx="5193">
                  <c:v>0.20384666092801343</c:v>
                </c:pt>
                <c:pt idx="5194">
                  <c:v>0.20379446064771869</c:v>
                </c:pt>
                <c:pt idx="5195">
                  <c:v>0.20374226140953097</c:v>
                </c:pt>
                <c:pt idx="5196">
                  <c:v>0.20369006321214245</c:v>
                </c:pt>
                <c:pt idx="5197">
                  <c:v>0.20363786605424708</c:v>
                </c:pt>
                <c:pt idx="5198">
                  <c:v>0.20358566993454033</c:v>
                </c:pt>
                <c:pt idx="5199">
                  <c:v>0.20353347485171935</c:v>
                </c:pt>
                <c:pt idx="5200">
                  <c:v>0.20348128080448299</c:v>
                </c:pt>
                <c:pt idx="5201">
                  <c:v>0.20342908779153163</c:v>
                </c:pt>
                <c:pt idx="5202">
                  <c:v>0.20337689581156737</c:v>
                </c:pt>
                <c:pt idx="5203">
                  <c:v>0.20332470486329382</c:v>
                </c:pt>
                <c:pt idx="5204">
                  <c:v>0.20327251494541634</c:v>
                </c:pt>
                <c:pt idx="5205">
                  <c:v>0.20322032605664186</c:v>
                </c:pt>
                <c:pt idx="5206">
                  <c:v>0.20316813819567894</c:v>
                </c:pt>
                <c:pt idx="5207">
                  <c:v>0.20311595136123772</c:v>
                </c:pt>
                <c:pt idx="5208">
                  <c:v>0.2030637655520301</c:v>
                </c:pt>
                <c:pt idx="5209">
                  <c:v>0.20301158076676937</c:v>
                </c:pt>
                <c:pt idx="5210">
                  <c:v>0.20295939700417062</c:v>
                </c:pt>
                <c:pt idx="5211">
                  <c:v>0.2029072142629505</c:v>
                </c:pt>
                <c:pt idx="5212">
                  <c:v>0.20285503254182727</c:v>
                </c:pt>
                <c:pt idx="5213">
                  <c:v>0.20280285183952071</c:v>
                </c:pt>
                <c:pt idx="5214">
                  <c:v>0.20275067215475237</c:v>
                </c:pt>
                <c:pt idx="5215">
                  <c:v>0.20269849348624533</c:v>
                </c:pt>
                <c:pt idx="5216">
                  <c:v>0.20264631583272419</c:v>
                </c:pt>
                <c:pt idx="5217">
                  <c:v>0.20259413919291527</c:v>
                </c:pt>
                <c:pt idx="5218">
                  <c:v>0.20254196356554643</c:v>
                </c:pt>
                <c:pt idx="5219">
                  <c:v>0.20248978894934719</c:v>
                </c:pt>
                <c:pt idx="5220">
                  <c:v>0.20243761534304852</c:v>
                </c:pt>
                <c:pt idx="5221">
                  <c:v>0.20238544274538317</c:v>
                </c:pt>
                <c:pt idx="5222">
                  <c:v>0.20233327115508531</c:v>
                </c:pt>
                <c:pt idx="5223">
                  <c:v>0.20228110057089083</c:v>
                </c:pt>
                <c:pt idx="5224">
                  <c:v>0.2022289309915371</c:v>
                </c:pt>
                <c:pt idx="5225">
                  <c:v>0.20217676241576318</c:v>
                </c:pt>
                <c:pt idx="5226">
                  <c:v>0.2021245948423096</c:v>
                </c:pt>
                <c:pt idx="5227">
                  <c:v>0.20207242826991859</c:v>
                </c:pt>
                <c:pt idx="5228">
                  <c:v>0.20202026269733384</c:v>
                </c:pt>
                <c:pt idx="5229">
                  <c:v>0.20196809812330069</c:v>
                </c:pt>
                <c:pt idx="5230">
                  <c:v>0.20191593454656606</c:v>
                </c:pt>
                <c:pt idx="5231">
                  <c:v>0.2018637719658784</c:v>
                </c:pt>
                <c:pt idx="5232">
                  <c:v>0.20181161037998779</c:v>
                </c:pt>
                <c:pt idx="5233">
                  <c:v>0.20175944978764579</c:v>
                </c:pt>
                <c:pt idx="5234">
                  <c:v>0.20170729018760561</c:v>
                </c:pt>
                <c:pt idx="5235">
                  <c:v>0.20165513157862194</c:v>
                </c:pt>
                <c:pt idx="5236">
                  <c:v>0.20160297395945115</c:v>
                </c:pt>
                <c:pt idx="5237">
                  <c:v>0.20155081732885105</c:v>
                </c:pt>
                <c:pt idx="5238">
                  <c:v>0.20149866168558112</c:v>
                </c:pt>
                <c:pt idx="5239">
                  <c:v>0.20144650702840228</c:v>
                </c:pt>
                <c:pt idx="5240">
                  <c:v>0.20139435335607711</c:v>
                </c:pt>
                <c:pt idx="5241">
                  <c:v>0.20134220066736966</c:v>
                </c:pt>
                <c:pt idx="5242">
                  <c:v>0.2012900489610456</c:v>
                </c:pt>
                <c:pt idx="5243">
                  <c:v>0.2012378982358721</c:v>
                </c:pt>
                <c:pt idx="5244">
                  <c:v>0.2011857484906179</c:v>
                </c:pt>
                <c:pt idx="5245">
                  <c:v>0.20113359972405329</c:v>
                </c:pt>
                <c:pt idx="5246">
                  <c:v>0.20108145193495006</c:v>
                </c:pt>
                <c:pt idx="5247">
                  <c:v>0.20102930512208164</c:v>
                </c:pt>
                <c:pt idx="5248">
                  <c:v>0.20097715928422286</c:v>
                </c:pt>
                <c:pt idx="5249">
                  <c:v>0.20092501442015021</c:v>
                </c:pt>
                <c:pt idx="5250">
                  <c:v>0.20087287052864161</c:v>
                </c:pt>
                <c:pt idx="5251">
                  <c:v>0.20082072760847666</c:v>
                </c:pt>
                <c:pt idx="5252">
                  <c:v>0.20076858565843633</c:v>
                </c:pt>
                <c:pt idx="5253">
                  <c:v>0.20071644467730324</c:v>
                </c:pt>
                <c:pt idx="5254">
                  <c:v>0.20066430466386143</c:v>
                </c:pt>
                <c:pt idx="5255">
                  <c:v>0.20061216561689657</c:v>
                </c:pt>
                <c:pt idx="5256">
                  <c:v>0.20056002753519578</c:v>
                </c:pt>
                <c:pt idx="5257">
                  <c:v>0.20050789041754777</c:v>
                </c:pt>
                <c:pt idx="5258">
                  <c:v>0.20045575426274267</c:v>
                </c:pt>
                <c:pt idx="5259">
                  <c:v>0.2004036190695723</c:v>
                </c:pt>
                <c:pt idx="5260">
                  <c:v>0.20035148483682974</c:v>
                </c:pt>
                <c:pt idx="5261">
                  <c:v>0.20029935156330983</c:v>
                </c:pt>
                <c:pt idx="5262">
                  <c:v>0.20024721924780881</c:v>
                </c:pt>
                <c:pt idx="5263">
                  <c:v>0.20019508788912441</c:v>
                </c:pt>
                <c:pt idx="5264">
                  <c:v>0.20014295748605596</c:v>
                </c:pt>
                <c:pt idx="5265">
                  <c:v>0.20009082803740416</c:v>
                </c:pt>
                <c:pt idx="5266">
                  <c:v>0.20003869954197137</c:v>
                </c:pt>
                <c:pt idx="5267">
                  <c:v>0.19998657199856129</c:v>
                </c:pt>
                <c:pt idx="5268">
                  <c:v>0.19993444540597932</c:v>
                </c:pt>
                <c:pt idx="5269">
                  <c:v>0.19988231976303214</c:v>
                </c:pt>
                <c:pt idx="5270">
                  <c:v>0.19983019506852812</c:v>
                </c:pt>
                <c:pt idx="5271">
                  <c:v>0.19977807132127695</c:v>
                </c:pt>
                <c:pt idx="5272">
                  <c:v>0.19972594852009001</c:v>
                </c:pt>
                <c:pt idx="5273">
                  <c:v>0.19967382666377997</c:v>
                </c:pt>
                <c:pt idx="5274">
                  <c:v>0.19962170575116114</c:v>
                </c:pt>
                <c:pt idx="5275">
                  <c:v>0.19956958578104925</c:v>
                </c:pt>
                <c:pt idx="5276">
                  <c:v>0.19951746675226151</c:v>
                </c:pt>
                <c:pt idx="5277">
                  <c:v>0.19946534866361668</c:v>
                </c:pt>
                <c:pt idx="5278">
                  <c:v>0.19941323151393492</c:v>
                </c:pt>
                <c:pt idx="5279">
                  <c:v>0.19936111530203793</c:v>
                </c:pt>
                <c:pt idx="5280">
                  <c:v>0.19930900002674881</c:v>
                </c:pt>
                <c:pt idx="5281">
                  <c:v>0.19925688568689226</c:v>
                </c:pt>
                <c:pt idx="5282">
                  <c:v>0.19920477228129435</c:v>
                </c:pt>
                <c:pt idx="5283">
                  <c:v>0.19915265980878269</c:v>
                </c:pt>
                <c:pt idx="5284">
                  <c:v>0.19910054826818627</c:v>
                </c:pt>
                <c:pt idx="5285">
                  <c:v>0.19904843765833571</c:v>
                </c:pt>
                <c:pt idx="5286">
                  <c:v>0.19899632797806288</c:v>
                </c:pt>
                <c:pt idx="5287">
                  <c:v>0.19894421922620137</c:v>
                </c:pt>
                <c:pt idx="5288">
                  <c:v>0.19889211140158597</c:v>
                </c:pt>
                <c:pt idx="5289">
                  <c:v>0.19884000450305314</c:v>
                </c:pt>
                <c:pt idx="5290">
                  <c:v>0.19878789852944065</c:v>
                </c:pt>
                <c:pt idx="5291">
                  <c:v>0.19873579347958789</c:v>
                </c:pt>
                <c:pt idx="5292">
                  <c:v>0.19868368935233557</c:v>
                </c:pt>
                <c:pt idx="5293">
                  <c:v>0.19863158614652587</c:v>
                </c:pt>
                <c:pt idx="5294">
                  <c:v>0.19857948386100252</c:v>
                </c:pt>
                <c:pt idx="5295">
                  <c:v>0.19852738249461058</c:v>
                </c:pt>
                <c:pt idx="5296">
                  <c:v>0.19847528204619666</c:v>
                </c:pt>
                <c:pt idx="5297">
                  <c:v>0.19842318251460872</c:v>
                </c:pt>
                <c:pt idx="5298">
                  <c:v>0.19837108389869626</c:v>
                </c:pt>
                <c:pt idx="5299">
                  <c:v>0.19831898619731014</c:v>
                </c:pt>
                <c:pt idx="5300">
                  <c:v>0.19826688940930276</c:v>
                </c:pt>
                <c:pt idx="5301">
                  <c:v>0.19821479353352783</c:v>
                </c:pt>
                <c:pt idx="5302">
                  <c:v>0.19816269856884064</c:v>
                </c:pt>
                <c:pt idx="5303">
                  <c:v>0.19811060451409779</c:v>
                </c:pt>
                <c:pt idx="5304">
                  <c:v>0.19805851136815744</c:v>
                </c:pt>
                <c:pt idx="5305">
                  <c:v>0.19800641912987904</c:v>
                </c:pt>
                <c:pt idx="5306">
                  <c:v>0.19795432779812358</c:v>
                </c:pt>
                <c:pt idx="5307">
                  <c:v>0.1979022373717535</c:v>
                </c:pt>
                <c:pt idx="5308">
                  <c:v>0.19785014784963251</c:v>
                </c:pt>
                <c:pt idx="5309">
                  <c:v>0.19779805923062593</c:v>
                </c:pt>
                <c:pt idx="5310">
                  <c:v>0.1977459715136004</c:v>
                </c:pt>
                <c:pt idx="5311">
                  <c:v>0.19769388469742402</c:v>
                </c:pt>
                <c:pt idx="5312">
                  <c:v>0.19764179878096624</c:v>
                </c:pt>
                <c:pt idx="5313">
                  <c:v>0.19758971376309808</c:v>
                </c:pt>
                <c:pt idx="5314">
                  <c:v>0.19753762964269178</c:v>
                </c:pt>
                <c:pt idx="5315">
                  <c:v>0.19748554641862118</c:v>
                </c:pt>
                <c:pt idx="5316">
                  <c:v>0.1974334640897614</c:v>
                </c:pt>
                <c:pt idx="5317">
                  <c:v>0.19738138265498906</c:v>
                </c:pt>
                <c:pt idx="5318">
                  <c:v>0.19732930211318211</c:v>
                </c:pt>
                <c:pt idx="5319">
                  <c:v>0.19727722246321999</c:v>
                </c:pt>
                <c:pt idx="5320">
                  <c:v>0.19722514370398347</c:v>
                </c:pt>
                <c:pt idx="5321">
                  <c:v>0.19717306583435476</c:v>
                </c:pt>
                <c:pt idx="5322">
                  <c:v>0.19712098885321755</c:v>
                </c:pt>
                <c:pt idx="5323">
                  <c:v>0.19706891275945673</c:v>
                </c:pt>
                <c:pt idx="5324">
                  <c:v>0.19701683755195884</c:v>
                </c:pt>
                <c:pt idx="5325">
                  <c:v>0.19696476322961159</c:v>
                </c:pt>
                <c:pt idx="5326">
                  <c:v>0.19691268979130427</c:v>
                </c:pt>
                <c:pt idx="5327">
                  <c:v>0.1968606172359274</c:v>
                </c:pt>
                <c:pt idx="5328">
                  <c:v>0.19680854556237307</c:v>
                </c:pt>
                <c:pt idx="5329">
                  <c:v>0.19675647476953456</c:v>
                </c:pt>
                <c:pt idx="5330">
                  <c:v>0.19670440485630672</c:v>
                </c:pt>
                <c:pt idx="5331">
                  <c:v>0.19665233582158564</c:v>
                </c:pt>
                <c:pt idx="5332">
                  <c:v>0.19660026766426894</c:v>
                </c:pt>
                <c:pt idx="5333">
                  <c:v>0.19654820038325546</c:v>
                </c:pt>
                <c:pt idx="5334">
                  <c:v>0.19649613397744561</c:v>
                </c:pt>
                <c:pt idx="5335">
                  <c:v>0.19644406844574103</c:v>
                </c:pt>
                <c:pt idx="5336">
                  <c:v>0.19639200378704474</c:v>
                </c:pt>
                <c:pt idx="5337">
                  <c:v>0.19633994000026128</c:v>
                </c:pt>
                <c:pt idx="5338">
                  <c:v>0.1962878770842964</c:v>
                </c:pt>
                <c:pt idx="5339">
                  <c:v>0.19623581503805734</c:v>
                </c:pt>
                <c:pt idx="5340">
                  <c:v>0.19618375386045261</c:v>
                </c:pt>
                <c:pt idx="5341">
                  <c:v>0.19613169355039223</c:v>
                </c:pt>
                <c:pt idx="5342">
                  <c:v>0.19607963410678739</c:v>
                </c:pt>
                <c:pt idx="5343">
                  <c:v>0.19602757552855082</c:v>
                </c:pt>
                <c:pt idx="5344">
                  <c:v>0.19597551781459654</c:v>
                </c:pt>
                <c:pt idx="5345">
                  <c:v>0.19592346096383997</c:v>
                </c:pt>
                <c:pt idx="5346">
                  <c:v>0.19587140497519784</c:v>
                </c:pt>
                <c:pt idx="5347">
                  <c:v>0.19581934984758828</c:v>
                </c:pt>
                <c:pt idx="5348">
                  <c:v>0.19576729557993075</c:v>
                </c:pt>
                <c:pt idx="5349">
                  <c:v>0.19571524217114608</c:v>
                </c:pt>
                <c:pt idx="5350">
                  <c:v>0.19566318962015644</c:v>
                </c:pt>
                <c:pt idx="5351">
                  <c:v>0.19561113792588541</c:v>
                </c:pt>
                <c:pt idx="5352">
                  <c:v>0.19555908708725786</c:v>
                </c:pt>
                <c:pt idx="5353">
                  <c:v>0.19550703710319997</c:v>
                </c:pt>
                <c:pt idx="5354">
                  <c:v>0.19545498797263941</c:v>
                </c:pt>
                <c:pt idx="5355">
                  <c:v>0.19540293969450506</c:v>
                </c:pt>
                <c:pt idx="5356">
                  <c:v>0.19535089226772723</c:v>
                </c:pt>
                <c:pt idx="5357">
                  <c:v>0.19529884569123745</c:v>
                </c:pt>
                <c:pt idx="5358">
                  <c:v>0.19524679996396879</c:v>
                </c:pt>
                <c:pt idx="5359">
                  <c:v>0.19519475508485548</c:v>
                </c:pt>
                <c:pt idx="5360">
                  <c:v>0.19514271105283318</c:v>
                </c:pt>
                <c:pt idx="5361">
                  <c:v>0.19509066786683879</c:v>
                </c:pt>
                <c:pt idx="5362">
                  <c:v>0.19503862552581072</c:v>
                </c:pt>
                <c:pt idx="5363">
                  <c:v>0.19498658402868854</c:v>
                </c:pt>
                <c:pt idx="5364">
                  <c:v>0.19493454337441324</c:v>
                </c:pt>
                <c:pt idx="5365">
                  <c:v>0.19488250356192705</c:v>
                </c:pt>
                <c:pt idx="5366">
                  <c:v>0.1948304645901737</c:v>
                </c:pt>
                <c:pt idx="5367">
                  <c:v>0.19477842645809806</c:v>
                </c:pt>
                <c:pt idx="5368">
                  <c:v>0.19472638916464641</c:v>
                </c:pt>
                <c:pt idx="5369">
                  <c:v>0.1946743527087664</c:v>
                </c:pt>
                <c:pt idx="5370">
                  <c:v>0.19462231708940686</c:v>
                </c:pt>
                <c:pt idx="5371">
                  <c:v>0.19457028230551809</c:v>
                </c:pt>
                <c:pt idx="5372">
                  <c:v>0.19451824835605161</c:v>
                </c:pt>
                <c:pt idx="5373">
                  <c:v>0.19446621523996033</c:v>
                </c:pt>
                <c:pt idx="5374">
                  <c:v>0.19441418295619836</c:v>
                </c:pt>
                <c:pt idx="5375">
                  <c:v>0.19436215150372127</c:v>
                </c:pt>
                <c:pt idx="5376">
                  <c:v>0.19431012088148578</c:v>
                </c:pt>
                <c:pt idx="5377">
                  <c:v>0.19425809108845007</c:v>
                </c:pt>
                <c:pt idx="5378">
                  <c:v>0.19420606212357355</c:v>
                </c:pt>
                <c:pt idx="5379">
                  <c:v>0.19415403398581693</c:v>
                </c:pt>
                <c:pt idx="5380">
                  <c:v>0.19410200667414224</c:v>
                </c:pt>
                <c:pt idx="5381">
                  <c:v>0.19404998018751282</c:v>
                </c:pt>
                <c:pt idx="5382">
                  <c:v>0.1939979545248933</c:v>
                </c:pt>
                <c:pt idx="5383">
                  <c:v>0.19394592968524962</c:v>
                </c:pt>
                <c:pt idx="5384">
                  <c:v>0.19389390566754902</c:v>
                </c:pt>
                <c:pt idx="5385">
                  <c:v>0.19384188247076001</c:v>
                </c:pt>
                <c:pt idx="5386">
                  <c:v>0.19378986009385243</c:v>
                </c:pt>
                <c:pt idx="5387">
                  <c:v>0.19373783853579737</c:v>
                </c:pt>
                <c:pt idx="5388">
                  <c:v>0.19368581779556729</c:v>
                </c:pt>
                <c:pt idx="5389">
                  <c:v>0.19363379787213578</c:v>
                </c:pt>
                <c:pt idx="5390">
                  <c:v>0.19358177876447794</c:v>
                </c:pt>
                <c:pt idx="5391">
                  <c:v>0.19352976047156997</c:v>
                </c:pt>
                <c:pt idx="5392">
                  <c:v>0.19347774299238946</c:v>
                </c:pt>
                <c:pt idx="5393">
                  <c:v>0.1934257263259152</c:v>
                </c:pt>
                <c:pt idx="5394">
                  <c:v>0.19337371047112736</c:v>
                </c:pt>
                <c:pt idx="5395">
                  <c:v>0.19332169542700731</c:v>
                </c:pt>
                <c:pt idx="5396">
                  <c:v>0.19326968119253776</c:v>
                </c:pt>
                <c:pt idx="5397">
                  <c:v>0.1932176677667026</c:v>
                </c:pt>
                <c:pt idx="5398">
                  <c:v>0.1931656551484871</c:v>
                </c:pt>
                <c:pt idx="5399">
                  <c:v>0.19311364333687778</c:v>
                </c:pt>
                <c:pt idx="5400">
                  <c:v>0.19306163233086238</c:v>
                </c:pt>
                <c:pt idx="5401">
                  <c:v>0.19300962212942999</c:v>
                </c:pt>
                <c:pt idx="5402">
                  <c:v>0.19295761273157083</c:v>
                </c:pt>
                <c:pt idx="5403">
                  <c:v>0.19290560413627661</c:v>
                </c:pt>
                <c:pt idx="5404">
                  <c:v>0.19285359634254004</c:v>
                </c:pt>
                <c:pt idx="5405">
                  <c:v>0.19280158934935535</c:v>
                </c:pt>
                <c:pt idx="5406">
                  <c:v>0.19274958315571783</c:v>
                </c:pt>
                <c:pt idx="5407">
                  <c:v>0.19269757776062416</c:v>
                </c:pt>
                <c:pt idx="5408">
                  <c:v>0.19264557316307218</c:v>
                </c:pt>
                <c:pt idx="5409">
                  <c:v>0.1925935693620611</c:v>
                </c:pt>
                <c:pt idx="5410">
                  <c:v>0.19254156635659128</c:v>
                </c:pt>
                <c:pt idx="5411">
                  <c:v>0.1924895641456644</c:v>
                </c:pt>
                <c:pt idx="5412">
                  <c:v>0.19243756272828336</c:v>
                </c:pt>
                <c:pt idx="5413">
                  <c:v>0.19238556210345234</c:v>
                </c:pt>
                <c:pt idx="5414">
                  <c:v>0.19233356227017676</c:v>
                </c:pt>
                <c:pt idx="5415">
                  <c:v>0.19228156322746323</c:v>
                </c:pt>
                <c:pt idx="5416">
                  <c:v>0.19222956497431973</c:v>
                </c:pt>
                <c:pt idx="5417">
                  <c:v>0.19217756750975537</c:v>
                </c:pt>
                <c:pt idx="5418">
                  <c:v>0.19212557083278056</c:v>
                </c:pt>
                <c:pt idx="5419">
                  <c:v>0.1920735749424069</c:v>
                </c:pt>
                <c:pt idx="5420">
                  <c:v>0.19202157983764734</c:v>
                </c:pt>
                <c:pt idx="5421">
                  <c:v>0.19196958551751592</c:v>
                </c:pt>
                <c:pt idx="5422">
                  <c:v>0.19191759198102809</c:v>
                </c:pt>
                <c:pt idx="5423">
                  <c:v>0.19186559922720031</c:v>
                </c:pt>
                <c:pt idx="5424">
                  <c:v>0.19181360725505053</c:v>
                </c:pt>
                <c:pt idx="5425">
                  <c:v>0.19176161606359773</c:v>
                </c:pt>
                <c:pt idx="5426">
                  <c:v>0.19170962565186225</c:v>
                </c:pt>
                <c:pt idx="5427">
                  <c:v>0.19165763601886557</c:v>
                </c:pt>
                <c:pt idx="5428">
                  <c:v>0.19160564716363043</c:v>
                </c:pt>
                <c:pt idx="5429">
                  <c:v>0.19155365908518085</c:v>
                </c:pt>
                <c:pt idx="5430">
                  <c:v>0.19150167178254196</c:v>
                </c:pt>
                <c:pt idx="5431">
                  <c:v>0.19144968525474024</c:v>
                </c:pt>
                <c:pt idx="5432">
                  <c:v>0.19139769950080326</c:v>
                </c:pt>
                <c:pt idx="5433">
                  <c:v>0.19134571451975999</c:v>
                </c:pt>
                <c:pt idx="5434">
                  <c:v>0.1912937303106404</c:v>
                </c:pt>
                <c:pt idx="5435">
                  <c:v>0.19124174687247589</c:v>
                </c:pt>
                <c:pt idx="5436">
                  <c:v>0.19118976420429887</c:v>
                </c:pt>
                <c:pt idx="5437">
                  <c:v>0.19113778230514314</c:v>
                </c:pt>
                <c:pt idx="5438">
                  <c:v>0.19108580117404358</c:v>
                </c:pt>
                <c:pt idx="5439">
                  <c:v>0.19103382081003642</c:v>
                </c:pt>
                <c:pt idx="5440">
                  <c:v>0.19098184121215894</c:v>
                </c:pt>
                <c:pt idx="5441">
                  <c:v>0.19092986237944978</c:v>
                </c:pt>
                <c:pt idx="5442">
                  <c:v>0.19087788431094868</c:v>
                </c:pt>
                <c:pt idx="5443">
                  <c:v>0.1908259070056966</c:v>
                </c:pt>
                <c:pt idx="5444">
                  <c:v>0.19077393046273577</c:v>
                </c:pt>
                <c:pt idx="5445">
                  <c:v>0.19072195468110953</c:v>
                </c:pt>
                <c:pt idx="5446">
                  <c:v>0.19066997965986252</c:v>
                </c:pt>
                <c:pt idx="5447">
                  <c:v>0.19061800539804047</c:v>
                </c:pt>
                <c:pt idx="5448">
                  <c:v>0.1905660318946904</c:v>
                </c:pt>
                <c:pt idx="5449">
                  <c:v>0.19051405914886044</c:v>
                </c:pt>
                <c:pt idx="5450">
                  <c:v>0.19046208715960003</c:v>
                </c:pt>
                <c:pt idx="5451">
                  <c:v>0.19041011592595969</c:v>
                </c:pt>
                <c:pt idx="5452">
                  <c:v>0.19035814544699123</c:v>
                </c:pt>
                <c:pt idx="5453">
                  <c:v>0.19030617572174749</c:v>
                </c:pt>
                <c:pt idx="5454">
                  <c:v>0.19025420674928273</c:v>
                </c:pt>
                <c:pt idx="5455">
                  <c:v>0.1902022385286522</c:v>
                </c:pt>
                <c:pt idx="5456">
                  <c:v>0.19015027105891244</c:v>
                </c:pt>
                <c:pt idx="5457">
                  <c:v>0.19009830433912109</c:v>
                </c:pt>
                <c:pt idx="5458">
                  <c:v>0.19004633836833706</c:v>
                </c:pt>
                <c:pt idx="5459">
                  <c:v>0.18999437314562045</c:v>
                </c:pt>
                <c:pt idx="5460">
                  <c:v>0.18994240867003245</c:v>
                </c:pt>
                <c:pt idx="5461">
                  <c:v>0.18989044494063548</c:v>
                </c:pt>
                <c:pt idx="5462">
                  <c:v>0.18983848195649311</c:v>
                </c:pt>
                <c:pt idx="5463">
                  <c:v>0.18978651971667013</c:v>
                </c:pt>
                <c:pt idx="5464">
                  <c:v>0.18973455822023247</c:v>
                </c:pt>
                <c:pt idx="5465">
                  <c:v>0.18968259746624724</c:v>
                </c:pt>
                <c:pt idx="5466">
                  <c:v>0.18963063745378272</c:v>
                </c:pt>
                <c:pt idx="5467">
                  <c:v>0.18957867818190841</c:v>
                </c:pt>
                <c:pt idx="5468">
                  <c:v>0.18952671964969484</c:v>
                </c:pt>
                <c:pt idx="5469">
                  <c:v>0.18947476185621387</c:v>
                </c:pt>
                <c:pt idx="5470">
                  <c:v>0.18942280480053839</c:v>
                </c:pt>
                <c:pt idx="5471">
                  <c:v>0.18937084848174257</c:v>
                </c:pt>
                <c:pt idx="5472">
                  <c:v>0.18931889289890164</c:v>
                </c:pt>
                <c:pt idx="5473">
                  <c:v>0.1892669380510921</c:v>
                </c:pt>
                <c:pt idx="5474">
                  <c:v>0.18921498393739145</c:v>
                </c:pt>
                <c:pt idx="5475">
                  <c:v>0.18916303055687847</c:v>
                </c:pt>
                <c:pt idx="5476">
                  <c:v>0.18911107790863316</c:v>
                </c:pt>
                <c:pt idx="5477">
                  <c:v>0.18905912599173647</c:v>
                </c:pt>
                <c:pt idx="5478">
                  <c:v>0.18900717480527068</c:v>
                </c:pt>
                <c:pt idx="5479">
                  <c:v>0.1889552243483191</c:v>
                </c:pt>
                <c:pt idx="5480">
                  <c:v>0.18890327461996634</c:v>
                </c:pt>
                <c:pt idx="5481">
                  <c:v>0.18885132561929796</c:v>
                </c:pt>
                <c:pt idx="5482">
                  <c:v>0.18879937734540087</c:v>
                </c:pt>
                <c:pt idx="5483">
                  <c:v>0.18874742979736295</c:v>
                </c:pt>
                <c:pt idx="5484">
                  <c:v>0.18869548297427338</c:v>
                </c:pt>
                <c:pt idx="5485">
                  <c:v>0.18864353687522234</c:v>
                </c:pt>
                <c:pt idx="5486">
                  <c:v>0.18859159149930127</c:v>
                </c:pt>
                <c:pt idx="5487">
                  <c:v>0.18853964684560265</c:v>
                </c:pt>
                <c:pt idx="5488">
                  <c:v>0.1884877029132202</c:v>
                </c:pt>
                <c:pt idx="5489">
                  <c:v>0.18843575970124871</c:v>
                </c:pt>
                <c:pt idx="5490">
                  <c:v>0.18838381720878408</c:v>
                </c:pt>
                <c:pt idx="5491">
                  <c:v>0.1883318754349235</c:v>
                </c:pt>
                <c:pt idx="5492">
                  <c:v>0.18827993437876503</c:v>
                </c:pt>
                <c:pt idx="5493">
                  <c:v>0.18822799403940813</c:v>
                </c:pt>
                <c:pt idx="5494">
                  <c:v>0.1881760544159532</c:v>
                </c:pt>
                <c:pt idx="5495">
                  <c:v>0.18812411550750188</c:v>
                </c:pt>
                <c:pt idx="5496">
                  <c:v>0.18807217731315687</c:v>
                </c:pt>
                <c:pt idx="5497">
                  <c:v>0.18802023983202207</c:v>
                </c:pt>
                <c:pt idx="5498">
                  <c:v>0.18796830306320239</c:v>
                </c:pt>
                <c:pt idx="5499">
                  <c:v>0.18791636700580402</c:v>
                </c:pt>
                <c:pt idx="5500">
                  <c:v>0.18786443165893407</c:v>
                </c:pt>
                <c:pt idx="5501">
                  <c:v>0.187812497021701</c:v>
                </c:pt>
                <c:pt idx="5502">
                  <c:v>0.18776056309321418</c:v>
                </c:pt>
                <c:pt idx="5503">
                  <c:v>0.18770862987258427</c:v>
                </c:pt>
                <c:pt idx="5504">
                  <c:v>0.18765669735892287</c:v>
                </c:pt>
                <c:pt idx="5505">
                  <c:v>0.18760476555134289</c:v>
                </c:pt>
                <c:pt idx="5506">
                  <c:v>0.18755283444895821</c:v>
                </c:pt>
                <c:pt idx="5507">
                  <c:v>0.18750090405088385</c:v>
                </c:pt>
                <c:pt idx="5508">
                  <c:v>0.187448974356236</c:v>
                </c:pt>
                <c:pt idx="5509">
                  <c:v>0.18739704536413185</c:v>
                </c:pt>
                <c:pt idx="5510">
                  <c:v>0.18734511707368984</c:v>
                </c:pt>
                <c:pt idx="5511">
                  <c:v>0.1872931894840294</c:v>
                </c:pt>
                <c:pt idx="5512">
                  <c:v>0.18724126259427112</c:v>
                </c:pt>
                <c:pt idx="5513">
                  <c:v>0.18718933640353663</c:v>
                </c:pt>
                <c:pt idx="5514">
                  <c:v>0.18713741091094882</c:v>
                </c:pt>
                <c:pt idx="5515">
                  <c:v>0.18708548611563144</c:v>
                </c:pt>
                <c:pt idx="5516">
                  <c:v>0.18703356201670956</c:v>
                </c:pt>
                <c:pt idx="5517">
                  <c:v>0.18698163861330924</c:v>
                </c:pt>
                <c:pt idx="5518">
                  <c:v>0.18692971590455768</c:v>
                </c:pt>
                <c:pt idx="5519">
                  <c:v>0.18687779388958306</c:v>
                </c:pt>
                <c:pt idx="5520">
                  <c:v>0.18682587256751482</c:v>
                </c:pt>
                <c:pt idx="5521">
                  <c:v>0.18677395193748345</c:v>
                </c:pt>
                <c:pt idx="5522">
                  <c:v>0.18672203199862042</c:v>
                </c:pt>
                <c:pt idx="5523">
                  <c:v>0.18667011275005843</c:v>
                </c:pt>
                <c:pt idx="5524">
                  <c:v>0.18661819419093115</c:v>
                </c:pt>
                <c:pt idx="5525">
                  <c:v>0.18656627632037345</c:v>
                </c:pt>
                <c:pt idx="5526">
                  <c:v>0.18651435913752118</c:v>
                </c:pt>
                <c:pt idx="5527">
                  <c:v>0.18646244264151141</c:v>
                </c:pt>
                <c:pt idx="5528">
                  <c:v>0.1864105268314821</c:v>
                </c:pt>
                <c:pt idx="5529">
                  <c:v>0.18635861170657247</c:v>
                </c:pt>
                <c:pt idx="5530">
                  <c:v>0.18630669726592272</c:v>
                </c:pt>
                <c:pt idx="5531">
                  <c:v>0.18625478350867419</c:v>
                </c:pt>
                <c:pt idx="5532">
                  <c:v>0.18620287043396921</c:v>
                </c:pt>
                <c:pt idx="5533">
                  <c:v>0.18615095804095133</c:v>
                </c:pt>
                <c:pt idx="5534">
                  <c:v>0.18609904632876501</c:v>
                </c:pt>
                <c:pt idx="5535">
                  <c:v>0.18604713529655587</c:v>
                </c:pt>
                <c:pt idx="5536">
                  <c:v>0.18599522494347062</c:v>
                </c:pt>
                <c:pt idx="5537">
                  <c:v>0.18594331526865698</c:v>
                </c:pt>
                <c:pt idx="5538">
                  <c:v>0.18589140627126385</c:v>
                </c:pt>
                <c:pt idx="5539">
                  <c:v>0.18583949795044102</c:v>
                </c:pt>
                <c:pt idx="5540">
                  <c:v>0.18578759030533953</c:v>
                </c:pt>
                <c:pt idx="5541">
                  <c:v>0.18573568333511137</c:v>
                </c:pt>
                <c:pt idx="5542">
                  <c:v>0.18568377703890962</c:v>
                </c:pt>
                <c:pt idx="5543">
                  <c:v>0.18563187141588844</c:v>
                </c:pt>
                <c:pt idx="5544">
                  <c:v>0.18557996646520306</c:v>
                </c:pt>
                <c:pt idx="5545">
                  <c:v>0.1855280621860097</c:v>
                </c:pt>
                <c:pt idx="5546">
                  <c:v>0.18547615857746577</c:v>
                </c:pt>
                <c:pt idx="5547">
                  <c:v>0.18542425563872958</c:v>
                </c:pt>
                <c:pt idx="5548">
                  <c:v>0.18537235336896066</c:v>
                </c:pt>
                <c:pt idx="5549">
                  <c:v>0.1853204517673194</c:v>
                </c:pt>
                <c:pt idx="5550">
                  <c:v>0.18526855083296742</c:v>
                </c:pt>
                <c:pt idx="5551">
                  <c:v>0.18521665056506736</c:v>
                </c:pt>
                <c:pt idx="5552">
                  <c:v>0.18516475096278281</c:v>
                </c:pt>
                <c:pt idx="5553">
                  <c:v>0.18511285202527852</c:v>
                </c:pt>
                <c:pt idx="5554">
                  <c:v>0.18506095375172021</c:v>
                </c:pt>
                <c:pt idx="5555">
                  <c:v>0.18500905614127472</c:v>
                </c:pt>
                <c:pt idx="5556">
                  <c:v>0.18495715919310984</c:v>
                </c:pt>
                <c:pt idx="5557">
                  <c:v>0.18490526290639453</c:v>
                </c:pt>
                <c:pt idx="5558">
                  <c:v>0.18485336728029866</c:v>
                </c:pt>
                <c:pt idx="5559">
                  <c:v>0.18480147231399327</c:v>
                </c:pt>
                <c:pt idx="5560">
                  <c:v>0.18474957800665029</c:v>
                </c:pt>
                <c:pt idx="5561">
                  <c:v>0.18469768435744288</c:v>
                </c:pt>
                <c:pt idx="5562">
                  <c:v>0.18464579136554504</c:v>
                </c:pt>
                <c:pt idx="5563">
                  <c:v>0.18459389903013196</c:v>
                </c:pt>
                <c:pt idx="5564">
                  <c:v>0.18454200735037976</c:v>
                </c:pt>
                <c:pt idx="5565">
                  <c:v>0.18449011632546566</c:v>
                </c:pt>
                <c:pt idx="5566">
                  <c:v>0.18443822595456794</c:v>
                </c:pt>
                <c:pt idx="5567">
                  <c:v>0.18438633623686576</c:v>
                </c:pt>
                <c:pt idx="5568">
                  <c:v>0.18433444717153949</c:v>
                </c:pt>
                <c:pt idx="5569">
                  <c:v>0.18428255875777041</c:v>
                </c:pt>
                <c:pt idx="5570">
                  <c:v>0.18423067099474091</c:v>
                </c:pt>
                <c:pt idx="5571">
                  <c:v>0.18417878388163431</c:v>
                </c:pt>
                <c:pt idx="5572">
                  <c:v>0.18412689741763505</c:v>
                </c:pt>
                <c:pt idx="5573">
                  <c:v>0.18407501160192852</c:v>
                </c:pt>
                <c:pt idx="5574">
                  <c:v>0.18402312643370122</c:v>
                </c:pt>
                <c:pt idx="5575">
                  <c:v>0.18397124191214057</c:v>
                </c:pt>
                <c:pt idx="5576">
                  <c:v>0.18391935803643505</c:v>
                </c:pt>
                <c:pt idx="5577">
                  <c:v>0.18386747480577417</c:v>
                </c:pt>
                <c:pt idx="5578">
                  <c:v>0.18381559221934848</c:v>
                </c:pt>
                <c:pt idx="5579">
                  <c:v>0.1837637102763495</c:v>
                </c:pt>
                <c:pt idx="5580">
                  <c:v>0.18371182897596977</c:v>
                </c:pt>
                <c:pt idx="5581">
                  <c:v>0.18365994831740284</c:v>
                </c:pt>
                <c:pt idx="5582">
                  <c:v>0.18360806829984333</c:v>
                </c:pt>
                <c:pt idx="5583">
                  <c:v>0.18355618892248682</c:v>
                </c:pt>
                <c:pt idx="5584">
                  <c:v>0.18350431018452987</c:v>
                </c:pt>
                <c:pt idx="5585">
                  <c:v>0.18345243208517012</c:v>
                </c:pt>
                <c:pt idx="5586">
                  <c:v>0.18340055462360613</c:v>
                </c:pt>
                <c:pt idx="5587">
                  <c:v>0.1833486777990376</c:v>
                </c:pt>
                <c:pt idx="5588">
                  <c:v>0.18329680161066508</c:v>
                </c:pt>
                <c:pt idx="5589">
                  <c:v>0.18324492605769027</c:v>
                </c:pt>
                <c:pt idx="5590">
                  <c:v>0.18319305113931569</c:v>
                </c:pt>
                <c:pt idx="5591">
                  <c:v>0.18314117685474507</c:v>
                </c:pt>
                <c:pt idx="5592">
                  <c:v>0.18308930320318298</c:v>
                </c:pt>
                <c:pt idx="5593">
                  <c:v>0.18303743018383506</c:v>
                </c:pt>
                <c:pt idx="5594">
                  <c:v>0.18298555779590792</c:v>
                </c:pt>
                <c:pt idx="5595">
                  <c:v>0.18293368603860921</c:v>
                </c:pt>
                <c:pt idx="5596">
                  <c:v>0.18288181491114749</c:v>
                </c:pt>
                <c:pt idx="5597">
                  <c:v>0.18282994441273243</c:v>
                </c:pt>
                <c:pt idx="5598">
                  <c:v>0.18277807454257458</c:v>
                </c:pt>
                <c:pt idx="5599">
                  <c:v>0.18272620529988554</c:v>
                </c:pt>
                <c:pt idx="5600">
                  <c:v>0.18267433668387789</c:v>
                </c:pt>
                <c:pt idx="5601">
                  <c:v>0.18262246869376519</c:v>
                </c:pt>
                <c:pt idx="5602">
                  <c:v>0.18257060132876202</c:v>
                </c:pt>
                <c:pt idx="5603">
                  <c:v>0.18251873458808385</c:v>
                </c:pt>
                <c:pt idx="5604">
                  <c:v>0.18246686847094729</c:v>
                </c:pt>
                <c:pt idx="5605">
                  <c:v>0.18241500297656976</c:v>
                </c:pt>
                <c:pt idx="5606">
                  <c:v>0.18236313810416982</c:v>
                </c:pt>
                <c:pt idx="5607">
                  <c:v>0.18231127385296689</c:v>
                </c:pt>
                <c:pt idx="5608">
                  <c:v>0.18225941022218145</c:v>
                </c:pt>
                <c:pt idx="5609">
                  <c:v>0.18220754721103488</c:v>
                </c:pt>
                <c:pt idx="5610">
                  <c:v>0.18215568481874964</c:v>
                </c:pt>
                <c:pt idx="5611">
                  <c:v>0.18210382304454906</c:v>
                </c:pt>
                <c:pt idx="5612">
                  <c:v>0.18205196188765752</c:v>
                </c:pt>
                <c:pt idx="5613">
                  <c:v>0.18200010134730035</c:v>
                </c:pt>
                <c:pt idx="5614">
                  <c:v>0.18194824142270383</c:v>
                </c:pt>
                <c:pt idx="5615">
                  <c:v>0.18189638211309525</c:v>
                </c:pt>
                <c:pt idx="5616">
                  <c:v>0.18184452341770282</c:v>
                </c:pt>
                <c:pt idx="5617">
                  <c:v>0.1817926653357558</c:v>
                </c:pt>
                <c:pt idx="5618">
                  <c:v>0.18174080786648431</c:v>
                </c:pt>
                <c:pt idx="5619">
                  <c:v>0.18168895100911955</c:v>
                </c:pt>
                <c:pt idx="5620">
                  <c:v>0.18163709476289355</c:v>
                </c:pt>
                <c:pt idx="5621">
                  <c:v>0.18158523912703944</c:v>
                </c:pt>
                <c:pt idx="5622">
                  <c:v>0.18153338410079123</c:v>
                </c:pt>
                <c:pt idx="5623">
                  <c:v>0.18148152968338391</c:v>
                </c:pt>
                <c:pt idx="5624">
                  <c:v>0.18142967587405345</c:v>
                </c:pt>
                <c:pt idx="5625">
                  <c:v>0.18137782267203675</c:v>
                </c:pt>
                <c:pt idx="5626">
                  <c:v>0.18132597007657167</c:v>
                </c:pt>
                <c:pt idx="5627">
                  <c:v>0.18127411808689706</c:v>
                </c:pt>
                <c:pt idx="5628">
                  <c:v>0.18122226670225269</c:v>
                </c:pt>
                <c:pt idx="5629">
                  <c:v>0.18117041592187927</c:v>
                </c:pt>
                <c:pt idx="5630">
                  <c:v>0.18111856574501856</c:v>
                </c:pt>
                <c:pt idx="5631">
                  <c:v>0.18106671617091313</c:v>
                </c:pt>
                <c:pt idx="5632">
                  <c:v>0.18101486719880661</c:v>
                </c:pt>
                <c:pt idx="5633">
                  <c:v>0.18096301882794349</c:v>
                </c:pt>
                <c:pt idx="5634">
                  <c:v>0.18091117105756935</c:v>
                </c:pt>
                <c:pt idx="5635">
                  <c:v>0.18085932388693052</c:v>
                </c:pt>
                <c:pt idx="5636">
                  <c:v>0.18080747731527447</c:v>
                </c:pt>
                <c:pt idx="5637">
                  <c:v>0.18075563134184944</c:v>
                </c:pt>
                <c:pt idx="5638">
                  <c:v>0.18070378596590475</c:v>
                </c:pt>
                <c:pt idx="5639">
                  <c:v>0.18065194118669059</c:v>
                </c:pt>
                <c:pt idx="5640">
                  <c:v>0.18060009700345817</c:v>
                </c:pt>
                <c:pt idx="5641">
                  <c:v>0.18054825341545949</c:v>
                </c:pt>
                <c:pt idx="5642">
                  <c:v>0.18049641042194761</c:v>
                </c:pt>
                <c:pt idx="5643">
                  <c:v>0.18044456802217654</c:v>
                </c:pt>
                <c:pt idx="5644">
                  <c:v>0.18039272621540114</c:v>
                </c:pt>
                <c:pt idx="5645">
                  <c:v>0.18034088500087728</c:v>
                </c:pt>
                <c:pt idx="5646">
                  <c:v>0.18028904437786167</c:v>
                </c:pt>
                <c:pt idx="5647">
                  <c:v>0.18023720434561211</c:v>
                </c:pt>
                <c:pt idx="5648">
                  <c:v>0.18018536490338713</c:v>
                </c:pt>
                <c:pt idx="5649">
                  <c:v>0.18013352605044639</c:v>
                </c:pt>
                <c:pt idx="5650">
                  <c:v>0.1800816877860503</c:v>
                </c:pt>
                <c:pt idx="5651">
                  <c:v>0.18002985010946038</c:v>
                </c:pt>
                <c:pt idx="5652">
                  <c:v>0.17997801301993888</c:v>
                </c:pt>
                <c:pt idx="5653">
                  <c:v>0.17992617651674916</c:v>
                </c:pt>
                <c:pt idx="5654">
                  <c:v>0.17987434059915536</c:v>
                </c:pt>
                <c:pt idx="5655">
                  <c:v>0.17982250526642268</c:v>
                </c:pt>
                <c:pt idx="5656">
                  <c:v>0.17977067051781706</c:v>
                </c:pt>
                <c:pt idx="5657">
                  <c:v>0.17971883635260552</c:v>
                </c:pt>
                <c:pt idx="5658">
                  <c:v>0.17966700277005601</c:v>
                </c:pt>
                <c:pt idx="5659">
                  <c:v>0.17961516976943723</c:v>
                </c:pt>
                <c:pt idx="5660">
                  <c:v>0.17956333735001898</c:v>
                </c:pt>
                <c:pt idx="5661">
                  <c:v>0.17951150551107181</c:v>
                </c:pt>
                <c:pt idx="5662">
                  <c:v>0.1794596742518674</c:v>
                </c:pt>
                <c:pt idx="5663">
                  <c:v>0.17940784357167813</c:v>
                </c:pt>
                <c:pt idx="5664">
                  <c:v>0.17935601346977742</c:v>
                </c:pt>
                <c:pt idx="5665">
                  <c:v>0.17930418394543954</c:v>
                </c:pt>
                <c:pt idx="5666">
                  <c:v>0.17925235499793971</c:v>
                </c:pt>
                <c:pt idx="5667">
                  <c:v>0.17920052662655403</c:v>
                </c:pt>
                <c:pt idx="5668">
                  <c:v>0.17914869883055956</c:v>
                </c:pt>
                <c:pt idx="5669">
                  <c:v>0.17909687160923418</c:v>
                </c:pt>
                <c:pt idx="5670">
                  <c:v>0.17904504496185678</c:v>
                </c:pt>
                <c:pt idx="5671">
                  <c:v>0.17899321888770706</c:v>
                </c:pt>
                <c:pt idx="5672">
                  <c:v>0.17894139338606566</c:v>
                </c:pt>
                <c:pt idx="5673">
                  <c:v>0.17888956845621418</c:v>
                </c:pt>
                <c:pt idx="5674">
                  <c:v>0.178837744097435</c:v>
                </c:pt>
                <c:pt idx="5675">
                  <c:v>0.17878592030901153</c:v>
                </c:pt>
                <c:pt idx="5676">
                  <c:v>0.17873409709022797</c:v>
                </c:pt>
                <c:pt idx="5677">
                  <c:v>0.17868227444036952</c:v>
                </c:pt>
                <c:pt idx="5678">
                  <c:v>0.17863045235872219</c:v>
                </c:pt>
                <c:pt idx="5679">
                  <c:v>0.17857863084457293</c:v>
                </c:pt>
                <c:pt idx="5680">
                  <c:v>0.17852680989720957</c:v>
                </c:pt>
                <c:pt idx="5681">
                  <c:v>0.17847498951592083</c:v>
                </c:pt>
                <c:pt idx="5682">
                  <c:v>0.17842316969999636</c:v>
                </c:pt>
                <c:pt idx="5683">
                  <c:v>0.17837135044872665</c:v>
                </c:pt>
                <c:pt idx="5684">
                  <c:v>0.17831953176140311</c:v>
                </c:pt>
                <c:pt idx="5685">
                  <c:v>0.17826771363731805</c:v>
                </c:pt>
                <c:pt idx="5686">
                  <c:v>0.17821589607576463</c:v>
                </c:pt>
                <c:pt idx="5687">
                  <c:v>0.1781640790760369</c:v>
                </c:pt>
                <c:pt idx="5688">
                  <c:v>0.17811226263742988</c:v>
                </c:pt>
                <c:pt idx="5689">
                  <c:v>0.17806044675923932</c:v>
                </c:pt>
                <c:pt idx="5690">
                  <c:v>0.17800863144076204</c:v>
                </c:pt>
                <c:pt idx="5691">
                  <c:v>0.17795681668129554</c:v>
                </c:pt>
                <c:pt idx="5692">
                  <c:v>0.17790500248013841</c:v>
                </c:pt>
                <c:pt idx="5693">
                  <c:v>0.1778531888365899</c:v>
                </c:pt>
                <c:pt idx="5694">
                  <c:v>0.17780137574995039</c:v>
                </c:pt>
                <c:pt idx="5695">
                  <c:v>0.1777495632195209</c:v>
                </c:pt>
                <c:pt idx="5696">
                  <c:v>0.17769775124460346</c:v>
                </c:pt>
                <c:pt idx="5697">
                  <c:v>0.17764593982450097</c:v>
                </c:pt>
                <c:pt idx="5698">
                  <c:v>0.17759412895851717</c:v>
                </c:pt>
                <c:pt idx="5699">
                  <c:v>0.17754231864595668</c:v>
                </c:pt>
                <c:pt idx="5700">
                  <c:v>0.177490508886125</c:v>
                </c:pt>
                <c:pt idx="5701">
                  <c:v>0.17743869967832848</c:v>
                </c:pt>
                <c:pt idx="5702">
                  <c:v>0.17738689102187441</c:v>
                </c:pt>
                <c:pt idx="5703">
                  <c:v>0.17733508291607084</c:v>
                </c:pt>
                <c:pt idx="5704">
                  <c:v>0.17728327536022676</c:v>
                </c:pt>
                <c:pt idx="5705">
                  <c:v>0.17723146835365208</c:v>
                </c:pt>
                <c:pt idx="5706">
                  <c:v>0.17717966189565743</c:v>
                </c:pt>
                <c:pt idx="5707">
                  <c:v>0.17712785598555444</c:v>
                </c:pt>
                <c:pt idx="5708">
                  <c:v>0.1770760506226555</c:v>
                </c:pt>
                <c:pt idx="5709">
                  <c:v>0.17702424580627399</c:v>
                </c:pt>
                <c:pt idx="5710">
                  <c:v>0.17697244153572397</c:v>
                </c:pt>
                <c:pt idx="5711">
                  <c:v>0.17692063781032055</c:v>
                </c:pt>
                <c:pt idx="5712">
                  <c:v>0.17686883462937958</c:v>
                </c:pt>
                <c:pt idx="5713">
                  <c:v>0.17681703199221782</c:v>
                </c:pt>
                <c:pt idx="5714">
                  <c:v>0.17676522989815285</c:v>
                </c:pt>
                <c:pt idx="5715">
                  <c:v>0.17671342834650317</c:v>
                </c:pt>
                <c:pt idx="5716">
                  <c:v>0.17666162733658802</c:v>
                </c:pt>
                <c:pt idx="5717">
                  <c:v>0.17660982686772761</c:v>
                </c:pt>
                <c:pt idx="5718">
                  <c:v>0.17655802693924297</c:v>
                </c:pt>
                <c:pt idx="5719">
                  <c:v>0.17650622755045595</c:v>
                </c:pt>
                <c:pt idx="5720">
                  <c:v>0.17645442870068928</c:v>
                </c:pt>
                <c:pt idx="5721">
                  <c:v>0.17640263038926651</c:v>
                </c:pt>
                <c:pt idx="5722">
                  <c:v>0.17635083261551215</c:v>
                </c:pt>
                <c:pt idx="5723">
                  <c:v>0.17629903537875136</c:v>
                </c:pt>
                <c:pt idx="5724">
                  <c:v>0.1762472386783103</c:v>
                </c:pt>
                <c:pt idx="5725">
                  <c:v>0.17619544251351593</c:v>
                </c:pt>
                <c:pt idx="5726">
                  <c:v>0.1761436468836961</c:v>
                </c:pt>
                <c:pt idx="5727">
                  <c:v>0.17609185178817938</c:v>
                </c:pt>
                <c:pt idx="5728">
                  <c:v>0.17604005722629532</c:v>
                </c:pt>
                <c:pt idx="5729">
                  <c:v>0.17598826319737421</c:v>
                </c:pt>
                <c:pt idx="5730">
                  <c:v>0.17593646970074728</c:v>
                </c:pt>
                <c:pt idx="5731">
                  <c:v>0.17588467673574648</c:v>
                </c:pt>
                <c:pt idx="5732">
                  <c:v>0.17583288430170474</c:v>
                </c:pt>
                <c:pt idx="5733">
                  <c:v>0.17578109239795564</c:v>
                </c:pt>
                <c:pt idx="5734">
                  <c:v>0.1757293010238338</c:v>
                </c:pt>
                <c:pt idx="5735">
                  <c:v>0.17567751017867458</c:v>
                </c:pt>
                <c:pt idx="5736">
                  <c:v>0.17562571986181411</c:v>
                </c:pt>
                <c:pt idx="5737">
                  <c:v>0.17557393007258948</c:v>
                </c:pt>
                <c:pt idx="5738">
                  <c:v>0.17552214081033848</c:v>
                </c:pt>
                <c:pt idx="5739">
                  <c:v>0.17547035207439987</c:v>
                </c:pt>
                <c:pt idx="5740">
                  <c:v>0.17541856386411314</c:v>
                </c:pt>
                <c:pt idx="5741">
                  <c:v>0.17536677617881866</c:v>
                </c:pt>
                <c:pt idx="5742">
                  <c:v>0.17531498901785755</c:v>
                </c:pt>
                <c:pt idx="5743">
                  <c:v>0.17526320238057189</c:v>
                </c:pt>
                <c:pt idx="5744">
                  <c:v>0.1752114162663044</c:v>
                </c:pt>
                <c:pt idx="5745">
                  <c:v>0.17515963067439888</c:v>
                </c:pt>
                <c:pt idx="5746">
                  <c:v>0.1751078456041997</c:v>
                </c:pt>
                <c:pt idx="5747">
                  <c:v>0.1750560610550522</c:v>
                </c:pt>
                <c:pt idx="5748">
                  <c:v>0.1750042770263025</c:v>
                </c:pt>
                <c:pt idx="5749">
                  <c:v>0.1749524935172975</c:v>
                </c:pt>
                <c:pt idx="5750">
                  <c:v>0.17490071052738504</c:v>
                </c:pt>
                <c:pt idx="5751">
                  <c:v>0.17484892805591365</c:v>
                </c:pt>
                <c:pt idx="5752">
                  <c:v>0.17479714610223276</c:v>
                </c:pt>
                <c:pt idx="5753">
                  <c:v>0.17474536466569252</c:v>
                </c:pt>
                <c:pt idx="5754">
                  <c:v>0.17469358374564403</c:v>
                </c:pt>
                <c:pt idx="5755">
                  <c:v>0.17464180334143911</c:v>
                </c:pt>
                <c:pt idx="5756">
                  <c:v>0.17459002345243041</c:v>
                </c:pt>
                <c:pt idx="5757">
                  <c:v>0.17453824407797139</c:v>
                </c:pt>
                <c:pt idx="5758">
                  <c:v>0.17448646521741637</c:v>
                </c:pt>
                <c:pt idx="5759">
                  <c:v>0.1744346868701204</c:v>
                </c:pt>
                <c:pt idx="5760">
                  <c:v>0.17438290903543943</c:v>
                </c:pt>
                <c:pt idx="5761">
                  <c:v>0.1743311317127301</c:v>
                </c:pt>
                <c:pt idx="5762">
                  <c:v>0.17427935490134999</c:v>
                </c:pt>
                <c:pt idx="5763">
                  <c:v>0.17422757860065738</c:v>
                </c:pt>
                <c:pt idx="5764">
                  <c:v>0.17417580281001141</c:v>
                </c:pt>
                <c:pt idx="5765">
                  <c:v>0.17412402752877207</c:v>
                </c:pt>
                <c:pt idx="5766">
                  <c:v>0.17407225275629998</c:v>
                </c:pt>
                <c:pt idx="5767">
                  <c:v>0.17402047849195679</c:v>
                </c:pt>
                <c:pt idx="5768">
                  <c:v>0.17396870473510476</c:v>
                </c:pt>
                <c:pt idx="5769">
                  <c:v>0.17391693148510709</c:v>
                </c:pt>
                <c:pt idx="5770">
                  <c:v>0.17386515874132766</c:v>
                </c:pt>
                <c:pt idx="5771">
                  <c:v>0.17381338650313127</c:v>
                </c:pt>
                <c:pt idx="5772">
                  <c:v>0.17376161476988339</c:v>
                </c:pt>
                <c:pt idx="5773">
                  <c:v>0.1737098435409504</c:v>
                </c:pt>
                <c:pt idx="5774">
                  <c:v>0.17365807281569939</c:v>
                </c:pt>
                <c:pt idx="5775">
                  <c:v>0.17360630259349832</c:v>
                </c:pt>
                <c:pt idx="5776">
                  <c:v>0.17355453287371583</c:v>
                </c:pt>
                <c:pt idx="5777">
                  <c:v>0.17350276365572154</c:v>
                </c:pt>
                <c:pt idx="5778">
                  <c:v>0.17345099493888563</c:v>
                </c:pt>
                <c:pt idx="5779">
                  <c:v>0.17339922672257924</c:v>
                </c:pt>
                <c:pt idx="5780">
                  <c:v>0.17334745900617424</c:v>
                </c:pt>
                <c:pt idx="5781">
                  <c:v>0.1732956917890433</c:v>
                </c:pt>
                <c:pt idx="5782">
                  <c:v>0.17324392507055988</c:v>
                </c:pt>
                <c:pt idx="5783">
                  <c:v>0.1731921588500982</c:v>
                </c:pt>
                <c:pt idx="5784">
                  <c:v>0.17314039312703328</c:v>
                </c:pt>
                <c:pt idx="5785">
                  <c:v>0.17308862790074092</c:v>
                </c:pt>
                <c:pt idx="5786">
                  <c:v>0.17303686317059774</c:v>
                </c:pt>
                <c:pt idx="5787">
                  <c:v>0.1729850989359811</c:v>
                </c:pt>
                <c:pt idx="5788">
                  <c:v>0.17293333519626916</c:v>
                </c:pt>
                <c:pt idx="5789">
                  <c:v>0.17288157195084081</c:v>
                </c:pt>
                <c:pt idx="5790">
                  <c:v>0.17282980919907584</c:v>
                </c:pt>
                <c:pt idx="5791">
                  <c:v>0.17277804694035465</c:v>
                </c:pt>
                <c:pt idx="5792">
                  <c:v>0.17272628517405861</c:v>
                </c:pt>
                <c:pt idx="5793">
                  <c:v>0.17267452389956967</c:v>
                </c:pt>
                <c:pt idx="5794">
                  <c:v>0.1726227631162707</c:v>
                </c:pt>
                <c:pt idx="5795">
                  <c:v>0.17257100282354534</c:v>
                </c:pt>
                <c:pt idx="5796">
                  <c:v>0.17251924302077787</c:v>
                </c:pt>
                <c:pt idx="5797">
                  <c:v>0.17246748370735351</c:v>
                </c:pt>
                <c:pt idx="5798">
                  <c:v>0.17241572488265811</c:v>
                </c:pt>
                <c:pt idx="5799">
                  <c:v>0.17236396654607841</c:v>
                </c:pt>
                <c:pt idx="5800">
                  <c:v>0.17231220869700181</c:v>
                </c:pt>
                <c:pt idx="5801">
                  <c:v>0.1722604513348166</c:v>
                </c:pt>
                <c:pt idx="5802">
                  <c:v>0.17220869445891168</c:v>
                </c:pt>
                <c:pt idx="5803">
                  <c:v>0.17215693806867691</c:v>
                </c:pt>
                <c:pt idx="5804">
                  <c:v>0.17210518216350271</c:v>
                </c:pt>
                <c:pt idx="5805">
                  <c:v>0.17205342674278046</c:v>
                </c:pt>
                <c:pt idx="5806">
                  <c:v>0.17200167180590215</c:v>
                </c:pt>
                <c:pt idx="5807">
                  <c:v>0.17194991735226064</c:v>
                </c:pt>
                <c:pt idx="5808">
                  <c:v>0.17189816338124944</c:v>
                </c:pt>
                <c:pt idx="5809">
                  <c:v>0.17184640989226296</c:v>
                </c:pt>
                <c:pt idx="5810">
                  <c:v>0.17179465688469625</c:v>
                </c:pt>
                <c:pt idx="5811">
                  <c:v>0.17174290435794518</c:v>
                </c:pt>
                <c:pt idx="5812">
                  <c:v>0.17169115231140639</c:v>
                </c:pt>
                <c:pt idx="5813">
                  <c:v>0.17163940074447723</c:v>
                </c:pt>
                <c:pt idx="5814">
                  <c:v>0.17158764965655582</c:v>
                </c:pt>
                <c:pt idx="5815">
                  <c:v>0.17153589904704106</c:v>
                </c:pt>
                <c:pt idx="5816">
                  <c:v>0.17148414891533259</c:v>
                </c:pt>
                <c:pt idx="5817">
                  <c:v>0.17143239926083076</c:v>
                </c:pt>
                <c:pt idx="5818">
                  <c:v>0.17138065008293679</c:v>
                </c:pt>
                <c:pt idx="5819">
                  <c:v>0.1713289013810525</c:v>
                </c:pt>
                <c:pt idx="5820">
                  <c:v>0.17127715315458059</c:v>
                </c:pt>
                <c:pt idx="5821">
                  <c:v>0.17122540540292441</c:v>
                </c:pt>
                <c:pt idx="5822">
                  <c:v>0.17117365812548815</c:v>
                </c:pt>
                <c:pt idx="5823">
                  <c:v>0.17112191132167667</c:v>
                </c:pt>
                <c:pt idx="5824">
                  <c:v>0.17107016499089564</c:v>
                </c:pt>
                <c:pt idx="5825">
                  <c:v>0.17101841913255139</c:v>
                </c:pt>
                <c:pt idx="5826">
                  <c:v>0.1709666737460511</c:v>
                </c:pt>
                <c:pt idx="5827">
                  <c:v>0.17091492883080264</c:v>
                </c:pt>
                <c:pt idx="5828">
                  <c:v>0.17086318438621459</c:v>
                </c:pt>
                <c:pt idx="5829">
                  <c:v>0.17081144041169635</c:v>
                </c:pt>
                <c:pt idx="5830">
                  <c:v>0.17075969690665799</c:v>
                </c:pt>
                <c:pt idx="5831">
                  <c:v>0.17070795387051038</c:v>
                </c:pt>
                <c:pt idx="5832">
                  <c:v>0.17065621130266509</c:v>
                </c:pt>
                <c:pt idx="5833">
                  <c:v>0.17060446920253444</c:v>
                </c:pt>
                <c:pt idx="5834">
                  <c:v>0.17055272756953144</c:v>
                </c:pt>
                <c:pt idx="5835">
                  <c:v>0.17050098640306996</c:v>
                </c:pt>
                <c:pt idx="5836">
                  <c:v>0.17044924570256445</c:v>
                </c:pt>
                <c:pt idx="5837">
                  <c:v>0.17039750546743024</c:v>
                </c:pt>
                <c:pt idx="5838">
                  <c:v>0.17034576569708326</c:v>
                </c:pt>
                <c:pt idx="5839">
                  <c:v>0.17029402639094032</c:v>
                </c:pt>
                <c:pt idx="5840">
                  <c:v>0.17024228754841883</c:v>
                </c:pt>
                <c:pt idx="5841">
                  <c:v>0.17019054916893697</c:v>
                </c:pt>
                <c:pt idx="5842">
                  <c:v>0.17013881125191369</c:v>
                </c:pt>
                <c:pt idx="5843">
                  <c:v>0.17008707379676863</c:v>
                </c:pt>
                <c:pt idx="5844">
                  <c:v>0.17003533680292221</c:v>
                </c:pt>
                <c:pt idx="5845">
                  <c:v>0.16998360026979545</c:v>
                </c:pt>
                <c:pt idx="5846">
                  <c:v>0.16993186419681028</c:v>
                </c:pt>
                <c:pt idx="5847">
                  <c:v>0.16988012858338916</c:v>
                </c:pt>
                <c:pt idx="5848">
                  <c:v>0.16982839342895548</c:v>
                </c:pt>
                <c:pt idx="5849">
                  <c:v>0.16977665873293318</c:v>
                </c:pt>
                <c:pt idx="5850">
                  <c:v>0.16972492449474702</c:v>
                </c:pt>
                <c:pt idx="5851">
                  <c:v>0.16967319071382239</c:v>
                </c:pt>
                <c:pt idx="5852">
                  <c:v>0.16962145738958556</c:v>
                </c:pt>
                <c:pt idx="5853">
                  <c:v>0.16956972452146335</c:v>
                </c:pt>
                <c:pt idx="5854">
                  <c:v>0.16951799210888344</c:v>
                </c:pt>
                <c:pt idx="5855">
                  <c:v>0.16946626015127408</c:v>
                </c:pt>
                <c:pt idx="5856">
                  <c:v>0.16941452864806433</c:v>
                </c:pt>
                <c:pt idx="5857">
                  <c:v>0.16936279759868406</c:v>
                </c:pt>
                <c:pt idx="5858">
                  <c:v>0.16931106700256363</c:v>
                </c:pt>
                <c:pt idx="5859">
                  <c:v>0.16925933685913427</c:v>
                </c:pt>
                <c:pt idx="5860">
                  <c:v>0.1692076071678279</c:v>
                </c:pt>
                <c:pt idx="5861">
                  <c:v>0.16915587792807718</c:v>
                </c:pt>
                <c:pt idx="5862">
                  <c:v>0.16910414913931537</c:v>
                </c:pt>
                <c:pt idx="5863">
                  <c:v>0.16905242080097657</c:v>
                </c:pt>
                <c:pt idx="5864">
                  <c:v>0.16900069291249548</c:v>
                </c:pt>
                <c:pt idx="5865">
                  <c:v>0.16894896547330762</c:v>
                </c:pt>
                <c:pt idx="5866">
                  <c:v>0.16889723848284913</c:v>
                </c:pt>
                <c:pt idx="5867">
                  <c:v>0.16884551194055694</c:v>
                </c:pt>
                <c:pt idx="5868">
                  <c:v>0.16879378584586857</c:v>
                </c:pt>
                <c:pt idx="5869">
                  <c:v>0.16874206019822235</c:v>
                </c:pt>
                <c:pt idx="5870">
                  <c:v>0.16869033499705727</c:v>
                </c:pt>
                <c:pt idx="5871">
                  <c:v>0.16863861024181301</c:v>
                </c:pt>
                <c:pt idx="5872">
                  <c:v>0.16858688593193003</c:v>
                </c:pt>
                <c:pt idx="5873">
                  <c:v>0.16853516206684938</c:v>
                </c:pt>
                <c:pt idx="5874">
                  <c:v>0.16848343864601292</c:v>
                </c:pt>
                <c:pt idx="5875">
                  <c:v>0.16843171566886311</c:v>
                </c:pt>
                <c:pt idx="5876">
                  <c:v>0.16837999313484323</c:v>
                </c:pt>
                <c:pt idx="5877">
                  <c:v>0.16832827104339709</c:v>
                </c:pt>
                <c:pt idx="5878">
                  <c:v>0.16827654939396938</c:v>
                </c:pt>
                <c:pt idx="5879">
                  <c:v>0.16822482818600534</c:v>
                </c:pt>
                <c:pt idx="5880">
                  <c:v>0.168173107418951</c:v>
                </c:pt>
                <c:pt idx="5881">
                  <c:v>0.16812138709225305</c:v>
                </c:pt>
                <c:pt idx="5882">
                  <c:v>0.1680696672053589</c:v>
                </c:pt>
                <c:pt idx="5883">
                  <c:v>0.16801794775771658</c:v>
                </c:pt>
                <c:pt idx="5884">
                  <c:v>0.16796622874877495</c:v>
                </c:pt>
                <c:pt idx="5885">
                  <c:v>0.16791451017798337</c:v>
                </c:pt>
                <c:pt idx="5886">
                  <c:v>0.16786279204479204</c:v>
                </c:pt>
                <c:pt idx="5887">
                  <c:v>0.16781107434865183</c:v>
                </c:pt>
                <c:pt idx="5888">
                  <c:v>0.16775935708901427</c:v>
                </c:pt>
                <c:pt idx="5889">
                  <c:v>0.16770764026533158</c:v>
                </c:pt>
                <c:pt idx="5890">
                  <c:v>0.16765592387705663</c:v>
                </c:pt>
                <c:pt idx="5891">
                  <c:v>0.16760420792364308</c:v>
                </c:pt>
                <c:pt idx="5892">
                  <c:v>0.16755249240454517</c:v>
                </c:pt>
                <c:pt idx="5893">
                  <c:v>0.16750077731921792</c:v>
                </c:pt>
                <c:pt idx="5894">
                  <c:v>0.16744906266711693</c:v>
                </c:pt>
                <c:pt idx="5895">
                  <c:v>0.16739734844769857</c:v>
                </c:pt>
                <c:pt idx="5896">
                  <c:v>0.1673456346604198</c:v>
                </c:pt>
                <c:pt idx="5897">
                  <c:v>0.16729392130473841</c:v>
                </c:pt>
                <c:pt idx="5898">
                  <c:v>0.16724220838011269</c:v>
                </c:pt>
                <c:pt idx="5899">
                  <c:v>0.16719049588600179</c:v>
                </c:pt>
                <c:pt idx="5900">
                  <c:v>0.16713878382186537</c:v>
                </c:pt>
                <c:pt idx="5901">
                  <c:v>0.16708707218716387</c:v>
                </c:pt>
                <c:pt idx="5902">
                  <c:v>0.16703536098135841</c:v>
                </c:pt>
                <c:pt idx="5903">
                  <c:v>0.16698365020391073</c:v>
                </c:pt>
                <c:pt idx="5904">
                  <c:v>0.16693193985428331</c:v>
                </c:pt>
                <c:pt idx="5905">
                  <c:v>0.16688022993193921</c:v>
                </c:pt>
                <c:pt idx="5906">
                  <c:v>0.16682852043634228</c:v>
                </c:pt>
                <c:pt idx="5907">
                  <c:v>0.16677681136695696</c:v>
                </c:pt>
                <c:pt idx="5908">
                  <c:v>0.16672510272324842</c:v>
                </c:pt>
                <c:pt idx="5909">
                  <c:v>0.16667339450468241</c:v>
                </c:pt>
                <c:pt idx="5910">
                  <c:v>0.16662168671072547</c:v>
                </c:pt>
                <c:pt idx="5911">
                  <c:v>0.16656997934084469</c:v>
                </c:pt>
                <c:pt idx="5912">
                  <c:v>0.16651827239450798</c:v>
                </c:pt>
                <c:pt idx="5913">
                  <c:v>0.16646656587118372</c:v>
                </c:pt>
                <c:pt idx="5914">
                  <c:v>0.16641485977034115</c:v>
                </c:pt>
                <c:pt idx="5915">
                  <c:v>0.16636315409145</c:v>
                </c:pt>
                <c:pt idx="5916">
                  <c:v>0.16631144883398086</c:v>
                </c:pt>
                <c:pt idx="5917">
                  <c:v>0.16625974399740481</c:v>
                </c:pt>
                <c:pt idx="5918">
                  <c:v>0.16620803958119365</c:v>
                </c:pt>
                <c:pt idx="5919">
                  <c:v>0.16615633558481993</c:v>
                </c:pt>
                <c:pt idx="5920">
                  <c:v>0.16610463200775671</c:v>
                </c:pt>
                <c:pt idx="5921">
                  <c:v>0.16605292884947787</c:v>
                </c:pt>
                <c:pt idx="5922">
                  <c:v>0.16600122610945775</c:v>
                </c:pt>
                <c:pt idx="5923">
                  <c:v>0.16594952378717159</c:v>
                </c:pt>
                <c:pt idx="5924">
                  <c:v>0.16589782188209512</c:v>
                </c:pt>
                <c:pt idx="5925">
                  <c:v>0.16584612039370475</c:v>
                </c:pt>
                <c:pt idx="5926">
                  <c:v>0.16579441932147759</c:v>
                </c:pt>
                <c:pt idx="5927">
                  <c:v>0.16574271866489143</c:v>
                </c:pt>
                <c:pt idx="5928">
                  <c:v>0.1656910184234246</c:v>
                </c:pt>
                <c:pt idx="5929">
                  <c:v>0.16563931859655623</c:v>
                </c:pt>
                <c:pt idx="5930">
                  <c:v>0.16558761918376597</c:v>
                </c:pt>
                <c:pt idx="5931">
                  <c:v>0.16553592018453425</c:v>
                </c:pt>
                <c:pt idx="5932">
                  <c:v>0.165484221598342</c:v>
                </c:pt>
                <c:pt idx="5933">
                  <c:v>0.16543252342467096</c:v>
                </c:pt>
                <c:pt idx="5934">
                  <c:v>0.16538082566300347</c:v>
                </c:pt>
                <c:pt idx="5935">
                  <c:v>0.1653291283128224</c:v>
                </c:pt>
                <c:pt idx="5936">
                  <c:v>0.16527743137361145</c:v>
                </c:pt>
                <c:pt idx="5937">
                  <c:v>0.16522573484485487</c:v>
                </c:pt>
                <c:pt idx="5938">
                  <c:v>0.16517403872603756</c:v>
                </c:pt>
                <c:pt idx="5939">
                  <c:v>0.16512234301664505</c:v>
                </c:pt>
                <c:pt idx="5940">
                  <c:v>0.16507064771616362</c:v>
                </c:pt>
                <c:pt idx="5941">
                  <c:v>0.16501895282408005</c:v>
                </c:pt>
                <c:pt idx="5942">
                  <c:v>0.16496725833988188</c:v>
                </c:pt>
                <c:pt idx="5943">
                  <c:v>0.1649155642630572</c:v>
                </c:pt>
                <c:pt idx="5944">
                  <c:v>0.16486387059309485</c:v>
                </c:pt>
                <c:pt idx="5945">
                  <c:v>0.16481217732948417</c:v>
                </c:pt>
                <c:pt idx="5946">
                  <c:v>0.16476048447171532</c:v>
                </c:pt>
                <c:pt idx="5947">
                  <c:v>0.1647087920192789</c:v>
                </c:pt>
                <c:pt idx="5948">
                  <c:v>0.1646570999716663</c:v>
                </c:pt>
                <c:pt idx="5949">
                  <c:v>0.16460540832836953</c:v>
                </c:pt>
                <c:pt idx="5950">
                  <c:v>0.16455371708888117</c:v>
                </c:pt>
                <c:pt idx="5951">
                  <c:v>0.16450202625269447</c:v>
                </c:pt>
                <c:pt idx="5952">
                  <c:v>0.16445033581930332</c:v>
                </c:pt>
                <c:pt idx="5953">
                  <c:v>0.16439864578820226</c:v>
                </c:pt>
                <c:pt idx="5954">
                  <c:v>0.16434695615888642</c:v>
                </c:pt>
                <c:pt idx="5955">
                  <c:v>0.16429526693085164</c:v>
                </c:pt>
                <c:pt idx="5956">
                  <c:v>0.16424357810359427</c:v>
                </c:pt>
                <c:pt idx="5957">
                  <c:v>0.16419188967661144</c:v>
                </c:pt>
                <c:pt idx="5958">
                  <c:v>0.1641402016494008</c:v>
                </c:pt>
                <c:pt idx="5959">
                  <c:v>0.16408851402146069</c:v>
                </c:pt>
                <c:pt idx="5960">
                  <c:v>0.16403682679229001</c:v>
                </c:pt>
                <c:pt idx="5961">
                  <c:v>0.16398513996138842</c:v>
                </c:pt>
                <c:pt idx="5962">
                  <c:v>0.16393345352825603</c:v>
                </c:pt>
                <c:pt idx="5963">
                  <c:v>0.16388176749239372</c:v>
                </c:pt>
                <c:pt idx="5964">
                  <c:v>0.16383008185330297</c:v>
                </c:pt>
                <c:pt idx="5965">
                  <c:v>0.16377839661048579</c:v>
                </c:pt>
                <c:pt idx="5966">
                  <c:v>0.163726711763445</c:v>
                </c:pt>
                <c:pt idx="5967">
                  <c:v>0.16367502731168382</c:v>
                </c:pt>
                <c:pt idx="5968">
                  <c:v>0.16362334325470629</c:v>
                </c:pt>
                <c:pt idx="5969">
                  <c:v>0.16357165959201692</c:v>
                </c:pt>
                <c:pt idx="5970">
                  <c:v>0.16351997632312096</c:v>
                </c:pt>
                <c:pt idx="5971">
                  <c:v>0.16346829344752417</c:v>
                </c:pt>
                <c:pt idx="5972">
                  <c:v>0.16341661096473309</c:v>
                </c:pt>
                <c:pt idx="5973">
                  <c:v>0.16336492887425469</c:v>
                </c:pt>
                <c:pt idx="5974">
                  <c:v>0.16331324717559673</c:v>
                </c:pt>
                <c:pt idx="5975">
                  <c:v>0.1632615658682674</c:v>
                </c:pt>
                <c:pt idx="5976">
                  <c:v>0.16320988495177574</c:v>
                </c:pt>
                <c:pt idx="5977">
                  <c:v>0.16315820442563114</c:v>
                </c:pt>
                <c:pt idx="5978">
                  <c:v>0.16310652428934386</c:v>
                </c:pt>
                <c:pt idx="5979">
                  <c:v>0.16305484454242464</c:v>
                </c:pt>
                <c:pt idx="5980">
                  <c:v>0.16300316518438479</c:v>
                </c:pt>
                <c:pt idx="5981">
                  <c:v>0.16295148621473637</c:v>
                </c:pt>
                <c:pt idx="5982">
                  <c:v>0.16289980763299194</c:v>
                </c:pt>
                <c:pt idx="5983">
                  <c:v>0.16284812943866475</c:v>
                </c:pt>
                <c:pt idx="5984">
                  <c:v>0.16279645163126857</c:v>
                </c:pt>
                <c:pt idx="5985">
                  <c:v>0.16274477421031788</c:v>
                </c:pt>
                <c:pt idx="5986">
                  <c:v>0.16269309717532768</c:v>
                </c:pt>
                <c:pt idx="5987">
                  <c:v>0.16264142052581368</c:v>
                </c:pt>
                <c:pt idx="5988">
                  <c:v>0.16258974426129205</c:v>
                </c:pt>
                <c:pt idx="5989">
                  <c:v>0.16253806838127977</c:v>
                </c:pt>
                <c:pt idx="5990">
                  <c:v>0.16248639288529418</c:v>
                </c:pt>
                <c:pt idx="5991">
                  <c:v>0.16243471777285345</c:v>
                </c:pt>
                <c:pt idx="5992">
                  <c:v>0.16238304304347623</c:v>
                </c:pt>
                <c:pt idx="5993">
                  <c:v>0.16233136869668183</c:v>
                </c:pt>
                <c:pt idx="5994">
                  <c:v>0.16227969473199011</c:v>
                </c:pt>
                <c:pt idx="5995">
                  <c:v>0.16222802114892157</c:v>
                </c:pt>
                <c:pt idx="5996">
                  <c:v>0.16217634794699734</c:v>
                </c:pt>
                <c:pt idx="5997">
                  <c:v>0.16212467512573903</c:v>
                </c:pt>
                <c:pt idx="5998">
                  <c:v>0.16207300268466904</c:v>
                </c:pt>
                <c:pt idx="5999">
                  <c:v>0.16202133062331017</c:v>
                </c:pt>
                <c:pt idx="6000">
                  <c:v>0.16196965894118598</c:v>
                </c:pt>
                <c:pt idx="6001">
                  <c:v>0.1619179876378205</c:v>
                </c:pt>
                <c:pt idx="6002">
                  <c:v>0.16186631671273852</c:v>
                </c:pt>
                <c:pt idx="6003">
                  <c:v>0.16181464616546518</c:v>
                </c:pt>
                <c:pt idx="6004">
                  <c:v>0.1617629759955265</c:v>
                </c:pt>
                <c:pt idx="6005">
                  <c:v>0.16171130620244886</c:v>
                </c:pt>
                <c:pt idx="6006">
                  <c:v>0.16165963678575937</c:v>
                </c:pt>
                <c:pt idx="6007">
                  <c:v>0.16160796774498568</c:v>
                </c:pt>
                <c:pt idx="6008">
                  <c:v>0.16155629907965605</c:v>
                </c:pt>
                <c:pt idx="6009">
                  <c:v>0.16150463078929936</c:v>
                </c:pt>
                <c:pt idx="6010">
                  <c:v>0.16145296287344496</c:v>
                </c:pt>
                <c:pt idx="6011">
                  <c:v>0.16140129533162301</c:v>
                </c:pt>
                <c:pt idx="6012">
                  <c:v>0.16134962816336401</c:v>
                </c:pt>
                <c:pt idx="6013">
                  <c:v>0.16129796136819924</c:v>
                </c:pt>
                <c:pt idx="6014">
                  <c:v>0.16124629494566045</c:v>
                </c:pt>
                <c:pt idx="6015">
                  <c:v>0.16119462889528008</c:v>
                </c:pt>
                <c:pt idx="6016">
                  <c:v>0.16114296321659105</c:v>
                </c:pt>
                <c:pt idx="6017">
                  <c:v>0.16109129790912693</c:v>
                </c:pt>
                <c:pt idx="6018">
                  <c:v>0.16103963297242188</c:v>
                </c:pt>
                <c:pt idx="6019">
                  <c:v>0.16098796840601062</c:v>
                </c:pt>
                <c:pt idx="6020">
                  <c:v>0.16093630420942845</c:v>
                </c:pt>
                <c:pt idx="6021">
                  <c:v>0.16088464038221129</c:v>
                </c:pt>
                <c:pt idx="6022">
                  <c:v>0.16083297692389556</c:v>
                </c:pt>
                <c:pt idx="6023">
                  <c:v>0.16078131383401839</c:v>
                </c:pt>
                <c:pt idx="6024">
                  <c:v>0.16072965111211734</c:v>
                </c:pt>
                <c:pt idx="6025">
                  <c:v>0.16067798875773071</c:v>
                </c:pt>
                <c:pt idx="6026">
                  <c:v>0.16062632677039726</c:v>
                </c:pt>
                <c:pt idx="6027">
                  <c:v>0.16057466514965635</c:v>
                </c:pt>
                <c:pt idx="6028">
                  <c:v>0.16052300389504801</c:v>
                </c:pt>
                <c:pt idx="6029">
                  <c:v>0.16047134300611265</c:v>
                </c:pt>
                <c:pt idx="6030">
                  <c:v>0.1604196824823915</c:v>
                </c:pt>
                <c:pt idx="6031">
                  <c:v>0.16036802232342617</c:v>
                </c:pt>
                <c:pt idx="6032">
                  <c:v>0.16031636252875897</c:v>
                </c:pt>
                <c:pt idx="6033">
                  <c:v>0.1602647030979327</c:v>
                </c:pt>
                <c:pt idx="6034">
                  <c:v>0.16021304403049078</c:v>
                </c:pt>
                <c:pt idx="6035">
                  <c:v>0.16016138532597718</c:v>
                </c:pt>
                <c:pt idx="6036">
                  <c:v>0.1601097269839365</c:v>
                </c:pt>
                <c:pt idx="6037">
                  <c:v>0.16005806900391378</c:v>
                </c:pt>
                <c:pt idx="6038">
                  <c:v>0.16000641138545479</c:v>
                </c:pt>
                <c:pt idx="6039">
                  <c:v>0.15995475412810578</c:v>
                </c:pt>
                <c:pt idx="6040">
                  <c:v>0.15990309723141358</c:v>
                </c:pt>
                <c:pt idx="6041">
                  <c:v>0.1598514406949256</c:v>
                </c:pt>
                <c:pt idx="6042">
                  <c:v>0.1597997845181898</c:v>
                </c:pt>
                <c:pt idx="6043">
                  <c:v>0.15974812870075475</c:v>
                </c:pt>
                <c:pt idx="6044">
                  <c:v>0.15969647324216948</c:v>
                </c:pt>
                <c:pt idx="6045">
                  <c:v>0.15964481814198378</c:v>
                </c:pt>
                <c:pt idx="6046">
                  <c:v>0.15959316339974777</c:v>
                </c:pt>
                <c:pt idx="6047">
                  <c:v>0.15954150901501235</c:v>
                </c:pt>
                <c:pt idx="6048">
                  <c:v>0.15948985498732882</c:v>
                </c:pt>
                <c:pt idx="6049">
                  <c:v>0.15943820131624914</c:v>
                </c:pt>
                <c:pt idx="6050">
                  <c:v>0.15938654800132576</c:v>
                </c:pt>
                <c:pt idx="6051">
                  <c:v>0.15933489504211182</c:v>
                </c:pt>
                <c:pt idx="6052">
                  <c:v>0.1592832424381608</c:v>
                </c:pt>
                <c:pt idx="6053">
                  <c:v>0.15923159018902702</c:v>
                </c:pt>
                <c:pt idx="6054">
                  <c:v>0.15917993829426511</c:v>
                </c:pt>
                <c:pt idx="6055">
                  <c:v>0.15912828675343038</c:v>
                </c:pt>
                <c:pt idx="6056">
                  <c:v>0.15907663556607873</c:v>
                </c:pt>
                <c:pt idx="6057">
                  <c:v>0.15902498473176649</c:v>
                </c:pt>
                <c:pt idx="6058">
                  <c:v>0.15897333425005072</c:v>
                </c:pt>
                <c:pt idx="6059">
                  <c:v>0.15892168412048885</c:v>
                </c:pt>
                <c:pt idx="6060">
                  <c:v>0.15887003434263899</c:v>
                </c:pt>
                <c:pt idx="6061">
                  <c:v>0.15881838491605976</c:v>
                </c:pt>
                <c:pt idx="6062">
                  <c:v>0.1587667358403104</c:v>
                </c:pt>
                <c:pt idx="6063">
                  <c:v>0.15871508711495055</c:v>
                </c:pt>
                <c:pt idx="6064">
                  <c:v>0.15866343873954059</c:v>
                </c:pt>
                <c:pt idx="6065">
                  <c:v>0.15861179071364129</c:v>
                </c:pt>
                <c:pt idx="6066">
                  <c:v>0.15856014303681409</c:v>
                </c:pt>
                <c:pt idx="6067">
                  <c:v>0.15850849570862088</c:v>
                </c:pt>
                <c:pt idx="6068">
                  <c:v>0.15845684872862423</c:v>
                </c:pt>
                <c:pt idx="6069">
                  <c:v>0.15840520209638712</c:v>
                </c:pt>
                <c:pt idx="6070">
                  <c:v>0.15835355581147315</c:v>
                </c:pt>
                <c:pt idx="6071">
                  <c:v>0.15830190987344647</c:v>
                </c:pt>
                <c:pt idx="6072">
                  <c:v>0.15825026428187178</c:v>
                </c:pt>
                <c:pt idx="6073">
                  <c:v>0.15819861903631427</c:v>
                </c:pt>
                <c:pt idx="6074">
                  <c:v>0.15814697413633974</c:v>
                </c:pt>
                <c:pt idx="6075">
                  <c:v>0.15809532958151454</c:v>
                </c:pt>
                <c:pt idx="6076">
                  <c:v>0.15804368537140545</c:v>
                </c:pt>
                <c:pt idx="6077">
                  <c:v>0.15799204150557997</c:v>
                </c:pt>
                <c:pt idx="6078">
                  <c:v>0.15794039798360598</c:v>
                </c:pt>
                <c:pt idx="6079">
                  <c:v>0.15788875480505205</c:v>
                </c:pt>
                <c:pt idx="6080">
                  <c:v>0.15783711196948713</c:v>
                </c:pt>
                <c:pt idx="6081">
                  <c:v>0.15778546947648089</c:v>
                </c:pt>
                <c:pt idx="6082">
                  <c:v>0.15773382732560337</c:v>
                </c:pt>
                <c:pt idx="6083">
                  <c:v>0.15768218551642527</c:v>
                </c:pt>
                <c:pt idx="6084">
                  <c:v>0.15763054404851773</c:v>
                </c:pt>
                <c:pt idx="6085">
                  <c:v>0.15757890292145252</c:v>
                </c:pt>
                <c:pt idx="6086">
                  <c:v>0.15752726213480192</c:v>
                </c:pt>
                <c:pt idx="6087">
                  <c:v>0.15747562168813872</c:v>
                </c:pt>
                <c:pt idx="6088">
                  <c:v>0.15742398158103632</c:v>
                </c:pt>
                <c:pt idx="6089">
                  <c:v>0.1573723418130685</c:v>
                </c:pt>
                <c:pt idx="6090">
                  <c:v>0.15732070238380974</c:v>
                </c:pt>
                <c:pt idx="6091">
                  <c:v>0.15726906329283497</c:v>
                </c:pt>
                <c:pt idx="6092">
                  <c:v>0.15721742453971965</c:v>
                </c:pt>
                <c:pt idx="6093">
                  <c:v>0.15716578612403984</c:v>
                </c:pt>
                <c:pt idx="6094">
                  <c:v>0.15711414804537205</c:v>
                </c:pt>
                <c:pt idx="6095">
                  <c:v>0.15706251030329335</c:v>
                </c:pt>
                <c:pt idx="6096">
                  <c:v>0.15701087289738139</c:v>
                </c:pt>
                <c:pt idx="6097">
                  <c:v>0.15695923582721424</c:v>
                </c:pt>
                <c:pt idx="6098">
                  <c:v>0.15690759909237065</c:v>
                </c:pt>
                <c:pt idx="6099">
                  <c:v>0.15685596269242974</c:v>
                </c:pt>
                <c:pt idx="6100">
                  <c:v>0.15680432662697127</c:v>
                </c:pt>
                <c:pt idx="6101">
                  <c:v>0.15675269089557553</c:v>
                </c:pt>
                <c:pt idx="6102">
                  <c:v>0.15670105549782323</c:v>
                </c:pt>
                <c:pt idx="6103">
                  <c:v>0.15664942043329572</c:v>
                </c:pt>
                <c:pt idx="6104">
                  <c:v>0.15659778570157479</c:v>
                </c:pt>
                <c:pt idx="6105">
                  <c:v>0.15654615130224284</c:v>
                </c:pt>
                <c:pt idx="6106">
                  <c:v>0.1564945172348827</c:v>
                </c:pt>
                <c:pt idx="6107">
                  <c:v>0.15644288349907781</c:v>
                </c:pt>
                <c:pt idx="6108">
                  <c:v>0.15639125009441207</c:v>
                </c:pt>
                <c:pt idx="6109">
                  <c:v>0.15633961702046997</c:v>
                </c:pt>
                <c:pt idx="6110">
                  <c:v>0.15628798427683641</c:v>
                </c:pt>
                <c:pt idx="6111">
                  <c:v>0.15623635186309695</c:v>
                </c:pt>
                <c:pt idx="6112">
                  <c:v>0.15618471977883752</c:v>
                </c:pt>
                <c:pt idx="6113">
                  <c:v>0.15613308802364476</c:v>
                </c:pt>
                <c:pt idx="6114">
                  <c:v>0.15608145659710559</c:v>
                </c:pt>
                <c:pt idx="6115">
                  <c:v>0.15602982549880764</c:v>
                </c:pt>
                <c:pt idx="6116">
                  <c:v>0.15597819472833904</c:v>
                </c:pt>
                <c:pt idx="6117">
                  <c:v>0.15592656428528831</c:v>
                </c:pt>
                <c:pt idx="6118">
                  <c:v>0.15587493416924461</c:v>
                </c:pt>
                <c:pt idx="6119">
                  <c:v>0.15582330437979755</c:v>
                </c:pt>
                <c:pt idx="6120">
                  <c:v>0.15577167491653732</c:v>
                </c:pt>
                <c:pt idx="6121">
                  <c:v>0.15572004577905452</c:v>
                </c:pt>
                <c:pt idx="6122">
                  <c:v>0.15566841696694039</c:v>
                </c:pt>
                <c:pt idx="6123">
                  <c:v>0.15561678847978655</c:v>
                </c:pt>
                <c:pt idx="6124">
                  <c:v>0.15556516031718526</c:v>
                </c:pt>
                <c:pt idx="6125">
                  <c:v>0.15551353247872918</c:v>
                </c:pt>
                <c:pt idx="6126">
                  <c:v>0.1554619049640116</c:v>
                </c:pt>
                <c:pt idx="6127">
                  <c:v>0.15541027777262617</c:v>
                </c:pt>
                <c:pt idx="6128">
                  <c:v>0.15535865090416723</c:v>
                </c:pt>
                <c:pt idx="6129">
                  <c:v>0.15530702435822946</c:v>
                </c:pt>
                <c:pt idx="6130">
                  <c:v>0.15525539813440817</c:v>
                </c:pt>
                <c:pt idx="6131">
                  <c:v>0.15520377223229906</c:v>
                </c:pt>
                <c:pt idx="6132">
                  <c:v>0.15515214665149846</c:v>
                </c:pt>
                <c:pt idx="6133">
                  <c:v>0.15510052139160319</c:v>
                </c:pt>
                <c:pt idx="6134">
                  <c:v>0.15504889645221046</c:v>
                </c:pt>
                <c:pt idx="6135">
                  <c:v>0.15499727183291812</c:v>
                </c:pt>
                <c:pt idx="6136">
                  <c:v>0.1549456475333244</c:v>
                </c:pt>
                <c:pt idx="6137">
                  <c:v>0.15489402355302823</c:v>
                </c:pt>
                <c:pt idx="6138">
                  <c:v>0.15484239989162879</c:v>
                </c:pt>
                <c:pt idx="6139">
                  <c:v>0.15479077654872597</c:v>
                </c:pt>
                <c:pt idx="6140">
                  <c:v>0.15473915352392004</c:v>
                </c:pt>
                <c:pt idx="6141">
                  <c:v>0.15468753081681183</c:v>
                </c:pt>
                <c:pt idx="6142">
                  <c:v>0.15463590842700264</c:v>
                </c:pt>
                <c:pt idx="6143">
                  <c:v>0.15458428635409432</c:v>
                </c:pt>
                <c:pt idx="6144">
                  <c:v>0.15453266459768916</c:v>
                </c:pt>
                <c:pt idx="6145">
                  <c:v>0.15448104315738997</c:v>
                </c:pt>
                <c:pt idx="6146">
                  <c:v>0.15442942203280008</c:v>
                </c:pt>
                <c:pt idx="6147">
                  <c:v>0.15437780122352326</c:v>
                </c:pt>
                <c:pt idx="6148">
                  <c:v>0.15432618072916388</c:v>
                </c:pt>
                <c:pt idx="6149">
                  <c:v>0.15427456054932667</c:v>
                </c:pt>
                <c:pt idx="6150">
                  <c:v>0.15422294068361703</c:v>
                </c:pt>
                <c:pt idx="6151">
                  <c:v>0.15417132113164064</c:v>
                </c:pt>
                <c:pt idx="6152">
                  <c:v>0.15411970189300389</c:v>
                </c:pt>
                <c:pt idx="6153">
                  <c:v>0.1540680829673135</c:v>
                </c:pt>
                <c:pt idx="6154">
                  <c:v>0.15401646435417679</c:v>
                </c:pt>
                <c:pt idx="6155">
                  <c:v>0.15396484605320146</c:v>
                </c:pt>
                <c:pt idx="6156">
                  <c:v>0.15391322806399588</c:v>
                </c:pt>
                <c:pt idx="6157">
                  <c:v>0.15386161038616869</c:v>
                </c:pt>
                <c:pt idx="6158">
                  <c:v>0.15380999301932921</c:v>
                </c:pt>
                <c:pt idx="6159">
                  <c:v>0.15375837596308717</c:v>
                </c:pt>
                <c:pt idx="6160">
                  <c:v>0.15370675921705276</c:v>
                </c:pt>
                <c:pt idx="6161">
                  <c:v>0.15365514278083672</c:v>
                </c:pt>
                <c:pt idx="6162">
                  <c:v>0.15360352665405022</c:v>
                </c:pt>
                <c:pt idx="6163">
                  <c:v>0.15355191083630501</c:v>
                </c:pt>
                <c:pt idx="6164">
                  <c:v>0.15350029532721324</c:v>
                </c:pt>
                <c:pt idx="6165">
                  <c:v>0.15344868012638757</c:v>
                </c:pt>
                <c:pt idx="6166">
                  <c:v>0.15339706523344113</c:v>
                </c:pt>
                <c:pt idx="6167">
                  <c:v>0.1533454506479876</c:v>
                </c:pt>
                <c:pt idx="6168">
                  <c:v>0.15329383636964106</c:v>
                </c:pt>
                <c:pt idx="6169">
                  <c:v>0.15324222239801616</c:v>
                </c:pt>
                <c:pt idx="6170">
                  <c:v>0.15319060873272791</c:v>
                </c:pt>
                <c:pt idx="6171">
                  <c:v>0.15313899537339201</c:v>
                </c:pt>
                <c:pt idx="6172">
                  <c:v>0.15308738231962438</c:v>
                </c:pt>
                <c:pt idx="6173">
                  <c:v>0.15303576957104165</c:v>
                </c:pt>
                <c:pt idx="6174">
                  <c:v>0.15298415712726077</c:v>
                </c:pt>
                <c:pt idx="6175">
                  <c:v>0.15293254498789932</c:v>
                </c:pt>
                <c:pt idx="6176">
                  <c:v>0.15288093315257517</c:v>
                </c:pt>
                <c:pt idx="6177">
                  <c:v>0.15282932162090687</c:v>
                </c:pt>
                <c:pt idx="6178">
                  <c:v>0.15277771039251334</c:v>
                </c:pt>
                <c:pt idx="6179">
                  <c:v>0.15272609946701393</c:v>
                </c:pt>
                <c:pt idx="6180">
                  <c:v>0.15267448884402862</c:v>
                </c:pt>
                <c:pt idx="6181">
                  <c:v>0.15262287852317771</c:v>
                </c:pt>
                <c:pt idx="6182">
                  <c:v>0.15257126850408212</c:v>
                </c:pt>
                <c:pt idx="6183">
                  <c:v>0.15251965878636309</c:v>
                </c:pt>
                <c:pt idx="6184">
                  <c:v>0.15246804936964248</c:v>
                </c:pt>
                <c:pt idx="6185">
                  <c:v>0.15241644025354251</c:v>
                </c:pt>
                <c:pt idx="6186">
                  <c:v>0.15236483143768595</c:v>
                </c:pt>
                <c:pt idx="6187">
                  <c:v>0.15231322292169602</c:v>
                </c:pt>
                <c:pt idx="6188">
                  <c:v>0.15226161470519642</c:v>
                </c:pt>
                <c:pt idx="6189">
                  <c:v>0.1522100067878113</c:v>
                </c:pt>
                <c:pt idx="6190">
                  <c:v>0.15215839916916529</c:v>
                </c:pt>
                <c:pt idx="6191">
                  <c:v>0.15210679184888351</c:v>
                </c:pt>
                <c:pt idx="6192">
                  <c:v>0.1520551848265915</c:v>
                </c:pt>
                <c:pt idx="6193">
                  <c:v>0.15200357810191539</c:v>
                </c:pt>
                <c:pt idx="6194">
                  <c:v>0.1519519716744816</c:v>
                </c:pt>
                <c:pt idx="6195">
                  <c:v>0.1519003655439172</c:v>
                </c:pt>
                <c:pt idx="6196">
                  <c:v>0.15184875970984957</c:v>
                </c:pt>
                <c:pt idx="6197">
                  <c:v>0.1517971541719067</c:v>
                </c:pt>
                <c:pt idx="6198">
                  <c:v>0.15174554892971689</c:v>
                </c:pt>
                <c:pt idx="6199">
                  <c:v>0.15169394398290909</c:v>
                </c:pt>
                <c:pt idx="6200">
                  <c:v>0.15164233933111254</c:v>
                </c:pt>
                <c:pt idx="6201">
                  <c:v>0.15159073497395709</c:v>
                </c:pt>
                <c:pt idx="6202">
                  <c:v>0.15153913091107291</c:v>
                </c:pt>
                <c:pt idx="6203">
                  <c:v>0.15148752714209079</c:v>
                </c:pt>
                <c:pt idx="6204">
                  <c:v>0.15143592366664188</c:v>
                </c:pt>
                <c:pt idx="6205">
                  <c:v>0.15138432048435779</c:v>
                </c:pt>
                <c:pt idx="6206">
                  <c:v>0.15133271759487066</c:v>
                </c:pt>
                <c:pt idx="6207">
                  <c:v>0.15128111499781302</c:v>
                </c:pt>
                <c:pt idx="6208">
                  <c:v>0.15122951269281795</c:v>
                </c:pt>
                <c:pt idx="6209">
                  <c:v>0.15117791067951888</c:v>
                </c:pt>
                <c:pt idx="6210">
                  <c:v>0.1511263089575498</c:v>
                </c:pt>
                <c:pt idx="6211">
                  <c:v>0.15107470752654506</c:v>
                </c:pt>
                <c:pt idx="6212">
                  <c:v>0.15102310638613956</c:v>
                </c:pt>
                <c:pt idx="6213">
                  <c:v>0.15097150553596861</c:v>
                </c:pt>
                <c:pt idx="6214">
                  <c:v>0.15091990497566801</c:v>
                </c:pt>
                <c:pt idx="6215">
                  <c:v>0.15086830470487395</c:v>
                </c:pt>
                <c:pt idx="6216">
                  <c:v>0.15081670472322317</c:v>
                </c:pt>
                <c:pt idx="6217">
                  <c:v>0.15076510503035279</c:v>
                </c:pt>
                <c:pt idx="6218">
                  <c:v>0.15071350562590044</c:v>
                </c:pt>
                <c:pt idx="6219">
                  <c:v>0.15066190650950415</c:v>
                </c:pt>
                <c:pt idx="6220">
                  <c:v>0.15061030768080244</c:v>
                </c:pt>
                <c:pt idx="6221">
                  <c:v>0.15055870913943425</c:v>
                </c:pt>
                <c:pt idx="6222">
                  <c:v>0.15050711088503907</c:v>
                </c:pt>
                <c:pt idx="6223">
                  <c:v>0.15045551291725673</c:v>
                </c:pt>
                <c:pt idx="6224">
                  <c:v>0.15040391523572755</c:v>
                </c:pt>
                <c:pt idx="6225">
                  <c:v>0.15035231784009231</c:v>
                </c:pt>
                <c:pt idx="6226">
                  <c:v>0.15030072072999223</c:v>
                </c:pt>
                <c:pt idx="6227">
                  <c:v>0.15024912390506903</c:v>
                </c:pt>
                <c:pt idx="6228">
                  <c:v>0.15019752736496475</c:v>
                </c:pt>
                <c:pt idx="6229">
                  <c:v>0.15014593110932206</c:v>
                </c:pt>
                <c:pt idx="6230">
                  <c:v>0.15009433513778389</c:v>
                </c:pt>
                <c:pt idx="6231">
                  <c:v>0.1500427394499938</c:v>
                </c:pt>
                <c:pt idx="6232">
                  <c:v>0.14999114404559563</c:v>
                </c:pt>
                <c:pt idx="6233">
                  <c:v>0.14993954892423383</c:v>
                </c:pt>
                <c:pt idx="6234">
                  <c:v>0.14988795408555314</c:v>
                </c:pt>
                <c:pt idx="6235">
                  <c:v>0.14983635952919885</c:v>
                </c:pt>
                <c:pt idx="6236">
                  <c:v>0.14978476525481665</c:v>
                </c:pt>
                <c:pt idx="6237">
                  <c:v>0.14973317126205271</c:v>
                </c:pt>
                <c:pt idx="6238">
                  <c:v>0.14968157755055359</c:v>
                </c:pt>
                <c:pt idx="6239">
                  <c:v>0.14962998411996634</c:v>
                </c:pt>
                <c:pt idx="6240">
                  <c:v>0.14957839096993847</c:v>
                </c:pt>
                <c:pt idx="6241">
                  <c:v>0.14952679810011782</c:v>
                </c:pt>
                <c:pt idx="6242">
                  <c:v>0.14947520551015286</c:v>
                </c:pt>
                <c:pt idx="6243">
                  <c:v>0.1494236131996923</c:v>
                </c:pt>
                <c:pt idx="6244">
                  <c:v>0.14937202116838544</c:v>
                </c:pt>
                <c:pt idx="6245">
                  <c:v>0.14932042941588194</c:v>
                </c:pt>
                <c:pt idx="6246">
                  <c:v>0.14926883794183193</c:v>
                </c:pt>
                <c:pt idx="6247">
                  <c:v>0.14921724674588596</c:v>
                </c:pt>
                <c:pt idx="6248">
                  <c:v>0.14916565582769509</c:v>
                </c:pt>
                <c:pt idx="6249">
                  <c:v>0.14911406518691067</c:v>
                </c:pt>
                <c:pt idx="6250">
                  <c:v>0.14906247482318463</c:v>
                </c:pt>
                <c:pt idx="6251">
                  <c:v>0.14901088473616927</c:v>
                </c:pt>
                <c:pt idx="6252">
                  <c:v>0.14895929492551738</c:v>
                </c:pt>
                <c:pt idx="6253">
                  <c:v>0.14890770539088208</c:v>
                </c:pt>
                <c:pt idx="6254">
                  <c:v>0.14885611613191702</c:v>
                </c:pt>
                <c:pt idx="6255">
                  <c:v>0.14880452714827627</c:v>
                </c:pt>
                <c:pt idx="6256">
                  <c:v>0.14875293843961432</c:v>
                </c:pt>
                <c:pt idx="6257">
                  <c:v>0.14870135000558607</c:v>
                </c:pt>
                <c:pt idx="6258">
                  <c:v>0.14864976184584688</c:v>
                </c:pt>
                <c:pt idx="6259">
                  <c:v>0.14859817396005259</c:v>
                </c:pt>
                <c:pt idx="6260">
                  <c:v>0.14854658634785933</c:v>
                </c:pt>
                <c:pt idx="6261">
                  <c:v>0.14849499900892385</c:v>
                </c:pt>
                <c:pt idx="6262">
                  <c:v>0.14844341194290317</c:v>
                </c:pt>
                <c:pt idx="6263">
                  <c:v>0.14839182514945481</c:v>
                </c:pt>
                <c:pt idx="6264">
                  <c:v>0.14834023862823673</c:v>
                </c:pt>
                <c:pt idx="6265">
                  <c:v>0.14828865237890732</c:v>
                </c:pt>
                <c:pt idx="6266">
                  <c:v>0.1482370664011253</c:v>
                </c:pt>
                <c:pt idx="6267">
                  <c:v>0.14818548069455001</c:v>
                </c:pt>
                <c:pt idx="6268">
                  <c:v>0.14813389525884105</c:v>
                </c:pt>
                <c:pt idx="6269">
                  <c:v>0.14808231009365846</c:v>
                </c:pt>
                <c:pt idx="6270">
                  <c:v>0.14803072519866287</c:v>
                </c:pt>
                <c:pt idx="6271">
                  <c:v>0.14797914057351511</c:v>
                </c:pt>
                <c:pt idx="6272">
                  <c:v>0.14792755621787659</c:v>
                </c:pt>
                <c:pt idx="6273">
                  <c:v>0.1478759721314091</c:v>
                </c:pt>
                <c:pt idx="6274">
                  <c:v>0.14782438831377484</c:v>
                </c:pt>
                <c:pt idx="6275">
                  <c:v>0.14777280476463642</c:v>
                </c:pt>
                <c:pt idx="6276">
                  <c:v>0.14772122148365696</c:v>
                </c:pt>
                <c:pt idx="6277">
                  <c:v>0.14766963847049988</c:v>
                </c:pt>
                <c:pt idx="6278">
                  <c:v>0.14761805572482914</c:v>
                </c:pt>
                <c:pt idx="6279">
                  <c:v>0.147566473246309</c:v>
                </c:pt>
                <c:pt idx="6280">
                  <c:v>0.14751489103460427</c:v>
                </c:pt>
                <c:pt idx="6281">
                  <c:v>0.14746330908938007</c:v>
                </c:pt>
                <c:pt idx="6282">
                  <c:v>0.14741172741030206</c:v>
                </c:pt>
                <c:pt idx="6283">
                  <c:v>0.14736014599703615</c:v>
                </c:pt>
                <c:pt idx="6284">
                  <c:v>0.14730856484924884</c:v>
                </c:pt>
                <c:pt idx="6285">
                  <c:v>0.14725698396660697</c:v>
                </c:pt>
                <c:pt idx="6286">
                  <c:v>0.14720540334877774</c:v>
                </c:pt>
                <c:pt idx="6287">
                  <c:v>0.14715382299542892</c:v>
                </c:pt>
                <c:pt idx="6288">
                  <c:v>0.14710224290622856</c:v>
                </c:pt>
                <c:pt idx="6289">
                  <c:v>0.14705066308084516</c:v>
                </c:pt>
                <c:pt idx="6290">
                  <c:v>0.14699908351894769</c:v>
                </c:pt>
                <c:pt idx="6291">
                  <c:v>0.1469475042202055</c:v>
                </c:pt>
                <c:pt idx="6292">
                  <c:v>0.14689592518428829</c:v>
                </c:pt>
                <c:pt idx="6293">
                  <c:v>0.1468443464108663</c:v>
                </c:pt>
                <c:pt idx="6294">
                  <c:v>0.14679276789961007</c:v>
                </c:pt>
                <c:pt idx="6295">
                  <c:v>0.14674118965019065</c:v>
                </c:pt>
                <c:pt idx="6296">
                  <c:v>0.14668961166227942</c:v>
                </c:pt>
                <c:pt idx="6297">
                  <c:v>0.14663803393554825</c:v>
                </c:pt>
                <c:pt idx="6298">
                  <c:v>0.14658645646966931</c:v>
                </c:pt>
                <c:pt idx="6299">
                  <c:v>0.1465348792643153</c:v>
                </c:pt>
                <c:pt idx="6300">
                  <c:v>0.14648330231915932</c:v>
                </c:pt>
                <c:pt idx="6301">
                  <c:v>0.14643172563387474</c:v>
                </c:pt>
                <c:pt idx="6302">
                  <c:v>0.14638014920813555</c:v>
                </c:pt>
                <c:pt idx="6303">
                  <c:v>0.14632857304161595</c:v>
                </c:pt>
                <c:pt idx="6304">
                  <c:v>0.14627699713399073</c:v>
                </c:pt>
                <c:pt idx="6305">
                  <c:v>0.14622542148493492</c:v>
                </c:pt>
                <c:pt idx="6306">
                  <c:v>0.14617384609412407</c:v>
                </c:pt>
                <c:pt idx="6307">
                  <c:v>0.14612227096123409</c:v>
                </c:pt>
                <c:pt idx="6308">
                  <c:v>0.14607069608594134</c:v>
                </c:pt>
                <c:pt idx="6309">
                  <c:v>0.14601912146792254</c:v>
                </c:pt>
                <c:pt idx="6310">
                  <c:v>0.14596754710685481</c:v>
                </c:pt>
                <c:pt idx="6311">
                  <c:v>0.14591597300241571</c:v>
                </c:pt>
                <c:pt idx="6312">
                  <c:v>0.1458643991542832</c:v>
                </c:pt>
                <c:pt idx="6313">
                  <c:v>0.14581282556213565</c:v>
                </c:pt>
                <c:pt idx="6314">
                  <c:v>0.14576125222565176</c:v>
                </c:pt>
                <c:pt idx="6315">
                  <c:v>0.14570967914451077</c:v>
                </c:pt>
                <c:pt idx="6316">
                  <c:v>0.14565810631839221</c:v>
                </c:pt>
                <c:pt idx="6317">
                  <c:v>0.14560653374697605</c:v>
                </c:pt>
                <c:pt idx="6318">
                  <c:v>0.14555496142994265</c:v>
                </c:pt>
                <c:pt idx="6319">
                  <c:v>0.14550338936697277</c:v>
                </c:pt>
                <c:pt idx="6320">
                  <c:v>0.14545181755774761</c:v>
                </c:pt>
                <c:pt idx="6321">
                  <c:v>0.14540024600194873</c:v>
                </c:pt>
                <c:pt idx="6322">
                  <c:v>0.14534867469925808</c:v>
                </c:pt>
                <c:pt idx="6323">
                  <c:v>0.14529710364935808</c:v>
                </c:pt>
                <c:pt idx="6324">
                  <c:v>0.14524553285193142</c:v>
                </c:pt>
                <c:pt idx="6325">
                  <c:v>0.14519396230666137</c:v>
                </c:pt>
                <c:pt idx="6326">
                  <c:v>0.1451423920132314</c:v>
                </c:pt>
                <c:pt idx="6327">
                  <c:v>0.1450908219713255</c:v>
                </c:pt>
                <c:pt idx="6328">
                  <c:v>0.14503925218062805</c:v>
                </c:pt>
                <c:pt idx="6329">
                  <c:v>0.14498768264082379</c:v>
                </c:pt>
                <c:pt idx="6330">
                  <c:v>0.14493611335159784</c:v>
                </c:pt>
                <c:pt idx="6331">
                  <c:v>0.14488454431263581</c:v>
                </c:pt>
                <c:pt idx="6332">
                  <c:v>0.14483297552362356</c:v>
                </c:pt>
                <c:pt idx="6333">
                  <c:v>0.14478140698424749</c:v>
                </c:pt>
                <c:pt idx="6334">
                  <c:v>0.14472983869419428</c:v>
                </c:pt>
                <c:pt idx="6335">
                  <c:v>0.14467827065315109</c:v>
                </c:pt>
                <c:pt idx="6336">
                  <c:v>0.1446267028608054</c:v>
                </c:pt>
                <c:pt idx="6337">
                  <c:v>0.1445751353168451</c:v>
                </c:pt>
                <c:pt idx="6338">
                  <c:v>0.14452356802095856</c:v>
                </c:pt>
                <c:pt idx="6339">
                  <c:v>0.14447200097283439</c:v>
                </c:pt>
                <c:pt idx="6340">
                  <c:v>0.14442043417216172</c:v>
                </c:pt>
                <c:pt idx="6341">
                  <c:v>0.14436886761862996</c:v>
                </c:pt>
                <c:pt idx="6342">
                  <c:v>0.14431730131192905</c:v>
                </c:pt>
                <c:pt idx="6343">
                  <c:v>0.14426573525174916</c:v>
                </c:pt>
                <c:pt idx="6344">
                  <c:v>0.14421416943778098</c:v>
                </c:pt>
                <c:pt idx="6345">
                  <c:v>0.14416260386971547</c:v>
                </c:pt>
                <c:pt idx="6346">
                  <c:v>0.14411103854724414</c:v>
                </c:pt>
                <c:pt idx="6347">
                  <c:v>0.14405947347005868</c:v>
                </c:pt>
                <c:pt idx="6348">
                  <c:v>0.14400790863785137</c:v>
                </c:pt>
                <c:pt idx="6349">
                  <c:v>0.14395634405031471</c:v>
                </c:pt>
                <c:pt idx="6350">
                  <c:v>0.14390477970714172</c:v>
                </c:pt>
                <c:pt idx="6351">
                  <c:v>0.14385321560802566</c:v>
                </c:pt>
                <c:pt idx="6352">
                  <c:v>0.14380165175266033</c:v>
                </c:pt>
                <c:pt idx="6353">
                  <c:v>0.14375008814073983</c:v>
                </c:pt>
                <c:pt idx="6354">
                  <c:v>0.14369852477195866</c:v>
                </c:pt>
                <c:pt idx="6355">
                  <c:v>0.14364696164601168</c:v>
                </c:pt>
                <c:pt idx="6356">
                  <c:v>0.14359539876259414</c:v>
                </c:pt>
                <c:pt idx="6357">
                  <c:v>0.14354383612140176</c:v>
                </c:pt>
                <c:pt idx="6358">
                  <c:v>0.14349227372213047</c:v>
                </c:pt>
                <c:pt idx="6359">
                  <c:v>0.14344071156447674</c:v>
                </c:pt>
                <c:pt idx="6360">
                  <c:v>0.14338914964813732</c:v>
                </c:pt>
                <c:pt idx="6361">
                  <c:v>0.1433375879728094</c:v>
                </c:pt>
                <c:pt idx="6362">
                  <c:v>0.14328602653819053</c:v>
                </c:pt>
                <c:pt idx="6363">
                  <c:v>0.14323446534397866</c:v>
                </c:pt>
                <c:pt idx="6364">
                  <c:v>0.14318290438987205</c:v>
                </c:pt>
                <c:pt idx="6365">
                  <c:v>0.14313134367556946</c:v>
                </c:pt>
                <c:pt idx="6366">
                  <c:v>0.14307978320076986</c:v>
                </c:pt>
                <c:pt idx="6367">
                  <c:v>0.14302822296517279</c:v>
                </c:pt>
                <c:pt idx="6368">
                  <c:v>0.142976662968478</c:v>
                </c:pt>
                <c:pt idx="6369">
                  <c:v>0.14292510321038568</c:v>
                </c:pt>
                <c:pt idx="6370">
                  <c:v>0.14287354369059649</c:v>
                </c:pt>
                <c:pt idx="6371">
                  <c:v>0.14282198440881128</c:v>
                </c:pt>
                <c:pt idx="6372">
                  <c:v>0.14277042536473145</c:v>
                </c:pt>
                <c:pt idx="6373">
                  <c:v>0.14271886655805863</c:v>
                </c:pt>
                <c:pt idx="6374">
                  <c:v>0.14266730798849497</c:v>
                </c:pt>
                <c:pt idx="6375">
                  <c:v>0.14261574965574284</c:v>
                </c:pt>
                <c:pt idx="6376">
                  <c:v>0.14256419155950512</c:v>
                </c:pt>
                <c:pt idx="6377">
                  <c:v>0.14251263369948494</c:v>
                </c:pt>
                <c:pt idx="6378">
                  <c:v>0.14246107607538594</c:v>
                </c:pt>
                <c:pt idx="6379">
                  <c:v>0.14240951868691201</c:v>
                </c:pt>
                <c:pt idx="6380">
                  <c:v>0.14235796153376751</c:v>
                </c:pt>
                <c:pt idx="6381">
                  <c:v>0.14230640461565702</c:v>
                </c:pt>
                <c:pt idx="6382">
                  <c:v>0.14225484793228571</c:v>
                </c:pt>
                <c:pt idx="6383">
                  <c:v>0.14220329148335892</c:v>
                </c:pt>
                <c:pt idx="6384">
                  <c:v>0.14215173526858244</c:v>
                </c:pt>
                <c:pt idx="6385">
                  <c:v>0.1421001792876625</c:v>
                </c:pt>
                <c:pt idx="6386">
                  <c:v>0.14204862354030556</c:v>
                </c:pt>
                <c:pt idx="6387">
                  <c:v>0.14199706802621856</c:v>
                </c:pt>
                <c:pt idx="6388">
                  <c:v>0.14194551274510872</c:v>
                </c:pt>
                <c:pt idx="6389">
                  <c:v>0.14189395769668375</c:v>
                </c:pt>
                <c:pt idx="6390">
                  <c:v>0.14184240288065156</c:v>
                </c:pt>
                <c:pt idx="6391">
                  <c:v>0.14179084829672056</c:v>
                </c:pt>
                <c:pt idx="6392">
                  <c:v>0.14173929394459947</c:v>
                </c:pt>
                <c:pt idx="6393">
                  <c:v>0.14168773982399743</c:v>
                </c:pt>
                <c:pt idx="6394">
                  <c:v>0.14163618593462382</c:v>
                </c:pt>
                <c:pt idx="6395">
                  <c:v>0.14158463227618856</c:v>
                </c:pt>
                <c:pt idx="6396">
                  <c:v>0.14153307884840174</c:v>
                </c:pt>
                <c:pt idx="6397">
                  <c:v>0.14148152565097402</c:v>
                </c:pt>
                <c:pt idx="6398">
                  <c:v>0.14142997268361623</c:v>
                </c:pt>
                <c:pt idx="6399">
                  <c:v>0.14137841994603967</c:v>
                </c:pt>
                <c:pt idx="6400">
                  <c:v>0.14132686743795606</c:v>
                </c:pt>
                <c:pt idx="6401">
                  <c:v>0.14127531515907729</c:v>
                </c:pt>
                <c:pt idx="6402">
                  <c:v>0.14122376310911583</c:v>
                </c:pt>
                <c:pt idx="6403">
                  <c:v>0.14117221128778432</c:v>
                </c:pt>
                <c:pt idx="6404">
                  <c:v>0.1411206596947959</c:v>
                </c:pt>
                <c:pt idx="6405">
                  <c:v>0.141069108329864</c:v>
                </c:pt>
                <c:pt idx="6406">
                  <c:v>0.14101755719270245</c:v>
                </c:pt>
                <c:pt idx="6407">
                  <c:v>0.14096600628302536</c:v>
                </c:pt>
                <c:pt idx="6408">
                  <c:v>0.14091445560054733</c:v>
                </c:pt>
                <c:pt idx="6409">
                  <c:v>0.14086290514498317</c:v>
                </c:pt>
                <c:pt idx="6410">
                  <c:v>0.14081135491604821</c:v>
                </c:pt>
                <c:pt idx="6411">
                  <c:v>0.14075980491345794</c:v>
                </c:pt>
                <c:pt idx="6412">
                  <c:v>0.14070825513692842</c:v>
                </c:pt>
                <c:pt idx="6413">
                  <c:v>0.14065670558617588</c:v>
                </c:pt>
                <c:pt idx="6414">
                  <c:v>0.14060515626091702</c:v>
                </c:pt>
                <c:pt idx="6415">
                  <c:v>0.1405536071608689</c:v>
                </c:pt>
                <c:pt idx="6416">
                  <c:v>0.14050205828574883</c:v>
                </c:pt>
                <c:pt idx="6417">
                  <c:v>0.14045050963527458</c:v>
                </c:pt>
                <c:pt idx="6418">
                  <c:v>0.14039896120916423</c:v>
                </c:pt>
                <c:pt idx="6419">
                  <c:v>0.14034741300713627</c:v>
                </c:pt>
                <c:pt idx="6420">
                  <c:v>0.14029586502890939</c:v>
                </c:pt>
                <c:pt idx="6421">
                  <c:v>0.14024431727420286</c:v>
                </c:pt>
                <c:pt idx="6422">
                  <c:v>0.14019276974273606</c:v>
                </c:pt>
                <c:pt idx="6423">
                  <c:v>0.14014122243422894</c:v>
                </c:pt>
                <c:pt idx="6424">
                  <c:v>0.14008967534840164</c:v>
                </c:pt>
                <c:pt idx="6425">
                  <c:v>0.14003812848497477</c:v>
                </c:pt>
                <c:pt idx="6426">
                  <c:v>0.13998658184366919</c:v>
                </c:pt>
                <c:pt idx="6427">
                  <c:v>0.13993503542420616</c:v>
                </c:pt>
                <c:pt idx="6428">
                  <c:v>0.13988348922630728</c:v>
                </c:pt>
                <c:pt idx="6429">
                  <c:v>0.13983194324969453</c:v>
                </c:pt>
                <c:pt idx="6430">
                  <c:v>0.13978039749409024</c:v>
                </c:pt>
                <c:pt idx="6431">
                  <c:v>0.13972885195921697</c:v>
                </c:pt>
                <c:pt idx="6432">
                  <c:v>0.13967730664479783</c:v>
                </c:pt>
                <c:pt idx="6433">
                  <c:v>0.13962576155055606</c:v>
                </c:pt>
                <c:pt idx="6434">
                  <c:v>0.13957421667621545</c:v>
                </c:pt>
                <c:pt idx="6435">
                  <c:v>0.13952267202149998</c:v>
                </c:pt>
                <c:pt idx="6436">
                  <c:v>0.13947112758613409</c:v>
                </c:pt>
                <c:pt idx="6437">
                  <c:v>0.13941958336984242</c:v>
                </c:pt>
                <c:pt idx="6438">
                  <c:v>0.13936803937235018</c:v>
                </c:pt>
                <c:pt idx="6439">
                  <c:v>0.13931649559338266</c:v>
                </c:pt>
                <c:pt idx="6440">
                  <c:v>0.13926495203266576</c:v>
                </c:pt>
                <c:pt idx="6441">
                  <c:v>0.13921340868992549</c:v>
                </c:pt>
                <c:pt idx="6442">
                  <c:v>0.13916186556488835</c:v>
                </c:pt>
                <c:pt idx="6443">
                  <c:v>0.13911032265728113</c:v>
                </c:pt>
                <c:pt idx="6444">
                  <c:v>0.13905877996683097</c:v>
                </c:pt>
                <c:pt idx="6445">
                  <c:v>0.13900723749326541</c:v>
                </c:pt>
                <c:pt idx="6446">
                  <c:v>0.13895569523631218</c:v>
                </c:pt>
                <c:pt idx="6447">
                  <c:v>0.13890415319569951</c:v>
                </c:pt>
                <c:pt idx="6448">
                  <c:v>0.1388526113711559</c:v>
                </c:pt>
                <c:pt idx="6449">
                  <c:v>0.13880106976241025</c:v>
                </c:pt>
                <c:pt idx="6450">
                  <c:v>0.13874952836919163</c:v>
                </c:pt>
                <c:pt idx="6451">
                  <c:v>0.13869798719122969</c:v>
                </c:pt>
                <c:pt idx="6452">
                  <c:v>0.1386464462282542</c:v>
                </c:pt>
                <c:pt idx="6453">
                  <c:v>0.13859490547999548</c:v>
                </c:pt>
                <c:pt idx="6454">
                  <c:v>0.13854336494618397</c:v>
                </c:pt>
                <c:pt idx="6455">
                  <c:v>0.13849182462655066</c:v>
                </c:pt>
                <c:pt idx="6456">
                  <c:v>0.13844028452082666</c:v>
                </c:pt>
                <c:pt idx="6457">
                  <c:v>0.13838874462874365</c:v>
                </c:pt>
                <c:pt idx="6458">
                  <c:v>0.1383372049500334</c:v>
                </c:pt>
                <c:pt idx="6459">
                  <c:v>0.13828566548442825</c:v>
                </c:pt>
                <c:pt idx="6460">
                  <c:v>0.13823412623166073</c:v>
                </c:pt>
                <c:pt idx="6461">
                  <c:v>0.13818258719146373</c:v>
                </c:pt>
                <c:pt idx="6462">
                  <c:v>0.13813104836357054</c:v>
                </c:pt>
                <c:pt idx="6463">
                  <c:v>0.13807950974771466</c:v>
                </c:pt>
                <c:pt idx="6464">
                  <c:v>0.1380279713436301</c:v>
                </c:pt>
                <c:pt idx="6465">
                  <c:v>0.13797643315105101</c:v>
                </c:pt>
                <c:pt idx="6466">
                  <c:v>0.13792489516971201</c:v>
                </c:pt>
                <c:pt idx="6467">
                  <c:v>0.137873357399348</c:v>
                </c:pt>
                <c:pt idx="6468">
                  <c:v>0.13782181983969427</c:v>
                </c:pt>
                <c:pt idx="6469">
                  <c:v>0.13777028249048631</c:v>
                </c:pt>
                <c:pt idx="6470">
                  <c:v>0.13771874535146011</c:v>
                </c:pt>
                <c:pt idx="6471">
                  <c:v>0.13766720842235183</c:v>
                </c:pt>
                <c:pt idx="6472">
                  <c:v>0.13761567170289812</c:v>
                </c:pt>
                <c:pt idx="6473">
                  <c:v>0.13756413519283583</c:v>
                </c:pt>
                <c:pt idx="6474">
                  <c:v>0.1375125988919022</c:v>
                </c:pt>
                <c:pt idx="6475">
                  <c:v>0.1374610627998348</c:v>
                </c:pt>
                <c:pt idx="6476">
                  <c:v>0.13740952691637148</c:v>
                </c:pt>
                <c:pt idx="6477">
                  <c:v>0.13735799124125056</c:v>
                </c:pt>
                <c:pt idx="6478">
                  <c:v>0.13730645577421044</c:v>
                </c:pt>
                <c:pt idx="6479">
                  <c:v>0.13725492051499014</c:v>
                </c:pt>
                <c:pt idx="6480">
                  <c:v>0.13720338546332875</c:v>
                </c:pt>
                <c:pt idx="6481">
                  <c:v>0.13715185061896587</c:v>
                </c:pt>
                <c:pt idx="6482">
                  <c:v>0.13710031598164132</c:v>
                </c:pt>
                <c:pt idx="6483">
                  <c:v>0.13704878155109532</c:v>
                </c:pt>
                <c:pt idx="6484">
                  <c:v>0.13699724732706833</c:v>
                </c:pt>
                <c:pt idx="6485">
                  <c:v>0.13694571330930125</c:v>
                </c:pt>
                <c:pt idx="6486">
                  <c:v>0.13689417949753516</c:v>
                </c:pt>
                <c:pt idx="6487">
                  <c:v>0.13684264589151163</c:v>
                </c:pt>
                <c:pt idx="6488">
                  <c:v>0.13679111249097237</c:v>
                </c:pt>
                <c:pt idx="6489">
                  <c:v>0.13673957929565964</c:v>
                </c:pt>
                <c:pt idx="6490">
                  <c:v>0.13668804630531575</c:v>
                </c:pt>
                <c:pt idx="6491">
                  <c:v>0.13663651351968359</c:v>
                </c:pt>
                <c:pt idx="6492">
                  <c:v>0.13658498093850627</c:v>
                </c:pt>
                <c:pt idx="6493">
                  <c:v>0.13653344856152713</c:v>
                </c:pt>
                <c:pt idx="6494">
                  <c:v>0.13648191638849</c:v>
                </c:pt>
                <c:pt idx="6495">
                  <c:v>0.13643038441913888</c:v>
                </c:pt>
                <c:pt idx="6496">
                  <c:v>0.13637885265321822</c:v>
                </c:pt>
                <c:pt idx="6497">
                  <c:v>0.13632732109047271</c:v>
                </c:pt>
                <c:pt idx="6498">
                  <c:v>0.13627578973064738</c:v>
                </c:pt>
                <c:pt idx="6499">
                  <c:v>0.13622425857348755</c:v>
                </c:pt>
                <c:pt idx="6500">
                  <c:v>0.13617272761873894</c:v>
                </c:pt>
                <c:pt idx="6501">
                  <c:v>0.13612119686614751</c:v>
                </c:pt>
                <c:pt idx="6502">
                  <c:v>0.13606966631545961</c:v>
                </c:pt>
                <c:pt idx="6503">
                  <c:v>0.13601813596642182</c:v>
                </c:pt>
                <c:pt idx="6504">
                  <c:v>0.13596660581878109</c:v>
                </c:pt>
                <c:pt idx="6505">
                  <c:v>0.13591507587228469</c:v>
                </c:pt>
                <c:pt idx="6506">
                  <c:v>0.1358635461266802</c:v>
                </c:pt>
                <c:pt idx="6507">
                  <c:v>0.13581201658171554</c:v>
                </c:pt>
                <c:pt idx="6508">
                  <c:v>0.1357604872371389</c:v>
                </c:pt>
                <c:pt idx="6509">
                  <c:v>0.13570895809269884</c:v>
                </c:pt>
                <c:pt idx="6510">
                  <c:v>0.13565742914814413</c:v>
                </c:pt>
                <c:pt idx="6511">
                  <c:v>0.13560590040322401</c:v>
                </c:pt>
                <c:pt idx="6512">
                  <c:v>0.1355543718576879</c:v>
                </c:pt>
                <c:pt idx="6513">
                  <c:v>0.13550284351128564</c:v>
                </c:pt>
                <c:pt idx="6514">
                  <c:v>0.13545131536376728</c:v>
                </c:pt>
                <c:pt idx="6515">
                  <c:v>0.13539978741488329</c:v>
                </c:pt>
                <c:pt idx="6516">
                  <c:v>0.13534825966438435</c:v>
                </c:pt>
                <c:pt idx="6517">
                  <c:v>0.13529673211202153</c:v>
                </c:pt>
                <c:pt idx="6518">
                  <c:v>0.13524520475754617</c:v>
                </c:pt>
                <c:pt idx="6519">
                  <c:v>0.13519367760070997</c:v>
                </c:pt>
                <c:pt idx="6520">
                  <c:v>0.13514215064126486</c:v>
                </c:pt>
                <c:pt idx="6521">
                  <c:v>0.13509062387896315</c:v>
                </c:pt>
                <c:pt idx="6522">
                  <c:v>0.13503909731355748</c:v>
                </c:pt>
                <c:pt idx="6523">
                  <c:v>0.13498757094480071</c:v>
                </c:pt>
                <c:pt idx="6524">
                  <c:v>0.13493604477244608</c:v>
                </c:pt>
                <c:pt idx="6525">
                  <c:v>0.1348845187962471</c:v>
                </c:pt>
                <c:pt idx="6526">
                  <c:v>0.13483299301595766</c:v>
                </c:pt>
                <c:pt idx="6527">
                  <c:v>0.13478146743133188</c:v>
                </c:pt>
                <c:pt idx="6528">
                  <c:v>0.13472994204212421</c:v>
                </c:pt>
                <c:pt idx="6529">
                  <c:v>0.1346784168480894</c:v>
                </c:pt>
                <c:pt idx="6530">
                  <c:v>0.13462689184898258</c:v>
                </c:pt>
                <c:pt idx="6531">
                  <c:v>0.13457536704455908</c:v>
                </c:pt>
                <c:pt idx="6532">
                  <c:v>0.1345238424345746</c:v>
                </c:pt>
                <c:pt idx="6533">
                  <c:v>0.13447231801878515</c:v>
                </c:pt>
                <c:pt idx="6534">
                  <c:v>0.13442079379694705</c:v>
                </c:pt>
                <c:pt idx="6535">
                  <c:v>0.13436926976881683</c:v>
                </c:pt>
                <c:pt idx="6536">
                  <c:v>0.13431774593415144</c:v>
                </c:pt>
                <c:pt idx="6537">
                  <c:v>0.13426622229270815</c:v>
                </c:pt>
                <c:pt idx="6538">
                  <c:v>0.13421469884424442</c:v>
                </c:pt>
                <c:pt idx="6539">
                  <c:v>0.13416317558851812</c:v>
                </c:pt>
                <c:pt idx="6540">
                  <c:v>0.13411165252528734</c:v>
                </c:pt>
                <c:pt idx="6541">
                  <c:v>0.13406012965431055</c:v>
                </c:pt>
                <c:pt idx="6542">
                  <c:v>0.13400860697534642</c:v>
                </c:pt>
                <c:pt idx="6543">
                  <c:v>0.13395708448815408</c:v>
                </c:pt>
                <c:pt idx="6544">
                  <c:v>0.13390556219249278</c:v>
                </c:pt>
                <c:pt idx="6545">
                  <c:v>0.13385404008812227</c:v>
                </c:pt>
                <c:pt idx="6546">
                  <c:v>0.13380251817480238</c:v>
                </c:pt>
                <c:pt idx="6547">
                  <c:v>0.13375099645229346</c:v>
                </c:pt>
                <c:pt idx="6548">
                  <c:v>0.13369947492035597</c:v>
                </c:pt>
                <c:pt idx="6549">
                  <c:v>0.13364795357875084</c:v>
                </c:pt>
                <c:pt idx="6550">
                  <c:v>0.13359643242723912</c:v>
                </c:pt>
                <c:pt idx="6551">
                  <c:v>0.13354491146558234</c:v>
                </c:pt>
                <c:pt idx="6552">
                  <c:v>0.13349339069354227</c:v>
                </c:pt>
                <c:pt idx="6553">
                  <c:v>0.13344187011088085</c:v>
                </c:pt>
                <c:pt idx="6554">
                  <c:v>0.13339034971736052</c:v>
                </c:pt>
                <c:pt idx="6555">
                  <c:v>0.13333882951274384</c:v>
                </c:pt>
                <c:pt idx="6556">
                  <c:v>0.13328730949679385</c:v>
                </c:pt>
                <c:pt idx="6557">
                  <c:v>0.13323578966927371</c:v>
                </c:pt>
                <c:pt idx="6558">
                  <c:v>0.13318427002994701</c:v>
                </c:pt>
                <c:pt idx="6559">
                  <c:v>0.13313275057857751</c:v>
                </c:pt>
                <c:pt idx="6560">
                  <c:v>0.13308123131492944</c:v>
                </c:pt>
                <c:pt idx="6561">
                  <c:v>0.13302971223876711</c:v>
                </c:pt>
                <c:pt idx="6562">
                  <c:v>0.13297819334985533</c:v>
                </c:pt>
                <c:pt idx="6563">
                  <c:v>0.13292667464795907</c:v>
                </c:pt>
                <c:pt idx="6564">
                  <c:v>0.13287515613284367</c:v>
                </c:pt>
                <c:pt idx="6565">
                  <c:v>0.1328236378042747</c:v>
                </c:pt>
                <c:pt idx="6566">
                  <c:v>0.13277211966201807</c:v>
                </c:pt>
                <c:pt idx="6567">
                  <c:v>0.13272060170584002</c:v>
                </c:pt>
                <c:pt idx="6568">
                  <c:v>0.13266908393550697</c:v>
                </c:pt>
                <c:pt idx="6569">
                  <c:v>0.13261756635078575</c:v>
                </c:pt>
                <c:pt idx="6570">
                  <c:v>0.13256604895144339</c:v>
                </c:pt>
                <c:pt idx="6571">
                  <c:v>0.13251453173724731</c:v>
                </c:pt>
                <c:pt idx="6572">
                  <c:v>0.13246301470796507</c:v>
                </c:pt>
                <c:pt idx="6573">
                  <c:v>0.13241149786336473</c:v>
                </c:pt>
                <c:pt idx="6574">
                  <c:v>0.13235998120321443</c:v>
                </c:pt>
                <c:pt idx="6575">
                  <c:v>0.1323084647272828</c:v>
                </c:pt>
                <c:pt idx="6576">
                  <c:v>0.13225694843533858</c:v>
                </c:pt>
                <c:pt idx="6577">
                  <c:v>0.13220543232715093</c:v>
                </c:pt>
                <c:pt idx="6578">
                  <c:v>0.13215391640248919</c:v>
                </c:pt>
                <c:pt idx="6579">
                  <c:v>0.13210240066112311</c:v>
                </c:pt>
                <c:pt idx="6580">
                  <c:v>0.13205088510282265</c:v>
                </c:pt>
                <c:pt idx="6581">
                  <c:v>0.13199936972735807</c:v>
                </c:pt>
                <c:pt idx="6582">
                  <c:v>0.13194785453449992</c:v>
                </c:pt>
                <c:pt idx="6583">
                  <c:v>0.13189633952401905</c:v>
                </c:pt>
                <c:pt idx="6584">
                  <c:v>0.13184482469568662</c:v>
                </c:pt>
                <c:pt idx="6585">
                  <c:v>0.131793310049274</c:v>
                </c:pt>
                <c:pt idx="6586">
                  <c:v>0.13174179558455293</c:v>
                </c:pt>
                <c:pt idx="6587">
                  <c:v>0.13169028130129537</c:v>
                </c:pt>
                <c:pt idx="6588">
                  <c:v>0.13163876719927367</c:v>
                </c:pt>
                <c:pt idx="6589">
                  <c:v>0.13158725327826029</c:v>
                </c:pt>
                <c:pt idx="6590">
                  <c:v>0.13153573953802816</c:v>
                </c:pt>
                <c:pt idx="6591">
                  <c:v>0.13148422597835036</c:v>
                </c:pt>
                <c:pt idx="6592">
                  <c:v>0.13143271259900036</c:v>
                </c:pt>
                <c:pt idx="6593">
                  <c:v>0.13138119939975182</c:v>
                </c:pt>
                <c:pt idx="6594">
                  <c:v>0.13132968638037876</c:v>
                </c:pt>
                <c:pt idx="6595">
                  <c:v>0.13127817354065541</c:v>
                </c:pt>
                <c:pt idx="6596">
                  <c:v>0.13122666088035637</c:v>
                </c:pt>
                <c:pt idx="6597">
                  <c:v>0.13117514839925642</c:v>
                </c:pt>
                <c:pt idx="6598">
                  <c:v>0.13112363609713074</c:v>
                </c:pt>
                <c:pt idx="6599">
                  <c:v>0.1310721239737547</c:v>
                </c:pt>
                <c:pt idx="6600">
                  <c:v>0.131020612028904</c:v>
                </c:pt>
                <c:pt idx="6601">
                  <c:v>0.13096910026235459</c:v>
                </c:pt>
                <c:pt idx="6602">
                  <c:v>0.13091758867388273</c:v>
                </c:pt>
                <c:pt idx="6603">
                  <c:v>0.13086607726326493</c:v>
                </c:pt>
                <c:pt idx="6604">
                  <c:v>0.130814566030278</c:v>
                </c:pt>
                <c:pt idx="6605">
                  <c:v>0.13076305497469903</c:v>
                </c:pt>
                <c:pt idx="6606">
                  <c:v>0.13071154409630539</c:v>
                </c:pt>
                <c:pt idx="6607">
                  <c:v>0.13066003339487475</c:v>
                </c:pt>
                <c:pt idx="6608">
                  <c:v>0.13060852287018501</c:v>
                </c:pt>
                <c:pt idx="6609">
                  <c:v>0.13055701252201438</c:v>
                </c:pt>
                <c:pt idx="6610">
                  <c:v>0.1305055023501413</c:v>
                </c:pt>
                <c:pt idx="6611">
                  <c:v>0.13045399235434463</c:v>
                </c:pt>
                <c:pt idx="6612">
                  <c:v>0.13040248253440329</c:v>
                </c:pt>
                <c:pt idx="6613">
                  <c:v>0.13035097289009667</c:v>
                </c:pt>
                <c:pt idx="6614">
                  <c:v>0.13029946342120435</c:v>
                </c:pt>
                <c:pt idx="6615">
                  <c:v>0.1302479541275062</c:v>
                </c:pt>
                <c:pt idx="6616">
                  <c:v>0.13019644500878239</c:v>
                </c:pt>
                <c:pt idx="6617">
                  <c:v>0.13014493606481325</c:v>
                </c:pt>
                <c:pt idx="6618">
                  <c:v>0.13009342729537962</c:v>
                </c:pt>
                <c:pt idx="6619">
                  <c:v>0.13004191870026233</c:v>
                </c:pt>
                <c:pt idx="6620">
                  <c:v>0.12999041027924271</c:v>
                </c:pt>
                <c:pt idx="6621">
                  <c:v>0.12993890203210226</c:v>
                </c:pt>
                <c:pt idx="6622">
                  <c:v>0.12988739395862278</c:v>
                </c:pt>
                <c:pt idx="6623">
                  <c:v>0.12983588605858631</c:v>
                </c:pt>
                <c:pt idx="6624">
                  <c:v>0.12978437833177525</c:v>
                </c:pt>
                <c:pt idx="6625">
                  <c:v>0.12973287077797216</c:v>
                </c:pt>
                <c:pt idx="6626">
                  <c:v>0.12968136339695999</c:v>
                </c:pt>
                <c:pt idx="6627">
                  <c:v>0.12962985618852182</c:v>
                </c:pt>
                <c:pt idx="6628">
                  <c:v>0.12957834915244112</c:v>
                </c:pt>
                <c:pt idx="6629">
                  <c:v>0.12952684228850164</c:v>
                </c:pt>
                <c:pt idx="6630">
                  <c:v>0.1294753355964873</c:v>
                </c:pt>
                <c:pt idx="6631">
                  <c:v>0.12942382907618238</c:v>
                </c:pt>
                <c:pt idx="6632">
                  <c:v>0.12937232272737137</c:v>
                </c:pt>
                <c:pt idx="6633">
                  <c:v>0.1293208165498391</c:v>
                </c:pt>
                <c:pt idx="6634">
                  <c:v>0.12926931054337057</c:v>
                </c:pt>
                <c:pt idx="6635">
                  <c:v>0.12921780470775118</c:v>
                </c:pt>
                <c:pt idx="6636">
                  <c:v>0.12916629904276647</c:v>
                </c:pt>
                <c:pt idx="6637">
                  <c:v>0.12911479354820235</c:v>
                </c:pt>
                <c:pt idx="6638">
                  <c:v>0.12906328822384489</c:v>
                </c:pt>
                <c:pt idx="6639">
                  <c:v>0.12901178306948058</c:v>
                </c:pt>
                <c:pt idx="6640">
                  <c:v>0.12896027808489602</c:v>
                </c:pt>
                <c:pt idx="6641">
                  <c:v>0.12890877326987818</c:v>
                </c:pt>
                <c:pt idx="6642">
                  <c:v>0.12885726862421429</c:v>
                </c:pt>
                <c:pt idx="6643">
                  <c:v>0.12880576414769176</c:v>
                </c:pt>
                <c:pt idx="6644">
                  <c:v>0.12875425984009842</c:v>
                </c:pt>
                <c:pt idx="6645">
                  <c:v>0.12870275570122219</c:v>
                </c:pt>
                <c:pt idx="6646">
                  <c:v>0.12865125173085143</c:v>
                </c:pt>
                <c:pt idx="6647">
                  <c:v>0.1285997479287746</c:v>
                </c:pt>
                <c:pt idx="6648">
                  <c:v>0.12854824429478057</c:v>
                </c:pt>
                <c:pt idx="6649">
                  <c:v>0.12849674082865833</c:v>
                </c:pt>
                <c:pt idx="6650">
                  <c:v>0.12844523753019729</c:v>
                </c:pt>
                <c:pt idx="6651">
                  <c:v>0.12839373439918703</c:v>
                </c:pt>
                <c:pt idx="6652">
                  <c:v>0.1283422314354174</c:v>
                </c:pt>
                <c:pt idx="6653">
                  <c:v>0.12829072863867849</c:v>
                </c:pt>
                <c:pt idx="6654">
                  <c:v>0.12823922600876078</c:v>
                </c:pt>
                <c:pt idx="6655">
                  <c:v>0.12818772354545482</c:v>
                </c:pt>
                <c:pt idx="6656">
                  <c:v>0.12813622124855165</c:v>
                </c:pt>
                <c:pt idx="6657">
                  <c:v>0.12808471911784231</c:v>
                </c:pt>
                <c:pt idx="6658">
                  <c:v>0.12803321715311833</c:v>
                </c:pt>
                <c:pt idx="6659">
                  <c:v>0.12798171535417138</c:v>
                </c:pt>
                <c:pt idx="6660">
                  <c:v>0.12793021372079344</c:v>
                </c:pt>
                <c:pt idx="6661">
                  <c:v>0.12787871225277672</c:v>
                </c:pt>
                <c:pt idx="6662">
                  <c:v>0.12782721094991373</c:v>
                </c:pt>
                <c:pt idx="6663">
                  <c:v>0.12777570981199718</c:v>
                </c:pt>
                <c:pt idx="6664">
                  <c:v>0.12772420883882007</c:v>
                </c:pt>
                <c:pt idx="6665">
                  <c:v>0.12767270803017572</c:v>
                </c:pt>
                <c:pt idx="6666">
                  <c:v>0.12762120738585758</c:v>
                </c:pt>
                <c:pt idx="6667">
                  <c:v>0.12756970690565952</c:v>
                </c:pt>
                <c:pt idx="6668">
                  <c:v>0.12751820658937552</c:v>
                </c:pt>
                <c:pt idx="6669">
                  <c:v>0.12746670643679991</c:v>
                </c:pt>
                <c:pt idx="6670">
                  <c:v>0.12741520644772719</c:v>
                </c:pt>
                <c:pt idx="6671">
                  <c:v>0.12736370662195229</c:v>
                </c:pt>
                <c:pt idx="6672">
                  <c:v>0.12731220695927015</c:v>
                </c:pt>
                <c:pt idx="6673">
                  <c:v>0.12726070745947621</c:v>
                </c:pt>
                <c:pt idx="6674">
                  <c:v>0.12720920812236602</c:v>
                </c:pt>
                <c:pt idx="6675">
                  <c:v>0.1271577089477354</c:v>
                </c:pt>
                <c:pt idx="6676">
                  <c:v>0.12710620993538049</c:v>
                </c:pt>
                <c:pt idx="6677">
                  <c:v>0.12705471108509764</c:v>
                </c:pt>
                <c:pt idx="6678">
                  <c:v>0.12700321239668344</c:v>
                </c:pt>
                <c:pt idx="6679">
                  <c:v>0.12695171386993476</c:v>
                </c:pt>
                <c:pt idx="6680">
                  <c:v>0.12690021550464878</c:v>
                </c:pt>
                <c:pt idx="6681">
                  <c:v>0.12684871730062278</c:v>
                </c:pt>
                <c:pt idx="6682">
                  <c:v>0.12679721925765447</c:v>
                </c:pt>
                <c:pt idx="6683">
                  <c:v>0.12674572137554171</c:v>
                </c:pt>
                <c:pt idx="6684">
                  <c:v>0.12669422365408264</c:v>
                </c:pt>
                <c:pt idx="6685">
                  <c:v>0.12664272609307564</c:v>
                </c:pt>
                <c:pt idx="6686">
                  <c:v>0.12659122869231937</c:v>
                </c:pt>
                <c:pt idx="6687">
                  <c:v>0.12653973145161271</c:v>
                </c:pt>
                <c:pt idx="6688">
                  <c:v>0.12648823437075488</c:v>
                </c:pt>
                <c:pt idx="6689">
                  <c:v>0.12643673744954514</c:v>
                </c:pt>
                <c:pt idx="6690">
                  <c:v>0.12638524068778328</c:v>
                </c:pt>
                <c:pt idx="6691">
                  <c:v>0.12633374408526918</c:v>
                </c:pt>
                <c:pt idx="6692">
                  <c:v>0.12628224764180293</c:v>
                </c:pt>
                <c:pt idx="6693">
                  <c:v>0.12623075135718503</c:v>
                </c:pt>
                <c:pt idx="6694">
                  <c:v>0.12617925523121604</c:v>
                </c:pt>
                <c:pt idx="6695">
                  <c:v>0.12612775926369696</c:v>
                </c:pt>
                <c:pt idx="6696">
                  <c:v>0.12607626345442888</c:v>
                </c:pt>
                <c:pt idx="6697">
                  <c:v>0.12602476780321326</c:v>
                </c:pt>
                <c:pt idx="6698">
                  <c:v>0.12597327230985172</c:v>
                </c:pt>
                <c:pt idx="6699">
                  <c:v>0.12592177697414619</c:v>
                </c:pt>
                <c:pt idx="6700">
                  <c:v>0.12587028179589876</c:v>
                </c:pt>
                <c:pt idx="6701">
                  <c:v>0.12581878677491196</c:v>
                </c:pt>
                <c:pt idx="6702">
                  <c:v>0.12576729191098832</c:v>
                </c:pt>
                <c:pt idx="6703">
                  <c:v>0.12571579720393078</c:v>
                </c:pt>
                <c:pt idx="6704">
                  <c:v>0.1256643026535425</c:v>
                </c:pt>
                <c:pt idx="6705">
                  <c:v>0.12561280825962684</c:v>
                </c:pt>
                <c:pt idx="6706">
                  <c:v>0.1255613140219875</c:v>
                </c:pt>
                <c:pt idx="6707">
                  <c:v>0.12550981994042829</c:v>
                </c:pt>
                <c:pt idx="6708">
                  <c:v>0.1254583260147534</c:v>
                </c:pt>
                <c:pt idx="6709">
                  <c:v>0.12540683224476717</c:v>
                </c:pt>
                <c:pt idx="6710">
                  <c:v>0.12535533863027429</c:v>
                </c:pt>
                <c:pt idx="6711">
                  <c:v>0.12530384517107951</c:v>
                </c:pt>
                <c:pt idx="6712">
                  <c:v>0.12525235186698808</c:v>
                </c:pt>
                <c:pt idx="6713">
                  <c:v>0.12520085871780523</c:v>
                </c:pt>
                <c:pt idx="6714">
                  <c:v>0.12514936572333665</c:v>
                </c:pt>
                <c:pt idx="6715">
                  <c:v>0.12509787288338814</c:v>
                </c:pt>
                <c:pt idx="6716">
                  <c:v>0.12504638019776584</c:v>
                </c:pt>
                <c:pt idx="6717">
                  <c:v>0.12499488766627602</c:v>
                </c:pt>
                <c:pt idx="6718">
                  <c:v>0.12494339528872529</c:v>
                </c:pt>
                <c:pt idx="6719">
                  <c:v>0.12489190306492046</c:v>
                </c:pt>
                <c:pt idx="6720">
                  <c:v>0.12484041099466861</c:v>
                </c:pt>
                <c:pt idx="6721">
                  <c:v>0.12478891907777702</c:v>
                </c:pt>
                <c:pt idx="6722">
                  <c:v>0.12473742731405325</c:v>
                </c:pt>
                <c:pt idx="6723">
                  <c:v>0.12468593570330508</c:v>
                </c:pt>
                <c:pt idx="6724">
                  <c:v>0.12463444424534055</c:v>
                </c:pt>
                <c:pt idx="6725">
                  <c:v>0.12458295293996791</c:v>
                </c:pt>
                <c:pt idx="6726">
                  <c:v>0.12453146178699567</c:v>
                </c:pt>
                <c:pt idx="6727">
                  <c:v>0.1244799707862326</c:v>
                </c:pt>
                <c:pt idx="6728">
                  <c:v>0.12442847993748767</c:v>
                </c:pt>
                <c:pt idx="6729">
                  <c:v>0.12437698924057011</c:v>
                </c:pt>
                <c:pt idx="6730">
                  <c:v>0.12432549869528942</c:v>
                </c:pt>
                <c:pt idx="6731">
                  <c:v>0.12427400830145525</c:v>
                </c:pt>
                <c:pt idx="6732">
                  <c:v>0.1242225180588776</c:v>
                </c:pt>
                <c:pt idx="6733">
                  <c:v>0.12417102796736663</c:v>
                </c:pt>
                <c:pt idx="6734">
                  <c:v>0.12411953802673276</c:v>
                </c:pt>
                <c:pt idx="6735">
                  <c:v>0.12406804823678667</c:v>
                </c:pt>
                <c:pt idx="6736">
                  <c:v>0.12401655859733925</c:v>
                </c:pt>
                <c:pt idx="6737">
                  <c:v>0.12396506910820164</c:v>
                </c:pt>
                <c:pt idx="6738">
                  <c:v>0.1239135797691852</c:v>
                </c:pt>
                <c:pt idx="6739">
                  <c:v>0.12386209058010154</c:v>
                </c:pt>
                <c:pt idx="6740">
                  <c:v>0.12381060154076254</c:v>
                </c:pt>
                <c:pt idx="6741">
                  <c:v>0.12375911265098025</c:v>
                </c:pt>
                <c:pt idx="6742">
                  <c:v>0.12370762391056699</c:v>
                </c:pt>
                <c:pt idx="6743">
                  <c:v>0.12365613531933531</c:v>
                </c:pt>
                <c:pt idx="6744">
                  <c:v>0.12360464687709802</c:v>
                </c:pt>
                <c:pt idx="6745">
                  <c:v>0.12355315858366812</c:v>
                </c:pt>
                <c:pt idx="6746">
                  <c:v>0.1235016704388589</c:v>
                </c:pt>
                <c:pt idx="6747">
                  <c:v>0.12345018244248383</c:v>
                </c:pt>
                <c:pt idx="6748">
                  <c:v>0.12339869459435664</c:v>
                </c:pt>
                <c:pt idx="6749">
                  <c:v>0.12334720689429128</c:v>
                </c:pt>
                <c:pt idx="6750">
                  <c:v>0.12329571934210196</c:v>
                </c:pt>
                <c:pt idx="6751">
                  <c:v>0.12324423193760312</c:v>
                </c:pt>
                <c:pt idx="6752">
                  <c:v>0.12319274468060938</c:v>
                </c:pt>
                <c:pt idx="6753">
                  <c:v>0.12314125757093568</c:v>
                </c:pt>
                <c:pt idx="6754">
                  <c:v>0.12308977060839711</c:v>
                </c:pt>
                <c:pt idx="6755">
                  <c:v>0.12303828379280904</c:v>
                </c:pt>
                <c:pt idx="6756">
                  <c:v>0.12298679712398707</c:v>
                </c:pt>
                <c:pt idx="6757">
                  <c:v>0.12293531060174701</c:v>
                </c:pt>
                <c:pt idx="6758">
                  <c:v>0.12288382422590489</c:v>
                </c:pt>
                <c:pt idx="6759">
                  <c:v>0.12283233799627702</c:v>
                </c:pt>
                <c:pt idx="6760">
                  <c:v>0.12278085191267991</c:v>
                </c:pt>
                <c:pt idx="6761">
                  <c:v>0.12272936597493031</c:v>
                </c:pt>
                <c:pt idx="6762">
                  <c:v>0.12267788018284516</c:v>
                </c:pt>
                <c:pt idx="6763">
                  <c:v>0.1226263945362417</c:v>
                </c:pt>
                <c:pt idx="6764">
                  <c:v>0.12257490903493734</c:v>
                </c:pt>
                <c:pt idx="6765">
                  <c:v>0.12252342367874974</c:v>
                </c:pt>
                <c:pt idx="6766">
                  <c:v>0.12247193846749681</c:v>
                </c:pt>
                <c:pt idx="6767">
                  <c:v>0.12242045340099665</c:v>
                </c:pt>
                <c:pt idx="6768">
                  <c:v>0.12236896847906761</c:v>
                </c:pt>
                <c:pt idx="6769">
                  <c:v>0.12231748370152828</c:v>
                </c:pt>
                <c:pt idx="6770">
                  <c:v>0.12226599906819745</c:v>
                </c:pt>
                <c:pt idx="6771">
                  <c:v>0.12221451457889415</c:v>
                </c:pt>
                <c:pt idx="6772">
                  <c:v>0.12216303023343764</c:v>
                </c:pt>
                <c:pt idx="6773">
                  <c:v>0.12211154603164739</c:v>
                </c:pt>
                <c:pt idx="6774">
                  <c:v>0.12206006197334314</c:v>
                </c:pt>
                <c:pt idx="6775">
                  <c:v>0.12200857805834479</c:v>
                </c:pt>
                <c:pt idx="6776">
                  <c:v>0.12195709428647254</c:v>
                </c:pt>
                <c:pt idx="6777">
                  <c:v>0.12190561065754675</c:v>
                </c:pt>
                <c:pt idx="6778">
                  <c:v>0.12185412717138805</c:v>
                </c:pt>
                <c:pt idx="6779">
                  <c:v>0.12180264382781726</c:v>
                </c:pt>
                <c:pt idx="6780">
                  <c:v>0.12175116062665545</c:v>
                </c:pt>
                <c:pt idx="6781">
                  <c:v>0.12169967756772393</c:v>
                </c:pt>
                <c:pt idx="6782">
                  <c:v>0.12164819465084419</c:v>
                </c:pt>
                <c:pt idx="6783">
                  <c:v>0.12159671187583797</c:v>
                </c:pt>
                <c:pt idx="6784">
                  <c:v>0.12154522924252724</c:v>
                </c:pt>
                <c:pt idx="6785">
                  <c:v>0.12149374675073417</c:v>
                </c:pt>
                <c:pt idx="6786">
                  <c:v>0.12144226440028118</c:v>
                </c:pt>
                <c:pt idx="6787">
                  <c:v>0.12139078219099089</c:v>
                </c:pt>
                <c:pt idx="6788">
                  <c:v>0.12133930012268615</c:v>
                </c:pt>
                <c:pt idx="6789">
                  <c:v>0.12128781819519005</c:v>
                </c:pt>
                <c:pt idx="6790">
                  <c:v>0.12123633640832587</c:v>
                </c:pt>
                <c:pt idx="6791">
                  <c:v>0.12118485476191714</c:v>
                </c:pt>
                <c:pt idx="6792">
                  <c:v>0.12113337325578757</c:v>
                </c:pt>
                <c:pt idx="6793">
                  <c:v>0.12108189188976116</c:v>
                </c:pt>
                <c:pt idx="6794">
                  <c:v>0.12103041066366209</c:v>
                </c:pt>
                <c:pt idx="6795">
                  <c:v>0.12097892957731474</c:v>
                </c:pt>
                <c:pt idx="6796">
                  <c:v>0.12092744863054372</c:v>
                </c:pt>
                <c:pt idx="6797">
                  <c:v>0.1208759678231739</c:v>
                </c:pt>
                <c:pt idx="6798">
                  <c:v>0.12082448715503036</c:v>
                </c:pt>
                <c:pt idx="6799">
                  <c:v>0.12077300662593835</c:v>
                </c:pt>
                <c:pt idx="6800">
                  <c:v>0.12072152623572338</c:v>
                </c:pt>
                <c:pt idx="6801">
                  <c:v>0.12067004598421116</c:v>
                </c:pt>
                <c:pt idx="6802">
                  <c:v>0.12061856587122766</c:v>
                </c:pt>
                <c:pt idx="6803">
                  <c:v>0.12056708589659901</c:v>
                </c:pt>
                <c:pt idx="6804">
                  <c:v>0.12051560606015159</c:v>
                </c:pt>
                <c:pt idx="6805">
                  <c:v>0.120464126361712</c:v>
                </c:pt>
                <c:pt idx="6806">
                  <c:v>0.12041264680110705</c:v>
                </c:pt>
                <c:pt idx="6807">
                  <c:v>0.12036116737816377</c:v>
                </c:pt>
                <c:pt idx="6808">
                  <c:v>0.12030968809270939</c:v>
                </c:pt>
                <c:pt idx="6809">
                  <c:v>0.1202582089445714</c:v>
                </c:pt>
                <c:pt idx="6810">
                  <c:v>0.12020672993357746</c:v>
                </c:pt>
                <c:pt idx="6811">
                  <c:v>0.12015525105955546</c:v>
                </c:pt>
                <c:pt idx="6812">
                  <c:v>0.12010377232233353</c:v>
                </c:pt>
                <c:pt idx="6813">
                  <c:v>0.12005229372173999</c:v>
                </c:pt>
                <c:pt idx="6814">
                  <c:v>0.12000081525760338</c:v>
                </c:pt>
                <c:pt idx="6815">
                  <c:v>0.11994933692975246</c:v>
                </c:pt>
                <c:pt idx="6816">
                  <c:v>0.11989785873801619</c:v>
                </c:pt>
                <c:pt idx="6817">
                  <c:v>0.11984638068222378</c:v>
                </c:pt>
                <c:pt idx="6818">
                  <c:v>0.1197949027622046</c:v>
                </c:pt>
                <c:pt idx="6819">
                  <c:v>0.1197434249777883</c:v>
                </c:pt>
                <c:pt idx="6820">
                  <c:v>0.11969194732880468</c:v>
                </c:pt>
                <c:pt idx="6821">
                  <c:v>0.11964046981508382</c:v>
                </c:pt>
                <c:pt idx="6822">
                  <c:v>0.11958899243645593</c:v>
                </c:pt>
                <c:pt idx="6823">
                  <c:v>0.11953751519275151</c:v>
                </c:pt>
                <c:pt idx="6824">
                  <c:v>0.11948603808380123</c:v>
                </c:pt>
                <c:pt idx="6825">
                  <c:v>0.119434561109436</c:v>
                </c:pt>
                <c:pt idx="6826">
                  <c:v>0.11938308426948689</c:v>
                </c:pt>
                <c:pt idx="6827">
                  <c:v>0.11933160756378525</c:v>
                </c:pt>
                <c:pt idx="6828">
                  <c:v>0.11928013099216261</c:v>
                </c:pt>
                <c:pt idx="6829">
                  <c:v>0.11922865455445071</c:v>
                </c:pt>
                <c:pt idx="6830">
                  <c:v>0.11917717825048149</c:v>
                </c:pt>
                <c:pt idx="6831">
                  <c:v>0.11912570208008712</c:v>
                </c:pt>
                <c:pt idx="6832">
                  <c:v>0.11907422604309997</c:v>
                </c:pt>
                <c:pt idx="6833">
                  <c:v>0.11902275013935265</c:v>
                </c:pt>
                <c:pt idx="6834">
                  <c:v>0.11897127436867792</c:v>
                </c:pt>
                <c:pt idx="6835">
                  <c:v>0.1189197987309088</c:v>
                </c:pt>
                <c:pt idx="6836">
                  <c:v>0.11886832322587851</c:v>
                </c:pt>
                <c:pt idx="6837">
                  <c:v>0.11881684785342046</c:v>
                </c:pt>
                <c:pt idx="6838">
                  <c:v>0.11876537261336829</c:v>
                </c:pt>
                <c:pt idx="6839">
                  <c:v>0.11871389750555585</c:v>
                </c:pt>
                <c:pt idx="6840">
                  <c:v>0.11866242252981717</c:v>
                </c:pt>
                <c:pt idx="6841">
                  <c:v>0.1186109476859865</c:v>
                </c:pt>
                <c:pt idx="6842">
                  <c:v>0.11855947297389835</c:v>
                </c:pt>
                <c:pt idx="6843">
                  <c:v>0.11850799839338737</c:v>
                </c:pt>
                <c:pt idx="6844">
                  <c:v>0.11845652394428843</c:v>
                </c:pt>
                <c:pt idx="6845">
                  <c:v>0.11840504962643662</c:v>
                </c:pt>
                <c:pt idx="6846">
                  <c:v>0.11835357543966726</c:v>
                </c:pt>
                <c:pt idx="6847">
                  <c:v>0.11830210138381583</c:v>
                </c:pt>
                <c:pt idx="6848">
                  <c:v>0.11825062745871805</c:v>
                </c:pt>
                <c:pt idx="6849">
                  <c:v>0.11819915366420981</c:v>
                </c:pt>
                <c:pt idx="6850">
                  <c:v>0.11814768000012726</c:v>
                </c:pt>
                <c:pt idx="6851">
                  <c:v>0.11809620646630672</c:v>
                </c:pt>
                <c:pt idx="6852">
                  <c:v>0.11804473306258471</c:v>
                </c:pt>
                <c:pt idx="6853">
                  <c:v>0.11799325978879799</c:v>
                </c:pt>
                <c:pt idx="6854">
                  <c:v>0.11794178664478347</c:v>
                </c:pt>
                <c:pt idx="6855">
                  <c:v>0.11789031363037832</c:v>
                </c:pt>
                <c:pt idx="6856">
                  <c:v>0.11783884074541986</c:v>
                </c:pt>
                <c:pt idx="6857">
                  <c:v>0.11778736798974568</c:v>
                </c:pt>
                <c:pt idx="6858">
                  <c:v>0.11773589536319352</c:v>
                </c:pt>
                <c:pt idx="6859">
                  <c:v>0.11768442286560137</c:v>
                </c:pt>
                <c:pt idx="6860">
                  <c:v>0.11763295049680735</c:v>
                </c:pt>
                <c:pt idx="6861">
                  <c:v>0.11758147825664986</c:v>
                </c:pt>
                <c:pt idx="6862">
                  <c:v>0.11753000614496747</c:v>
                </c:pt>
                <c:pt idx="6863">
                  <c:v>0.11747853416159894</c:v>
                </c:pt>
                <c:pt idx="6864">
                  <c:v>0.11742706230638326</c:v>
                </c:pt>
                <c:pt idx="6865">
                  <c:v>0.1173755905791596</c:v>
                </c:pt>
                <c:pt idx="6866">
                  <c:v>0.11732411897976734</c:v>
                </c:pt>
                <c:pt idx="6867">
                  <c:v>0.11727264750804607</c:v>
                </c:pt>
                <c:pt idx="6868">
                  <c:v>0.11722117616383557</c:v>
                </c:pt>
                <c:pt idx="6869">
                  <c:v>0.11716970494697582</c:v>
                </c:pt>
                <c:pt idx="6870">
                  <c:v>0.11711823385730701</c:v>
                </c:pt>
                <c:pt idx="6871">
                  <c:v>0.11706676289466952</c:v>
                </c:pt>
                <c:pt idx="6872">
                  <c:v>0.11701529205890392</c:v>
                </c:pt>
                <c:pt idx="6873">
                  <c:v>0.11696382134985103</c:v>
                </c:pt>
                <c:pt idx="6874">
                  <c:v>0.11691235076735182</c:v>
                </c:pt>
                <c:pt idx="6875">
                  <c:v>0.11686088031124749</c:v>
                </c:pt>
                <c:pt idx="6876">
                  <c:v>0.1168094099813794</c:v>
                </c:pt>
                <c:pt idx="6877">
                  <c:v>0.11675793977758914</c:v>
                </c:pt>
                <c:pt idx="6878">
                  <c:v>0.1167064696997185</c:v>
                </c:pt>
                <c:pt idx="6879">
                  <c:v>0.11665499974760946</c:v>
                </c:pt>
                <c:pt idx="6880">
                  <c:v>0.11660352992110418</c:v>
                </c:pt>
                <c:pt idx="6881">
                  <c:v>0.11655206022004506</c:v>
                </c:pt>
                <c:pt idx="6882">
                  <c:v>0.11650059064427469</c:v>
                </c:pt>
                <c:pt idx="6883">
                  <c:v>0.1164491211936358</c:v>
                </c:pt>
                <c:pt idx="6884">
                  <c:v>0.11639765186797139</c:v>
                </c:pt>
                <c:pt idx="6885">
                  <c:v>0.11634618266712463</c:v>
                </c:pt>
                <c:pt idx="6886">
                  <c:v>0.11629471359093885</c:v>
                </c:pt>
                <c:pt idx="6887">
                  <c:v>0.11624324463925763</c:v>
                </c:pt>
                <c:pt idx="6888">
                  <c:v>0.11619177581192475</c:v>
                </c:pt>
                <c:pt idx="6889">
                  <c:v>0.11614030710878413</c:v>
                </c:pt>
                <c:pt idx="6890">
                  <c:v>0.11608883852967995</c:v>
                </c:pt>
                <c:pt idx="6891">
                  <c:v>0.11603737007445653</c:v>
                </c:pt>
                <c:pt idx="6892">
                  <c:v>0.11598590174295841</c:v>
                </c:pt>
                <c:pt idx="6893">
                  <c:v>0.11593443353503033</c:v>
                </c:pt>
                <c:pt idx="6894">
                  <c:v>0.11588296545051721</c:v>
                </c:pt>
                <c:pt idx="6895">
                  <c:v>0.11583149748926419</c:v>
                </c:pt>
                <c:pt idx="6896">
                  <c:v>0.1157800296511166</c:v>
                </c:pt>
                <c:pt idx="6897">
                  <c:v>0.11572856193591992</c:v>
                </c:pt>
                <c:pt idx="6898">
                  <c:v>0.11567709434351987</c:v>
                </c:pt>
                <c:pt idx="6899">
                  <c:v>0.11562562687376235</c:v>
                </c:pt>
                <c:pt idx="6900">
                  <c:v>0.11557415952649346</c:v>
                </c:pt>
                <c:pt idx="6901">
                  <c:v>0.11552269230155948</c:v>
                </c:pt>
                <c:pt idx="6902">
                  <c:v>0.11547122519880688</c:v>
                </c:pt>
                <c:pt idx="6903">
                  <c:v>0.11541975821808236</c:v>
                </c:pt>
                <c:pt idx="6904">
                  <c:v>0.11536829135923275</c:v>
                </c:pt>
                <c:pt idx="6905">
                  <c:v>0.11531682462210514</c:v>
                </c:pt>
                <c:pt idx="6906">
                  <c:v>0.11526535800654676</c:v>
                </c:pt>
                <c:pt idx="6907">
                  <c:v>0.11521389151240505</c:v>
                </c:pt>
                <c:pt idx="6908">
                  <c:v>0.11516242513952765</c:v>
                </c:pt>
                <c:pt idx="6909">
                  <c:v>0.11511095888776238</c:v>
                </c:pt>
                <c:pt idx="6910">
                  <c:v>0.11505949275695725</c:v>
                </c:pt>
                <c:pt idx="6911">
                  <c:v>0.11500802674696047</c:v>
                </c:pt>
                <c:pt idx="6912">
                  <c:v>0.11495656085762042</c:v>
                </c:pt>
                <c:pt idx="6913">
                  <c:v>0.1149050950887857</c:v>
                </c:pt>
                <c:pt idx="6914">
                  <c:v>0.1148536294403051</c:v>
                </c:pt>
                <c:pt idx="6915">
                  <c:v>0.11480216391202755</c:v>
                </c:pt>
                <c:pt idx="6916">
                  <c:v>0.11475069850380223</c:v>
                </c:pt>
                <c:pt idx="6917">
                  <c:v>0.11469923321547848</c:v>
                </c:pt>
                <c:pt idx="6918">
                  <c:v>0.11464776804690582</c:v>
                </c:pt>
                <c:pt idx="6919">
                  <c:v>0.114596302997934</c:v>
                </c:pt>
                <c:pt idx="6920">
                  <c:v>0.1145448380684129</c:v>
                </c:pt>
                <c:pt idx="6921">
                  <c:v>0.11449337325819263</c:v>
                </c:pt>
                <c:pt idx="6922">
                  <c:v>0.1144419085671235</c:v>
                </c:pt>
                <c:pt idx="6923">
                  <c:v>0.11439044399505595</c:v>
                </c:pt>
                <c:pt idx="6924">
                  <c:v>0.11433897954184065</c:v>
                </c:pt>
                <c:pt idx="6925">
                  <c:v>0.11428751520732847</c:v>
                </c:pt>
                <c:pt idx="6926">
                  <c:v>0.11423605099137042</c:v>
                </c:pt>
                <c:pt idx="6927">
                  <c:v>0.11418458689381775</c:v>
                </c:pt>
                <c:pt idx="6928">
                  <c:v>0.11413312291452185</c:v>
                </c:pt>
                <c:pt idx="6929">
                  <c:v>0.11408165905333434</c:v>
                </c:pt>
                <c:pt idx="6930">
                  <c:v>0.11403019531010697</c:v>
                </c:pt>
                <c:pt idx="6931">
                  <c:v>0.11397873168469173</c:v>
                </c:pt>
                <c:pt idx="6932">
                  <c:v>0.11392726817694079</c:v>
                </c:pt>
                <c:pt idx="6933">
                  <c:v>0.11387580478670646</c:v>
                </c:pt>
                <c:pt idx="6934">
                  <c:v>0.11382434151384128</c:v>
                </c:pt>
                <c:pt idx="6935">
                  <c:v>0.11377287835819798</c:v>
                </c:pt>
                <c:pt idx="6936">
                  <c:v>0.11372141531962943</c:v>
                </c:pt>
                <c:pt idx="6937">
                  <c:v>0.1136699523979887</c:v>
                </c:pt>
                <c:pt idx="6938">
                  <c:v>0.11361848959312909</c:v>
                </c:pt>
                <c:pt idx="6939">
                  <c:v>0.11356702690490404</c:v>
                </c:pt>
                <c:pt idx="6940">
                  <c:v>0.11351556433316717</c:v>
                </c:pt>
                <c:pt idx="6941">
                  <c:v>0.1134641018777723</c:v>
                </c:pt>
                <c:pt idx="6942">
                  <c:v>0.11341263953857343</c:v>
                </c:pt>
                <c:pt idx="6943">
                  <c:v>0.11336117731542475</c:v>
                </c:pt>
                <c:pt idx="6944">
                  <c:v>0.11330971520818062</c:v>
                </c:pt>
                <c:pt idx="6945">
                  <c:v>0.1132582532166956</c:v>
                </c:pt>
                <c:pt idx="6946">
                  <c:v>0.1132067913408244</c:v>
                </c:pt>
                <c:pt idx="6947">
                  <c:v>0.11315532958042195</c:v>
                </c:pt>
                <c:pt idx="6948">
                  <c:v>0.11310386793534333</c:v>
                </c:pt>
                <c:pt idx="6949">
                  <c:v>0.11305240640544384</c:v>
                </c:pt>
                <c:pt idx="6950">
                  <c:v>0.11300094499057893</c:v>
                </c:pt>
                <c:pt idx="6951">
                  <c:v>0.11294948369060426</c:v>
                </c:pt>
                <c:pt idx="6952">
                  <c:v>0.11289802250537562</c:v>
                </c:pt>
                <c:pt idx="6953">
                  <c:v>0.11284656143474901</c:v>
                </c:pt>
                <c:pt idx="6954">
                  <c:v>0.11279510047858064</c:v>
                </c:pt>
                <c:pt idx="6955">
                  <c:v>0.11274363963672687</c:v>
                </c:pt>
                <c:pt idx="6956">
                  <c:v>0.11269217890904425</c:v>
                </c:pt>
                <c:pt idx="6957">
                  <c:v>0.11264071829538946</c:v>
                </c:pt>
                <c:pt idx="6958">
                  <c:v>0.11258925779561946</c:v>
                </c:pt>
                <c:pt idx="6959">
                  <c:v>0.1125377974095913</c:v>
                </c:pt>
                <c:pt idx="6960">
                  <c:v>0.11248633713716226</c:v>
                </c:pt>
                <c:pt idx="6961">
                  <c:v>0.11243487697818978</c:v>
                </c:pt>
                <c:pt idx="6962">
                  <c:v>0.11238341693253147</c:v>
                </c:pt>
                <c:pt idx="6963">
                  <c:v>0.11233195700004513</c:v>
                </c:pt>
                <c:pt idx="6964">
                  <c:v>0.11228049718058875</c:v>
                </c:pt>
                <c:pt idx="6965">
                  <c:v>0.11222903747402048</c:v>
                </c:pt>
                <c:pt idx="6966">
                  <c:v>0.11217757788019865</c:v>
                </c:pt>
                <c:pt idx="6967">
                  <c:v>0.11212611839898179</c:v>
                </c:pt>
                <c:pt idx="6968">
                  <c:v>0.11207465903022858</c:v>
                </c:pt>
                <c:pt idx="6969">
                  <c:v>0.11202319977379788</c:v>
                </c:pt>
                <c:pt idx="6970">
                  <c:v>0.11197174062954873</c:v>
                </c:pt>
                <c:pt idx="6971">
                  <c:v>0.11192028159734037</c:v>
                </c:pt>
                <c:pt idx="6972">
                  <c:v>0.11186882267703219</c:v>
                </c:pt>
                <c:pt idx="6973">
                  <c:v>0.11181736386848376</c:v>
                </c:pt>
                <c:pt idx="6974">
                  <c:v>0.11176590517155482</c:v>
                </c:pt>
                <c:pt idx="6975">
                  <c:v>0.11171444658610533</c:v>
                </c:pt>
                <c:pt idx="6976">
                  <c:v>0.11166298811199536</c:v>
                </c:pt>
                <c:pt idx="6977">
                  <c:v>0.11161152974908521</c:v>
                </c:pt>
                <c:pt idx="6978">
                  <c:v>0.11156007149723532</c:v>
                </c:pt>
                <c:pt idx="6979">
                  <c:v>0.1115086133563063</c:v>
                </c:pt>
                <c:pt idx="6980">
                  <c:v>0.11145715532615899</c:v>
                </c:pt>
                <c:pt idx="6981">
                  <c:v>0.11140569740665435</c:v>
                </c:pt>
                <c:pt idx="6982">
                  <c:v>0.11135423959765355</c:v>
                </c:pt>
                <c:pt idx="6983">
                  <c:v>0.11130278189901788</c:v>
                </c:pt>
                <c:pt idx="6984">
                  <c:v>0.11125132431060887</c:v>
                </c:pt>
                <c:pt idx="6985">
                  <c:v>0.11119986683228819</c:v>
                </c:pt>
                <c:pt idx="6986">
                  <c:v>0.11114840946391769</c:v>
                </c:pt>
                <c:pt idx="6987">
                  <c:v>0.11109695220535937</c:v>
                </c:pt>
                <c:pt idx="6988">
                  <c:v>0.11104549505647544</c:v>
                </c:pt>
                <c:pt idx="6989">
                  <c:v>0.11099403801712827</c:v>
                </c:pt>
                <c:pt idx="6990">
                  <c:v>0.1109425810871804</c:v>
                </c:pt>
                <c:pt idx="6991">
                  <c:v>0.11089112426649454</c:v>
                </c:pt>
                <c:pt idx="6992">
                  <c:v>0.11083966755493359</c:v>
                </c:pt>
                <c:pt idx="6993">
                  <c:v>0.11078821095236058</c:v>
                </c:pt>
                <c:pt idx="6994">
                  <c:v>0.11073675445863873</c:v>
                </c:pt>
                <c:pt idx="6995">
                  <c:v>0.11068529807363148</c:v>
                </c:pt>
                <c:pt idx="6996">
                  <c:v>0.11063384179720238</c:v>
                </c:pt>
                <c:pt idx="6997">
                  <c:v>0.11058238562921519</c:v>
                </c:pt>
                <c:pt idx="6998">
                  <c:v>0.1105309295695338</c:v>
                </c:pt>
                <c:pt idx="6999">
                  <c:v>0.11047947361802231</c:v>
                </c:pt>
                <c:pt idx="7000">
                  <c:v>0.11042801777454496</c:v>
                </c:pt>
                <c:pt idx="7001">
                  <c:v>0.1103765620389662</c:v>
                </c:pt>
                <c:pt idx="7002">
                  <c:v>0.11032510641115061</c:v>
                </c:pt>
                <c:pt idx="7003">
                  <c:v>0.11027365089096296</c:v>
                </c:pt>
                <c:pt idx="7004">
                  <c:v>0.11022219547826817</c:v>
                </c:pt>
                <c:pt idx="7005">
                  <c:v>0.11017074017293137</c:v>
                </c:pt>
                <c:pt idx="7006">
                  <c:v>0.11011928497481782</c:v>
                </c:pt>
                <c:pt idx="7007">
                  <c:v>0.11006782988379298</c:v>
                </c:pt>
                <c:pt idx="7008">
                  <c:v>0.11001637489972244</c:v>
                </c:pt>
                <c:pt idx="7009">
                  <c:v>0.10996492002247199</c:v>
                </c:pt>
                <c:pt idx="7010">
                  <c:v>0.10991346525190757</c:v>
                </c:pt>
                <c:pt idx="7011">
                  <c:v>0.10986201058789531</c:v>
                </c:pt>
                <c:pt idx="7012">
                  <c:v>0.10981055603030151</c:v>
                </c:pt>
                <c:pt idx="7013">
                  <c:v>0.1097591015789926</c:v>
                </c:pt>
                <c:pt idx="7014">
                  <c:v>0.10970764723383521</c:v>
                </c:pt>
                <c:pt idx="7015">
                  <c:v>0.10965619299469612</c:v>
                </c:pt>
                <c:pt idx="7016">
                  <c:v>0.10960473886144229</c:v>
                </c:pt>
                <c:pt idx="7017">
                  <c:v>0.10955328483394083</c:v>
                </c:pt>
                <c:pt idx="7018">
                  <c:v>0.10950183091205906</c:v>
                </c:pt>
                <c:pt idx="7019">
                  <c:v>0.10945037709566442</c:v>
                </c:pt>
                <c:pt idx="7020">
                  <c:v>0.10939892338462454</c:v>
                </c:pt>
                <c:pt idx="7021">
                  <c:v>0.10934746977880719</c:v>
                </c:pt>
                <c:pt idx="7022">
                  <c:v>0.10929601627808032</c:v>
                </c:pt>
                <c:pt idx="7023">
                  <c:v>0.10924456288231207</c:v>
                </c:pt>
                <c:pt idx="7024">
                  <c:v>0.10919310959137073</c:v>
                </c:pt>
                <c:pt idx="7025">
                  <c:v>0.10914165640512472</c:v>
                </c:pt>
                <c:pt idx="7026">
                  <c:v>0.10909020332344269</c:v>
                </c:pt>
                <c:pt idx="7027">
                  <c:v>0.1090387503461934</c:v>
                </c:pt>
                <c:pt idx="7028">
                  <c:v>0.1089872974732458</c:v>
                </c:pt>
                <c:pt idx="7029">
                  <c:v>0.108935844704469</c:v>
                </c:pt>
                <c:pt idx="7030">
                  <c:v>0.10888439203973228</c:v>
                </c:pt>
                <c:pt idx="7031">
                  <c:v>0.10883293947890507</c:v>
                </c:pt>
                <c:pt idx="7032">
                  <c:v>0.10878148702185698</c:v>
                </c:pt>
                <c:pt idx="7033">
                  <c:v>0.10873003466845776</c:v>
                </c:pt>
                <c:pt idx="7034">
                  <c:v>0.10867858241857736</c:v>
                </c:pt>
                <c:pt idx="7035">
                  <c:v>0.10862713027208586</c:v>
                </c:pt>
                <c:pt idx="7036">
                  <c:v>0.10857567822885351</c:v>
                </c:pt>
                <c:pt idx="7037">
                  <c:v>0.10852422628875073</c:v>
                </c:pt>
                <c:pt idx="7038">
                  <c:v>0.10847277445164812</c:v>
                </c:pt>
                <c:pt idx="7039">
                  <c:v>0.1084213227174164</c:v>
                </c:pt>
                <c:pt idx="7040">
                  <c:v>0.10836987108592648</c:v>
                </c:pt>
                <c:pt idx="7041">
                  <c:v>0.10831841955704943</c:v>
                </c:pt>
                <c:pt idx="7042">
                  <c:v>0.10826696813065649</c:v>
                </c:pt>
                <c:pt idx="7043">
                  <c:v>0.10821551680661903</c:v>
                </c:pt>
                <c:pt idx="7044">
                  <c:v>0.10816406558480862</c:v>
                </c:pt>
                <c:pt idx="7045">
                  <c:v>0.10811261446509697</c:v>
                </c:pt>
                <c:pt idx="7046">
                  <c:v>0.10806116344735595</c:v>
                </c:pt>
                <c:pt idx="7047">
                  <c:v>0.10800971253145758</c:v>
                </c:pt>
                <c:pt idx="7048">
                  <c:v>0.10795826171727409</c:v>
                </c:pt>
                <c:pt idx="7049">
                  <c:v>0.10790681100467781</c:v>
                </c:pt>
                <c:pt idx="7050">
                  <c:v>0.10785536039354127</c:v>
                </c:pt>
                <c:pt idx="7051">
                  <c:v>0.10780390988373713</c:v>
                </c:pt>
                <c:pt idx="7052">
                  <c:v>0.10775245947513823</c:v>
                </c:pt>
                <c:pt idx="7053">
                  <c:v>0.10770100916761757</c:v>
                </c:pt>
                <c:pt idx="7054">
                  <c:v>0.10764955896104832</c:v>
                </c:pt>
                <c:pt idx="7055">
                  <c:v>0.10759810885530377</c:v>
                </c:pt>
                <c:pt idx="7056">
                  <c:v>0.1075466588502574</c:v>
                </c:pt>
                <c:pt idx="7057">
                  <c:v>0.10749520894578285</c:v>
                </c:pt>
                <c:pt idx="7058">
                  <c:v>0.10744375914175391</c:v>
                </c:pt>
                <c:pt idx="7059">
                  <c:v>0.10739230943804452</c:v>
                </c:pt>
                <c:pt idx="7060">
                  <c:v>0.10734085983452879</c:v>
                </c:pt>
                <c:pt idx="7061">
                  <c:v>0.107289410331081</c:v>
                </c:pt>
                <c:pt idx="7062">
                  <c:v>0.10723796092757554</c:v>
                </c:pt>
                <c:pt idx="7063">
                  <c:v>0.10718651162388702</c:v>
                </c:pt>
                <c:pt idx="7064">
                  <c:v>0.10713506241989017</c:v>
                </c:pt>
                <c:pt idx="7065">
                  <c:v>0.10708361331545987</c:v>
                </c:pt>
                <c:pt idx="7066">
                  <c:v>0.10703216431047119</c:v>
                </c:pt>
                <c:pt idx="7067">
                  <c:v>0.10698071540479934</c:v>
                </c:pt>
                <c:pt idx="7068">
                  <c:v>0.10692926659831967</c:v>
                </c:pt>
                <c:pt idx="7069">
                  <c:v>0.10687781789090771</c:v>
                </c:pt>
                <c:pt idx="7070">
                  <c:v>0.10682636928243913</c:v>
                </c:pt>
                <c:pt idx="7071">
                  <c:v>0.10677492077278977</c:v>
                </c:pt>
                <c:pt idx="7072">
                  <c:v>0.10672347236183564</c:v>
                </c:pt>
                <c:pt idx="7073">
                  <c:v>0.10667202404945286</c:v>
                </c:pt>
                <c:pt idx="7074">
                  <c:v>0.10662057583551773</c:v>
                </c:pt>
                <c:pt idx="7075">
                  <c:v>0.10656912771990673</c:v>
                </c:pt>
                <c:pt idx="7076">
                  <c:v>0.10651767970249645</c:v>
                </c:pt>
                <c:pt idx="7077">
                  <c:v>0.10646623178316365</c:v>
                </c:pt>
                <c:pt idx="7078">
                  <c:v>0.10641478396178528</c:v>
                </c:pt>
                <c:pt idx="7079">
                  <c:v>0.10636333623823839</c:v>
                </c:pt>
                <c:pt idx="7080">
                  <c:v>0.10631188861240021</c:v>
                </c:pt>
                <c:pt idx="7081">
                  <c:v>0.10626044108414813</c:v>
                </c:pt>
                <c:pt idx="7082">
                  <c:v>0.1062089936533597</c:v>
                </c:pt>
                <c:pt idx="7083">
                  <c:v>0.10615754631991259</c:v>
                </c:pt>
                <c:pt idx="7084">
                  <c:v>0.10610609908368465</c:v>
                </c:pt>
                <c:pt idx="7085">
                  <c:v>0.10605465194455388</c:v>
                </c:pt>
                <c:pt idx="7086">
                  <c:v>0.10600320490239842</c:v>
                </c:pt>
                <c:pt idx="7087">
                  <c:v>0.10595175795709659</c:v>
                </c:pt>
                <c:pt idx="7088">
                  <c:v>0.10590031110852685</c:v>
                </c:pt>
                <c:pt idx="7089">
                  <c:v>0.1058488643565678</c:v>
                </c:pt>
                <c:pt idx="7090">
                  <c:v>0.1057974177010982</c:v>
                </c:pt>
                <c:pt idx="7091">
                  <c:v>0.10574597114199696</c:v>
                </c:pt>
                <c:pt idx="7092">
                  <c:v>0.10569452467914316</c:v>
                </c:pt>
                <c:pt idx="7093">
                  <c:v>0.10564307831241601</c:v>
                </c:pt>
                <c:pt idx="7094">
                  <c:v>0.10559163204169486</c:v>
                </c:pt>
                <c:pt idx="7095">
                  <c:v>0.10554018586685926</c:v>
                </c:pt>
                <c:pt idx="7096">
                  <c:v>0.10548873978778887</c:v>
                </c:pt>
                <c:pt idx="7097">
                  <c:v>0.10543729380436351</c:v>
                </c:pt>
                <c:pt idx="7098">
                  <c:v>0.10538584791646315</c:v>
                </c:pt>
                <c:pt idx="7099">
                  <c:v>0.10533440212396791</c:v>
                </c:pt>
                <c:pt idx="7100">
                  <c:v>0.10528295642675807</c:v>
                </c:pt>
                <c:pt idx="7101">
                  <c:v>0.10523151082471406</c:v>
                </c:pt>
                <c:pt idx="7102">
                  <c:v>0.10518006531771645</c:v>
                </c:pt>
                <c:pt idx="7103">
                  <c:v>0.10512861990564597</c:v>
                </c:pt>
                <c:pt idx="7104">
                  <c:v>0.10507717458838349</c:v>
                </c:pt>
                <c:pt idx="7105">
                  <c:v>0.10502572936581003</c:v>
                </c:pt>
                <c:pt idx="7106">
                  <c:v>0.10497428423780676</c:v>
                </c:pt>
                <c:pt idx="7107">
                  <c:v>0.10492283920425502</c:v>
                </c:pt>
                <c:pt idx="7108">
                  <c:v>0.10487139426503626</c:v>
                </c:pt>
                <c:pt idx="7109">
                  <c:v>0.1048199494200321</c:v>
                </c:pt>
                <c:pt idx="7110">
                  <c:v>0.10476850466912434</c:v>
                </c:pt>
                <c:pt idx="7111">
                  <c:v>0.10471706001219486</c:v>
                </c:pt>
                <c:pt idx="7112">
                  <c:v>0.10466561544912573</c:v>
                </c:pt>
                <c:pt idx="7113">
                  <c:v>0.10461417097979918</c:v>
                </c:pt>
                <c:pt idx="7114">
                  <c:v>0.10456272660409756</c:v>
                </c:pt>
                <c:pt idx="7115">
                  <c:v>0.10451128232190338</c:v>
                </c:pt>
                <c:pt idx="7116">
                  <c:v>0.10445983813309929</c:v>
                </c:pt>
                <c:pt idx="7117">
                  <c:v>0.10440839403756809</c:v>
                </c:pt>
                <c:pt idx="7118">
                  <c:v>0.10435695003519274</c:v>
                </c:pt>
                <c:pt idx="7119">
                  <c:v>0.10430550612585635</c:v>
                </c:pt>
                <c:pt idx="7120">
                  <c:v>0.10425406230944213</c:v>
                </c:pt>
                <c:pt idx="7121">
                  <c:v>0.10420261858583352</c:v>
                </c:pt>
                <c:pt idx="7122">
                  <c:v>0.10415117495491399</c:v>
                </c:pt>
                <c:pt idx="7123">
                  <c:v>0.10409973141656728</c:v>
                </c:pt>
                <c:pt idx="7124">
                  <c:v>0.10404828797067719</c:v>
                </c:pt>
                <c:pt idx="7125">
                  <c:v>0.1039968446171277</c:v>
                </c:pt>
                <c:pt idx="7126">
                  <c:v>0.10394540135580294</c:v>
                </c:pt>
                <c:pt idx="7127">
                  <c:v>0.10389395818658714</c:v>
                </c:pt>
                <c:pt idx="7128">
                  <c:v>0.10384251510936476</c:v>
                </c:pt>
                <c:pt idx="7129">
                  <c:v>0.10379107212402032</c:v>
                </c:pt>
                <c:pt idx="7130">
                  <c:v>0.10373962923043854</c:v>
                </c:pt>
                <c:pt idx="7131">
                  <c:v>0.10368818642850426</c:v>
                </c:pt>
                <c:pt idx="7132">
                  <c:v>0.10363674371810244</c:v>
                </c:pt>
                <c:pt idx="7133">
                  <c:v>0.10358530109911827</c:v>
                </c:pt>
                <c:pt idx="7134">
                  <c:v>0.103533858571437</c:v>
                </c:pt>
                <c:pt idx="7135">
                  <c:v>0.10348241613494405</c:v>
                </c:pt>
                <c:pt idx="7136">
                  <c:v>0.10343097378952498</c:v>
                </c:pt>
                <c:pt idx="7137">
                  <c:v>0.10337953153506552</c:v>
                </c:pt>
                <c:pt idx="7138">
                  <c:v>0.10332808937145151</c:v>
                </c:pt>
                <c:pt idx="7139">
                  <c:v>0.10327664729856893</c:v>
                </c:pt>
                <c:pt idx="7140">
                  <c:v>0.10322520531630396</c:v>
                </c:pt>
                <c:pt idx="7141">
                  <c:v>0.10317376342454283</c:v>
                </c:pt>
                <c:pt idx="7142">
                  <c:v>0.10312232162317202</c:v>
                </c:pt>
                <c:pt idx="7143">
                  <c:v>0.10307087991207806</c:v>
                </c:pt>
                <c:pt idx="7144">
                  <c:v>0.10301943829114767</c:v>
                </c:pt>
                <c:pt idx="7145">
                  <c:v>0.1029679967602677</c:v>
                </c:pt>
                <c:pt idx="7146">
                  <c:v>0.10291655531932516</c:v>
                </c:pt>
                <c:pt idx="7147">
                  <c:v>0.10286511396820715</c:v>
                </c:pt>
                <c:pt idx="7148">
                  <c:v>0.10281367270680097</c:v>
                </c:pt>
                <c:pt idx="7149">
                  <c:v>0.10276223153499406</c:v>
                </c:pt>
                <c:pt idx="7150">
                  <c:v>0.10271079045267395</c:v>
                </c:pt>
                <c:pt idx="7151">
                  <c:v>0.10265934945972835</c:v>
                </c:pt>
                <c:pt idx="7152">
                  <c:v>0.1026079085560451</c:v>
                </c:pt>
                <c:pt idx="7153">
                  <c:v>0.10255646774151218</c:v>
                </c:pt>
                <c:pt idx="7154">
                  <c:v>0.10250502701601773</c:v>
                </c:pt>
                <c:pt idx="7155">
                  <c:v>0.10245358637945</c:v>
                </c:pt>
                <c:pt idx="7156">
                  <c:v>0.10240214583169739</c:v>
                </c:pt>
                <c:pt idx="7157">
                  <c:v>0.10235070537264847</c:v>
                </c:pt>
                <c:pt idx="7158">
                  <c:v>0.10229926500219189</c:v>
                </c:pt>
                <c:pt idx="7159">
                  <c:v>0.10224782472021648</c:v>
                </c:pt>
                <c:pt idx="7160">
                  <c:v>0.10219638452661123</c:v>
                </c:pt>
                <c:pt idx="7161">
                  <c:v>0.1021449444212652</c:v>
                </c:pt>
                <c:pt idx="7162">
                  <c:v>0.10209350440406767</c:v>
                </c:pt>
                <c:pt idx="7163">
                  <c:v>0.102042064474908</c:v>
                </c:pt>
                <c:pt idx="7164">
                  <c:v>0.10199062463367572</c:v>
                </c:pt>
                <c:pt idx="7165">
                  <c:v>0.10193918488026049</c:v>
                </c:pt>
                <c:pt idx="7166">
                  <c:v>0.10188774521455211</c:v>
                </c:pt>
                <c:pt idx="7167">
                  <c:v>0.1018363056364405</c:v>
                </c:pt>
                <c:pt idx="7168">
                  <c:v>0.10178486614581572</c:v>
                </c:pt>
                <c:pt idx="7169">
                  <c:v>0.10173342674256802</c:v>
                </c:pt>
                <c:pt idx="7170">
                  <c:v>0.10168198742658772</c:v>
                </c:pt>
                <c:pt idx="7171">
                  <c:v>0.10163054819776533</c:v>
                </c:pt>
                <c:pt idx="7172">
                  <c:v>0.10157910905599145</c:v>
                </c:pt>
                <c:pt idx="7173">
                  <c:v>0.10152767000115685</c:v>
                </c:pt>
                <c:pt idx="7174">
                  <c:v>0.10147623103315243</c:v>
                </c:pt>
                <c:pt idx="7175">
                  <c:v>0.10142479215186921</c:v>
                </c:pt>
                <c:pt idx="7176">
                  <c:v>0.1013733533571984</c:v>
                </c:pt>
                <c:pt idx="7177">
                  <c:v>0.10132191464903126</c:v>
                </c:pt>
                <c:pt idx="7178">
                  <c:v>0.10127047602725926</c:v>
                </c:pt>
                <c:pt idx="7179">
                  <c:v>0.10121903749177399</c:v>
                </c:pt>
                <c:pt idx="7180">
                  <c:v>0.10116759904246715</c:v>
                </c:pt>
                <c:pt idx="7181">
                  <c:v>0.10111616067923061</c:v>
                </c:pt>
                <c:pt idx="7182">
                  <c:v>0.10106472240195635</c:v>
                </c:pt>
                <c:pt idx="7183">
                  <c:v>0.10101328421053649</c:v>
                </c:pt>
                <c:pt idx="7184">
                  <c:v>0.10096184610486328</c:v>
                </c:pt>
                <c:pt idx="7185">
                  <c:v>0.10091040808482914</c:v>
                </c:pt>
                <c:pt idx="7186">
                  <c:v>0.10085897015032659</c:v>
                </c:pt>
                <c:pt idx="7187">
                  <c:v>0.10080753230124828</c:v>
                </c:pt>
                <c:pt idx="7188">
                  <c:v>0.10075609453748703</c:v>
                </c:pt>
                <c:pt idx="7189">
                  <c:v>0.10070465685893576</c:v>
                </c:pt>
                <c:pt idx="7190">
                  <c:v>0.10065321926548755</c:v>
                </c:pt>
                <c:pt idx="7191">
                  <c:v>0.10060178175703559</c:v>
                </c:pt>
                <c:pt idx="7192">
                  <c:v>0.10055034433347322</c:v>
                </c:pt>
                <c:pt idx="7193">
                  <c:v>0.10049890699469391</c:v>
                </c:pt>
                <c:pt idx="7194">
                  <c:v>0.10044746974059127</c:v>
                </c:pt>
                <c:pt idx="7195">
                  <c:v>0.10039603257105903</c:v>
                </c:pt>
                <c:pt idx="7196">
                  <c:v>0.10034459548599108</c:v>
                </c:pt>
                <c:pt idx="7197">
                  <c:v>0.10029315848528141</c:v>
                </c:pt>
                <c:pt idx="7198">
                  <c:v>0.10024172156882415</c:v>
                </c:pt>
                <c:pt idx="7199">
                  <c:v>0.10019028473651358</c:v>
                </c:pt>
                <c:pt idx="7200">
                  <c:v>0.10013884798824409</c:v>
                </c:pt>
                <c:pt idx="7201">
                  <c:v>0.10008741132391023</c:v>
                </c:pt>
                <c:pt idx="7202">
                  <c:v>0.10003597474340666</c:v>
                </c:pt>
                <c:pt idx="7203">
                  <c:v>9.9984538246628188E-2</c:v>
                </c:pt>
                <c:pt idx="7204">
                  <c:v>9.9933101833469734E-2</c:v>
                </c:pt>
                <c:pt idx="7205">
                  <c:v>9.9881665503826364E-2</c:v>
                </c:pt>
                <c:pt idx="7206">
                  <c:v>9.9830229257593286E-2</c:v>
                </c:pt>
                <c:pt idx="7207">
                  <c:v>9.9778793094665807E-2</c:v>
                </c:pt>
                <c:pt idx="7208">
                  <c:v>9.97273570149394E-2</c:v>
                </c:pt>
                <c:pt idx="7209">
                  <c:v>9.9675921018309646E-2</c:v>
                </c:pt>
                <c:pt idx="7210">
                  <c:v>9.962448510467227E-2</c:v>
                </c:pt>
                <c:pt idx="7211">
                  <c:v>9.9573049273923131E-2</c:v>
                </c:pt>
                <c:pt idx="7212">
                  <c:v>9.9521613525958202E-2</c:v>
                </c:pt>
                <c:pt idx="7213">
                  <c:v>9.9470177860673581E-2</c:v>
                </c:pt>
                <c:pt idx="7214">
                  <c:v>9.9418742277965544E-2</c:v>
                </c:pt>
                <c:pt idx="7215">
                  <c:v>9.9367306777730438E-2</c:v>
                </c:pt>
                <c:pt idx="7216">
                  <c:v>9.9315871359864763E-2</c:v>
                </c:pt>
                <c:pt idx="7217">
                  <c:v>9.9264436024265185E-2</c:v>
                </c:pt>
                <c:pt idx="7218">
                  <c:v>9.9213000770828425E-2</c:v>
                </c:pt>
                <c:pt idx="7219">
                  <c:v>9.9161565599451398E-2</c:v>
                </c:pt>
                <c:pt idx="7220">
                  <c:v>9.9110130510031133E-2</c:v>
                </c:pt>
                <c:pt idx="7221">
                  <c:v>9.9058695502464753E-2</c:v>
                </c:pt>
                <c:pt idx="7222">
                  <c:v>9.9007260576649575E-2</c:v>
                </c:pt>
                <c:pt idx="7223">
                  <c:v>9.895582573248296E-2</c:v>
                </c:pt>
                <c:pt idx="7224">
                  <c:v>9.8904390969862491E-2</c:v>
                </c:pt>
                <c:pt idx="7225">
                  <c:v>9.8852956288685817E-2</c:v>
                </c:pt>
                <c:pt idx="7226">
                  <c:v>9.880152168885073E-2</c:v>
                </c:pt>
                <c:pt idx="7227">
                  <c:v>9.8750087170255157E-2</c:v>
                </c:pt>
                <c:pt idx="7228">
                  <c:v>9.869865273279714E-2</c:v>
                </c:pt>
                <c:pt idx="7229">
                  <c:v>9.8647218376374871E-2</c:v>
                </c:pt>
                <c:pt idx="7230">
                  <c:v>9.8595784100886652E-2</c:v>
                </c:pt>
                <c:pt idx="7231">
                  <c:v>9.8544349906230913E-2</c:v>
                </c:pt>
                <c:pt idx="7232">
                  <c:v>9.8492915792306221E-2</c:v>
                </c:pt>
                <c:pt idx="7233">
                  <c:v>9.8441481759011268E-2</c:v>
                </c:pt>
                <c:pt idx="7234">
                  <c:v>9.8390047806244857E-2</c:v>
                </c:pt>
                <c:pt idx="7235">
                  <c:v>9.833861393390593E-2</c:v>
                </c:pt>
                <c:pt idx="7236">
                  <c:v>9.8287180141893582E-2</c:v>
                </c:pt>
                <c:pt idx="7237">
                  <c:v>9.8235746430106977E-2</c:v>
                </c:pt>
                <c:pt idx="7238">
                  <c:v>9.8184312798445472E-2</c:v>
                </c:pt>
                <c:pt idx="7239">
                  <c:v>9.8132879246808469E-2</c:v>
                </c:pt>
                <c:pt idx="7240">
                  <c:v>9.8081445775095602E-2</c:v>
                </c:pt>
                <c:pt idx="7241">
                  <c:v>9.8030012383206536E-2</c:v>
                </c:pt>
                <c:pt idx="7242">
                  <c:v>9.79785790710411E-2</c:v>
                </c:pt>
                <c:pt idx="7243">
                  <c:v>9.7927145838499263E-2</c:v>
                </c:pt>
                <c:pt idx="7244">
                  <c:v>9.7875712685481092E-2</c:v>
                </c:pt>
                <c:pt idx="7245">
                  <c:v>9.7824279611886791E-2</c:v>
                </c:pt>
                <c:pt idx="7246">
                  <c:v>9.7772846617616704E-2</c:v>
                </c:pt>
                <c:pt idx="7247">
                  <c:v>9.7721413702571258E-2</c:v>
                </c:pt>
                <c:pt idx="7248">
                  <c:v>9.766998086665106E-2</c:v>
                </c:pt>
                <c:pt idx="7249">
                  <c:v>9.76185481097568E-2</c:v>
                </c:pt>
                <c:pt idx="7250">
                  <c:v>9.7567115431789309E-2</c:v>
                </c:pt>
                <c:pt idx="7251">
                  <c:v>9.7515682832649539E-2</c:v>
                </c:pt>
                <c:pt idx="7252">
                  <c:v>9.7464250312238571E-2</c:v>
                </c:pt>
                <c:pt idx="7253">
                  <c:v>9.7412817870457594E-2</c:v>
                </c:pt>
                <c:pt idx="7254">
                  <c:v>9.7361385507207951E-2</c:v>
                </c:pt>
                <c:pt idx="7255">
                  <c:v>9.7309953222391082E-2</c:v>
                </c:pt>
                <c:pt idx="7256">
                  <c:v>9.7258521015908567E-2</c:v>
                </c:pt>
                <c:pt idx="7257">
                  <c:v>9.7207088887662094E-2</c:v>
                </c:pt>
                <c:pt idx="7258">
                  <c:v>9.7155656837553492E-2</c:v>
                </c:pt>
                <c:pt idx="7259">
                  <c:v>9.7104224865484715E-2</c:v>
                </c:pt>
                <c:pt idx="7260">
                  <c:v>9.7052792971357799E-2</c:v>
                </c:pt>
                <c:pt idx="7261">
                  <c:v>9.7001361155074947E-2</c:v>
                </c:pt>
                <c:pt idx="7262">
                  <c:v>9.6949929416538475E-2</c:v>
                </c:pt>
                <c:pt idx="7263">
                  <c:v>9.6898497755650806E-2</c:v>
                </c:pt>
                <c:pt idx="7264">
                  <c:v>9.6847066172314519E-2</c:v>
                </c:pt>
                <c:pt idx="7265">
                  <c:v>9.6795634666432276E-2</c:v>
                </c:pt>
                <c:pt idx="7266">
                  <c:v>9.6744203237906889E-2</c:v>
                </c:pt>
                <c:pt idx="7267">
                  <c:v>9.6692771886641271E-2</c:v>
                </c:pt>
                <c:pt idx="7268">
                  <c:v>9.6641340612538471E-2</c:v>
                </c:pt>
                <c:pt idx="7269">
                  <c:v>9.6589909415501635E-2</c:v>
                </c:pt>
                <c:pt idx="7270">
                  <c:v>9.6538478295434091E-2</c:v>
                </c:pt>
                <c:pt idx="7271">
                  <c:v>9.6487047252239222E-2</c:v>
                </c:pt>
                <c:pt idx="7272">
                  <c:v>9.6435616285820577E-2</c:v>
                </c:pt>
                <c:pt idx="7273">
                  <c:v>9.6384185396081803E-2</c:v>
                </c:pt>
                <c:pt idx="7274">
                  <c:v>9.6332754582926658E-2</c:v>
                </c:pt>
                <c:pt idx="7275">
                  <c:v>9.6281323846259051E-2</c:v>
                </c:pt>
                <c:pt idx="7276">
                  <c:v>9.622989318598299E-2</c:v>
                </c:pt>
                <c:pt idx="7277">
                  <c:v>9.6178462602002607E-2</c:v>
                </c:pt>
                <c:pt idx="7278">
                  <c:v>9.6127032094222173E-2</c:v>
                </c:pt>
                <c:pt idx="7279">
                  <c:v>9.6075601662546042E-2</c:v>
                </c:pt>
                <c:pt idx="7280">
                  <c:v>9.6024171306878708E-2</c:v>
                </c:pt>
                <c:pt idx="7281">
                  <c:v>9.5972741027124817E-2</c:v>
                </c:pt>
                <c:pt idx="7282">
                  <c:v>9.5921310823189068E-2</c:v>
                </c:pt>
                <c:pt idx="7283">
                  <c:v>9.5869880694976331E-2</c:v>
                </c:pt>
                <c:pt idx="7284">
                  <c:v>9.5818450642391584E-2</c:v>
                </c:pt>
                <c:pt idx="7285">
                  <c:v>9.5767020665339903E-2</c:v>
                </c:pt>
                <c:pt idx="7286">
                  <c:v>9.5715590763726516E-2</c:v>
                </c:pt>
                <c:pt idx="7287">
                  <c:v>9.5664160937456763E-2</c:v>
                </c:pt>
                <c:pt idx="7288">
                  <c:v>9.5612731186436067E-2</c:v>
                </c:pt>
                <c:pt idx="7289">
                  <c:v>9.5561301510570018E-2</c:v>
                </c:pt>
                <c:pt idx="7290">
                  <c:v>9.5509871909764302E-2</c:v>
                </c:pt>
                <c:pt idx="7291">
                  <c:v>9.5458442383924702E-2</c:v>
                </c:pt>
                <c:pt idx="7292">
                  <c:v>9.5407012932957169E-2</c:v>
                </c:pt>
                <c:pt idx="7293">
                  <c:v>9.5355583556767723E-2</c:v>
                </c:pt>
                <c:pt idx="7294">
                  <c:v>9.5304154255262549E-2</c:v>
                </c:pt>
                <c:pt idx="7295">
                  <c:v>9.525272502834789E-2</c:v>
                </c:pt>
                <c:pt idx="7296">
                  <c:v>9.5201295875930167E-2</c:v>
                </c:pt>
                <c:pt idx="7297">
                  <c:v>9.5149866797915886E-2</c:v>
                </c:pt>
                <c:pt idx="7298">
                  <c:v>9.5098437794211677E-2</c:v>
                </c:pt>
                <c:pt idx="7299">
                  <c:v>9.5047008864724281E-2</c:v>
                </c:pt>
                <c:pt idx="7300">
                  <c:v>9.499558000936055E-2</c:v>
                </c:pt>
                <c:pt idx="7301">
                  <c:v>9.4944151228027504E-2</c:v>
                </c:pt>
                <c:pt idx="7302">
                  <c:v>9.4892722520632217E-2</c:v>
                </c:pt>
                <c:pt idx="7303">
                  <c:v>9.4841293887081887E-2</c:v>
                </c:pt>
                <c:pt idx="7304">
                  <c:v>9.4789865327283881E-2</c:v>
                </c:pt>
                <c:pt idx="7305">
                  <c:v>9.4738436841145607E-2</c:v>
                </c:pt>
                <c:pt idx="7306">
                  <c:v>9.4687008428574665E-2</c:v>
                </c:pt>
                <c:pt idx="7307">
                  <c:v>9.4635580089478699E-2</c:v>
                </c:pt>
                <c:pt idx="7308">
                  <c:v>9.4584151823765519E-2</c:v>
                </c:pt>
                <c:pt idx="7309">
                  <c:v>9.4532723631343046E-2</c:v>
                </c:pt>
                <c:pt idx="7310">
                  <c:v>9.4481295512119298E-2</c:v>
                </c:pt>
                <c:pt idx="7311">
                  <c:v>9.4429867466002418E-2</c:v>
                </c:pt>
                <c:pt idx="7312">
                  <c:v>9.4378439492900645E-2</c:v>
                </c:pt>
                <c:pt idx="7313">
                  <c:v>9.4327011592722373E-2</c:v>
                </c:pt>
                <c:pt idx="7314">
                  <c:v>9.4275583765376092E-2</c:v>
                </c:pt>
                <c:pt idx="7315">
                  <c:v>9.4224156010770374E-2</c:v>
                </c:pt>
                <c:pt idx="7316">
                  <c:v>9.4172728328813959E-2</c:v>
                </c:pt>
                <c:pt idx="7317">
                  <c:v>9.4121300719415685E-2</c:v>
                </c:pt>
                <c:pt idx="7318">
                  <c:v>9.4069873182484484E-2</c:v>
                </c:pt>
                <c:pt idx="7319">
                  <c:v>9.4018445717929403E-2</c:v>
                </c:pt>
                <c:pt idx="7320">
                  <c:v>9.3967018325659651E-2</c:v>
                </c:pt>
                <c:pt idx="7321">
                  <c:v>9.3915591005584484E-2</c:v>
                </c:pt>
                <c:pt idx="7322">
                  <c:v>9.386416375761332E-2</c:v>
                </c:pt>
                <c:pt idx="7323">
                  <c:v>9.3812736581655662E-2</c:v>
                </c:pt>
                <c:pt idx="7324">
                  <c:v>9.3761309477621152E-2</c:v>
                </c:pt>
                <c:pt idx="7325">
                  <c:v>9.3709882445419529E-2</c:v>
                </c:pt>
                <c:pt idx="7326">
                  <c:v>9.3658455484960643E-2</c:v>
                </c:pt>
                <c:pt idx="7327">
                  <c:v>9.3607028596154454E-2</c:v>
                </c:pt>
                <c:pt idx="7328">
                  <c:v>9.3555601778911077E-2</c:v>
                </c:pt>
                <c:pt idx="7329">
                  <c:v>9.3504175033140666E-2</c:v>
                </c:pt>
                <c:pt idx="7330">
                  <c:v>9.3452748358753543E-2</c:v>
                </c:pt>
                <c:pt idx="7331">
                  <c:v>9.3401321755660141E-2</c:v>
                </c:pt>
                <c:pt idx="7332">
                  <c:v>9.3349895223770976E-2</c:v>
                </c:pt>
                <c:pt idx="7333">
                  <c:v>9.3298468762996703E-2</c:v>
                </c:pt>
                <c:pt idx="7334">
                  <c:v>9.3247042373248087E-2</c:v>
                </c:pt>
                <c:pt idx="7335">
                  <c:v>9.3195616054435965E-2</c:v>
                </c:pt>
                <c:pt idx="7336">
                  <c:v>9.314418980647135E-2</c:v>
                </c:pt>
                <c:pt idx="7337">
                  <c:v>9.3092763629265315E-2</c:v>
                </c:pt>
                <c:pt idx="7338">
                  <c:v>9.3041337522729056E-2</c:v>
                </c:pt>
                <c:pt idx="7339">
                  <c:v>9.2989911486773921E-2</c:v>
                </c:pt>
                <c:pt idx="7340">
                  <c:v>9.2938485521311301E-2</c:v>
                </c:pt>
                <c:pt idx="7341">
                  <c:v>9.2887059626252766E-2</c:v>
                </c:pt>
                <c:pt idx="7342">
                  <c:v>9.2835633801509929E-2</c:v>
                </c:pt>
                <c:pt idx="7343">
                  <c:v>9.2784208046994582E-2</c:v>
                </c:pt>
                <c:pt idx="7344">
                  <c:v>9.2732782362618574E-2</c:v>
                </c:pt>
                <c:pt idx="7345">
                  <c:v>9.2681356748293892E-2</c:v>
                </c:pt>
                <c:pt idx="7346">
                  <c:v>9.2629931203932619E-2</c:v>
                </c:pt>
                <c:pt idx="7347">
                  <c:v>9.257850572944698E-2</c:v>
                </c:pt>
                <c:pt idx="7348">
                  <c:v>9.2527080324749267E-2</c:v>
                </c:pt>
                <c:pt idx="7349">
                  <c:v>9.247565498975191E-2</c:v>
                </c:pt>
                <c:pt idx="7350">
                  <c:v>9.2424229724367438E-2</c:v>
                </c:pt>
                <c:pt idx="7351">
                  <c:v>9.237280452850849E-2</c:v>
                </c:pt>
                <c:pt idx="7352">
                  <c:v>9.2321379402087816E-2</c:v>
                </c:pt>
                <c:pt idx="7353">
                  <c:v>9.2269954345018293E-2</c:v>
                </c:pt>
                <c:pt idx="7354">
                  <c:v>9.2218529357212864E-2</c:v>
                </c:pt>
                <c:pt idx="7355">
                  <c:v>9.2167104438584627E-2</c:v>
                </c:pt>
                <c:pt idx="7356">
                  <c:v>9.2115679589046762E-2</c:v>
                </c:pt>
                <c:pt idx="7357">
                  <c:v>9.2064254808512574E-2</c:v>
                </c:pt>
                <c:pt idx="7358">
                  <c:v>9.2012830096895454E-2</c:v>
                </c:pt>
                <c:pt idx="7359">
                  <c:v>9.1961405454108927E-2</c:v>
                </c:pt>
                <c:pt idx="7360">
                  <c:v>9.1909980880066633E-2</c:v>
                </c:pt>
                <c:pt idx="7361">
                  <c:v>9.1858556374682251E-2</c:v>
                </c:pt>
                <c:pt idx="7362">
                  <c:v>9.1807131937869685E-2</c:v>
                </c:pt>
                <c:pt idx="7363">
                  <c:v>9.1755707569542849E-2</c:v>
                </c:pt>
                <c:pt idx="7364">
                  <c:v>9.1704283269615799E-2</c:v>
                </c:pt>
                <c:pt idx="7365">
                  <c:v>9.1652859038002715E-2</c:v>
                </c:pt>
                <c:pt idx="7366">
                  <c:v>9.1601434874617846E-2</c:v>
                </c:pt>
                <c:pt idx="7367">
                  <c:v>9.1550010779375579E-2</c:v>
                </c:pt>
                <c:pt idx="7368">
                  <c:v>9.1498586752190414E-2</c:v>
                </c:pt>
                <c:pt idx="7369">
                  <c:v>9.1447162792976933E-2</c:v>
                </c:pt>
                <c:pt idx="7370">
                  <c:v>9.1395738901649828E-2</c:v>
                </c:pt>
                <c:pt idx="7371">
                  <c:v>9.1344315078123933E-2</c:v>
                </c:pt>
                <c:pt idx="7372">
                  <c:v>9.1292891322314135E-2</c:v>
                </c:pt>
                <c:pt idx="7373">
                  <c:v>9.1241467634135473E-2</c:v>
                </c:pt>
                <c:pt idx="7374">
                  <c:v>9.1190044013503072E-2</c:v>
                </c:pt>
                <c:pt idx="7375">
                  <c:v>9.1138620460332165E-2</c:v>
                </c:pt>
                <c:pt idx="7376">
                  <c:v>9.1087196974538071E-2</c:v>
                </c:pt>
                <c:pt idx="7377">
                  <c:v>9.1035773556036287E-2</c:v>
                </c:pt>
                <c:pt idx="7378">
                  <c:v>9.0984350204742326E-2</c:v>
                </c:pt>
                <c:pt idx="7379">
                  <c:v>9.0932926920571866E-2</c:v>
                </c:pt>
                <c:pt idx="7380">
                  <c:v>9.0881503703440683E-2</c:v>
                </c:pt>
                <c:pt idx="7381">
                  <c:v>9.0830080553264608E-2</c:v>
                </c:pt>
                <c:pt idx="7382">
                  <c:v>9.0778657469959653E-2</c:v>
                </c:pt>
                <c:pt idx="7383">
                  <c:v>9.0727234453441899E-2</c:v>
                </c:pt>
                <c:pt idx="7384">
                  <c:v>9.067581150362751E-2</c:v>
                </c:pt>
                <c:pt idx="7385">
                  <c:v>9.0624388620432803E-2</c:v>
                </c:pt>
                <c:pt idx="7386">
                  <c:v>9.0572965803774164E-2</c:v>
                </c:pt>
                <c:pt idx="7387">
                  <c:v>9.052154305356809E-2</c:v>
                </c:pt>
                <c:pt idx="7388">
                  <c:v>9.0470120369731191E-2</c:v>
                </c:pt>
                <c:pt idx="7389">
                  <c:v>9.0418697752180199E-2</c:v>
                </c:pt>
                <c:pt idx="7390">
                  <c:v>9.0367275200831904E-2</c:v>
                </c:pt>
                <c:pt idx="7391">
                  <c:v>9.0315852715603231E-2</c:v>
                </c:pt>
                <c:pt idx="7392">
                  <c:v>9.0264430296411208E-2</c:v>
                </c:pt>
                <c:pt idx="7393">
                  <c:v>9.0213007943172982E-2</c:v>
                </c:pt>
                <c:pt idx="7394">
                  <c:v>9.0161585655805773E-2</c:v>
                </c:pt>
                <c:pt idx="7395">
                  <c:v>9.0110163434226911E-2</c:v>
                </c:pt>
                <c:pt idx="7396">
                  <c:v>9.0058741278353852E-2</c:v>
                </c:pt>
                <c:pt idx="7397">
                  <c:v>9.0007319188104132E-2</c:v>
                </c:pt>
                <c:pt idx="7398">
                  <c:v>8.9955897163395387E-2</c:v>
                </c:pt>
                <c:pt idx="7399">
                  <c:v>8.9904475204145393E-2</c:v>
                </c:pt>
                <c:pt idx="7400">
                  <c:v>8.9853053310271991E-2</c:v>
                </c:pt>
                <c:pt idx="7401">
                  <c:v>8.9801631481693123E-2</c:v>
                </c:pt>
                <c:pt idx="7402">
                  <c:v>8.9750209718326882E-2</c:v>
                </c:pt>
                <c:pt idx="7403">
                  <c:v>8.9698788020091416E-2</c:v>
                </c:pt>
                <c:pt idx="7404">
                  <c:v>8.9647366386904986E-2</c:v>
                </c:pt>
                <c:pt idx="7405">
                  <c:v>8.9595944818685963E-2</c:v>
                </c:pt>
                <c:pt idx="7406">
                  <c:v>8.9544523315352828E-2</c:v>
                </c:pt>
                <c:pt idx="7407">
                  <c:v>8.9493101876824119E-2</c:v>
                </c:pt>
                <c:pt idx="7408">
                  <c:v>8.9441680503018567E-2</c:v>
                </c:pt>
                <c:pt idx="7409">
                  <c:v>8.9390259193854918E-2</c:v>
                </c:pt>
                <c:pt idx="7410">
                  <c:v>8.9338837949252042E-2</c:v>
                </c:pt>
                <c:pt idx="7411">
                  <c:v>8.9287416769128949E-2</c:v>
                </c:pt>
                <c:pt idx="7412">
                  <c:v>8.9235995653404704E-2</c:v>
                </c:pt>
                <c:pt idx="7413">
                  <c:v>8.9184574601998495E-2</c:v>
                </c:pt>
                <c:pt idx="7414">
                  <c:v>8.9133153614829611E-2</c:v>
                </c:pt>
                <c:pt idx="7415">
                  <c:v>8.9081732691817433E-2</c:v>
                </c:pt>
                <c:pt idx="7416">
                  <c:v>8.9030311832881459E-2</c:v>
                </c:pt>
                <c:pt idx="7417">
                  <c:v>8.8978891037941266E-2</c:v>
                </c:pt>
                <c:pt idx="7418">
                  <c:v>8.8927470306916542E-2</c:v>
                </c:pt>
                <c:pt idx="7419">
                  <c:v>8.8876049639727089E-2</c:v>
                </c:pt>
                <c:pt idx="7420">
                  <c:v>8.8824629036292804E-2</c:v>
                </c:pt>
                <c:pt idx="7421">
                  <c:v>8.8773208496533668E-2</c:v>
                </c:pt>
                <c:pt idx="7422">
                  <c:v>8.8721788020369771E-2</c:v>
                </c:pt>
                <c:pt idx="7423">
                  <c:v>8.8670367607721318E-2</c:v>
                </c:pt>
                <c:pt idx="7424">
                  <c:v>8.8618947258508607E-2</c:v>
                </c:pt>
                <c:pt idx="7425">
                  <c:v>8.8567526972652008E-2</c:v>
                </c:pt>
                <c:pt idx="7426">
                  <c:v>8.8516106750072043E-2</c:v>
                </c:pt>
                <c:pt idx="7427">
                  <c:v>8.8464686590689276E-2</c:v>
                </c:pt>
                <c:pt idx="7428">
                  <c:v>8.8413266494424422E-2</c:v>
                </c:pt>
                <c:pt idx="7429">
                  <c:v>8.8361846461198254E-2</c:v>
                </c:pt>
                <c:pt idx="7430">
                  <c:v>8.8310426490931682E-2</c:v>
                </c:pt>
                <c:pt idx="7431">
                  <c:v>8.8259006583545685E-2</c:v>
                </c:pt>
                <c:pt idx="7432">
                  <c:v>8.8207586738961355E-2</c:v>
                </c:pt>
                <c:pt idx="7433">
                  <c:v>8.8156166957099893E-2</c:v>
                </c:pt>
                <c:pt idx="7434">
                  <c:v>8.8104747237882558E-2</c:v>
                </c:pt>
                <c:pt idx="7435">
                  <c:v>8.8053327581230773E-2</c:v>
                </c:pt>
                <c:pt idx="7436">
                  <c:v>8.8001907987065989E-2</c:v>
                </c:pt>
                <c:pt idx="7437">
                  <c:v>8.7950488455309797E-2</c:v>
                </c:pt>
                <c:pt idx="7438">
                  <c:v>8.7899068985883899E-2</c:v>
                </c:pt>
                <c:pt idx="7439">
                  <c:v>8.784764957871008E-2</c:v>
                </c:pt>
                <c:pt idx="7440">
                  <c:v>8.7796230233710193E-2</c:v>
                </c:pt>
                <c:pt idx="7441">
                  <c:v>8.7744810950806218E-2</c:v>
                </c:pt>
                <c:pt idx="7442">
                  <c:v>8.7693391729920245E-2</c:v>
                </c:pt>
                <c:pt idx="7443">
                  <c:v>8.7641972570974433E-2</c:v>
                </c:pt>
                <c:pt idx="7444">
                  <c:v>8.7590553473891067E-2</c:v>
                </c:pt>
                <c:pt idx="7445">
                  <c:v>8.7539134438592486E-2</c:v>
                </c:pt>
                <c:pt idx="7446">
                  <c:v>8.7487715465001184E-2</c:v>
                </c:pt>
                <c:pt idx="7447">
                  <c:v>8.7436296553039722E-2</c:v>
                </c:pt>
                <c:pt idx="7448">
                  <c:v>8.7384877702630731E-2</c:v>
                </c:pt>
                <c:pt idx="7449">
                  <c:v>8.733345891369701E-2</c:v>
                </c:pt>
                <c:pt idx="7450">
                  <c:v>8.7282040186161369E-2</c:v>
                </c:pt>
                <c:pt idx="7451">
                  <c:v>8.7230621519946788E-2</c:v>
                </c:pt>
                <c:pt idx="7452">
                  <c:v>8.71792029149763E-2</c:v>
                </c:pt>
                <c:pt idx="7453">
                  <c:v>8.712778437117305E-2</c:v>
                </c:pt>
                <c:pt idx="7454">
                  <c:v>8.707636588846028E-2</c:v>
                </c:pt>
                <c:pt idx="7455">
                  <c:v>8.7024947466761343E-2</c:v>
                </c:pt>
                <c:pt idx="7456">
                  <c:v>8.6973529105999647E-2</c:v>
                </c:pt>
                <c:pt idx="7457">
                  <c:v>8.6922110806098726E-2</c:v>
                </c:pt>
                <c:pt idx="7458">
                  <c:v>8.6870692566982224E-2</c:v>
                </c:pt>
                <c:pt idx="7459">
                  <c:v>8.6819274388573842E-2</c:v>
                </c:pt>
                <c:pt idx="7460">
                  <c:v>8.6767856270797389E-2</c:v>
                </c:pt>
                <c:pt idx="7461">
                  <c:v>8.6716438213576788E-2</c:v>
                </c:pt>
                <c:pt idx="7462">
                  <c:v>8.6665020216836058E-2</c:v>
                </c:pt>
                <c:pt idx="7463">
                  <c:v>8.6613602280499288E-2</c:v>
                </c:pt>
                <c:pt idx="7464">
                  <c:v>8.6562184404490664E-2</c:v>
                </c:pt>
                <c:pt idx="7465">
                  <c:v>8.6510766588734508E-2</c:v>
                </c:pt>
                <c:pt idx="7466">
                  <c:v>8.6459348833155189E-2</c:v>
                </c:pt>
                <c:pt idx="7467">
                  <c:v>8.6407931137677196E-2</c:v>
                </c:pt>
                <c:pt idx="7468">
                  <c:v>8.6356513502225077E-2</c:v>
                </c:pt>
                <c:pt idx="7469">
                  <c:v>8.6305095926723557E-2</c:v>
                </c:pt>
                <c:pt idx="7470">
                  <c:v>8.6253678411097379E-2</c:v>
                </c:pt>
                <c:pt idx="7471">
                  <c:v>8.6202260955271406E-2</c:v>
                </c:pt>
                <c:pt idx="7472">
                  <c:v>8.6150843559170576E-2</c:v>
                </c:pt>
                <c:pt idx="7473">
                  <c:v>8.609942622271996E-2</c:v>
                </c:pt>
                <c:pt idx="7474">
                  <c:v>8.6048008945844703E-2</c:v>
                </c:pt>
                <c:pt idx="7475">
                  <c:v>8.5996591728470018E-2</c:v>
                </c:pt>
                <c:pt idx="7476">
                  <c:v>8.5945174570521268E-2</c:v>
                </c:pt>
                <c:pt idx="7477">
                  <c:v>8.5893757471923862E-2</c:v>
                </c:pt>
                <c:pt idx="7478">
                  <c:v>8.5842340432603303E-2</c:v>
                </c:pt>
                <c:pt idx="7479">
                  <c:v>8.5790923452485235E-2</c:v>
                </c:pt>
                <c:pt idx="7480">
                  <c:v>8.5739506531495355E-2</c:v>
                </c:pt>
                <c:pt idx="7481">
                  <c:v>8.5688089669559445E-2</c:v>
                </c:pt>
                <c:pt idx="7482">
                  <c:v>8.5636672866603411E-2</c:v>
                </c:pt>
                <c:pt idx="7483">
                  <c:v>8.5585256122553216E-2</c:v>
                </c:pt>
                <c:pt idx="7484">
                  <c:v>8.5533839437334988E-2</c:v>
                </c:pt>
                <c:pt idx="7485">
                  <c:v>8.5482422810874842E-2</c:v>
                </c:pt>
                <c:pt idx="7486">
                  <c:v>8.5431006243099086E-2</c:v>
                </c:pt>
                <c:pt idx="7487">
                  <c:v>8.5379589733934044E-2</c:v>
                </c:pt>
                <c:pt idx="7488">
                  <c:v>8.5328173283306177E-2</c:v>
                </c:pt>
                <c:pt idx="7489">
                  <c:v>8.527675689114203E-2</c:v>
                </c:pt>
                <c:pt idx="7490">
                  <c:v>8.5225340557368232E-2</c:v>
                </c:pt>
                <c:pt idx="7491">
                  <c:v>8.5173924281911492E-2</c:v>
                </c:pt>
                <c:pt idx="7492">
                  <c:v>8.5122508064698663E-2</c:v>
                </c:pt>
                <c:pt idx="7493">
                  <c:v>8.5071091905656607E-2</c:v>
                </c:pt>
                <c:pt idx="7494">
                  <c:v>8.5019675804712369E-2</c:v>
                </c:pt>
                <c:pt idx="7495">
                  <c:v>8.4968259761793008E-2</c:v>
                </c:pt>
                <c:pt idx="7496">
                  <c:v>8.4916843776825721E-2</c:v>
                </c:pt>
                <c:pt idx="7497">
                  <c:v>8.4865427849737787E-2</c:v>
                </c:pt>
                <c:pt idx="7498">
                  <c:v>8.4814011980456558E-2</c:v>
                </c:pt>
                <c:pt idx="7499">
                  <c:v>8.4762596168909493E-2</c:v>
                </c:pt>
                <c:pt idx="7500">
                  <c:v>8.4711180415024165E-2</c:v>
                </c:pt>
                <c:pt idx="7501">
                  <c:v>8.4659764718728187E-2</c:v>
                </c:pt>
                <c:pt idx="7502">
                  <c:v>8.4608349079949297E-2</c:v>
                </c:pt>
                <c:pt idx="7503">
                  <c:v>8.455693349861533E-2</c:v>
                </c:pt>
                <c:pt idx="7504">
                  <c:v>8.4505517974654165E-2</c:v>
                </c:pt>
                <c:pt idx="7505">
                  <c:v>8.4454102507993831E-2</c:v>
                </c:pt>
                <c:pt idx="7506">
                  <c:v>8.4402687098562412E-2</c:v>
                </c:pt>
                <c:pt idx="7507">
                  <c:v>8.4351271746288092E-2</c:v>
                </c:pt>
                <c:pt idx="7508">
                  <c:v>8.4299856451099137E-2</c:v>
                </c:pt>
                <c:pt idx="7509">
                  <c:v>8.4248441212923908E-2</c:v>
                </c:pt>
                <c:pt idx="7510">
                  <c:v>8.4197026031690866E-2</c:v>
                </c:pt>
                <c:pt idx="7511">
                  <c:v>8.4145610907328555E-2</c:v>
                </c:pt>
                <c:pt idx="7512">
                  <c:v>8.4094195839765601E-2</c:v>
                </c:pt>
                <c:pt idx="7513">
                  <c:v>8.4042780828930727E-2</c:v>
                </c:pt>
                <c:pt idx="7514">
                  <c:v>8.3991365874752727E-2</c:v>
                </c:pt>
                <c:pt idx="7515">
                  <c:v>8.3939950977160518E-2</c:v>
                </c:pt>
                <c:pt idx="7516">
                  <c:v>8.3888536136083103E-2</c:v>
                </c:pt>
                <c:pt idx="7517">
                  <c:v>8.3837121351449551E-2</c:v>
                </c:pt>
                <c:pt idx="7518">
                  <c:v>8.3785706623189016E-2</c:v>
                </c:pt>
                <c:pt idx="7519">
                  <c:v>8.3734291951230763E-2</c:v>
                </c:pt>
                <c:pt idx="7520">
                  <c:v>8.3682877335504127E-2</c:v>
                </c:pt>
                <c:pt idx="7521">
                  <c:v>8.3631462775938567E-2</c:v>
                </c:pt>
                <c:pt idx="7522">
                  <c:v>8.3580048272463583E-2</c:v>
                </c:pt>
                <c:pt idx="7523">
                  <c:v>8.3528633825008802E-2</c:v>
                </c:pt>
                <c:pt idx="7524">
                  <c:v>8.3477219433503905E-2</c:v>
                </c:pt>
                <c:pt idx="7525">
                  <c:v>8.3425805097878683E-2</c:v>
                </c:pt>
                <c:pt idx="7526">
                  <c:v>8.3374390818063027E-2</c:v>
                </c:pt>
                <c:pt idx="7527">
                  <c:v>8.3322976593986881E-2</c:v>
                </c:pt>
                <c:pt idx="7528">
                  <c:v>8.3271562425580314E-2</c:v>
                </c:pt>
                <c:pt idx="7529">
                  <c:v>8.322014831277344E-2</c:v>
                </c:pt>
                <c:pt idx="7530">
                  <c:v>8.3168734255496521E-2</c:v>
                </c:pt>
                <c:pt idx="7531">
                  <c:v>8.3117320253679849E-2</c:v>
                </c:pt>
                <c:pt idx="7532">
                  <c:v>8.3065906307253828E-2</c:v>
                </c:pt>
                <c:pt idx="7533">
                  <c:v>8.3014492416148958E-2</c:v>
                </c:pt>
                <c:pt idx="7534">
                  <c:v>8.2963078580295793E-2</c:v>
                </c:pt>
                <c:pt idx="7535">
                  <c:v>8.2911664799625029E-2</c:v>
                </c:pt>
                <c:pt idx="7536">
                  <c:v>8.2860251074067387E-2</c:v>
                </c:pt>
                <c:pt idx="7537">
                  <c:v>8.2808837403553714E-2</c:v>
                </c:pt>
                <c:pt idx="7538">
                  <c:v>8.2757423788014928E-2</c:v>
                </c:pt>
                <c:pt idx="7539">
                  <c:v>8.2706010227382054E-2</c:v>
                </c:pt>
                <c:pt idx="7540">
                  <c:v>8.265459672158619E-2</c:v>
                </c:pt>
                <c:pt idx="7541">
                  <c:v>8.2603183270558503E-2</c:v>
                </c:pt>
                <c:pt idx="7542">
                  <c:v>8.2551769874230282E-2</c:v>
                </c:pt>
                <c:pt idx="7543">
                  <c:v>8.2500356532532848E-2</c:v>
                </c:pt>
                <c:pt idx="7544">
                  <c:v>8.2448943245397699E-2</c:v>
                </c:pt>
                <c:pt idx="7545">
                  <c:v>8.239753001275632E-2</c:v>
                </c:pt>
                <c:pt idx="7546">
                  <c:v>8.234611683454035E-2</c:v>
                </c:pt>
                <c:pt idx="7547">
                  <c:v>8.2294703710681483E-2</c:v>
                </c:pt>
                <c:pt idx="7548">
                  <c:v>8.2243290641111494E-2</c:v>
                </c:pt>
                <c:pt idx="7549">
                  <c:v>8.2191877625762272E-2</c:v>
                </c:pt>
                <c:pt idx="7550">
                  <c:v>8.214046466456576E-2</c:v>
                </c:pt>
                <c:pt idx="7551">
                  <c:v>8.2089051757454012E-2</c:v>
                </c:pt>
                <c:pt idx="7552">
                  <c:v>8.2037638904359139E-2</c:v>
                </c:pt>
                <c:pt idx="7553">
                  <c:v>8.1986226105213375E-2</c:v>
                </c:pt>
                <c:pt idx="7554">
                  <c:v>8.193481335994901E-2</c:v>
                </c:pt>
                <c:pt idx="7555">
                  <c:v>8.1883400668498418E-2</c:v>
                </c:pt>
                <c:pt idx="7556">
                  <c:v>8.183198803079407E-2</c:v>
                </c:pt>
                <c:pt idx="7557">
                  <c:v>8.1780575446768533E-2</c:v>
                </c:pt>
                <c:pt idx="7558">
                  <c:v>8.1729162916354431E-2</c:v>
                </c:pt>
                <c:pt idx="7559">
                  <c:v>8.1677750439484484E-2</c:v>
                </c:pt>
                <c:pt idx="7560">
                  <c:v>8.1626338016091524E-2</c:v>
                </c:pt>
                <c:pt idx="7561">
                  <c:v>8.1574925646108409E-2</c:v>
                </c:pt>
                <c:pt idx="7562">
                  <c:v>8.1523513329468125E-2</c:v>
                </c:pt>
                <c:pt idx="7563">
                  <c:v>8.1472101066103739E-2</c:v>
                </c:pt>
                <c:pt idx="7564">
                  <c:v>8.1420688855948387E-2</c:v>
                </c:pt>
                <c:pt idx="7565">
                  <c:v>8.1369276698935289E-2</c:v>
                </c:pt>
                <c:pt idx="7566">
                  <c:v>8.1317864594997777E-2</c:v>
                </c:pt>
                <c:pt idx="7567">
                  <c:v>8.1266452544069223E-2</c:v>
                </c:pt>
                <c:pt idx="7568">
                  <c:v>8.1215040546083125E-2</c:v>
                </c:pt>
                <c:pt idx="7569">
                  <c:v>8.1163628600973023E-2</c:v>
                </c:pt>
                <c:pt idx="7570">
                  <c:v>8.1112216708672566E-2</c:v>
                </c:pt>
                <c:pt idx="7571">
                  <c:v>8.1060804869115488E-2</c:v>
                </c:pt>
                <c:pt idx="7572">
                  <c:v>8.1009393082235606E-2</c:v>
                </c:pt>
                <c:pt idx="7573">
                  <c:v>8.095798134796682E-2</c:v>
                </c:pt>
                <c:pt idx="7574">
                  <c:v>8.0906569666243086E-2</c:v>
                </c:pt>
                <c:pt idx="7575">
                  <c:v>8.0855158036998484E-2</c:v>
                </c:pt>
                <c:pt idx="7576">
                  <c:v>8.0803746460167136E-2</c:v>
                </c:pt>
                <c:pt idx="7577">
                  <c:v>8.075233493568329E-2</c:v>
                </c:pt>
                <c:pt idx="7578">
                  <c:v>8.0700923463481233E-2</c:v>
                </c:pt>
                <c:pt idx="7579">
                  <c:v>8.064951204349538E-2</c:v>
                </c:pt>
                <c:pt idx="7580">
                  <c:v>8.0598100675660173E-2</c:v>
                </c:pt>
                <c:pt idx="7581">
                  <c:v>8.0546689359910204E-2</c:v>
                </c:pt>
                <c:pt idx="7582">
                  <c:v>8.0495278096180067E-2</c:v>
                </c:pt>
                <c:pt idx="7583">
                  <c:v>8.0443866884404525E-2</c:v>
                </c:pt>
                <c:pt idx="7584">
                  <c:v>8.039245572451835E-2</c:v>
                </c:pt>
                <c:pt idx="7585">
                  <c:v>8.0341044616456428E-2</c:v>
                </c:pt>
                <c:pt idx="7586">
                  <c:v>8.0289633560153714E-2</c:v>
                </c:pt>
                <c:pt idx="7587">
                  <c:v>8.0238222555545288E-2</c:v>
                </c:pt>
                <c:pt idx="7588">
                  <c:v>8.0186811602566271E-2</c:v>
                </c:pt>
                <c:pt idx="7589">
                  <c:v>8.013540070115184E-2</c:v>
                </c:pt>
                <c:pt idx="7590">
                  <c:v>8.0083989851237325E-2</c:v>
                </c:pt>
                <c:pt idx="7591">
                  <c:v>8.0032579052758068E-2</c:v>
                </c:pt>
                <c:pt idx="7592">
                  <c:v>7.9981168305649539E-2</c:v>
                </c:pt>
                <c:pt idx="7593">
                  <c:v>7.992975760984726E-2</c:v>
                </c:pt>
                <c:pt idx="7594">
                  <c:v>7.9878346965286853E-2</c:v>
                </c:pt>
                <c:pt idx="7595">
                  <c:v>7.9826936371904009E-2</c:v>
                </c:pt>
                <c:pt idx="7596">
                  <c:v>7.9775525829634514E-2</c:v>
                </c:pt>
                <c:pt idx="7597">
                  <c:v>7.9724115338414211E-2</c:v>
                </c:pt>
                <c:pt idx="7598">
                  <c:v>7.9672704898179042E-2</c:v>
                </c:pt>
                <c:pt idx="7599">
                  <c:v>7.9621294508865043E-2</c:v>
                </c:pt>
                <c:pt idx="7600">
                  <c:v>7.9569884170408278E-2</c:v>
                </c:pt>
                <c:pt idx="7601">
                  <c:v>7.9518473882744953E-2</c:v>
                </c:pt>
                <c:pt idx="7602">
                  <c:v>7.9467063645811312E-2</c:v>
                </c:pt>
                <c:pt idx="7603">
                  <c:v>7.9415653459543697E-2</c:v>
                </c:pt>
                <c:pt idx="7604">
                  <c:v>7.9364243323878536E-2</c:v>
                </c:pt>
                <c:pt idx="7605">
                  <c:v>7.9312833238752309E-2</c:v>
                </c:pt>
                <c:pt idx="7606">
                  <c:v>7.9261423204101608E-2</c:v>
                </c:pt>
                <c:pt idx="7607">
                  <c:v>7.9210013219863096E-2</c:v>
                </c:pt>
                <c:pt idx="7608">
                  <c:v>7.9158603285973489E-2</c:v>
                </c:pt>
                <c:pt idx="7609">
                  <c:v>7.9107193402369602E-2</c:v>
                </c:pt>
                <c:pt idx="7610">
                  <c:v>7.9055783568988361E-2</c:v>
                </c:pt>
                <c:pt idx="7611">
                  <c:v>7.9004373785766704E-2</c:v>
                </c:pt>
                <c:pt idx="7612">
                  <c:v>7.8952964052641711E-2</c:v>
                </c:pt>
                <c:pt idx="7613">
                  <c:v>7.8901554369550514E-2</c:v>
                </c:pt>
                <c:pt idx="7614">
                  <c:v>7.8850144736430303E-2</c:v>
                </c:pt>
                <c:pt idx="7615">
                  <c:v>7.8798735153218391E-2</c:v>
                </c:pt>
                <c:pt idx="7616">
                  <c:v>7.8747325619852135E-2</c:v>
                </c:pt>
                <c:pt idx="7617">
                  <c:v>7.8695916136268973E-2</c:v>
                </c:pt>
                <c:pt idx="7618">
                  <c:v>7.8644506702406455E-2</c:v>
                </c:pt>
                <c:pt idx="7619">
                  <c:v>7.8593097318202174E-2</c:v>
                </c:pt>
                <c:pt idx="7620">
                  <c:v>7.8541687983593816E-2</c:v>
                </c:pt>
                <c:pt idx="7621">
                  <c:v>7.8490278698519142E-2</c:v>
                </c:pt>
                <c:pt idx="7622">
                  <c:v>7.8438869462915978E-2</c:v>
                </c:pt>
                <c:pt idx="7623">
                  <c:v>7.8387460276722262E-2</c:v>
                </c:pt>
                <c:pt idx="7624">
                  <c:v>7.8336051139875976E-2</c:v>
                </c:pt>
                <c:pt idx="7625">
                  <c:v>7.8284642052315195E-2</c:v>
                </c:pt>
                <c:pt idx="7626">
                  <c:v>7.8233233013978068E-2</c:v>
                </c:pt>
                <c:pt idx="7627">
                  <c:v>7.8181824024802823E-2</c:v>
                </c:pt>
                <c:pt idx="7628">
                  <c:v>7.8130415084727775E-2</c:v>
                </c:pt>
                <c:pt idx="7629">
                  <c:v>7.8079006193691305E-2</c:v>
                </c:pt>
                <c:pt idx="7630">
                  <c:v>7.8027597351631867E-2</c:v>
                </c:pt>
                <c:pt idx="7631">
                  <c:v>7.7976188558487994E-2</c:v>
                </c:pt>
                <c:pt idx="7632">
                  <c:v>7.7924779814198292E-2</c:v>
                </c:pt>
                <c:pt idx="7633">
                  <c:v>7.787337111870149E-2</c:v>
                </c:pt>
                <c:pt idx="7634">
                  <c:v>7.7821962471936332E-2</c:v>
                </c:pt>
                <c:pt idx="7635">
                  <c:v>7.7770553873841672E-2</c:v>
                </c:pt>
                <c:pt idx="7636">
                  <c:v>7.7719145324356434E-2</c:v>
                </c:pt>
                <c:pt idx="7637">
                  <c:v>7.7667736823419598E-2</c:v>
                </c:pt>
                <c:pt idx="7638">
                  <c:v>7.7616328370970253E-2</c:v>
                </c:pt>
                <c:pt idx="7639">
                  <c:v>7.756491996694756E-2</c:v>
                </c:pt>
                <c:pt idx="7640">
                  <c:v>7.7513511611290734E-2</c:v>
                </c:pt>
                <c:pt idx="7641">
                  <c:v>7.7462103303939087E-2</c:v>
                </c:pt>
                <c:pt idx="7642">
                  <c:v>7.7410695044831987E-2</c:v>
                </c:pt>
                <c:pt idx="7643">
                  <c:v>7.7359286833908913E-2</c:v>
                </c:pt>
                <c:pt idx="7644">
                  <c:v>7.7307878671109373E-2</c:v>
                </c:pt>
                <c:pt idx="7645">
                  <c:v>7.7256470556372997E-2</c:v>
                </c:pt>
                <c:pt idx="7646">
                  <c:v>7.7205062489639459E-2</c:v>
                </c:pt>
                <c:pt idx="7647">
                  <c:v>7.7153654470848515E-2</c:v>
                </c:pt>
                <c:pt idx="7648">
                  <c:v>7.7102246499940005E-2</c:v>
                </c:pt>
                <c:pt idx="7649">
                  <c:v>7.7050838576853853E-2</c:v>
                </c:pt>
                <c:pt idx="7650">
                  <c:v>7.6999430701530022E-2</c:v>
                </c:pt>
                <c:pt idx="7651">
                  <c:v>7.6948022873908603E-2</c:v>
                </c:pt>
                <c:pt idx="7652">
                  <c:v>7.6896615093929713E-2</c:v>
                </c:pt>
                <c:pt idx="7653">
                  <c:v>7.6845207361533566E-2</c:v>
                </c:pt>
                <c:pt idx="7654">
                  <c:v>7.679379967666046E-2</c:v>
                </c:pt>
                <c:pt idx="7655">
                  <c:v>7.6742392039250748E-2</c:v>
                </c:pt>
                <c:pt idx="7656">
                  <c:v>7.6690984449244867E-2</c:v>
                </c:pt>
                <c:pt idx="7657">
                  <c:v>7.6639576906583337E-2</c:v>
                </c:pt>
                <c:pt idx="7658">
                  <c:v>7.6588169411206733E-2</c:v>
                </c:pt>
                <c:pt idx="7659">
                  <c:v>7.6536761963055713E-2</c:v>
                </c:pt>
                <c:pt idx="7660">
                  <c:v>7.6485354562071034E-2</c:v>
                </c:pt>
                <c:pt idx="7661">
                  <c:v>7.6433947208193492E-2</c:v>
                </c:pt>
                <c:pt idx="7662">
                  <c:v>7.6382539901363983E-2</c:v>
                </c:pt>
                <c:pt idx="7663">
                  <c:v>7.6331132641523428E-2</c:v>
                </c:pt>
                <c:pt idx="7664">
                  <c:v>7.6279725428612902E-2</c:v>
                </c:pt>
                <c:pt idx="7665">
                  <c:v>7.6228318262573508E-2</c:v>
                </c:pt>
                <c:pt idx="7666">
                  <c:v>7.6176911143346404E-2</c:v>
                </c:pt>
                <c:pt idx="7667">
                  <c:v>7.612550407087286E-2</c:v>
                </c:pt>
                <c:pt idx="7668">
                  <c:v>7.6074097045094199E-2</c:v>
                </c:pt>
                <c:pt idx="7669">
                  <c:v>7.6022690065951831E-2</c:v>
                </c:pt>
                <c:pt idx="7670">
                  <c:v>7.5971283133387219E-2</c:v>
                </c:pt>
                <c:pt idx="7671">
                  <c:v>7.5919876247341908E-2</c:v>
                </c:pt>
                <c:pt idx="7672">
                  <c:v>7.586846940775753E-2</c:v>
                </c:pt>
                <c:pt idx="7673">
                  <c:v>7.5817062614575784E-2</c:v>
                </c:pt>
                <c:pt idx="7674">
                  <c:v>7.5765655867738438E-2</c:v>
                </c:pt>
                <c:pt idx="7675">
                  <c:v>7.5714249167187331E-2</c:v>
                </c:pt>
                <c:pt idx="7676">
                  <c:v>7.5662842512864356E-2</c:v>
                </c:pt>
                <c:pt idx="7677">
                  <c:v>7.5611435904711533E-2</c:v>
                </c:pt>
                <c:pt idx="7678">
                  <c:v>7.5560029342670892E-2</c:v>
                </c:pt>
                <c:pt idx="7679">
                  <c:v>7.5508622826684607E-2</c:v>
                </c:pt>
                <c:pt idx="7680">
                  <c:v>7.5457216356694848E-2</c:v>
                </c:pt>
                <c:pt idx="7681">
                  <c:v>7.5405809932643897E-2</c:v>
                </c:pt>
                <c:pt idx="7682">
                  <c:v>7.535440355447412E-2</c:v>
                </c:pt>
                <c:pt idx="7683">
                  <c:v>7.5302997222127938E-2</c:v>
                </c:pt>
                <c:pt idx="7684">
                  <c:v>7.5251590935547827E-2</c:v>
                </c:pt>
                <c:pt idx="7685">
                  <c:v>7.5200184694676375E-2</c:v>
                </c:pt>
                <c:pt idx="7686">
                  <c:v>7.5148778499456212E-2</c:v>
                </c:pt>
                <c:pt idx="7687">
                  <c:v>7.5097372349830049E-2</c:v>
                </c:pt>
                <c:pt idx="7688">
                  <c:v>7.504596624574067E-2</c:v>
                </c:pt>
                <c:pt idx="7689">
                  <c:v>7.4994560187130924E-2</c:v>
                </c:pt>
                <c:pt idx="7690">
                  <c:v>7.494315417394376E-2</c:v>
                </c:pt>
                <c:pt idx="7691">
                  <c:v>7.4891748206122155E-2</c:v>
                </c:pt>
                <c:pt idx="7692">
                  <c:v>7.4840342283609182E-2</c:v>
                </c:pt>
                <c:pt idx="7693">
                  <c:v>7.4788936406347969E-2</c:v>
                </c:pt>
                <c:pt idx="7694">
                  <c:v>7.4737530574281758E-2</c:v>
                </c:pt>
                <c:pt idx="7695">
                  <c:v>7.4686124787353814E-2</c:v>
                </c:pt>
                <c:pt idx="7696">
                  <c:v>7.4634719045507503E-2</c:v>
                </c:pt>
                <c:pt idx="7697">
                  <c:v>7.4583313348686245E-2</c:v>
                </c:pt>
                <c:pt idx="7698">
                  <c:v>7.4531907696833544E-2</c:v>
                </c:pt>
                <c:pt idx="7699">
                  <c:v>7.4480502089892958E-2</c:v>
                </c:pt>
                <c:pt idx="7700">
                  <c:v>7.4429096527808131E-2</c:v>
                </c:pt>
                <c:pt idx="7701">
                  <c:v>7.4377691010522759E-2</c:v>
                </c:pt>
                <c:pt idx="7702">
                  <c:v>7.4326285537980652E-2</c:v>
                </c:pt>
                <c:pt idx="7703">
                  <c:v>7.4274880110125632E-2</c:v>
                </c:pt>
                <c:pt idx="7704">
                  <c:v>7.4223474726901634E-2</c:v>
                </c:pt>
                <c:pt idx="7705">
                  <c:v>7.4172069388252659E-2</c:v>
                </c:pt>
                <c:pt idx="7706">
                  <c:v>7.412066409412274E-2</c:v>
                </c:pt>
                <c:pt idx="7707">
                  <c:v>7.4069258844456032E-2</c:v>
                </c:pt>
                <c:pt idx="7708">
                  <c:v>7.4017853639196732E-2</c:v>
                </c:pt>
                <c:pt idx="7709">
                  <c:v>7.3966448478289107E-2</c:v>
                </c:pt>
                <c:pt idx="7710">
                  <c:v>7.3915043361677507E-2</c:v>
                </c:pt>
                <c:pt idx="7711">
                  <c:v>7.3863638289306338E-2</c:v>
                </c:pt>
                <c:pt idx="7712">
                  <c:v>7.3812233261120103E-2</c:v>
                </c:pt>
                <c:pt idx="7713">
                  <c:v>7.3760828277063317E-2</c:v>
                </c:pt>
                <c:pt idx="7714">
                  <c:v>7.3709423337080623E-2</c:v>
                </c:pt>
                <c:pt idx="7715">
                  <c:v>7.3658018441116718E-2</c:v>
                </c:pt>
                <c:pt idx="7716">
                  <c:v>7.360661358911634E-2</c:v>
                </c:pt>
                <c:pt idx="7717">
                  <c:v>7.3555208781024339E-2</c:v>
                </c:pt>
                <c:pt idx="7718">
                  <c:v>7.3503804016785607E-2</c:v>
                </c:pt>
                <c:pt idx="7719">
                  <c:v>7.3452399296345103E-2</c:v>
                </c:pt>
                <c:pt idx="7720">
                  <c:v>7.3400994619647872E-2</c:v>
                </c:pt>
                <c:pt idx="7721">
                  <c:v>7.3349589986639013E-2</c:v>
                </c:pt>
                <c:pt idx="7722">
                  <c:v>7.329818539726371E-2</c:v>
                </c:pt>
                <c:pt idx="7723">
                  <c:v>7.3246780851467214E-2</c:v>
                </c:pt>
                <c:pt idx="7724">
                  <c:v>7.3195376349194791E-2</c:v>
                </c:pt>
                <c:pt idx="7725">
                  <c:v>7.3143971890391887E-2</c:v>
                </c:pt>
                <c:pt idx="7726">
                  <c:v>7.3092567475003908E-2</c:v>
                </c:pt>
                <c:pt idx="7727">
                  <c:v>7.3041163102976384E-2</c:v>
                </c:pt>
                <c:pt idx="7728">
                  <c:v>7.2989758774254912E-2</c:v>
                </c:pt>
                <c:pt idx="7729">
                  <c:v>7.293835448878512E-2</c:v>
                </c:pt>
                <c:pt idx="7730">
                  <c:v>7.2886950246512761E-2</c:v>
                </c:pt>
                <c:pt idx="7731">
                  <c:v>7.2835546047383598E-2</c:v>
                </c:pt>
                <c:pt idx="7732">
                  <c:v>7.278414189134351E-2</c:v>
                </c:pt>
                <c:pt idx="7733">
                  <c:v>7.2732737778338413E-2</c:v>
                </c:pt>
                <c:pt idx="7734">
                  <c:v>7.2681333708314311E-2</c:v>
                </c:pt>
                <c:pt idx="7735">
                  <c:v>7.2629929681217245E-2</c:v>
                </c:pt>
                <c:pt idx="7736">
                  <c:v>7.2578525696993371E-2</c:v>
                </c:pt>
                <c:pt idx="7737">
                  <c:v>7.2527121755588883E-2</c:v>
                </c:pt>
                <c:pt idx="7738">
                  <c:v>7.247571785695002E-2</c:v>
                </c:pt>
                <c:pt idx="7739">
                  <c:v>7.242431400102313E-2</c:v>
                </c:pt>
                <c:pt idx="7740">
                  <c:v>7.237291018775463E-2</c:v>
                </c:pt>
                <c:pt idx="7741">
                  <c:v>7.232150641709098E-2</c:v>
                </c:pt>
                <c:pt idx="7742">
                  <c:v>7.2270102688978696E-2</c:v>
                </c:pt>
                <c:pt idx="7743">
                  <c:v>7.2218699003364389E-2</c:v>
                </c:pt>
                <c:pt idx="7744">
                  <c:v>7.2167295360194741E-2</c:v>
                </c:pt>
                <c:pt idx="7745">
                  <c:v>7.2115891759416476E-2</c:v>
                </c:pt>
                <c:pt idx="7746">
                  <c:v>7.2064488200976384E-2</c:v>
                </c:pt>
                <c:pt idx="7747">
                  <c:v>7.2013084684821357E-2</c:v>
                </c:pt>
                <c:pt idx="7748">
                  <c:v>7.1961681210898312E-2</c:v>
                </c:pt>
                <c:pt idx="7749">
                  <c:v>7.1910277779154264E-2</c:v>
                </c:pt>
                <c:pt idx="7750">
                  <c:v>7.1858874389536267E-2</c:v>
                </c:pt>
                <c:pt idx="7751">
                  <c:v>7.1807471041991477E-2</c:v>
                </c:pt>
                <c:pt idx="7752">
                  <c:v>7.1756067736467088E-2</c:v>
                </c:pt>
                <c:pt idx="7753">
                  <c:v>7.1704664472910351E-2</c:v>
                </c:pt>
                <c:pt idx="7754">
                  <c:v>7.1653261251268627E-2</c:v>
                </c:pt>
                <c:pt idx="7755">
                  <c:v>7.1601858071489277E-2</c:v>
                </c:pt>
                <c:pt idx="7756">
                  <c:v>7.1550454933519816E-2</c:v>
                </c:pt>
                <c:pt idx="7757">
                  <c:v>7.1499051837307745E-2</c:v>
                </c:pt>
                <c:pt idx="7758">
                  <c:v>7.144764878280066E-2</c:v>
                </c:pt>
                <c:pt idx="7759">
                  <c:v>7.1396245769946257E-2</c:v>
                </c:pt>
                <c:pt idx="7760">
                  <c:v>7.1344842798692229E-2</c:v>
                </c:pt>
                <c:pt idx="7761">
                  <c:v>7.1293439868986383E-2</c:v>
                </c:pt>
                <c:pt idx="7762">
                  <c:v>7.124203698077658E-2</c:v>
                </c:pt>
                <c:pt idx="7763">
                  <c:v>7.119063413401075E-2</c:v>
                </c:pt>
                <c:pt idx="7764">
                  <c:v>7.1139231328636865E-2</c:v>
                </c:pt>
                <c:pt idx="7765">
                  <c:v>7.1087828564603009E-2</c:v>
                </c:pt>
                <c:pt idx="7766">
                  <c:v>7.1036425841857292E-2</c:v>
                </c:pt>
                <c:pt idx="7767">
                  <c:v>7.0985023160347896E-2</c:v>
                </c:pt>
                <c:pt idx="7768">
                  <c:v>7.0933620520023083E-2</c:v>
                </c:pt>
                <c:pt idx="7769">
                  <c:v>7.0882217920831159E-2</c:v>
                </c:pt>
                <c:pt idx="7770">
                  <c:v>7.0830815362720498E-2</c:v>
                </c:pt>
                <c:pt idx="7771">
                  <c:v>7.0779412845639572E-2</c:v>
                </c:pt>
                <c:pt idx="7772">
                  <c:v>7.0728010369536867E-2</c:v>
                </c:pt>
                <c:pt idx="7773">
                  <c:v>7.067660793436098E-2</c:v>
                </c:pt>
                <c:pt idx="7774">
                  <c:v>7.0625205540060534E-2</c:v>
                </c:pt>
                <c:pt idx="7775">
                  <c:v>7.0573803186584252E-2</c:v>
                </c:pt>
                <c:pt idx="7776">
                  <c:v>7.0522400873880883E-2</c:v>
                </c:pt>
                <c:pt idx="7777">
                  <c:v>7.0470998601899273E-2</c:v>
                </c:pt>
                <c:pt idx="7778">
                  <c:v>7.0419596370588311E-2</c:v>
                </c:pt>
                <c:pt idx="7779">
                  <c:v>7.0368194179896967E-2</c:v>
                </c:pt>
                <c:pt idx="7780">
                  <c:v>7.0316792029774255E-2</c:v>
                </c:pt>
                <c:pt idx="7781">
                  <c:v>7.0265389920169272E-2</c:v>
                </c:pt>
                <c:pt idx="7782">
                  <c:v>7.0213987851031182E-2</c:v>
                </c:pt>
                <c:pt idx="7783">
                  <c:v>7.0162585822309179E-2</c:v>
                </c:pt>
                <c:pt idx="7784">
                  <c:v>7.0111183833952567E-2</c:v>
                </c:pt>
                <c:pt idx="7785">
                  <c:v>7.0059781885910666E-2</c:v>
                </c:pt>
                <c:pt idx="7786">
                  <c:v>7.0008379978132904E-2</c:v>
                </c:pt>
                <c:pt idx="7787">
                  <c:v>6.9956978110568752E-2</c:v>
                </c:pt>
                <c:pt idx="7788">
                  <c:v>6.9905576283167736E-2</c:v>
                </c:pt>
                <c:pt idx="7789">
                  <c:v>6.9854174495879467E-2</c:v>
                </c:pt>
                <c:pt idx="7790">
                  <c:v>6.9802772748653596E-2</c:v>
                </c:pt>
                <c:pt idx="7791">
                  <c:v>6.9751371041439844E-2</c:v>
                </c:pt>
                <c:pt idx="7792">
                  <c:v>6.9699969374188014E-2</c:v>
                </c:pt>
                <c:pt idx="7793">
                  <c:v>6.9648567746847953E-2</c:v>
                </c:pt>
                <c:pt idx="7794">
                  <c:v>6.9597166159369561E-2</c:v>
                </c:pt>
                <c:pt idx="7795">
                  <c:v>6.9545764611702823E-2</c:v>
                </c:pt>
                <c:pt idx="7796">
                  <c:v>6.9494363103797793E-2</c:v>
                </c:pt>
                <c:pt idx="7797">
                  <c:v>6.9442961635604553E-2</c:v>
                </c:pt>
                <c:pt idx="7798">
                  <c:v>6.9391560207073266E-2</c:v>
                </c:pt>
                <c:pt idx="7799">
                  <c:v>6.9340158818154182E-2</c:v>
                </c:pt>
                <c:pt idx="7800">
                  <c:v>6.9288757468797563E-2</c:v>
                </c:pt>
                <c:pt idx="7801">
                  <c:v>6.9237356158953781E-2</c:v>
                </c:pt>
                <c:pt idx="7802">
                  <c:v>6.9185954888573251E-2</c:v>
                </c:pt>
                <c:pt idx="7803">
                  <c:v>6.9134553657606443E-2</c:v>
                </c:pt>
                <c:pt idx="7804">
                  <c:v>6.9083152466003897E-2</c:v>
                </c:pt>
                <c:pt idx="7805">
                  <c:v>6.9031751313716208E-2</c:v>
                </c:pt>
                <c:pt idx="7806">
                  <c:v>6.8980350200694054E-2</c:v>
                </c:pt>
                <c:pt idx="7807">
                  <c:v>6.8928949126888142E-2</c:v>
                </c:pt>
                <c:pt idx="7808">
                  <c:v>6.8877548092249274E-2</c:v>
                </c:pt>
                <c:pt idx="7809">
                  <c:v>6.8826147096728296E-2</c:v>
                </c:pt>
                <c:pt idx="7810">
                  <c:v>6.8774746140276108E-2</c:v>
                </c:pt>
                <c:pt idx="7811">
                  <c:v>6.8723345222843693E-2</c:v>
                </c:pt>
                <c:pt idx="7812">
                  <c:v>6.8671944344382077E-2</c:v>
                </c:pt>
                <c:pt idx="7813">
                  <c:v>6.8620543504842355E-2</c:v>
                </c:pt>
                <c:pt idx="7814">
                  <c:v>6.856914270417569E-2</c:v>
                </c:pt>
                <c:pt idx="7815">
                  <c:v>6.8517741942333288E-2</c:v>
                </c:pt>
                <c:pt idx="7816">
                  <c:v>6.8466341219266424E-2</c:v>
                </c:pt>
                <c:pt idx="7817">
                  <c:v>6.8414940534926472E-2</c:v>
                </c:pt>
                <c:pt idx="7818">
                  <c:v>6.8363539889264788E-2</c:v>
                </c:pt>
                <c:pt idx="7819">
                  <c:v>6.831213928223287E-2</c:v>
                </c:pt>
                <c:pt idx="7820">
                  <c:v>6.8260738713782229E-2</c:v>
                </c:pt>
                <c:pt idx="7821">
                  <c:v>6.8209338183864432E-2</c:v>
                </c:pt>
                <c:pt idx="7822">
                  <c:v>6.8157937692431156E-2</c:v>
                </c:pt>
                <c:pt idx="7823">
                  <c:v>6.8106537239434065E-2</c:v>
                </c:pt>
                <c:pt idx="7824">
                  <c:v>6.8055136824824961E-2</c:v>
                </c:pt>
                <c:pt idx="7825">
                  <c:v>6.800373644855566E-2</c:v>
                </c:pt>
                <c:pt idx="7826">
                  <c:v>6.7952336110578035E-2</c:v>
                </c:pt>
                <c:pt idx="7827">
                  <c:v>6.790093581084404E-2</c:v>
                </c:pt>
                <c:pt idx="7828">
                  <c:v>6.7849535549305687E-2</c:v>
                </c:pt>
                <c:pt idx="7829">
                  <c:v>6.779813532591504E-2</c:v>
                </c:pt>
                <c:pt idx="7830">
                  <c:v>6.7746735140624237E-2</c:v>
                </c:pt>
                <c:pt idx="7831">
                  <c:v>6.7695334993385425E-2</c:v>
                </c:pt>
                <c:pt idx="7832">
                  <c:v>6.7643934884150908E-2</c:v>
                </c:pt>
                <c:pt idx="7833">
                  <c:v>6.7592534812872973E-2</c:v>
                </c:pt>
                <c:pt idx="7834">
                  <c:v>6.7541134779503978E-2</c:v>
                </c:pt>
                <c:pt idx="7835">
                  <c:v>6.7489734783996363E-2</c:v>
                </c:pt>
                <c:pt idx="7836">
                  <c:v>6.7438334826302598E-2</c:v>
                </c:pt>
                <c:pt idx="7837">
                  <c:v>6.7386934906375248E-2</c:v>
                </c:pt>
                <c:pt idx="7838">
                  <c:v>6.7335535024166907E-2</c:v>
                </c:pt>
                <c:pt idx="7839">
                  <c:v>6.728413517963025E-2</c:v>
                </c:pt>
                <c:pt idx="7840">
                  <c:v>6.7232735372717983E-2</c:v>
                </c:pt>
                <c:pt idx="7841">
                  <c:v>6.7181335603382922E-2</c:v>
                </c:pt>
                <c:pt idx="7842">
                  <c:v>6.7129935871577881E-2</c:v>
                </c:pt>
                <c:pt idx="7843">
                  <c:v>6.7078536177255774E-2</c:v>
                </c:pt>
                <c:pt idx="7844">
                  <c:v>6.7027136520369568E-2</c:v>
                </c:pt>
                <c:pt idx="7845">
                  <c:v>6.6975736900872274E-2</c:v>
                </c:pt>
                <c:pt idx="7846">
                  <c:v>6.692433731871697E-2</c:v>
                </c:pt>
                <c:pt idx="7847">
                  <c:v>6.6872937773856805E-2</c:v>
                </c:pt>
                <c:pt idx="7848">
                  <c:v>6.6821538266244984E-2</c:v>
                </c:pt>
                <c:pt idx="7849">
                  <c:v>6.6770138795834752E-2</c:v>
                </c:pt>
                <c:pt idx="7850">
                  <c:v>6.6718739362579424E-2</c:v>
                </c:pt>
                <c:pt idx="7851">
                  <c:v>6.6667339966432371E-2</c:v>
                </c:pt>
                <c:pt idx="7852">
                  <c:v>6.6615940607347032E-2</c:v>
                </c:pt>
                <c:pt idx="7853">
                  <c:v>6.656454128527689E-2</c:v>
                </c:pt>
                <c:pt idx="7854">
                  <c:v>6.6513142000175496E-2</c:v>
                </c:pt>
                <c:pt idx="7855">
                  <c:v>6.6461742751996469E-2</c:v>
                </c:pt>
                <c:pt idx="7856">
                  <c:v>6.6410343540693459E-2</c:v>
                </c:pt>
                <c:pt idx="7857">
                  <c:v>6.6358944366220196E-2</c:v>
                </c:pt>
                <c:pt idx="7858">
                  <c:v>6.6307545228530468E-2</c:v>
                </c:pt>
                <c:pt idx="7859">
                  <c:v>6.6256146127578089E-2</c:v>
                </c:pt>
                <c:pt idx="7860">
                  <c:v>6.6204747063316999E-2</c:v>
                </c:pt>
                <c:pt idx="7861">
                  <c:v>6.6153348035701109E-2</c:v>
                </c:pt>
                <c:pt idx="7862">
                  <c:v>6.6101949044684444E-2</c:v>
                </c:pt>
                <c:pt idx="7863">
                  <c:v>6.6050550090221108E-2</c:v>
                </c:pt>
                <c:pt idx="7864">
                  <c:v>6.5999151172265194E-2</c:v>
                </c:pt>
                <c:pt idx="7865">
                  <c:v>6.5947752290770892E-2</c:v>
                </c:pt>
                <c:pt idx="7866">
                  <c:v>6.5896353445692474E-2</c:v>
                </c:pt>
                <c:pt idx="7867">
                  <c:v>6.5844954636984199E-2</c:v>
                </c:pt>
                <c:pt idx="7868">
                  <c:v>6.5793555864600464E-2</c:v>
                </c:pt>
                <c:pt idx="7869">
                  <c:v>6.5742157128495654E-2</c:v>
                </c:pt>
                <c:pt idx="7870">
                  <c:v>6.5690758428624263E-2</c:v>
                </c:pt>
                <c:pt idx="7871">
                  <c:v>6.5639359764940799E-2</c:v>
                </c:pt>
                <c:pt idx="7872">
                  <c:v>6.5587961137399869E-2</c:v>
                </c:pt>
                <c:pt idx="7873">
                  <c:v>6.553656254595612E-2</c:v>
                </c:pt>
                <c:pt idx="7874">
                  <c:v>6.5485163990564241E-2</c:v>
                </c:pt>
                <c:pt idx="7875">
                  <c:v>6.543376547117899E-2</c:v>
                </c:pt>
                <c:pt idx="7876">
                  <c:v>6.5382366987755181E-2</c:v>
                </c:pt>
                <c:pt idx="7877">
                  <c:v>6.5330968540247669E-2</c:v>
                </c:pt>
                <c:pt idx="7878">
                  <c:v>6.5279570128611422E-2</c:v>
                </c:pt>
                <c:pt idx="7879">
                  <c:v>6.5228171752801406E-2</c:v>
                </c:pt>
                <c:pt idx="7880">
                  <c:v>6.5176773412772657E-2</c:v>
                </c:pt>
                <c:pt idx="7881">
                  <c:v>6.512537510848028E-2</c:v>
                </c:pt>
                <c:pt idx="7882">
                  <c:v>6.5073976839879408E-2</c:v>
                </c:pt>
                <c:pt idx="7883">
                  <c:v>6.5022578606925285E-2</c:v>
                </c:pt>
                <c:pt idx="7884">
                  <c:v>6.4971180409573143E-2</c:v>
                </c:pt>
                <c:pt idx="7885">
                  <c:v>6.4919782247778335E-2</c:v>
                </c:pt>
                <c:pt idx="7886">
                  <c:v>6.4868384121496217E-2</c:v>
                </c:pt>
                <c:pt idx="7887">
                  <c:v>6.4816986030682228E-2</c:v>
                </c:pt>
                <c:pt idx="7888">
                  <c:v>6.4765587975291875E-2</c:v>
                </c:pt>
                <c:pt idx="7889">
                  <c:v>6.4714189955280679E-2</c:v>
                </c:pt>
                <c:pt idx="7890">
                  <c:v>6.4662791970604247E-2</c:v>
                </c:pt>
                <c:pt idx="7891">
                  <c:v>6.4611394021218252E-2</c:v>
                </c:pt>
                <c:pt idx="7892">
                  <c:v>6.4559996107078382E-2</c:v>
                </c:pt>
                <c:pt idx="7893">
                  <c:v>6.4508598228140451E-2</c:v>
                </c:pt>
                <c:pt idx="7894">
                  <c:v>6.445720038436023E-2</c:v>
                </c:pt>
                <c:pt idx="7895">
                  <c:v>6.4405802575693644E-2</c:v>
                </c:pt>
                <c:pt idx="7896">
                  <c:v>6.4354404802096601E-2</c:v>
                </c:pt>
                <c:pt idx="7897">
                  <c:v>6.4303007063525097E-2</c:v>
                </c:pt>
                <c:pt idx="7898">
                  <c:v>6.425160935993518E-2</c:v>
                </c:pt>
                <c:pt idx="7899">
                  <c:v>6.4200211691282955E-2</c:v>
                </c:pt>
                <c:pt idx="7900">
                  <c:v>6.4148814057524567E-2</c:v>
                </c:pt>
                <c:pt idx="7901">
                  <c:v>6.4097416458616233E-2</c:v>
                </c:pt>
                <c:pt idx="7902">
                  <c:v>6.4046018894514223E-2</c:v>
                </c:pt>
                <c:pt idx="7903">
                  <c:v>6.3994621365174864E-2</c:v>
                </c:pt>
                <c:pt idx="7904">
                  <c:v>6.3943223870554511E-2</c:v>
                </c:pt>
                <c:pt idx="7905">
                  <c:v>6.3891826410609601E-2</c:v>
                </c:pt>
                <c:pt idx="7906">
                  <c:v>6.3840428985296627E-2</c:v>
                </c:pt>
                <c:pt idx="7907">
                  <c:v>6.378903159457211E-2</c:v>
                </c:pt>
                <c:pt idx="7908">
                  <c:v>6.3737634238392682E-2</c:v>
                </c:pt>
                <c:pt idx="7909">
                  <c:v>6.3686236916714961E-2</c:v>
                </c:pt>
                <c:pt idx="7910">
                  <c:v>6.3634839629495663E-2</c:v>
                </c:pt>
                <c:pt idx="7911">
                  <c:v>6.3583442376691529E-2</c:v>
                </c:pt>
                <c:pt idx="7912">
                  <c:v>6.3532045158259401E-2</c:v>
                </c:pt>
                <c:pt idx="7913">
                  <c:v>6.3480647974156118E-2</c:v>
                </c:pt>
                <c:pt idx="7914">
                  <c:v>6.3429250824338604E-2</c:v>
                </c:pt>
                <c:pt idx="7915">
                  <c:v>6.3377853708763837E-2</c:v>
                </c:pt>
                <c:pt idx="7916">
                  <c:v>6.3326456627388852E-2</c:v>
                </c:pt>
                <c:pt idx="7917">
                  <c:v>6.3275059580170712E-2</c:v>
                </c:pt>
                <c:pt idx="7918">
                  <c:v>6.3223662567066574E-2</c:v>
                </c:pt>
                <c:pt idx="7919">
                  <c:v>6.3172265588033627E-2</c:v>
                </c:pt>
                <c:pt idx="7920">
                  <c:v>6.3120868643029099E-2</c:v>
                </c:pt>
                <c:pt idx="7921">
                  <c:v>6.3069471732010288E-2</c:v>
                </c:pt>
                <c:pt idx="7922">
                  <c:v>6.3018074854934561E-2</c:v>
                </c:pt>
                <c:pt idx="7923">
                  <c:v>6.29666780117593E-2</c:v>
                </c:pt>
                <c:pt idx="7924">
                  <c:v>6.2915281202441983E-2</c:v>
                </c:pt>
                <c:pt idx="7925">
                  <c:v>6.2863884426940117E-2</c:v>
                </c:pt>
                <c:pt idx="7926">
                  <c:v>6.2812487685211263E-2</c:v>
                </c:pt>
                <c:pt idx="7927">
                  <c:v>6.2761090977213024E-2</c:v>
                </c:pt>
                <c:pt idx="7928">
                  <c:v>6.2709694302903102E-2</c:v>
                </c:pt>
                <c:pt idx="7929">
                  <c:v>6.2658297662239196E-2</c:v>
                </c:pt>
                <c:pt idx="7930">
                  <c:v>6.260690105517909E-2</c:v>
                </c:pt>
                <c:pt idx="7931">
                  <c:v>6.255550448168061E-2</c:v>
                </c:pt>
                <c:pt idx="7932">
                  <c:v>6.250410794170165E-2</c:v>
                </c:pt>
                <c:pt idx="7933">
                  <c:v>6.2452711435200141E-2</c:v>
                </c:pt>
                <c:pt idx="7934">
                  <c:v>6.2401314962134066E-2</c:v>
                </c:pt>
                <c:pt idx="7935">
                  <c:v>6.2349918522461474E-2</c:v>
                </c:pt>
                <c:pt idx="7936">
                  <c:v>6.2298522116140453E-2</c:v>
                </c:pt>
                <c:pt idx="7937">
                  <c:v>6.2247125743129149E-2</c:v>
                </c:pt>
                <c:pt idx="7938">
                  <c:v>6.2195729403385747E-2</c:v>
                </c:pt>
                <c:pt idx="7939">
                  <c:v>6.214433309686853E-2</c:v>
                </c:pt>
                <c:pt idx="7940">
                  <c:v>6.209293682353579E-2</c:v>
                </c:pt>
                <c:pt idx="7941">
                  <c:v>6.2041540583345878E-2</c:v>
                </c:pt>
                <c:pt idx="7942">
                  <c:v>6.1990144376257196E-2</c:v>
                </c:pt>
                <c:pt idx="7943">
                  <c:v>6.1938748202228222E-2</c:v>
                </c:pt>
                <c:pt idx="7944">
                  <c:v>6.1887352061217454E-2</c:v>
                </c:pt>
                <c:pt idx="7945">
                  <c:v>6.1835955953183468E-2</c:v>
                </c:pt>
                <c:pt idx="7946">
                  <c:v>6.1784559878084865E-2</c:v>
                </c:pt>
                <c:pt idx="7947">
                  <c:v>6.1733163835880331E-2</c:v>
                </c:pt>
                <c:pt idx="7948">
                  <c:v>6.168176782652858E-2</c:v>
                </c:pt>
                <c:pt idx="7949">
                  <c:v>6.1630371849988382E-2</c:v>
                </c:pt>
                <c:pt idx="7950">
                  <c:v>6.157897590621856E-2</c:v>
                </c:pt>
                <c:pt idx="7951">
                  <c:v>6.1527579995177994E-2</c:v>
                </c:pt>
                <c:pt idx="7952">
                  <c:v>6.1476184116825608E-2</c:v>
                </c:pt>
                <c:pt idx="7953">
                  <c:v>6.142478827112037E-2</c:v>
                </c:pt>
                <c:pt idx="7954">
                  <c:v>6.1373392458021335E-2</c:v>
                </c:pt>
                <c:pt idx="7955">
                  <c:v>6.1321996677487577E-2</c:v>
                </c:pt>
                <c:pt idx="7956">
                  <c:v>6.1270600929478225E-2</c:v>
                </c:pt>
                <c:pt idx="7957">
                  <c:v>6.1219205213952459E-2</c:v>
                </c:pt>
                <c:pt idx="7958">
                  <c:v>6.1167809530869525E-2</c:v>
                </c:pt>
                <c:pt idx="7959">
                  <c:v>6.1116413880188701E-2</c:v>
                </c:pt>
                <c:pt idx="7960">
                  <c:v>6.106501826186933E-2</c:v>
                </c:pt>
                <c:pt idx="7961">
                  <c:v>6.10136226758708E-2</c:v>
                </c:pt>
                <c:pt idx="7962">
                  <c:v>6.0962227122152553E-2</c:v>
                </c:pt>
                <c:pt idx="7963">
                  <c:v>6.0910831600674072E-2</c:v>
                </c:pt>
                <c:pt idx="7964">
                  <c:v>6.0859436111394903E-2</c:v>
                </c:pt>
                <c:pt idx="7965">
                  <c:v>6.0808040654274642E-2</c:v>
                </c:pt>
                <c:pt idx="7966">
                  <c:v>6.0756645229272925E-2</c:v>
                </c:pt>
                <c:pt idx="7967">
                  <c:v>6.0705249836349458E-2</c:v>
                </c:pt>
                <c:pt idx="7968">
                  <c:v>6.0653854475463974E-2</c:v>
                </c:pt>
                <c:pt idx="7969">
                  <c:v>6.0602459146576255E-2</c:v>
                </c:pt>
                <c:pt idx="7970">
                  <c:v>6.0551063849646175E-2</c:v>
                </c:pt>
                <c:pt idx="7971">
                  <c:v>6.0499668584633619E-2</c:v>
                </c:pt>
                <c:pt idx="7972">
                  <c:v>6.0448273351498535E-2</c:v>
                </c:pt>
                <c:pt idx="7973">
                  <c:v>6.0396878150200915E-2</c:v>
                </c:pt>
                <c:pt idx="7974">
                  <c:v>6.0345482980700804E-2</c:v>
                </c:pt>
                <c:pt idx="7975">
                  <c:v>6.0294087842958304E-2</c:v>
                </c:pt>
                <c:pt idx="7976">
                  <c:v>6.0242692736933556E-2</c:v>
                </c:pt>
                <c:pt idx="7977">
                  <c:v>6.0191297662586761E-2</c:v>
                </c:pt>
                <c:pt idx="7978">
                  <c:v>6.0139902619878165E-2</c:v>
                </c:pt>
                <c:pt idx="7979">
                  <c:v>6.0088507608768063E-2</c:v>
                </c:pt>
                <c:pt idx="7980">
                  <c:v>6.0037112629216807E-2</c:v>
                </c:pt>
                <c:pt idx="7981">
                  <c:v>5.9985717681184783E-2</c:v>
                </c:pt>
                <c:pt idx="7982">
                  <c:v>5.9934322764632446E-2</c:v>
                </c:pt>
                <c:pt idx="7983">
                  <c:v>5.9882927879520285E-2</c:v>
                </c:pt>
                <c:pt idx="7984">
                  <c:v>5.9831533025808833E-2</c:v>
                </c:pt>
                <c:pt idx="7985">
                  <c:v>5.9780138203458719E-2</c:v>
                </c:pt>
                <c:pt idx="7986">
                  <c:v>5.9728743412430563E-2</c:v>
                </c:pt>
                <c:pt idx="7987">
                  <c:v>5.9677348652685064E-2</c:v>
                </c:pt>
                <c:pt idx="7988">
                  <c:v>5.9625953924182962E-2</c:v>
                </c:pt>
                <c:pt idx="7989">
                  <c:v>5.9574559226885052E-2</c:v>
                </c:pt>
                <c:pt idx="7990">
                  <c:v>5.9523164560752177E-2</c:v>
                </c:pt>
                <c:pt idx="7991">
                  <c:v>5.9471769925745224E-2</c:v>
                </c:pt>
                <c:pt idx="7992">
                  <c:v>5.9420375321825133E-2</c:v>
                </c:pt>
                <c:pt idx="7993">
                  <c:v>5.9368980748952895E-2</c:v>
                </c:pt>
                <c:pt idx="7994">
                  <c:v>5.9317586207089538E-2</c:v>
                </c:pt>
                <c:pt idx="7995">
                  <c:v>5.9266191696196159E-2</c:v>
                </c:pt>
                <c:pt idx="7996">
                  <c:v>5.9214797216233891E-2</c:v>
                </c:pt>
                <c:pt idx="7997">
                  <c:v>5.916340276716392E-2</c:v>
                </c:pt>
                <c:pt idx="7998">
                  <c:v>5.9112008348947469E-2</c:v>
                </c:pt>
                <c:pt idx="7999">
                  <c:v>5.9060613961545813E-2</c:v>
                </c:pt>
                <c:pt idx="8000">
                  <c:v>5.900921960492031E-2</c:v>
                </c:pt>
                <c:pt idx="8001">
                  <c:v>5.8957825279032323E-2</c:v>
                </c:pt>
                <c:pt idx="8002">
                  <c:v>5.8906430983843273E-2</c:v>
                </c:pt>
                <c:pt idx="8003">
                  <c:v>5.8855036719314649E-2</c:v>
                </c:pt>
                <c:pt idx="8004">
                  <c:v>5.880364248540796E-2</c:v>
                </c:pt>
                <c:pt idx="8005">
                  <c:v>5.8752248282084786E-2</c:v>
                </c:pt>
                <c:pt idx="8006">
                  <c:v>5.8700854109306748E-2</c:v>
                </c:pt>
                <c:pt idx="8007">
                  <c:v>5.8649459967035515E-2</c:v>
                </c:pt>
                <c:pt idx="8008">
                  <c:v>5.8598065855232792E-2</c:v>
                </c:pt>
                <c:pt idx="8009">
                  <c:v>5.8546671773860359E-2</c:v>
                </c:pt>
                <c:pt idx="8010">
                  <c:v>5.8495277722880018E-2</c:v>
                </c:pt>
                <c:pt idx="8011">
                  <c:v>5.8443883702253632E-2</c:v>
                </c:pt>
                <c:pt idx="8012">
                  <c:v>5.8392489711943114E-2</c:v>
                </c:pt>
                <c:pt idx="8013">
                  <c:v>5.8341095751910411E-2</c:v>
                </c:pt>
                <c:pt idx="8014">
                  <c:v>5.8289701822117519E-2</c:v>
                </c:pt>
                <c:pt idx="8015">
                  <c:v>5.8238307922526517E-2</c:v>
                </c:pt>
                <c:pt idx="8016">
                  <c:v>5.8186914053099489E-2</c:v>
                </c:pt>
                <c:pt idx="8017">
                  <c:v>5.8135520213798579E-2</c:v>
                </c:pt>
                <c:pt idx="8018">
                  <c:v>5.808412640458599E-2</c:v>
                </c:pt>
                <c:pt idx="8019">
                  <c:v>5.8032732625423952E-2</c:v>
                </c:pt>
                <c:pt idx="8020">
                  <c:v>5.7981338876274761E-2</c:v>
                </c:pt>
                <c:pt idx="8021">
                  <c:v>5.7929945157100753E-2</c:v>
                </c:pt>
                <c:pt idx="8022">
                  <c:v>5.787855146786431E-2</c:v>
                </c:pt>
                <c:pt idx="8023">
                  <c:v>5.782715780852786E-2</c:v>
                </c:pt>
                <c:pt idx="8024">
                  <c:v>5.777576417905389E-2</c:v>
                </c:pt>
                <c:pt idx="8025">
                  <c:v>5.7724370579404917E-2</c:v>
                </c:pt>
                <c:pt idx="8026">
                  <c:v>5.7672977009543512E-2</c:v>
                </c:pt>
                <c:pt idx="8027">
                  <c:v>5.7621583469432296E-2</c:v>
                </c:pt>
                <c:pt idx="8028">
                  <c:v>5.7570189959033943E-2</c:v>
                </c:pt>
                <c:pt idx="8029">
                  <c:v>5.7518796478311152E-2</c:v>
                </c:pt>
                <c:pt idx="8030">
                  <c:v>5.7467403027226679E-2</c:v>
                </c:pt>
                <c:pt idx="8031">
                  <c:v>5.7416009605743348E-2</c:v>
                </c:pt>
                <c:pt idx="8032">
                  <c:v>5.7364616213824014E-2</c:v>
                </c:pt>
                <c:pt idx="8033">
                  <c:v>5.7313222851431561E-2</c:v>
                </c:pt>
                <c:pt idx="8034">
                  <c:v>5.7261829518528942E-2</c:v>
                </c:pt>
                <c:pt idx="8035">
                  <c:v>5.7210436215079152E-2</c:v>
                </c:pt>
                <c:pt idx="8036">
                  <c:v>5.7159042941045221E-2</c:v>
                </c:pt>
                <c:pt idx="8037">
                  <c:v>5.7107649696390247E-2</c:v>
                </c:pt>
                <c:pt idx="8038">
                  <c:v>5.7056256481077351E-2</c:v>
                </c:pt>
                <c:pt idx="8039">
                  <c:v>5.7004863295069715E-2</c:v>
                </c:pt>
                <c:pt idx="8040">
                  <c:v>5.6953470138330561E-2</c:v>
                </c:pt>
                <c:pt idx="8041">
                  <c:v>5.6902077010823164E-2</c:v>
                </c:pt>
                <c:pt idx="8042">
                  <c:v>5.6850683912510844E-2</c:v>
                </c:pt>
                <c:pt idx="8043">
                  <c:v>5.6799290843356949E-2</c:v>
                </c:pt>
                <c:pt idx="8044">
                  <c:v>5.6747897803324898E-2</c:v>
                </c:pt>
                <c:pt idx="8045">
                  <c:v>5.6696504792378137E-2</c:v>
                </c:pt>
                <c:pt idx="8046">
                  <c:v>5.6645111810480181E-2</c:v>
                </c:pt>
                <c:pt idx="8047">
                  <c:v>5.6593718857594566E-2</c:v>
                </c:pt>
                <c:pt idx="8048">
                  <c:v>5.6542325933684891E-2</c:v>
                </c:pt>
                <c:pt idx="8049">
                  <c:v>5.6490933038714788E-2</c:v>
                </c:pt>
                <c:pt idx="8050">
                  <c:v>5.6439540172647934E-2</c:v>
                </c:pt>
                <c:pt idx="8051">
                  <c:v>5.6388147335448072E-2</c:v>
                </c:pt>
                <c:pt idx="8052">
                  <c:v>5.6336754527078967E-2</c:v>
                </c:pt>
                <c:pt idx="8053">
                  <c:v>5.6285361747504439E-2</c:v>
                </c:pt>
                <c:pt idx="8054">
                  <c:v>5.6233968996688352E-2</c:v>
                </c:pt>
                <c:pt idx="8055">
                  <c:v>5.6182576274594623E-2</c:v>
                </c:pt>
                <c:pt idx="8056">
                  <c:v>5.6131183581187204E-2</c:v>
                </c:pt>
                <c:pt idx="8057">
                  <c:v>5.6079790916430089E-2</c:v>
                </c:pt>
                <c:pt idx="8058">
                  <c:v>5.6028398280287342E-2</c:v>
                </c:pt>
                <c:pt idx="8059">
                  <c:v>5.5977005672723033E-2</c:v>
                </c:pt>
                <c:pt idx="8060">
                  <c:v>5.5925613093701296E-2</c:v>
                </c:pt>
                <c:pt idx="8061">
                  <c:v>5.5874220543186345E-2</c:v>
                </c:pt>
                <c:pt idx="8062">
                  <c:v>5.5822828021142384E-2</c:v>
                </c:pt>
                <c:pt idx="8063">
                  <c:v>5.5771435527533685E-2</c:v>
                </c:pt>
                <c:pt idx="8064">
                  <c:v>5.5720043062324559E-2</c:v>
                </c:pt>
                <c:pt idx="8065">
                  <c:v>5.5668650625479384E-2</c:v>
                </c:pt>
                <c:pt idx="8066">
                  <c:v>5.5617258216962548E-2</c:v>
                </c:pt>
                <c:pt idx="8067">
                  <c:v>5.5565865836738504E-2</c:v>
                </c:pt>
                <c:pt idx="8068">
                  <c:v>5.5514473484771759E-2</c:v>
                </c:pt>
                <c:pt idx="8069">
                  <c:v>5.5463081161026842E-2</c:v>
                </c:pt>
                <c:pt idx="8070">
                  <c:v>5.5411688865468336E-2</c:v>
                </c:pt>
                <c:pt idx="8071">
                  <c:v>5.5360296598060875E-2</c:v>
                </c:pt>
                <c:pt idx="8072">
                  <c:v>5.5308904358769125E-2</c:v>
                </c:pt>
                <c:pt idx="8073">
                  <c:v>5.5257512147557815E-2</c:v>
                </c:pt>
                <c:pt idx="8074">
                  <c:v>5.5206119964391689E-2</c:v>
                </c:pt>
                <c:pt idx="8075">
                  <c:v>5.5154727809235568E-2</c:v>
                </c:pt>
                <c:pt idx="8076">
                  <c:v>5.5103335682054277E-2</c:v>
                </c:pt>
                <c:pt idx="8077">
                  <c:v>5.5051943582812748E-2</c:v>
                </c:pt>
                <c:pt idx="8078">
                  <c:v>5.5000551511475898E-2</c:v>
                </c:pt>
                <c:pt idx="8079">
                  <c:v>5.4949159468008706E-2</c:v>
                </c:pt>
                <c:pt idx="8080">
                  <c:v>5.4897767452376199E-2</c:v>
                </c:pt>
                <c:pt idx="8081">
                  <c:v>5.4846375464543455E-2</c:v>
                </c:pt>
                <c:pt idx="8082">
                  <c:v>5.4794983504475585E-2</c:v>
                </c:pt>
                <c:pt idx="8083">
                  <c:v>5.4743591572137741E-2</c:v>
                </c:pt>
                <c:pt idx="8084">
                  <c:v>5.4692199667495126E-2</c:v>
                </c:pt>
                <c:pt idx="8085">
                  <c:v>5.4640807790512981E-2</c:v>
                </c:pt>
                <c:pt idx="8086">
                  <c:v>5.4589415941156599E-2</c:v>
                </c:pt>
                <c:pt idx="8087">
                  <c:v>5.4538024119391321E-2</c:v>
                </c:pt>
                <c:pt idx="8088">
                  <c:v>5.4486632325182506E-2</c:v>
                </c:pt>
                <c:pt idx="8089">
                  <c:v>5.4435240558495579E-2</c:v>
                </c:pt>
                <c:pt idx="8090">
                  <c:v>5.4383848819296005E-2</c:v>
                </c:pt>
                <c:pt idx="8091">
                  <c:v>5.4332457107549269E-2</c:v>
                </c:pt>
                <c:pt idx="8092">
                  <c:v>5.4281065423220955E-2</c:v>
                </c:pt>
                <c:pt idx="8093">
                  <c:v>5.4229673766276638E-2</c:v>
                </c:pt>
                <c:pt idx="8094">
                  <c:v>5.4178282136681952E-2</c:v>
                </c:pt>
                <c:pt idx="8095">
                  <c:v>5.4126890534402582E-2</c:v>
                </c:pt>
                <c:pt idx="8096">
                  <c:v>5.4075498959404243E-2</c:v>
                </c:pt>
                <c:pt idx="8097">
                  <c:v>5.40241074116527E-2</c:v>
                </c:pt>
                <c:pt idx="8098">
                  <c:v>5.3972715891113764E-2</c:v>
                </c:pt>
                <c:pt idx="8099">
                  <c:v>5.3921324397753274E-2</c:v>
                </c:pt>
                <c:pt idx="8100">
                  <c:v>5.3869932931537141E-2</c:v>
                </c:pt>
                <c:pt idx="8101">
                  <c:v>5.3818541492431288E-2</c:v>
                </c:pt>
                <c:pt idx="8102">
                  <c:v>5.3767150080401699E-2</c:v>
                </c:pt>
                <c:pt idx="8103">
                  <c:v>5.3715758695414395E-2</c:v>
                </c:pt>
                <c:pt idx="8104">
                  <c:v>5.3664367337435445E-2</c:v>
                </c:pt>
                <c:pt idx="8105">
                  <c:v>5.3612976006430946E-2</c:v>
                </c:pt>
                <c:pt idx="8106">
                  <c:v>5.3561584702367035E-2</c:v>
                </c:pt>
                <c:pt idx="8107">
                  <c:v>5.3510193425209934E-2</c:v>
                </c:pt>
                <c:pt idx="8108">
                  <c:v>5.3458802174925865E-2</c:v>
                </c:pt>
                <c:pt idx="8109">
                  <c:v>5.3407410951481098E-2</c:v>
                </c:pt>
                <c:pt idx="8110">
                  <c:v>5.3356019754841964E-2</c:v>
                </c:pt>
                <c:pt idx="8111">
                  <c:v>5.3304628584974811E-2</c:v>
                </c:pt>
                <c:pt idx="8112">
                  <c:v>5.3253237441846055E-2</c:v>
                </c:pt>
                <c:pt idx="8113">
                  <c:v>5.3201846325422124E-2</c:v>
                </c:pt>
                <c:pt idx="8114">
                  <c:v>5.3150455235669525E-2</c:v>
                </c:pt>
                <c:pt idx="8115">
                  <c:v>5.3099064172554777E-2</c:v>
                </c:pt>
                <c:pt idx="8116">
                  <c:v>5.304767313604445E-2</c:v>
                </c:pt>
                <c:pt idx="8117">
                  <c:v>5.299628212610516E-2</c:v>
                </c:pt>
                <c:pt idx="8118">
                  <c:v>5.2944891142703565E-2</c:v>
                </c:pt>
                <c:pt idx="8119">
                  <c:v>5.2893500185806366E-2</c:v>
                </c:pt>
                <c:pt idx="8120">
                  <c:v>5.2842109255380292E-2</c:v>
                </c:pt>
                <c:pt idx="8121">
                  <c:v>5.279071835139211E-2</c:v>
                </c:pt>
                <c:pt idx="8122">
                  <c:v>5.2739327473808682E-2</c:v>
                </c:pt>
                <c:pt idx="8123">
                  <c:v>5.2687936622596854E-2</c:v>
                </c:pt>
                <c:pt idx="8124">
                  <c:v>5.2636545797723519E-2</c:v>
                </c:pt>
                <c:pt idx="8125">
                  <c:v>5.2585154999155642E-2</c:v>
                </c:pt>
                <c:pt idx="8126">
                  <c:v>5.2533764226860201E-2</c:v>
                </c:pt>
                <c:pt idx="8127">
                  <c:v>5.2482373480804236E-2</c:v>
                </c:pt>
                <c:pt idx="8128">
                  <c:v>5.24309827609548E-2</c:v>
                </c:pt>
                <c:pt idx="8129">
                  <c:v>5.2379592067279025E-2</c:v>
                </c:pt>
                <c:pt idx="8130">
                  <c:v>5.2328201399744062E-2</c:v>
                </c:pt>
                <c:pt idx="8131">
                  <c:v>5.2276810758317097E-2</c:v>
                </c:pt>
                <c:pt idx="8132">
                  <c:v>5.222542014296537E-2</c:v>
                </c:pt>
                <c:pt idx="8133">
                  <c:v>5.2174029553656166E-2</c:v>
                </c:pt>
                <c:pt idx="8134">
                  <c:v>5.2122638990356795E-2</c:v>
                </c:pt>
                <c:pt idx="8135">
                  <c:v>5.2071248453034624E-2</c:v>
                </c:pt>
                <c:pt idx="8136">
                  <c:v>5.2019857941657047E-2</c:v>
                </c:pt>
                <c:pt idx="8137">
                  <c:v>5.1968467456191492E-2</c:v>
                </c:pt>
                <c:pt idx="8138">
                  <c:v>5.1917076996605471E-2</c:v>
                </c:pt>
                <c:pt idx="8139">
                  <c:v>5.1865686562866498E-2</c:v>
                </c:pt>
                <c:pt idx="8140">
                  <c:v>5.1814296154942131E-2</c:v>
                </c:pt>
                <c:pt idx="8141">
                  <c:v>5.1762905772799982E-2</c:v>
                </c:pt>
                <c:pt idx="8142">
                  <c:v>5.1711515416407686E-2</c:v>
                </c:pt>
                <c:pt idx="8143">
                  <c:v>5.1660125085732936E-2</c:v>
                </c:pt>
                <c:pt idx="8144">
                  <c:v>5.1608734780743459E-2</c:v>
                </c:pt>
                <c:pt idx="8145">
                  <c:v>5.1557344501407018E-2</c:v>
                </c:pt>
                <c:pt idx="8146">
                  <c:v>5.1505954247691423E-2</c:v>
                </c:pt>
                <c:pt idx="8147">
                  <c:v>5.1454564019564518E-2</c:v>
                </c:pt>
                <c:pt idx="8148">
                  <c:v>5.1403173816994198E-2</c:v>
                </c:pt>
                <c:pt idx="8149">
                  <c:v>5.1351783639948391E-2</c:v>
                </c:pt>
                <c:pt idx="8150">
                  <c:v>5.130039348839506E-2</c:v>
                </c:pt>
                <c:pt idx="8151">
                  <c:v>5.1249003362302203E-2</c:v>
                </c:pt>
                <c:pt idx="8152">
                  <c:v>5.1197613261637902E-2</c:v>
                </c:pt>
                <c:pt idx="8153">
                  <c:v>5.1146223186370222E-2</c:v>
                </c:pt>
                <c:pt idx="8154">
                  <c:v>5.1094833136467288E-2</c:v>
                </c:pt>
                <c:pt idx="8155">
                  <c:v>5.1043443111897284E-2</c:v>
                </c:pt>
                <c:pt idx="8156">
                  <c:v>5.0992053112628423E-2</c:v>
                </c:pt>
                <c:pt idx="8157">
                  <c:v>5.0940663138628939E-2</c:v>
                </c:pt>
                <c:pt idx="8158">
                  <c:v>5.0889273189867128E-2</c:v>
                </c:pt>
                <c:pt idx="8159">
                  <c:v>5.0837883266311321E-2</c:v>
                </c:pt>
                <c:pt idx="8160">
                  <c:v>5.0786493367929876E-2</c:v>
                </c:pt>
                <c:pt idx="8161">
                  <c:v>5.0735103494691215E-2</c:v>
                </c:pt>
                <c:pt idx="8162">
                  <c:v>5.0683713646563773E-2</c:v>
                </c:pt>
                <c:pt idx="8163">
                  <c:v>5.0632323823516047E-2</c:v>
                </c:pt>
                <c:pt idx="8164">
                  <c:v>5.0580934025516562E-2</c:v>
                </c:pt>
                <c:pt idx="8165">
                  <c:v>5.0529544252533878E-2</c:v>
                </c:pt>
                <c:pt idx="8166">
                  <c:v>5.0478154504536611E-2</c:v>
                </c:pt>
                <c:pt idx="8167">
                  <c:v>5.0426764781493404E-2</c:v>
                </c:pt>
                <c:pt idx="8168">
                  <c:v>5.0375375083372934E-2</c:v>
                </c:pt>
                <c:pt idx="8169">
                  <c:v>5.0323985410143927E-2</c:v>
                </c:pt>
                <c:pt idx="8170">
                  <c:v>5.0272595761775153E-2</c:v>
                </c:pt>
                <c:pt idx="8171">
                  <c:v>5.0221206138235414E-2</c:v>
                </c:pt>
                <c:pt idx="8172">
                  <c:v>5.0169816539493546E-2</c:v>
                </c:pt>
                <c:pt idx="8173">
                  <c:v>5.011842696551843E-2</c:v>
                </c:pt>
                <c:pt idx="8174">
                  <c:v>5.0067037416278992E-2</c:v>
                </c:pt>
                <c:pt idx="8175">
                  <c:v>5.0015647891744189E-2</c:v>
                </c:pt>
                <c:pt idx="8176">
                  <c:v>4.996425839188301E-2</c:v>
                </c:pt>
                <c:pt idx="8177">
                  <c:v>4.99128689166645E-2</c:v>
                </c:pt>
                <c:pt idx="8178">
                  <c:v>4.9861479466057727E-2</c:v>
                </c:pt>
                <c:pt idx="8179">
                  <c:v>4.9810090040031819E-2</c:v>
                </c:pt>
                <c:pt idx="8180">
                  <c:v>4.9758700638555912E-2</c:v>
                </c:pt>
                <c:pt idx="8181">
                  <c:v>4.9707311261599205E-2</c:v>
                </c:pt>
                <c:pt idx="8182">
                  <c:v>4.9655921909130936E-2</c:v>
                </c:pt>
                <c:pt idx="8183">
                  <c:v>4.960453258112036E-2</c:v>
                </c:pt>
                <c:pt idx="8184">
                  <c:v>4.9553143277536793E-2</c:v>
                </c:pt>
                <c:pt idx="8185">
                  <c:v>4.9501753998349586E-2</c:v>
                </c:pt>
                <c:pt idx="8186">
                  <c:v>4.9450364743528111E-2</c:v>
                </c:pt>
                <c:pt idx="8187">
                  <c:v>4.9398975513041808E-2</c:v>
                </c:pt>
                <c:pt idx="8188">
                  <c:v>4.9347586306860119E-2</c:v>
                </c:pt>
                <c:pt idx="8189">
                  <c:v>4.9296197124952555E-2</c:v>
                </c:pt>
                <c:pt idx="8190">
                  <c:v>4.9244807967288654E-2</c:v>
                </c:pt>
                <c:pt idx="8191">
                  <c:v>4.9193418833837987E-2</c:v>
                </c:pt>
                <c:pt idx="8192">
                  <c:v>4.9142029724570171E-2</c:v>
                </c:pt>
                <c:pt idx="8193">
                  <c:v>4.9090640639454855E-2</c:v>
                </c:pt>
                <c:pt idx="8194">
                  <c:v>4.9039251578461736E-2</c:v>
                </c:pt>
                <c:pt idx="8195">
                  <c:v>4.898786254156054E-2</c:v>
                </c:pt>
                <c:pt idx="8196">
                  <c:v>4.8936473528721026E-2</c:v>
                </c:pt>
                <c:pt idx="8197">
                  <c:v>4.8885084539913012E-2</c:v>
                </c:pt>
                <c:pt idx="8198">
                  <c:v>4.8833695575106334E-2</c:v>
                </c:pt>
                <c:pt idx="8199">
                  <c:v>4.8782306634270869E-2</c:v>
                </c:pt>
                <c:pt idx="8200">
                  <c:v>4.8730917717376539E-2</c:v>
                </c:pt>
                <c:pt idx="8201">
                  <c:v>4.8679528824393296E-2</c:v>
                </c:pt>
                <c:pt idx="8202">
                  <c:v>4.8628139955291146E-2</c:v>
                </c:pt>
                <c:pt idx="8203">
                  <c:v>4.8576751110040103E-2</c:v>
                </c:pt>
                <c:pt idx="8204">
                  <c:v>4.8525362288610249E-2</c:v>
                </c:pt>
                <c:pt idx="8205">
                  <c:v>4.8473973490971684E-2</c:v>
                </c:pt>
                <c:pt idx="8206">
                  <c:v>4.8422584717094548E-2</c:v>
                </c:pt>
                <c:pt idx="8207">
                  <c:v>4.8371195966949027E-2</c:v>
                </c:pt>
                <c:pt idx="8208">
                  <c:v>4.8319807240505344E-2</c:v>
                </c:pt>
                <c:pt idx="8209">
                  <c:v>4.8268418537733754E-2</c:v>
                </c:pt>
                <c:pt idx="8210">
                  <c:v>4.8217029858604536E-2</c:v>
                </c:pt>
                <c:pt idx="8211">
                  <c:v>4.8165641203088035E-2</c:v>
                </c:pt>
                <c:pt idx="8212">
                  <c:v>4.811425257115462E-2</c:v>
                </c:pt>
                <c:pt idx="8213">
                  <c:v>4.8062863962774691E-2</c:v>
                </c:pt>
                <c:pt idx="8214">
                  <c:v>4.8011475377918687E-2</c:v>
                </c:pt>
                <c:pt idx="8215">
                  <c:v>4.7960086816557092E-2</c:v>
                </c:pt>
                <c:pt idx="8216">
                  <c:v>4.7908698278660428E-2</c:v>
                </c:pt>
                <c:pt idx="8217">
                  <c:v>4.7857309764199239E-2</c:v>
                </c:pt>
                <c:pt idx="8218">
                  <c:v>4.780592127314412E-2</c:v>
                </c:pt>
                <c:pt idx="8219">
                  <c:v>4.7754532805465696E-2</c:v>
                </c:pt>
                <c:pt idx="8220">
                  <c:v>4.7703144361134632E-2</c:v>
                </c:pt>
                <c:pt idx="8221">
                  <c:v>4.765175594012163E-2</c:v>
                </c:pt>
                <c:pt idx="8222">
                  <c:v>4.760036754239743E-2</c:v>
                </c:pt>
                <c:pt idx="8223">
                  <c:v>4.7548979167932798E-2</c:v>
                </c:pt>
                <c:pt idx="8224">
                  <c:v>4.7497590816698555E-2</c:v>
                </c:pt>
                <c:pt idx="8225">
                  <c:v>4.7446202488665538E-2</c:v>
                </c:pt>
                <c:pt idx="8226">
                  <c:v>4.7394814183804639E-2</c:v>
                </c:pt>
                <c:pt idx="8227">
                  <c:v>4.7343425902086775E-2</c:v>
                </c:pt>
                <c:pt idx="8228">
                  <c:v>4.7292037643482908E-2</c:v>
                </c:pt>
                <c:pt idx="8229">
                  <c:v>4.7240649407964033E-2</c:v>
                </c:pt>
                <c:pt idx="8230">
                  <c:v>4.7189261195501167E-2</c:v>
                </c:pt>
                <c:pt idx="8231">
                  <c:v>4.7137873006065395E-2</c:v>
                </c:pt>
                <c:pt idx="8232">
                  <c:v>4.708648483962781E-2</c:v>
                </c:pt>
                <c:pt idx="8233">
                  <c:v>4.7035096696159552E-2</c:v>
                </c:pt>
                <c:pt idx="8234">
                  <c:v>4.6983708575631791E-2</c:v>
                </c:pt>
                <c:pt idx="8235">
                  <c:v>4.6932320478015752E-2</c:v>
                </c:pt>
                <c:pt idx="8236">
                  <c:v>4.6880932403282671E-2</c:v>
                </c:pt>
                <c:pt idx="8237">
                  <c:v>4.6829544351403837E-2</c:v>
                </c:pt>
                <c:pt idx="8238">
                  <c:v>4.6778156322350564E-2</c:v>
                </c:pt>
                <c:pt idx="8239">
                  <c:v>4.6726768316094215E-2</c:v>
                </c:pt>
                <c:pt idx="8240">
                  <c:v>4.6675380332606181E-2</c:v>
                </c:pt>
                <c:pt idx="8241">
                  <c:v>4.6623992371857881E-2</c:v>
                </c:pt>
                <c:pt idx="8242">
                  <c:v>4.6572604433820781E-2</c:v>
                </c:pt>
                <c:pt idx="8243">
                  <c:v>4.6521216518466392E-2</c:v>
                </c:pt>
                <c:pt idx="8244">
                  <c:v>4.6469828625766235E-2</c:v>
                </c:pt>
                <c:pt idx="8245">
                  <c:v>4.6418440755691889E-2</c:v>
                </c:pt>
                <c:pt idx="8246">
                  <c:v>4.6367052908214954E-2</c:v>
                </c:pt>
                <c:pt idx="8247">
                  <c:v>4.6315665083307082E-2</c:v>
                </c:pt>
                <c:pt idx="8248">
                  <c:v>4.6264277280939944E-2</c:v>
                </c:pt>
                <c:pt idx="8249">
                  <c:v>4.6212889501085257E-2</c:v>
                </c:pt>
                <c:pt idx="8250">
                  <c:v>4.6161501743714764E-2</c:v>
                </c:pt>
                <c:pt idx="8251">
                  <c:v>4.6110114008800253E-2</c:v>
                </c:pt>
                <c:pt idx="8252">
                  <c:v>4.6058726296313537E-2</c:v>
                </c:pt>
                <c:pt idx="8253">
                  <c:v>4.6007338606226481E-2</c:v>
                </c:pt>
                <c:pt idx="8254">
                  <c:v>4.5955950938510966E-2</c:v>
                </c:pt>
                <c:pt idx="8255">
                  <c:v>4.5904563293138925E-2</c:v>
                </c:pt>
                <c:pt idx="8256">
                  <c:v>4.5853175670082319E-2</c:v>
                </c:pt>
                <c:pt idx="8257">
                  <c:v>4.5801788069313128E-2</c:v>
                </c:pt>
                <c:pt idx="8258">
                  <c:v>4.5750400490803408E-2</c:v>
                </c:pt>
                <c:pt idx="8259">
                  <c:v>4.5699012934525211E-2</c:v>
                </c:pt>
                <c:pt idx="8260">
                  <c:v>4.5647625400450635E-2</c:v>
                </c:pt>
                <c:pt idx="8261">
                  <c:v>4.559623788855182E-2</c:v>
                </c:pt>
                <c:pt idx="8262">
                  <c:v>4.5544850398800941E-2</c:v>
                </c:pt>
                <c:pt idx="8263">
                  <c:v>4.5493462931170209E-2</c:v>
                </c:pt>
                <c:pt idx="8264">
                  <c:v>4.5442075485631853E-2</c:v>
                </c:pt>
                <c:pt idx="8265">
                  <c:v>4.5390688062158152E-2</c:v>
                </c:pt>
                <c:pt idx="8266">
                  <c:v>4.5339300660721421E-2</c:v>
                </c:pt>
                <c:pt idx="8267">
                  <c:v>4.5287913281294001E-2</c:v>
                </c:pt>
                <c:pt idx="8268">
                  <c:v>4.5236525923848268E-2</c:v>
                </c:pt>
                <c:pt idx="8269">
                  <c:v>4.5185138588356648E-2</c:v>
                </c:pt>
                <c:pt idx="8270">
                  <c:v>4.5133751274791585E-2</c:v>
                </c:pt>
                <c:pt idx="8271">
                  <c:v>4.508236398312556E-2</c:v>
                </c:pt>
                <c:pt idx="8272">
                  <c:v>4.5030976713331089E-2</c:v>
                </c:pt>
                <c:pt idx="8273">
                  <c:v>4.4979589465380741E-2</c:v>
                </c:pt>
                <c:pt idx="8274">
                  <c:v>4.4928202239247088E-2</c:v>
                </c:pt>
                <c:pt idx="8275">
                  <c:v>4.4876815034902755E-2</c:v>
                </c:pt>
                <c:pt idx="8276">
                  <c:v>4.4825427852320389E-2</c:v>
                </c:pt>
                <c:pt idx="8277">
                  <c:v>4.4774040691472707E-2</c:v>
                </c:pt>
                <c:pt idx="8278">
                  <c:v>4.472265355233241E-2</c:v>
                </c:pt>
                <c:pt idx="8279">
                  <c:v>4.4671266434872264E-2</c:v>
                </c:pt>
                <c:pt idx="8280">
                  <c:v>4.4619879339065069E-2</c:v>
                </c:pt>
                <c:pt idx="8281">
                  <c:v>4.4568492264883644E-2</c:v>
                </c:pt>
                <c:pt idx="8282">
                  <c:v>4.4517105212300852E-2</c:v>
                </c:pt>
                <c:pt idx="8283">
                  <c:v>4.4465718181289582E-2</c:v>
                </c:pt>
                <c:pt idx="8284">
                  <c:v>4.441433117182278E-2</c:v>
                </c:pt>
                <c:pt idx="8285">
                  <c:v>4.4362944183873397E-2</c:v>
                </c:pt>
                <c:pt idx="8286">
                  <c:v>4.4311557217414428E-2</c:v>
                </c:pt>
                <c:pt idx="8287">
                  <c:v>4.4260170272418915E-2</c:v>
                </c:pt>
                <c:pt idx="8288">
                  <c:v>4.4208783348859908E-2</c:v>
                </c:pt>
                <c:pt idx="8289">
                  <c:v>4.4157396446710517E-2</c:v>
                </c:pt>
                <c:pt idx="8290">
                  <c:v>4.4106009565943884E-2</c:v>
                </c:pt>
                <c:pt idx="8291">
                  <c:v>4.4054622706533146E-2</c:v>
                </c:pt>
                <c:pt idx="8292">
                  <c:v>4.4003235868451535E-2</c:v>
                </c:pt>
                <c:pt idx="8293">
                  <c:v>4.3951849051672272E-2</c:v>
                </c:pt>
                <c:pt idx="8294">
                  <c:v>4.3900462256168622E-2</c:v>
                </c:pt>
                <c:pt idx="8295">
                  <c:v>4.3849075481913885E-2</c:v>
                </c:pt>
                <c:pt idx="8296">
                  <c:v>4.3797688728881401E-2</c:v>
                </c:pt>
                <c:pt idx="8297">
                  <c:v>4.3746301997044532E-2</c:v>
                </c:pt>
                <c:pt idx="8298">
                  <c:v>4.369491528637668E-2</c:v>
                </c:pt>
                <c:pt idx="8299">
                  <c:v>4.3643528596851278E-2</c:v>
                </c:pt>
                <c:pt idx="8300">
                  <c:v>4.3592141928441804E-2</c:v>
                </c:pt>
                <c:pt idx="8301">
                  <c:v>4.3540755281121744E-2</c:v>
                </c:pt>
                <c:pt idx="8302">
                  <c:v>4.3489368654864649E-2</c:v>
                </c:pt>
                <c:pt idx="8303">
                  <c:v>4.3437982049644067E-2</c:v>
                </c:pt>
                <c:pt idx="8304">
                  <c:v>4.3386595465433622E-2</c:v>
                </c:pt>
                <c:pt idx="8305">
                  <c:v>4.3335208902206927E-2</c:v>
                </c:pt>
                <c:pt idx="8306">
                  <c:v>4.3283822359937663E-2</c:v>
                </c:pt>
                <c:pt idx="8307">
                  <c:v>4.3232435838599523E-2</c:v>
                </c:pt>
                <c:pt idx="8308">
                  <c:v>4.3181049338166244E-2</c:v>
                </c:pt>
                <c:pt idx="8309">
                  <c:v>4.3129662858611591E-2</c:v>
                </c:pt>
                <c:pt idx="8310">
                  <c:v>4.3078276399909361E-2</c:v>
                </c:pt>
                <c:pt idx="8311">
                  <c:v>4.3026889962033389E-2</c:v>
                </c:pt>
                <c:pt idx="8312">
                  <c:v>4.2975503544957536E-2</c:v>
                </c:pt>
                <c:pt idx="8313">
                  <c:v>4.2924117148655704E-2</c:v>
                </c:pt>
                <c:pt idx="8314">
                  <c:v>4.2872730773101823E-2</c:v>
                </c:pt>
                <c:pt idx="8315">
                  <c:v>4.2821344418269847E-2</c:v>
                </c:pt>
                <c:pt idx="8316">
                  <c:v>4.2769958084133787E-2</c:v>
                </c:pt>
                <c:pt idx="8317">
                  <c:v>4.2718571770667658E-2</c:v>
                </c:pt>
                <c:pt idx="8318">
                  <c:v>4.2667185477845516E-2</c:v>
                </c:pt>
                <c:pt idx="8319">
                  <c:v>4.2615799205641472E-2</c:v>
                </c:pt>
                <c:pt idx="8320">
                  <c:v>4.256441295402965E-2</c:v>
                </c:pt>
                <c:pt idx="8321">
                  <c:v>4.2513026722984196E-2</c:v>
                </c:pt>
                <c:pt idx="8322">
                  <c:v>4.2461640512479304E-2</c:v>
                </c:pt>
                <c:pt idx="8323">
                  <c:v>4.241025432248921E-2</c:v>
                </c:pt>
                <c:pt idx="8324">
                  <c:v>4.2358868152988158E-2</c:v>
                </c:pt>
                <c:pt idx="8325">
                  <c:v>4.2307482003950438E-2</c:v>
                </c:pt>
                <c:pt idx="8326">
                  <c:v>4.2256095875350369E-2</c:v>
                </c:pt>
                <c:pt idx="8327">
                  <c:v>4.2204709767162299E-2</c:v>
                </c:pt>
                <c:pt idx="8328">
                  <c:v>4.215332367936063E-2</c:v>
                </c:pt>
                <c:pt idx="8329">
                  <c:v>4.2101937611919757E-2</c:v>
                </c:pt>
                <c:pt idx="8330">
                  <c:v>4.2050551564814145E-2</c:v>
                </c:pt>
                <c:pt idx="8331">
                  <c:v>4.1999165538018267E-2</c:v>
                </c:pt>
                <c:pt idx="8332">
                  <c:v>4.1947779531506635E-2</c:v>
                </c:pt>
                <c:pt idx="8333">
                  <c:v>4.1896393545253791E-2</c:v>
                </c:pt>
                <c:pt idx="8334">
                  <c:v>4.1845007579234324E-2</c:v>
                </c:pt>
                <c:pt idx="8335">
                  <c:v>4.1793621633422838E-2</c:v>
                </c:pt>
                <c:pt idx="8336">
                  <c:v>4.1742235707793972E-2</c:v>
                </c:pt>
                <c:pt idx="8337">
                  <c:v>4.1690849802322391E-2</c:v>
                </c:pt>
                <c:pt idx="8338">
                  <c:v>4.1639463916982811E-2</c:v>
                </c:pt>
                <c:pt idx="8339">
                  <c:v>4.1588078051749959E-2</c:v>
                </c:pt>
                <c:pt idx="8340">
                  <c:v>4.1536692206598613E-2</c:v>
                </c:pt>
                <c:pt idx="8341">
                  <c:v>4.1485306381503564E-2</c:v>
                </c:pt>
                <c:pt idx="8342">
                  <c:v>4.1433920576439652E-2</c:v>
                </c:pt>
                <c:pt idx="8343">
                  <c:v>4.1382534791381723E-2</c:v>
                </c:pt>
                <c:pt idx="8344">
                  <c:v>4.1331149026304685E-2</c:v>
                </c:pt>
                <c:pt idx="8345">
                  <c:v>4.1279763281183462E-2</c:v>
                </c:pt>
                <c:pt idx="8346">
                  <c:v>4.1228377555993005E-2</c:v>
                </c:pt>
                <c:pt idx="8347">
                  <c:v>4.1176991850708305E-2</c:v>
                </c:pt>
                <c:pt idx="8348">
                  <c:v>4.1125606165304383E-2</c:v>
                </c:pt>
                <c:pt idx="8349">
                  <c:v>4.1074220499756287E-2</c:v>
                </c:pt>
                <c:pt idx="8350">
                  <c:v>4.1022834854039104E-2</c:v>
                </c:pt>
                <c:pt idx="8351">
                  <c:v>4.0971449228127954E-2</c:v>
                </c:pt>
                <c:pt idx="8352">
                  <c:v>4.0920063621997967E-2</c:v>
                </c:pt>
                <c:pt idx="8353">
                  <c:v>4.0868678035624328E-2</c:v>
                </c:pt>
                <c:pt idx="8354">
                  <c:v>4.081729246898224E-2</c:v>
                </c:pt>
                <c:pt idx="8355">
                  <c:v>4.076590692204695E-2</c:v>
                </c:pt>
                <c:pt idx="8356">
                  <c:v>4.0714521394793722E-2</c:v>
                </c:pt>
                <c:pt idx="8357">
                  <c:v>4.0663135887197853E-2</c:v>
                </c:pt>
                <c:pt idx="8358">
                  <c:v>4.0611750399234682E-2</c:v>
                </c:pt>
                <c:pt idx="8359">
                  <c:v>4.0560364930879569E-2</c:v>
                </c:pt>
                <c:pt idx="8360">
                  <c:v>4.0508979482107903E-2</c:v>
                </c:pt>
                <c:pt idx="8361">
                  <c:v>4.0457594052895111E-2</c:v>
                </c:pt>
                <c:pt idx="8362">
                  <c:v>4.0406208643216653E-2</c:v>
                </c:pt>
                <c:pt idx="8363">
                  <c:v>4.0354823253048011E-2</c:v>
                </c:pt>
                <c:pt idx="8364">
                  <c:v>4.0303437882364693E-2</c:v>
                </c:pt>
                <c:pt idx="8365">
                  <c:v>4.0252052531142259E-2</c:v>
                </c:pt>
                <c:pt idx="8366">
                  <c:v>4.0200667199356284E-2</c:v>
                </c:pt>
                <c:pt idx="8367">
                  <c:v>4.0149281886982378E-2</c:v>
                </c:pt>
                <c:pt idx="8368">
                  <c:v>4.0097896593996166E-2</c:v>
                </c:pt>
                <c:pt idx="8369">
                  <c:v>4.0046511320373346E-2</c:v>
                </c:pt>
                <c:pt idx="8370">
                  <c:v>3.9995126066089598E-2</c:v>
                </c:pt>
                <c:pt idx="8371">
                  <c:v>3.9943740831120657E-2</c:v>
                </c:pt>
                <c:pt idx="8372">
                  <c:v>3.9892355615442285E-2</c:v>
                </c:pt>
                <c:pt idx="8373">
                  <c:v>3.9840970419030279E-2</c:v>
                </c:pt>
                <c:pt idx="8374">
                  <c:v>3.9789585241860451E-2</c:v>
                </c:pt>
                <c:pt idx="8375">
                  <c:v>3.9738200083908659E-2</c:v>
                </c:pt>
                <c:pt idx="8376">
                  <c:v>3.9686814945150792E-2</c:v>
                </c:pt>
                <c:pt idx="8377">
                  <c:v>3.963542982556275E-2</c:v>
                </c:pt>
                <c:pt idx="8378">
                  <c:v>3.958404472512049E-2</c:v>
                </c:pt>
                <c:pt idx="8379">
                  <c:v>3.9532659643799969E-2</c:v>
                </c:pt>
                <c:pt idx="8380">
                  <c:v>3.9481274581577207E-2</c:v>
                </c:pt>
                <c:pt idx="8381">
                  <c:v>3.9429889538428235E-2</c:v>
                </c:pt>
                <c:pt idx="8382">
                  <c:v>3.9378504514329109E-2</c:v>
                </c:pt>
                <c:pt idx="8383">
                  <c:v>3.9327119509255923E-2</c:v>
                </c:pt>
                <c:pt idx="8384">
                  <c:v>3.9275734523184815E-2</c:v>
                </c:pt>
                <c:pt idx="8385">
                  <c:v>3.9224349556091921E-2</c:v>
                </c:pt>
                <c:pt idx="8386">
                  <c:v>3.9172964607953442E-2</c:v>
                </c:pt>
                <c:pt idx="8387">
                  <c:v>3.9121579678745584E-2</c:v>
                </c:pt>
                <c:pt idx="8388">
                  <c:v>3.9070194768444581E-2</c:v>
                </c:pt>
                <c:pt idx="8389">
                  <c:v>3.9018809877026724E-2</c:v>
                </c:pt>
                <c:pt idx="8390">
                  <c:v>3.8967425004468301E-2</c:v>
                </c:pt>
                <c:pt idx="8391">
                  <c:v>3.8916040150745658E-2</c:v>
                </c:pt>
                <c:pt idx="8392">
                  <c:v>3.8864655315835148E-2</c:v>
                </c:pt>
                <c:pt idx="8393">
                  <c:v>3.8813270499713164E-2</c:v>
                </c:pt>
                <c:pt idx="8394">
                  <c:v>3.8761885702356128E-2</c:v>
                </c:pt>
                <c:pt idx="8395">
                  <c:v>3.8710500923740496E-2</c:v>
                </c:pt>
                <c:pt idx="8396">
                  <c:v>3.8659116163842745E-2</c:v>
                </c:pt>
                <c:pt idx="8397">
                  <c:v>3.8607731422639388E-2</c:v>
                </c:pt>
                <c:pt idx="8398">
                  <c:v>3.8556346700106957E-2</c:v>
                </c:pt>
                <c:pt idx="8399">
                  <c:v>3.850496199622204E-2</c:v>
                </c:pt>
                <c:pt idx="8400">
                  <c:v>3.8453577310961218E-2</c:v>
                </c:pt>
                <c:pt idx="8401">
                  <c:v>3.8402192644301135E-2</c:v>
                </c:pt>
                <c:pt idx="8402">
                  <c:v>3.8350807996218428E-2</c:v>
                </c:pt>
                <c:pt idx="8403">
                  <c:v>3.8299423366689803E-2</c:v>
                </c:pt>
                <c:pt idx="8404">
                  <c:v>3.8248038755691965E-2</c:v>
                </c:pt>
                <c:pt idx="8405">
                  <c:v>3.8196654163201664E-2</c:v>
                </c:pt>
                <c:pt idx="8406">
                  <c:v>3.8145269589195674E-2</c:v>
                </c:pt>
                <c:pt idx="8407">
                  <c:v>3.8093885033650798E-2</c:v>
                </c:pt>
                <c:pt idx="8408">
                  <c:v>3.8042500496543868E-2</c:v>
                </c:pt>
                <c:pt idx="8409">
                  <c:v>3.799111597785175E-2</c:v>
                </c:pt>
                <c:pt idx="8410">
                  <c:v>3.7939731477551322E-2</c:v>
                </c:pt>
                <c:pt idx="8411">
                  <c:v>3.7888346995619521E-2</c:v>
                </c:pt>
                <c:pt idx="8412">
                  <c:v>3.783696253203328E-2</c:v>
                </c:pt>
                <c:pt idx="8413">
                  <c:v>3.7785578086769592E-2</c:v>
                </c:pt>
                <c:pt idx="8414">
                  <c:v>3.7734193659805453E-2</c:v>
                </c:pt>
                <c:pt idx="8415">
                  <c:v>3.7682809251117902E-2</c:v>
                </c:pt>
                <c:pt idx="8416">
                  <c:v>3.7631424860684007E-2</c:v>
                </c:pt>
                <c:pt idx="8417">
                  <c:v>3.7580040488480862E-2</c:v>
                </c:pt>
                <c:pt idx="8418">
                  <c:v>3.7528656134485576E-2</c:v>
                </c:pt>
                <c:pt idx="8419">
                  <c:v>3.7477271798675313E-2</c:v>
                </c:pt>
                <c:pt idx="8420">
                  <c:v>3.7425887481027251E-2</c:v>
                </c:pt>
                <c:pt idx="8421">
                  <c:v>3.7374503181518588E-2</c:v>
                </c:pt>
                <c:pt idx="8422">
                  <c:v>3.7323118900126566E-2</c:v>
                </c:pt>
                <c:pt idx="8423">
                  <c:v>3.7271734636828459E-2</c:v>
                </c:pt>
                <c:pt idx="8424">
                  <c:v>3.7220350391601542E-2</c:v>
                </c:pt>
                <c:pt idx="8425">
                  <c:v>3.7168966164423146E-2</c:v>
                </c:pt>
                <c:pt idx="8426">
                  <c:v>3.711758195527063E-2</c:v>
                </c:pt>
                <c:pt idx="8427">
                  <c:v>3.7066197764121366E-2</c:v>
                </c:pt>
                <c:pt idx="8428">
                  <c:v>3.7014813590952766E-2</c:v>
                </c:pt>
                <c:pt idx="8429">
                  <c:v>3.6963429435742247E-2</c:v>
                </c:pt>
                <c:pt idx="8430">
                  <c:v>3.6912045298467297E-2</c:v>
                </c:pt>
                <c:pt idx="8431">
                  <c:v>3.68606611791054E-2</c:v>
                </c:pt>
                <c:pt idx="8432">
                  <c:v>3.6809277077634074E-2</c:v>
                </c:pt>
                <c:pt idx="8433">
                  <c:v>3.6757892994030865E-2</c:v>
                </c:pt>
                <c:pt idx="8434">
                  <c:v>3.670650892827336E-2</c:v>
                </c:pt>
                <c:pt idx="8435">
                  <c:v>3.6655124880339153E-2</c:v>
                </c:pt>
                <c:pt idx="8436">
                  <c:v>3.6603740850205888E-2</c:v>
                </c:pt>
                <c:pt idx="8437">
                  <c:v>3.6552356837851213E-2</c:v>
                </c:pt>
                <c:pt idx="8438">
                  <c:v>3.6500972843252828E-2</c:v>
                </c:pt>
                <c:pt idx="8439">
                  <c:v>3.6449588866388445E-2</c:v>
                </c:pt>
                <c:pt idx="8440">
                  <c:v>3.6398204907235811E-2</c:v>
                </c:pt>
                <c:pt idx="8441">
                  <c:v>3.63468209657727E-2</c:v>
                </c:pt>
                <c:pt idx="8442">
                  <c:v>3.6295437041976915E-2</c:v>
                </c:pt>
                <c:pt idx="8443">
                  <c:v>3.6244053135826279E-2</c:v>
                </c:pt>
                <c:pt idx="8444">
                  <c:v>3.6192669247298644E-2</c:v>
                </c:pt>
                <c:pt idx="8445">
                  <c:v>3.6141285376371915E-2</c:v>
                </c:pt>
                <c:pt idx="8446">
                  <c:v>3.6089901523023986E-2</c:v>
                </c:pt>
                <c:pt idx="8447">
                  <c:v>3.6038517687232811E-2</c:v>
                </c:pt>
                <c:pt idx="8448">
                  <c:v>3.5987133868976347E-2</c:v>
                </c:pt>
                <c:pt idx="8449">
                  <c:v>3.5935750068232589E-2</c:v>
                </c:pt>
                <c:pt idx="8450">
                  <c:v>3.5884366284979562E-2</c:v>
                </c:pt>
                <c:pt idx="8451">
                  <c:v>3.5832982519195318E-2</c:v>
                </c:pt>
                <c:pt idx="8452">
                  <c:v>3.5781598770857938E-2</c:v>
                </c:pt>
                <c:pt idx="8453">
                  <c:v>3.5730215039945522E-2</c:v>
                </c:pt>
                <c:pt idx="8454">
                  <c:v>3.5678831326436206E-2</c:v>
                </c:pt>
                <c:pt idx="8455">
                  <c:v>3.5627447630308139E-2</c:v>
                </c:pt>
                <c:pt idx="8456">
                  <c:v>3.5576063951539533E-2</c:v>
                </c:pt>
                <c:pt idx="8457">
                  <c:v>3.5524680290108586E-2</c:v>
                </c:pt>
                <c:pt idx="8458">
                  <c:v>3.5473296645993545E-2</c:v>
                </c:pt>
                <c:pt idx="8459">
                  <c:v>3.5421913019172677E-2</c:v>
                </c:pt>
                <c:pt idx="8460">
                  <c:v>3.5370529409624284E-2</c:v>
                </c:pt>
                <c:pt idx="8461">
                  <c:v>3.5319145817326682E-2</c:v>
                </c:pt>
                <c:pt idx="8462">
                  <c:v>3.5267762242258235E-2</c:v>
                </c:pt>
                <c:pt idx="8463">
                  <c:v>3.5216378684397316E-2</c:v>
                </c:pt>
                <c:pt idx="8464">
                  <c:v>3.516499514372233E-2</c:v>
                </c:pt>
                <c:pt idx="8465">
                  <c:v>3.5113611620211711E-2</c:v>
                </c:pt>
                <c:pt idx="8466">
                  <c:v>3.5062228113843914E-2</c:v>
                </c:pt>
                <c:pt idx="8467">
                  <c:v>3.5010844624597436E-2</c:v>
                </c:pt>
                <c:pt idx="8468">
                  <c:v>3.4959461152450785E-2</c:v>
                </c:pt>
                <c:pt idx="8469">
                  <c:v>3.4908077697382502E-2</c:v>
                </c:pt>
                <c:pt idx="8470">
                  <c:v>3.485669425937115E-2</c:v>
                </c:pt>
                <c:pt idx="8471">
                  <c:v>3.4805310838395338E-2</c:v>
                </c:pt>
                <c:pt idx="8472">
                  <c:v>3.4753927434433673E-2</c:v>
                </c:pt>
                <c:pt idx="8473">
                  <c:v>3.4702544047464819E-2</c:v>
                </c:pt>
                <c:pt idx="8474">
                  <c:v>3.4651160677467437E-2</c:v>
                </c:pt>
                <c:pt idx="8475">
                  <c:v>3.4599777324420239E-2</c:v>
                </c:pt>
                <c:pt idx="8476">
                  <c:v>3.4548393988301937E-2</c:v>
                </c:pt>
                <c:pt idx="8477">
                  <c:v>3.4497010669091312E-2</c:v>
                </c:pt>
                <c:pt idx="8478">
                  <c:v>3.444562736676713E-2</c:v>
                </c:pt>
                <c:pt idx="8479">
                  <c:v>3.4394244081308208E-2</c:v>
                </c:pt>
                <c:pt idx="8480">
                  <c:v>3.4342860812693367E-2</c:v>
                </c:pt>
                <c:pt idx="8481">
                  <c:v>3.4291477560901486E-2</c:v>
                </c:pt>
                <c:pt idx="8482">
                  <c:v>3.4240094325911449E-2</c:v>
                </c:pt>
                <c:pt idx="8483">
                  <c:v>3.4188711107702163E-2</c:v>
                </c:pt>
                <c:pt idx="8484">
                  <c:v>3.4137327906252575E-2</c:v>
                </c:pt>
                <c:pt idx="8485">
                  <c:v>3.4085944721541653E-2</c:v>
                </c:pt>
                <c:pt idx="8486">
                  <c:v>3.4034561553548393E-2</c:v>
                </c:pt>
                <c:pt idx="8487">
                  <c:v>3.3983178402251811E-2</c:v>
                </c:pt>
                <c:pt idx="8488">
                  <c:v>3.393179526763096E-2</c:v>
                </c:pt>
                <c:pt idx="8489">
                  <c:v>3.3880412149664911E-2</c:v>
                </c:pt>
                <c:pt idx="8490">
                  <c:v>3.3829029048332758E-2</c:v>
                </c:pt>
                <c:pt idx="8491">
                  <c:v>3.3777645963613628E-2</c:v>
                </c:pt>
                <c:pt idx="8492">
                  <c:v>3.3726262895486685E-2</c:v>
                </c:pt>
                <c:pt idx="8493">
                  <c:v>3.3674879843931096E-2</c:v>
                </c:pt>
                <c:pt idx="8494">
                  <c:v>3.3623496808926068E-2</c:v>
                </c:pt>
                <c:pt idx="8495">
                  <c:v>3.357211379045083E-2</c:v>
                </c:pt>
                <c:pt idx="8496">
                  <c:v>3.3520730788484644E-2</c:v>
                </c:pt>
                <c:pt idx="8497">
                  <c:v>3.346934780300679E-2</c:v>
                </c:pt>
                <c:pt idx="8498">
                  <c:v>3.3417964833996568E-2</c:v>
                </c:pt>
                <c:pt idx="8499">
                  <c:v>3.3366581881433321E-2</c:v>
                </c:pt>
                <c:pt idx="8500">
                  <c:v>3.3315198945296408E-2</c:v>
                </c:pt>
                <c:pt idx="8501">
                  <c:v>3.3263816025565211E-2</c:v>
                </c:pt>
                <c:pt idx="8502">
                  <c:v>3.3212433122219144E-2</c:v>
                </c:pt>
                <c:pt idx="8503">
                  <c:v>3.3161050235237653E-2</c:v>
                </c:pt>
                <c:pt idx="8504">
                  <c:v>3.31096673646002E-2</c:v>
                </c:pt>
                <c:pt idx="8505">
                  <c:v>3.3058284510286265E-2</c:v>
                </c:pt>
                <c:pt idx="8506">
                  <c:v>3.3006901672275359E-2</c:v>
                </c:pt>
                <c:pt idx="8507">
                  <c:v>3.2955518850547046E-2</c:v>
                </c:pt>
                <c:pt idx="8508">
                  <c:v>3.2904136045080877E-2</c:v>
                </c:pt>
                <c:pt idx="8509">
                  <c:v>3.2852753255856446E-2</c:v>
                </c:pt>
                <c:pt idx="8510">
                  <c:v>3.2801370482853365E-2</c:v>
                </c:pt>
                <c:pt idx="8511">
                  <c:v>3.274998772605129E-2</c:v>
                </c:pt>
                <c:pt idx="8512">
                  <c:v>3.2698604985429883E-2</c:v>
                </c:pt>
                <c:pt idx="8513">
                  <c:v>3.264722226096884E-2</c:v>
                </c:pt>
                <c:pt idx="8514">
                  <c:v>3.259583955264788E-2</c:v>
                </c:pt>
                <c:pt idx="8515">
                  <c:v>3.2544456860446755E-2</c:v>
                </c:pt>
                <c:pt idx="8516">
                  <c:v>3.2493074184345216E-2</c:v>
                </c:pt>
                <c:pt idx="8517">
                  <c:v>3.244169152432308E-2</c:v>
                </c:pt>
                <c:pt idx="8518">
                  <c:v>3.2390308880360166E-2</c:v>
                </c:pt>
                <c:pt idx="8519">
                  <c:v>3.2338926252436312E-2</c:v>
                </c:pt>
                <c:pt idx="8520">
                  <c:v>3.2287543640531401E-2</c:v>
                </c:pt>
                <c:pt idx="8521">
                  <c:v>3.2236161044625317E-2</c:v>
                </c:pt>
                <c:pt idx="8522">
                  <c:v>3.2184778464697993E-2</c:v>
                </c:pt>
                <c:pt idx="8523">
                  <c:v>3.2133395900729375E-2</c:v>
                </c:pt>
                <c:pt idx="8524">
                  <c:v>3.2082013352699432E-2</c:v>
                </c:pt>
                <c:pt idx="8525">
                  <c:v>3.2030630820588171E-2</c:v>
                </c:pt>
                <c:pt idx="8526">
                  <c:v>3.197924830437561E-2</c:v>
                </c:pt>
                <c:pt idx="8527">
                  <c:v>3.1927865804041798E-2</c:v>
                </c:pt>
                <c:pt idx="8528">
                  <c:v>3.1876483319566808E-2</c:v>
                </c:pt>
                <c:pt idx="8529">
                  <c:v>3.1825100850930731E-2</c:v>
                </c:pt>
                <c:pt idx="8530">
                  <c:v>3.1773718398113708E-2</c:v>
                </c:pt>
                <c:pt idx="8531">
                  <c:v>3.172233596109586E-2</c:v>
                </c:pt>
                <c:pt idx="8532">
                  <c:v>3.167095353985739E-2</c:v>
                </c:pt>
                <c:pt idx="8533">
                  <c:v>3.1619571134378487E-2</c:v>
                </c:pt>
                <c:pt idx="8534">
                  <c:v>3.1568188744639368E-2</c:v>
                </c:pt>
                <c:pt idx="8535">
                  <c:v>3.1516806370620279E-2</c:v>
                </c:pt>
                <c:pt idx="8536">
                  <c:v>3.1465424012301499E-2</c:v>
                </c:pt>
                <c:pt idx="8537">
                  <c:v>3.1414041669663322E-2</c:v>
                </c:pt>
                <c:pt idx="8538">
                  <c:v>3.1362659342686075E-2</c:v>
                </c:pt>
                <c:pt idx="8539">
                  <c:v>3.1311277031350102E-2</c:v>
                </c:pt>
                <c:pt idx="8540">
                  <c:v>3.1259894735635771E-2</c:v>
                </c:pt>
                <c:pt idx="8541">
                  <c:v>3.1208512455523481E-2</c:v>
                </c:pt>
                <c:pt idx="8542">
                  <c:v>3.1157130190993653E-2</c:v>
                </c:pt>
                <c:pt idx="8543">
                  <c:v>3.110574794202673E-2</c:v>
                </c:pt>
                <c:pt idx="8544">
                  <c:v>3.1054365708603187E-2</c:v>
                </c:pt>
                <c:pt idx="8545">
                  <c:v>3.100298349070351E-2</c:v>
                </c:pt>
                <c:pt idx="8546">
                  <c:v>3.0951601288308223E-2</c:v>
                </c:pt>
                <c:pt idx="8547">
                  <c:v>3.0900219101397876E-2</c:v>
                </c:pt>
                <c:pt idx="8548">
                  <c:v>3.0848836929953025E-2</c:v>
                </c:pt>
                <c:pt idx="8549">
                  <c:v>3.0797454773954267E-2</c:v>
                </c:pt>
                <c:pt idx="8550">
                  <c:v>3.0746072633382217E-2</c:v>
                </c:pt>
                <c:pt idx="8551">
                  <c:v>3.069469050821752E-2</c:v>
                </c:pt>
                <c:pt idx="8552">
                  <c:v>3.0643308398440833E-2</c:v>
                </c:pt>
                <c:pt idx="8553">
                  <c:v>3.0591926304032853E-2</c:v>
                </c:pt>
                <c:pt idx="8554">
                  <c:v>3.0540544224974289E-2</c:v>
                </c:pt>
                <c:pt idx="8555">
                  <c:v>3.0489162161245881E-2</c:v>
                </c:pt>
                <c:pt idx="8556">
                  <c:v>3.043778011282839E-2</c:v>
                </c:pt>
                <c:pt idx="8557">
                  <c:v>3.0386398079702604E-2</c:v>
                </c:pt>
                <c:pt idx="8558">
                  <c:v>3.0335016061849331E-2</c:v>
                </c:pt>
                <c:pt idx="8559">
                  <c:v>3.0283634059249408E-2</c:v>
                </c:pt>
                <c:pt idx="8560">
                  <c:v>3.0232252071883684E-2</c:v>
                </c:pt>
                <c:pt idx="8561">
                  <c:v>3.018087009973305E-2</c:v>
                </c:pt>
                <c:pt idx="8562">
                  <c:v>3.012948814277841E-2</c:v>
                </c:pt>
                <c:pt idx="8563">
                  <c:v>3.0078106201000699E-2</c:v>
                </c:pt>
                <c:pt idx="8564">
                  <c:v>3.0026724274380863E-2</c:v>
                </c:pt>
                <c:pt idx="8565">
                  <c:v>2.9975342362899886E-2</c:v>
                </c:pt>
                <c:pt idx="8566">
                  <c:v>2.9923960466538769E-2</c:v>
                </c:pt>
                <c:pt idx="8567">
                  <c:v>2.9872578585278531E-2</c:v>
                </c:pt>
                <c:pt idx="8568">
                  <c:v>2.9821196719100232E-2</c:v>
                </c:pt>
                <c:pt idx="8569">
                  <c:v>2.9769814867984936E-2</c:v>
                </c:pt>
                <c:pt idx="8570">
                  <c:v>2.9718433031913748E-2</c:v>
                </c:pt>
                <c:pt idx="8571">
                  <c:v>2.9667051210867788E-2</c:v>
                </c:pt>
                <c:pt idx="8572">
                  <c:v>2.9615669404828196E-2</c:v>
                </c:pt>
                <c:pt idx="8573">
                  <c:v>2.9564287613776143E-2</c:v>
                </c:pt>
                <c:pt idx="8574">
                  <c:v>2.951290583769282E-2</c:v>
                </c:pt>
                <c:pt idx="8575">
                  <c:v>2.9461524076559442E-2</c:v>
                </c:pt>
                <c:pt idx="8576">
                  <c:v>2.9410142330357249E-2</c:v>
                </c:pt>
                <c:pt idx="8577">
                  <c:v>2.9358760599067498E-2</c:v>
                </c:pt>
                <c:pt idx="8578">
                  <c:v>2.9307378882671486E-2</c:v>
                </c:pt>
                <c:pt idx="8579">
                  <c:v>2.9255997181150521E-2</c:v>
                </c:pt>
                <c:pt idx="8580">
                  <c:v>2.9204615494485928E-2</c:v>
                </c:pt>
                <c:pt idx="8581">
                  <c:v>2.9153233822659066E-2</c:v>
                </c:pt>
                <c:pt idx="8582">
                  <c:v>2.9101852165651317E-2</c:v>
                </c:pt>
                <c:pt idx="8583">
                  <c:v>2.9050470523444082E-2</c:v>
                </c:pt>
                <c:pt idx="8584">
                  <c:v>2.899908889601879E-2</c:v>
                </c:pt>
                <c:pt idx="8585">
                  <c:v>2.8947707283356886E-2</c:v>
                </c:pt>
                <c:pt idx="8586">
                  <c:v>2.8896325685439851E-2</c:v>
                </c:pt>
                <c:pt idx="8587">
                  <c:v>2.8844944102249179E-2</c:v>
                </c:pt>
                <c:pt idx="8588">
                  <c:v>2.8793562533766387E-2</c:v>
                </c:pt>
                <c:pt idx="8589">
                  <c:v>2.8742180979973019E-2</c:v>
                </c:pt>
                <c:pt idx="8590">
                  <c:v>2.8690799440850633E-2</c:v>
                </c:pt>
                <c:pt idx="8591">
                  <c:v>2.8639417916380833E-2</c:v>
                </c:pt>
                <c:pt idx="8592">
                  <c:v>2.8588036406545222E-2</c:v>
                </c:pt>
                <c:pt idx="8593">
                  <c:v>2.8536654911325437E-2</c:v>
                </c:pt>
                <c:pt idx="8594">
                  <c:v>2.8485273430703138E-2</c:v>
                </c:pt>
                <c:pt idx="8595">
                  <c:v>2.8433891964660007E-2</c:v>
                </c:pt>
                <c:pt idx="8596">
                  <c:v>2.8382510513177743E-2</c:v>
                </c:pt>
                <c:pt idx="8597">
                  <c:v>2.8331129076238078E-2</c:v>
                </c:pt>
                <c:pt idx="8598">
                  <c:v>2.8279747653822757E-2</c:v>
                </c:pt>
                <c:pt idx="8599">
                  <c:v>2.8228366245913558E-2</c:v>
                </c:pt>
                <c:pt idx="8600">
                  <c:v>2.8176984852492273E-2</c:v>
                </c:pt>
                <c:pt idx="8601">
                  <c:v>2.812560347354073E-2</c:v>
                </c:pt>
                <c:pt idx="8602">
                  <c:v>2.8074222109040762E-2</c:v>
                </c:pt>
                <c:pt idx="8603">
                  <c:v>2.8022840758974234E-2</c:v>
                </c:pt>
                <c:pt idx="8604">
                  <c:v>2.7971459423323037E-2</c:v>
                </c:pt>
                <c:pt idx="8605">
                  <c:v>2.792007810206908E-2</c:v>
                </c:pt>
                <c:pt idx="8606">
                  <c:v>2.7868696795194287E-2</c:v>
                </c:pt>
                <c:pt idx="8607">
                  <c:v>2.7817315502680628E-2</c:v>
                </c:pt>
                <c:pt idx="8608">
                  <c:v>2.7765934224510069E-2</c:v>
                </c:pt>
                <c:pt idx="8609">
                  <c:v>2.7714552960664617E-2</c:v>
                </c:pt>
                <c:pt idx="8610">
                  <c:v>2.7663171711126294E-2</c:v>
                </c:pt>
                <c:pt idx="8611">
                  <c:v>2.7611790475877144E-2</c:v>
                </c:pt>
                <c:pt idx="8612">
                  <c:v>2.7560409254899238E-2</c:v>
                </c:pt>
                <c:pt idx="8613">
                  <c:v>2.750902804817466E-2</c:v>
                </c:pt>
                <c:pt idx="8614">
                  <c:v>2.7457646855685535E-2</c:v>
                </c:pt>
                <c:pt idx="8615">
                  <c:v>2.7406265677413989E-2</c:v>
                </c:pt>
                <c:pt idx="8616">
                  <c:v>2.7354884513342177E-2</c:v>
                </c:pt>
                <c:pt idx="8617">
                  <c:v>2.7303503363452292E-2</c:v>
                </c:pt>
                <c:pt idx="8618">
                  <c:v>2.7252122227726532E-2</c:v>
                </c:pt>
                <c:pt idx="8619">
                  <c:v>2.7200741106147116E-2</c:v>
                </c:pt>
                <c:pt idx="8620">
                  <c:v>2.7149359998696297E-2</c:v>
                </c:pt>
                <c:pt idx="8621">
                  <c:v>2.7097978905356344E-2</c:v>
                </c:pt>
                <c:pt idx="8622">
                  <c:v>2.7046597826109547E-2</c:v>
                </c:pt>
                <c:pt idx="8623">
                  <c:v>2.6995216760938221E-2</c:v>
                </c:pt>
                <c:pt idx="8624">
                  <c:v>2.6943835709824705E-2</c:v>
                </c:pt>
                <c:pt idx="8625">
                  <c:v>2.6892454672751358E-2</c:v>
                </c:pt>
                <c:pt idx="8626">
                  <c:v>2.6841073649700557E-2</c:v>
                </c:pt>
                <c:pt idx="8627">
                  <c:v>2.6789692640654707E-2</c:v>
                </c:pt>
                <c:pt idx="8628">
                  <c:v>2.6738311645596227E-2</c:v>
                </c:pt>
                <c:pt idx="8629">
                  <c:v>2.6686930664507575E-2</c:v>
                </c:pt>
                <c:pt idx="8630">
                  <c:v>2.6635549697371211E-2</c:v>
                </c:pt>
                <c:pt idx="8631">
                  <c:v>2.658416874416963E-2</c:v>
                </c:pt>
                <c:pt idx="8632">
                  <c:v>2.6532787804885345E-2</c:v>
                </c:pt>
                <c:pt idx="8633">
                  <c:v>2.6481406879500891E-2</c:v>
                </c:pt>
                <c:pt idx="8634">
                  <c:v>2.6430025967998823E-2</c:v>
                </c:pt>
                <c:pt idx="8635">
                  <c:v>2.6378645070361719E-2</c:v>
                </c:pt>
                <c:pt idx="8636">
                  <c:v>2.6327264186572181E-2</c:v>
                </c:pt>
                <c:pt idx="8637">
                  <c:v>2.6275883316612833E-2</c:v>
                </c:pt>
                <c:pt idx="8638">
                  <c:v>2.6224502460466318E-2</c:v>
                </c:pt>
                <c:pt idx="8639">
                  <c:v>2.6173121618115299E-2</c:v>
                </c:pt>
                <c:pt idx="8640">
                  <c:v>2.6121740789542471E-2</c:v>
                </c:pt>
                <c:pt idx="8641">
                  <c:v>2.6070359974730541E-2</c:v>
                </c:pt>
                <c:pt idx="8642">
                  <c:v>2.6018979173662235E-2</c:v>
                </c:pt>
                <c:pt idx="8643">
                  <c:v>2.5967598386320304E-2</c:v>
                </c:pt>
                <c:pt idx="8644">
                  <c:v>2.5916217612687534E-2</c:v>
                </c:pt>
                <c:pt idx="8645">
                  <c:v>2.5864836852746712E-2</c:v>
                </c:pt>
                <c:pt idx="8646">
                  <c:v>2.581345610648066E-2</c:v>
                </c:pt>
                <c:pt idx="8647">
                  <c:v>2.5762075373872213E-2</c:v>
                </c:pt>
                <c:pt idx="8648">
                  <c:v>2.5710694654904238E-2</c:v>
                </c:pt>
                <c:pt idx="8649">
                  <c:v>2.5659313949559615E-2</c:v>
                </c:pt>
                <c:pt idx="8650">
                  <c:v>2.5607933257821243E-2</c:v>
                </c:pt>
                <c:pt idx="8651">
                  <c:v>2.555655257967205E-2</c:v>
                </c:pt>
                <c:pt idx="8652">
                  <c:v>2.5505171915094986E-2</c:v>
                </c:pt>
                <c:pt idx="8653">
                  <c:v>2.5453791264073017E-2</c:v>
                </c:pt>
                <c:pt idx="8654">
                  <c:v>2.5402410626589128E-2</c:v>
                </c:pt>
                <c:pt idx="8655">
                  <c:v>2.535103000262634E-2</c:v>
                </c:pt>
                <c:pt idx="8656">
                  <c:v>2.5299649392167674E-2</c:v>
                </c:pt>
                <c:pt idx="8657">
                  <c:v>2.5248268795196191E-2</c:v>
                </c:pt>
                <c:pt idx="8658">
                  <c:v>2.5196888211694964E-2</c:v>
                </c:pt>
                <c:pt idx="8659">
                  <c:v>2.5145507641647084E-2</c:v>
                </c:pt>
                <c:pt idx="8660">
                  <c:v>2.5094127085035674E-2</c:v>
                </c:pt>
                <c:pt idx="8661">
                  <c:v>2.504274654184387E-2</c:v>
                </c:pt>
                <c:pt idx="8662">
                  <c:v>2.499136601205483E-2</c:v>
                </c:pt>
                <c:pt idx="8663">
                  <c:v>2.493998549565174E-2</c:v>
                </c:pt>
                <c:pt idx="8664">
                  <c:v>2.4888604992617795E-2</c:v>
                </c:pt>
                <c:pt idx="8665">
                  <c:v>2.4837224502936225E-2</c:v>
                </c:pt>
                <c:pt idx="8666">
                  <c:v>2.4785844026590266E-2</c:v>
                </c:pt>
                <c:pt idx="8667">
                  <c:v>2.4734463563563187E-2</c:v>
                </c:pt>
                <c:pt idx="8668">
                  <c:v>2.4683083113838277E-2</c:v>
                </c:pt>
                <c:pt idx="8669">
                  <c:v>2.4631702677398833E-2</c:v>
                </c:pt>
                <c:pt idx="8670">
                  <c:v>2.4580322254228196E-2</c:v>
                </c:pt>
                <c:pt idx="8671">
                  <c:v>2.4528941844309704E-2</c:v>
                </c:pt>
                <c:pt idx="8672">
                  <c:v>2.4477561447626733E-2</c:v>
                </c:pt>
                <c:pt idx="8673">
                  <c:v>2.442618106416267E-2</c:v>
                </c:pt>
                <c:pt idx="8674">
                  <c:v>2.4374800693900925E-2</c:v>
                </c:pt>
                <c:pt idx="8675">
                  <c:v>2.4323420336824934E-2</c:v>
                </c:pt>
                <c:pt idx="8676">
                  <c:v>2.4272039992918149E-2</c:v>
                </c:pt>
                <c:pt idx="8677">
                  <c:v>2.4220659662164041E-2</c:v>
                </c:pt>
                <c:pt idx="8678">
                  <c:v>2.4169279344546109E-2</c:v>
                </c:pt>
                <c:pt idx="8679">
                  <c:v>2.4117899040047866E-2</c:v>
                </c:pt>
                <c:pt idx="8680">
                  <c:v>2.4066518748652847E-2</c:v>
                </c:pt>
                <c:pt idx="8681">
                  <c:v>2.4015138470344609E-2</c:v>
                </c:pt>
                <c:pt idx="8682">
                  <c:v>2.3963758205106725E-2</c:v>
                </c:pt>
                <c:pt idx="8683">
                  <c:v>2.3912377952922802E-2</c:v>
                </c:pt>
                <c:pt idx="8684">
                  <c:v>2.3860997713776453E-2</c:v>
                </c:pt>
                <c:pt idx="8685">
                  <c:v>2.3809617487651313E-2</c:v>
                </c:pt>
                <c:pt idx="8686">
                  <c:v>2.3758237274531052E-2</c:v>
                </c:pt>
                <c:pt idx="8687">
                  <c:v>2.3706857074399342E-2</c:v>
                </c:pt>
                <c:pt idx="8688">
                  <c:v>2.3655476887239884E-2</c:v>
                </c:pt>
                <c:pt idx="8689">
                  <c:v>2.3604096713036395E-2</c:v>
                </c:pt>
                <c:pt idx="8690">
                  <c:v>2.3552716551772625E-2</c:v>
                </c:pt>
                <c:pt idx="8691">
                  <c:v>2.3501336403432334E-2</c:v>
                </c:pt>
                <c:pt idx="8692">
                  <c:v>2.3449956267999297E-2</c:v>
                </c:pt>
                <c:pt idx="8693">
                  <c:v>2.3398576145457328E-2</c:v>
                </c:pt>
                <c:pt idx="8694">
                  <c:v>2.3347196035790239E-2</c:v>
                </c:pt>
                <c:pt idx="8695">
                  <c:v>2.3295815938981876E-2</c:v>
                </c:pt>
                <c:pt idx="8696">
                  <c:v>2.3244435855016107E-2</c:v>
                </c:pt>
                <c:pt idx="8697">
                  <c:v>2.3193055783876808E-2</c:v>
                </c:pt>
                <c:pt idx="8698">
                  <c:v>2.314167572554789E-2</c:v>
                </c:pt>
                <c:pt idx="8699">
                  <c:v>2.3090295680013272E-2</c:v>
                </c:pt>
                <c:pt idx="8700">
                  <c:v>2.3038915647256897E-2</c:v>
                </c:pt>
                <c:pt idx="8701">
                  <c:v>2.2987535627262738E-2</c:v>
                </c:pt>
                <c:pt idx="8702">
                  <c:v>2.2936155620014772E-2</c:v>
                </c:pt>
                <c:pt idx="8703">
                  <c:v>2.2884775625497008E-2</c:v>
                </c:pt>
                <c:pt idx="8704">
                  <c:v>2.2833395643693463E-2</c:v>
                </c:pt>
                <c:pt idx="8705">
                  <c:v>2.2782015674588187E-2</c:v>
                </c:pt>
                <c:pt idx="8706">
                  <c:v>2.2730635718165249E-2</c:v>
                </c:pt>
                <c:pt idx="8707">
                  <c:v>2.2679255774408724E-2</c:v>
                </c:pt>
                <c:pt idx="8708">
                  <c:v>2.2627875843302721E-2</c:v>
                </c:pt>
                <c:pt idx="8709">
                  <c:v>2.257649592483137E-2</c:v>
                </c:pt>
                <c:pt idx="8710">
                  <c:v>2.2525116018978809E-2</c:v>
                </c:pt>
                <c:pt idx="8711">
                  <c:v>2.2473736125729206E-2</c:v>
                </c:pt>
                <c:pt idx="8712">
                  <c:v>2.2422356245066739E-2</c:v>
                </c:pt>
                <c:pt idx="8713">
                  <c:v>2.2370976376975618E-2</c:v>
                </c:pt>
                <c:pt idx="8714">
                  <c:v>2.2319596521440069E-2</c:v>
                </c:pt>
                <c:pt idx="8715">
                  <c:v>2.2268216678444329E-2</c:v>
                </c:pt>
                <c:pt idx="8716">
                  <c:v>2.2216836847972665E-2</c:v>
                </c:pt>
                <c:pt idx="8717">
                  <c:v>2.2165457030009363E-2</c:v>
                </c:pt>
                <c:pt idx="8718">
                  <c:v>2.2114077224538724E-2</c:v>
                </c:pt>
                <c:pt idx="8719">
                  <c:v>2.2062697431545066E-2</c:v>
                </c:pt>
                <c:pt idx="8720">
                  <c:v>2.2011317651012736E-2</c:v>
                </c:pt>
                <c:pt idx="8721">
                  <c:v>2.1959937882926099E-2</c:v>
                </c:pt>
                <c:pt idx="8722">
                  <c:v>2.190855812726953E-2</c:v>
                </c:pt>
                <c:pt idx="8723">
                  <c:v>2.1857178384027433E-2</c:v>
                </c:pt>
                <c:pt idx="8724">
                  <c:v>2.180579865318423E-2</c:v>
                </c:pt>
                <c:pt idx="8725">
                  <c:v>2.1754418934724361E-2</c:v>
                </c:pt>
                <c:pt idx="8726">
                  <c:v>2.1703039228632287E-2</c:v>
                </c:pt>
                <c:pt idx="8727">
                  <c:v>2.1651659534892481E-2</c:v>
                </c:pt>
                <c:pt idx="8728">
                  <c:v>2.1600279853489453E-2</c:v>
                </c:pt>
                <c:pt idx="8729">
                  <c:v>2.1548900184407711E-2</c:v>
                </c:pt>
                <c:pt idx="8730">
                  <c:v>2.1497520527631798E-2</c:v>
                </c:pt>
                <c:pt idx="8731">
                  <c:v>2.1446140883146267E-2</c:v>
                </c:pt>
                <c:pt idx="8732">
                  <c:v>2.1394761250935704E-2</c:v>
                </c:pt>
                <c:pt idx="8733">
                  <c:v>2.1343381630984697E-2</c:v>
                </c:pt>
                <c:pt idx="8734">
                  <c:v>2.129200202327786E-2</c:v>
                </c:pt>
                <c:pt idx="8735">
                  <c:v>2.1240622427799827E-2</c:v>
                </c:pt>
                <c:pt idx="8736">
                  <c:v>2.1189242844535262E-2</c:v>
                </c:pt>
                <c:pt idx="8737">
                  <c:v>2.1137863273468827E-2</c:v>
                </c:pt>
                <c:pt idx="8738">
                  <c:v>2.108648371458522E-2</c:v>
                </c:pt>
                <c:pt idx="8739">
                  <c:v>2.1035104167869152E-2</c:v>
                </c:pt>
                <c:pt idx="8740">
                  <c:v>2.0983724633305351E-2</c:v>
                </c:pt>
                <c:pt idx="8741">
                  <c:v>2.0932345110878572E-2</c:v>
                </c:pt>
                <c:pt idx="8742">
                  <c:v>2.0880965600573575E-2</c:v>
                </c:pt>
                <c:pt idx="8743">
                  <c:v>2.0829586102375158E-2</c:v>
                </c:pt>
                <c:pt idx="8744">
                  <c:v>2.0778206616268124E-2</c:v>
                </c:pt>
                <c:pt idx="8745">
                  <c:v>2.0726827142237298E-2</c:v>
                </c:pt>
                <c:pt idx="8746">
                  <c:v>2.0675447680267526E-2</c:v>
                </c:pt>
                <c:pt idx="8747">
                  <c:v>2.0624068230343674E-2</c:v>
                </c:pt>
                <c:pt idx="8748">
                  <c:v>2.0572688792450628E-2</c:v>
                </c:pt>
                <c:pt idx="8749">
                  <c:v>2.0521309366573284E-2</c:v>
                </c:pt>
                <c:pt idx="8750">
                  <c:v>2.0469929952696562E-2</c:v>
                </c:pt>
                <c:pt idx="8751">
                  <c:v>2.0418550550805409E-2</c:v>
                </c:pt>
                <c:pt idx="8752">
                  <c:v>2.0367171160884781E-2</c:v>
                </c:pt>
                <c:pt idx="8753">
                  <c:v>2.0315791782919659E-2</c:v>
                </c:pt>
                <c:pt idx="8754">
                  <c:v>2.0264412416895031E-2</c:v>
                </c:pt>
                <c:pt idx="8755">
                  <c:v>2.0213033062795923E-2</c:v>
                </c:pt>
                <c:pt idx="8756">
                  <c:v>2.0161653720607364E-2</c:v>
                </c:pt>
                <c:pt idx="8757">
                  <c:v>2.011027439031441E-2</c:v>
                </c:pt>
                <c:pt idx="8758">
                  <c:v>2.0058895071902127E-2</c:v>
                </c:pt>
                <c:pt idx="8759">
                  <c:v>2.0007515765355612E-2</c:v>
                </c:pt>
              </c:numCache>
            </c:numRef>
          </c:val>
          <c:smooth val="0"/>
          <c:extLst>
            <c:ext xmlns:c16="http://schemas.microsoft.com/office/drawing/2014/chart" uri="{C3380CC4-5D6E-409C-BE32-E72D297353CC}">
              <c16:uniqueId val="{00000000-F451-4B05-A968-BB0655F2B5C0}"/>
            </c:ext>
          </c:extLst>
        </c:ser>
        <c:dLbls>
          <c:showLegendKey val="0"/>
          <c:showVal val="0"/>
          <c:showCatName val="0"/>
          <c:showSerName val="0"/>
          <c:showPercent val="0"/>
          <c:showBubbleSize val="0"/>
        </c:dLbls>
        <c:smooth val="0"/>
        <c:axId val="546049208"/>
        <c:axId val="546050192"/>
      </c:lineChart>
      <c:catAx>
        <c:axId val="5460492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Jahresstunden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6050192"/>
        <c:crosses val="autoZero"/>
        <c:auto val="1"/>
        <c:lblAlgn val="ctr"/>
        <c:lblOffset val="100"/>
        <c:noMultiLvlLbl val="0"/>
      </c:catAx>
      <c:valAx>
        <c:axId val="546050192"/>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relativ</a:t>
                </a:r>
                <a:r>
                  <a:rPr lang="de-DE" baseline="0"/>
                  <a:t> zur Nennleistung</a:t>
                </a:r>
                <a:endParaRPr lang="de-DE"/>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60492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accent5">
          <a:lumMod val="50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'Schätzung VLS vs. Stromkosten'!$C$3:$C$4</c:f>
              <c:strCache>
                <c:ptCount val="2"/>
                <c:pt idx="0">
                  <c:v>LH2</c:v>
                </c:pt>
                <c:pt idx="1">
                  <c:v>TK-Tanker klein</c:v>
                </c:pt>
              </c:strCache>
            </c:strRef>
          </c:tx>
          <c:spPr>
            <a:ln w="28575" cap="rnd">
              <a:solidFill>
                <a:schemeClr val="accent1"/>
              </a:solidFill>
              <a:round/>
            </a:ln>
            <a:effectLst/>
          </c:spPr>
          <c:marker>
            <c:symbol val="none"/>
          </c:marker>
          <c:cat>
            <c:strRef>
              <c:f>'Schätzung VLS vs. Stromkosten'!$A$14:$A$19</c:f>
              <c:strCache>
                <c:ptCount val="6"/>
                <c:pt idx="0">
                  <c:v>3000/0,0401</c:v>
                </c:pt>
                <c:pt idx="1">
                  <c:v>4000/0,0418</c:v>
                </c:pt>
                <c:pt idx="2">
                  <c:v>5000/0,0453</c:v>
                </c:pt>
                <c:pt idx="3">
                  <c:v>6000/0,0514</c:v>
                </c:pt>
                <c:pt idx="4">
                  <c:v>7000/0,0540</c:v>
                </c:pt>
                <c:pt idx="5">
                  <c:v>8000/0,0566</c:v>
                </c:pt>
              </c:strCache>
            </c:strRef>
          </c:cat>
          <c:val>
            <c:numRef>
              <c:f>'Schätzung VLS vs. Stromkosten'!$C$14:$C$19</c:f>
              <c:numCache>
                <c:formatCode>_-* #,##0.000\ "€"_-;\-* #,##0.000\ "€"_-;_-* "-"??\ "€"_-;_-@_-</c:formatCode>
                <c:ptCount val="6"/>
                <c:pt idx="0">
                  <c:v>0.18168368919265809</c:v>
                </c:pt>
                <c:pt idx="1">
                  <c:v>0.16556341724101933</c:v>
                </c:pt>
                <c:pt idx="2">
                  <c:v>0.16030211371749128</c:v>
                </c:pt>
                <c:pt idx="3">
                  <c:v>0.16349386755345158</c:v>
                </c:pt>
                <c:pt idx="4">
                  <c:v>0.16264848586579078</c:v>
                </c:pt>
                <c:pt idx="5">
                  <c:v>0.16317052168506371</c:v>
                </c:pt>
              </c:numCache>
            </c:numRef>
          </c:val>
          <c:smooth val="0"/>
          <c:extLst>
            <c:ext xmlns:c16="http://schemas.microsoft.com/office/drawing/2014/chart" uri="{C3380CC4-5D6E-409C-BE32-E72D297353CC}">
              <c16:uniqueId val="{00000000-868C-4B38-9B48-1DE0C3EB4C17}"/>
            </c:ext>
          </c:extLst>
        </c:ser>
        <c:ser>
          <c:idx val="1"/>
          <c:order val="1"/>
          <c:tx>
            <c:strRef>
              <c:f>'Schätzung VLS vs. Stromkosten'!$D$3:$D$4</c:f>
              <c:strCache>
                <c:ptCount val="2"/>
                <c:pt idx="0">
                  <c:v>LH2</c:v>
                </c:pt>
                <c:pt idx="1">
                  <c:v>TK-Tanker</c:v>
                </c:pt>
              </c:strCache>
            </c:strRef>
          </c:tx>
          <c:spPr>
            <a:ln w="28575" cap="rnd">
              <a:solidFill>
                <a:schemeClr val="accent2"/>
              </a:solidFill>
              <a:round/>
            </a:ln>
            <a:effectLst/>
          </c:spPr>
          <c:marker>
            <c:symbol val="none"/>
          </c:marker>
          <c:cat>
            <c:strRef>
              <c:f>'Schätzung VLS vs. Stromkosten'!$A$14:$A$19</c:f>
              <c:strCache>
                <c:ptCount val="6"/>
                <c:pt idx="0">
                  <c:v>3000/0,0401</c:v>
                </c:pt>
                <c:pt idx="1">
                  <c:v>4000/0,0418</c:v>
                </c:pt>
                <c:pt idx="2">
                  <c:v>5000/0,0453</c:v>
                </c:pt>
                <c:pt idx="3">
                  <c:v>6000/0,0514</c:v>
                </c:pt>
                <c:pt idx="4">
                  <c:v>7000/0,0540</c:v>
                </c:pt>
                <c:pt idx="5">
                  <c:v>8000/0,0566</c:v>
                </c:pt>
              </c:strCache>
            </c:strRef>
          </c:cat>
          <c:val>
            <c:numRef>
              <c:f>'Schätzung VLS vs. Stromkosten'!$D$14:$D$19</c:f>
              <c:numCache>
                <c:formatCode>_-* #,##0.000\ "€"_-;\-* #,##0.000\ "€"_-;_-* "-"??\ "€"_-;_-@_-</c:formatCode>
                <c:ptCount val="6"/>
                <c:pt idx="0">
                  <c:v>0.15013782848400922</c:v>
                </c:pt>
                <c:pt idx="1">
                  <c:v>0.13401755653237046</c:v>
                </c:pt>
                <c:pt idx="2">
                  <c:v>0.12875625300884241</c:v>
                </c:pt>
                <c:pt idx="3">
                  <c:v>0.13194800684480273</c:v>
                </c:pt>
                <c:pt idx="4">
                  <c:v>0.13110262515714191</c:v>
                </c:pt>
                <c:pt idx="5">
                  <c:v>0.13162466097641484</c:v>
                </c:pt>
              </c:numCache>
            </c:numRef>
          </c:val>
          <c:smooth val="0"/>
          <c:extLst>
            <c:ext xmlns:c16="http://schemas.microsoft.com/office/drawing/2014/chart" uri="{C3380CC4-5D6E-409C-BE32-E72D297353CC}">
              <c16:uniqueId val="{00000001-868C-4B38-9B48-1DE0C3EB4C17}"/>
            </c:ext>
          </c:extLst>
        </c:ser>
        <c:ser>
          <c:idx val="2"/>
          <c:order val="2"/>
          <c:tx>
            <c:strRef>
              <c:f>'Schätzung VLS vs. Stromkosten'!$E$3:$E$4</c:f>
              <c:strCache>
                <c:ptCount val="2"/>
                <c:pt idx="0">
                  <c:v>CH2</c:v>
                </c:pt>
                <c:pt idx="1">
                  <c:v>H2-Gaspipeline, neue Trasse</c:v>
                </c:pt>
              </c:strCache>
            </c:strRef>
          </c:tx>
          <c:spPr>
            <a:ln w="28575" cap="rnd">
              <a:solidFill>
                <a:schemeClr val="accent3"/>
              </a:solidFill>
              <a:round/>
            </a:ln>
            <a:effectLst/>
          </c:spPr>
          <c:marker>
            <c:symbol val="none"/>
          </c:marker>
          <c:cat>
            <c:strRef>
              <c:f>'Schätzung VLS vs. Stromkosten'!$A$14:$A$19</c:f>
              <c:strCache>
                <c:ptCount val="6"/>
                <c:pt idx="0">
                  <c:v>3000/0,0401</c:v>
                </c:pt>
                <c:pt idx="1">
                  <c:v>4000/0,0418</c:v>
                </c:pt>
                <c:pt idx="2">
                  <c:v>5000/0,0453</c:v>
                </c:pt>
                <c:pt idx="3">
                  <c:v>6000/0,0514</c:v>
                </c:pt>
                <c:pt idx="4">
                  <c:v>7000/0,0540</c:v>
                </c:pt>
                <c:pt idx="5">
                  <c:v>8000/0,0566</c:v>
                </c:pt>
              </c:strCache>
            </c:strRef>
          </c:cat>
          <c:val>
            <c:numRef>
              <c:f>'Schätzung VLS vs. Stromkosten'!$E$14:$E$19</c:f>
              <c:numCache>
                <c:formatCode>_-* #,##0.000\ "€"_-;\-* #,##0.000\ "€"_-;_-* "-"??\ "€"_-;_-@_-</c:formatCode>
                <c:ptCount val="6"/>
                <c:pt idx="0">
                  <c:v>0.23569684854940853</c:v>
                </c:pt>
                <c:pt idx="1">
                  <c:v>0.19877163397177278</c:v>
                </c:pt>
                <c:pt idx="2">
                  <c:v>0.18046652865994056</c:v>
                </c:pt>
                <c:pt idx="3">
                  <c:v>0.17411060694837846</c:v>
                </c:pt>
                <c:pt idx="4">
                  <c:v>0.16684282368393227</c:v>
                </c:pt>
                <c:pt idx="5">
                  <c:v>0.16240106495841503</c:v>
                </c:pt>
              </c:numCache>
            </c:numRef>
          </c:val>
          <c:smooth val="0"/>
          <c:extLst>
            <c:ext xmlns:c16="http://schemas.microsoft.com/office/drawing/2014/chart" uri="{C3380CC4-5D6E-409C-BE32-E72D297353CC}">
              <c16:uniqueId val="{00000002-868C-4B38-9B48-1DE0C3EB4C17}"/>
            </c:ext>
          </c:extLst>
        </c:ser>
        <c:ser>
          <c:idx val="3"/>
          <c:order val="3"/>
          <c:tx>
            <c:strRef>
              <c:f>'Schätzung VLS vs. Stromkosten'!$F$3:$F$4</c:f>
              <c:strCache>
                <c:ptCount val="2"/>
                <c:pt idx="0">
                  <c:v>CH2</c:v>
                </c:pt>
                <c:pt idx="1">
                  <c:v>H2-Gaspipeline, bestehende Trasse</c:v>
                </c:pt>
              </c:strCache>
            </c:strRef>
          </c:tx>
          <c:spPr>
            <a:ln w="28575" cap="rnd">
              <a:solidFill>
                <a:schemeClr val="accent4"/>
              </a:solidFill>
              <a:round/>
            </a:ln>
            <a:effectLst/>
          </c:spPr>
          <c:marker>
            <c:symbol val="none"/>
          </c:marker>
          <c:cat>
            <c:strRef>
              <c:f>'Schätzung VLS vs. Stromkosten'!$A$14:$A$19</c:f>
              <c:strCache>
                <c:ptCount val="6"/>
                <c:pt idx="0">
                  <c:v>3000/0,0401</c:v>
                </c:pt>
                <c:pt idx="1">
                  <c:v>4000/0,0418</c:v>
                </c:pt>
                <c:pt idx="2">
                  <c:v>5000/0,0453</c:v>
                </c:pt>
                <c:pt idx="3">
                  <c:v>6000/0,0514</c:v>
                </c:pt>
                <c:pt idx="4">
                  <c:v>7000/0,0540</c:v>
                </c:pt>
                <c:pt idx="5">
                  <c:v>8000/0,0566</c:v>
                </c:pt>
              </c:strCache>
            </c:strRef>
          </c:cat>
          <c:val>
            <c:numRef>
              <c:f>'Schätzung VLS vs. Stromkosten'!$F$14:$F$19</c:f>
              <c:numCache>
                <c:formatCode>_-* #,##0.000\ "€"_-;\-* #,##0.000\ "€"_-;_-* "-"??\ "€"_-;_-@_-</c:formatCode>
                <c:ptCount val="6"/>
                <c:pt idx="0">
                  <c:v>0.12497771680727113</c:v>
                </c:pt>
                <c:pt idx="1">
                  <c:v>0.11277974797197543</c:v>
                </c:pt>
                <c:pt idx="2">
                  <c:v>0.10931099010554722</c:v>
                </c:pt>
                <c:pt idx="3">
                  <c:v>0.11284596669092117</c:v>
                </c:pt>
                <c:pt idx="4">
                  <c:v>0.1126431107814293</c:v>
                </c:pt>
                <c:pt idx="5">
                  <c:v>0.11350004757212775</c:v>
                </c:pt>
              </c:numCache>
            </c:numRef>
          </c:val>
          <c:smooth val="0"/>
          <c:extLst>
            <c:ext xmlns:c16="http://schemas.microsoft.com/office/drawing/2014/chart" uri="{C3380CC4-5D6E-409C-BE32-E72D297353CC}">
              <c16:uniqueId val="{00000003-868C-4B38-9B48-1DE0C3EB4C17}"/>
            </c:ext>
          </c:extLst>
        </c:ser>
        <c:ser>
          <c:idx val="4"/>
          <c:order val="4"/>
          <c:tx>
            <c:strRef>
              <c:f>'Schätzung VLS vs. Stromkosten'!$G$3:$G$4</c:f>
              <c:strCache>
                <c:ptCount val="2"/>
                <c:pt idx="0">
                  <c:v>CH2</c:v>
                </c:pt>
                <c:pt idx="1">
                  <c:v>H2-Gaspipeline groß, bestehende Trasse</c:v>
                </c:pt>
              </c:strCache>
            </c:strRef>
          </c:tx>
          <c:spPr>
            <a:ln w="28575" cap="rnd">
              <a:solidFill>
                <a:schemeClr val="accent5"/>
              </a:solidFill>
              <a:round/>
            </a:ln>
            <a:effectLst/>
          </c:spPr>
          <c:marker>
            <c:symbol val="none"/>
          </c:marker>
          <c:cat>
            <c:strRef>
              <c:f>'Schätzung VLS vs. Stromkosten'!$A$14:$A$19</c:f>
              <c:strCache>
                <c:ptCount val="6"/>
                <c:pt idx="0">
                  <c:v>3000/0,0401</c:v>
                </c:pt>
                <c:pt idx="1">
                  <c:v>4000/0,0418</c:v>
                </c:pt>
                <c:pt idx="2">
                  <c:v>5000/0,0453</c:v>
                </c:pt>
                <c:pt idx="3">
                  <c:v>6000/0,0514</c:v>
                </c:pt>
                <c:pt idx="4">
                  <c:v>7000/0,0540</c:v>
                </c:pt>
                <c:pt idx="5">
                  <c:v>8000/0,0566</c:v>
                </c:pt>
              </c:strCache>
            </c:strRef>
          </c:cat>
          <c:val>
            <c:numRef>
              <c:f>'Schätzung VLS vs. Stromkosten'!$G$14:$G$19</c:f>
              <c:numCache>
                <c:formatCode>_-* #,##0.000\ "€"_-;\-* #,##0.000\ "€"_-;_-* "-"??\ "€"_-;_-@_-</c:formatCode>
                <c:ptCount val="6"/>
                <c:pt idx="0">
                  <c:v>0.10874343695665106</c:v>
                </c:pt>
                <c:pt idx="1">
                  <c:v>0.10018566271050339</c:v>
                </c:pt>
                <c:pt idx="2">
                  <c:v>9.890102159756399E-2</c:v>
                </c:pt>
                <c:pt idx="3">
                  <c:v>0.10389207601859714</c:v>
                </c:pt>
                <c:pt idx="4">
                  <c:v>0.10472927570600471</c:v>
                </c:pt>
                <c:pt idx="5">
                  <c:v>0.10636625419437774</c:v>
                </c:pt>
              </c:numCache>
            </c:numRef>
          </c:val>
          <c:smooth val="0"/>
          <c:extLst>
            <c:ext xmlns:c16="http://schemas.microsoft.com/office/drawing/2014/chart" uri="{C3380CC4-5D6E-409C-BE32-E72D297353CC}">
              <c16:uniqueId val="{00000004-868C-4B38-9B48-1DE0C3EB4C17}"/>
            </c:ext>
          </c:extLst>
        </c:ser>
        <c:ser>
          <c:idx val="5"/>
          <c:order val="5"/>
          <c:tx>
            <c:strRef>
              <c:f>'Schätzung VLS vs. Stromkosten'!$H$3:$H$4</c:f>
              <c:strCache>
                <c:ptCount val="2"/>
                <c:pt idx="0">
                  <c:v>CH4</c:v>
                </c:pt>
                <c:pt idx="1">
                  <c:v>CH4-Gaspipeline, bestehende Trasse</c:v>
                </c:pt>
              </c:strCache>
            </c:strRef>
          </c:tx>
          <c:spPr>
            <a:ln w="28575" cap="rnd">
              <a:solidFill>
                <a:schemeClr val="accent6"/>
              </a:solidFill>
              <a:round/>
            </a:ln>
            <a:effectLst/>
          </c:spPr>
          <c:marker>
            <c:symbol val="none"/>
          </c:marker>
          <c:cat>
            <c:strRef>
              <c:f>'Schätzung VLS vs. Stromkosten'!$A$14:$A$19</c:f>
              <c:strCache>
                <c:ptCount val="6"/>
                <c:pt idx="0">
                  <c:v>3000/0,0401</c:v>
                </c:pt>
                <c:pt idx="1">
                  <c:v>4000/0,0418</c:v>
                </c:pt>
                <c:pt idx="2">
                  <c:v>5000/0,0453</c:v>
                </c:pt>
                <c:pt idx="3">
                  <c:v>6000/0,0514</c:v>
                </c:pt>
                <c:pt idx="4">
                  <c:v>7000/0,0540</c:v>
                </c:pt>
                <c:pt idx="5">
                  <c:v>8000/0,0566</c:v>
                </c:pt>
              </c:strCache>
            </c:strRef>
          </c:cat>
          <c:val>
            <c:numRef>
              <c:f>'Schätzung VLS vs. Stromkosten'!$H$14:$H$19</c:f>
              <c:numCache>
                <c:formatCode>_-* #,##0.000\ "€"_-;\-* #,##0.000\ "€"_-;_-* "-"??\ "€"_-;_-@_-</c:formatCode>
                <c:ptCount val="6"/>
                <c:pt idx="0">
                  <c:v>0.17935817504492696</c:v>
                </c:pt>
                <c:pt idx="1">
                  <c:v>0.15956806278889751</c:v>
                </c:pt>
                <c:pt idx="2">
                  <c:v>0.15260511843296737</c:v>
                </c:pt>
                <c:pt idx="3">
                  <c:v>0.15451025707409366</c:v>
                </c:pt>
                <c:pt idx="4">
                  <c:v>0.15271131903647456</c:v>
                </c:pt>
                <c:pt idx="5">
                  <c:v>0.15325004911687845</c:v>
                </c:pt>
              </c:numCache>
            </c:numRef>
          </c:val>
          <c:smooth val="0"/>
          <c:extLst>
            <c:ext xmlns:c16="http://schemas.microsoft.com/office/drawing/2014/chart" uri="{C3380CC4-5D6E-409C-BE32-E72D297353CC}">
              <c16:uniqueId val="{00000005-868C-4B38-9B48-1DE0C3EB4C17}"/>
            </c:ext>
          </c:extLst>
        </c:ser>
        <c:ser>
          <c:idx val="6"/>
          <c:order val="6"/>
          <c:tx>
            <c:strRef>
              <c:f>'Schätzung VLS vs. Stromkosten'!$I$3:$I$4</c:f>
              <c:strCache>
                <c:ptCount val="2"/>
                <c:pt idx="0">
                  <c:v>CH3OH</c:v>
                </c:pt>
                <c:pt idx="1">
                  <c:v>Produkten-/Chemikalientanker</c:v>
                </c:pt>
              </c:strCache>
            </c:strRef>
          </c:tx>
          <c:spPr>
            <a:ln w="28575" cap="rnd">
              <a:solidFill>
                <a:schemeClr val="accent1">
                  <a:lumMod val="60000"/>
                </a:schemeClr>
              </a:solidFill>
              <a:round/>
            </a:ln>
            <a:effectLst/>
          </c:spPr>
          <c:marker>
            <c:symbol val="none"/>
          </c:marker>
          <c:cat>
            <c:strRef>
              <c:f>'Schätzung VLS vs. Stromkosten'!$A$14:$A$19</c:f>
              <c:strCache>
                <c:ptCount val="6"/>
                <c:pt idx="0">
                  <c:v>3000/0,0401</c:v>
                </c:pt>
                <c:pt idx="1">
                  <c:v>4000/0,0418</c:v>
                </c:pt>
                <c:pt idx="2">
                  <c:v>5000/0,0453</c:v>
                </c:pt>
                <c:pt idx="3">
                  <c:v>6000/0,0514</c:v>
                </c:pt>
                <c:pt idx="4">
                  <c:v>7000/0,0540</c:v>
                </c:pt>
                <c:pt idx="5">
                  <c:v>8000/0,0566</c:v>
                </c:pt>
              </c:strCache>
            </c:strRef>
          </c:cat>
          <c:val>
            <c:numRef>
              <c:f>'Schätzung VLS vs. Stromkosten'!$I$14:$I$19</c:f>
              <c:numCache>
                <c:formatCode>_-* #,##0.000\ "€"_-;\-* #,##0.000\ "€"_-;_-* "-"??\ "€"_-;_-@_-</c:formatCode>
                <c:ptCount val="6"/>
                <c:pt idx="0">
                  <c:v>0.17030533605465384</c:v>
                </c:pt>
                <c:pt idx="1">
                  <c:v>0.15143930621636703</c:v>
                </c:pt>
                <c:pt idx="2">
                  <c:v>0.14460042321764083</c:v>
                </c:pt>
                <c:pt idx="3">
                  <c:v>0.14598635424837819</c:v>
                </c:pt>
                <c:pt idx="4">
                  <c:v>0.14415203134358751</c:v>
                </c:pt>
                <c:pt idx="5">
                  <c:v>0.14453957457250455</c:v>
                </c:pt>
              </c:numCache>
            </c:numRef>
          </c:val>
          <c:smooth val="0"/>
          <c:extLst>
            <c:ext xmlns:c16="http://schemas.microsoft.com/office/drawing/2014/chart" uri="{C3380CC4-5D6E-409C-BE32-E72D297353CC}">
              <c16:uniqueId val="{00000006-868C-4B38-9B48-1DE0C3EB4C17}"/>
            </c:ext>
          </c:extLst>
        </c:ser>
        <c:ser>
          <c:idx val="7"/>
          <c:order val="7"/>
          <c:tx>
            <c:strRef>
              <c:f>'Schätzung VLS vs. Stromkosten'!$J$3:$J$4</c:f>
              <c:strCache>
                <c:ptCount val="2"/>
                <c:pt idx="0">
                  <c:v>NH3</c:v>
                </c:pt>
                <c:pt idx="1">
                  <c:v>Produkten-/Chemikalientanker</c:v>
                </c:pt>
              </c:strCache>
            </c:strRef>
          </c:tx>
          <c:spPr>
            <a:ln w="28575" cap="rnd">
              <a:solidFill>
                <a:schemeClr val="accent2">
                  <a:lumMod val="60000"/>
                </a:schemeClr>
              </a:solidFill>
              <a:round/>
            </a:ln>
            <a:effectLst/>
          </c:spPr>
          <c:marker>
            <c:symbol val="none"/>
          </c:marker>
          <c:cat>
            <c:strRef>
              <c:f>'Schätzung VLS vs. Stromkosten'!$A$14:$A$19</c:f>
              <c:strCache>
                <c:ptCount val="6"/>
                <c:pt idx="0">
                  <c:v>3000/0,0401</c:v>
                </c:pt>
                <c:pt idx="1">
                  <c:v>4000/0,0418</c:v>
                </c:pt>
                <c:pt idx="2">
                  <c:v>5000/0,0453</c:v>
                </c:pt>
                <c:pt idx="3">
                  <c:v>6000/0,0514</c:v>
                </c:pt>
                <c:pt idx="4">
                  <c:v>7000/0,0540</c:v>
                </c:pt>
                <c:pt idx="5">
                  <c:v>8000/0,0566</c:v>
                </c:pt>
              </c:strCache>
            </c:strRef>
          </c:cat>
          <c:val>
            <c:numRef>
              <c:f>'Schätzung VLS vs. Stromkosten'!$J$14:$J$19</c:f>
              <c:numCache>
                <c:formatCode>_-* #,##0.000\ "€"_-;\-* #,##0.000\ "€"_-;_-* "-"??\ "€"_-;_-@_-</c:formatCode>
                <c:ptCount val="6"/>
                <c:pt idx="0">
                  <c:v>0.14489498878074991</c:v>
                </c:pt>
                <c:pt idx="1">
                  <c:v>0.13049759397873631</c:v>
                </c:pt>
                <c:pt idx="2">
                  <c:v>0.12593363412408987</c:v>
                </c:pt>
                <c:pt idx="3">
                  <c:v>0.13040044150938826</c:v>
                </c:pt>
                <c:pt idx="4">
                  <c:v>0.13016605141346113</c:v>
                </c:pt>
                <c:pt idx="5">
                  <c:v>0.13109656620881441</c:v>
                </c:pt>
              </c:numCache>
            </c:numRef>
          </c:val>
          <c:smooth val="0"/>
          <c:extLst>
            <c:ext xmlns:c16="http://schemas.microsoft.com/office/drawing/2014/chart" uri="{C3380CC4-5D6E-409C-BE32-E72D297353CC}">
              <c16:uniqueId val="{00000007-868C-4B38-9B48-1DE0C3EB4C17}"/>
            </c:ext>
          </c:extLst>
        </c:ser>
        <c:ser>
          <c:idx val="8"/>
          <c:order val="8"/>
          <c:tx>
            <c:strRef>
              <c:f>'Schätzung VLS vs. Stromkosten'!$K$3:$K$4</c:f>
              <c:strCache>
                <c:ptCount val="2"/>
                <c:pt idx="0">
                  <c:v>FT-Produkt</c:v>
                </c:pt>
                <c:pt idx="1">
                  <c:v>Produkten-/Chemikalientanker</c:v>
                </c:pt>
              </c:strCache>
            </c:strRef>
          </c:tx>
          <c:spPr>
            <a:ln w="28575" cap="rnd">
              <a:solidFill>
                <a:schemeClr val="accent3">
                  <a:lumMod val="60000"/>
                </a:schemeClr>
              </a:solidFill>
              <a:round/>
            </a:ln>
            <a:effectLst/>
          </c:spPr>
          <c:marker>
            <c:symbol val="none"/>
          </c:marker>
          <c:cat>
            <c:strRef>
              <c:f>'Schätzung VLS vs. Stromkosten'!$A$14:$A$19</c:f>
              <c:strCache>
                <c:ptCount val="6"/>
                <c:pt idx="0">
                  <c:v>3000/0,0401</c:v>
                </c:pt>
                <c:pt idx="1">
                  <c:v>4000/0,0418</c:v>
                </c:pt>
                <c:pt idx="2">
                  <c:v>5000/0,0453</c:v>
                </c:pt>
                <c:pt idx="3">
                  <c:v>6000/0,0514</c:v>
                </c:pt>
                <c:pt idx="4">
                  <c:v>7000/0,0540</c:v>
                </c:pt>
                <c:pt idx="5">
                  <c:v>8000/0,0566</c:v>
                </c:pt>
              </c:strCache>
            </c:strRef>
          </c:cat>
          <c:val>
            <c:numRef>
              <c:f>'Schätzung VLS vs. Stromkosten'!$K$14:$K$19</c:f>
              <c:numCache>
                <c:formatCode>_-* #,##0.000\ "€"_-;\-* #,##0.000\ "€"_-;_-* "-"??\ "€"_-;_-@_-</c:formatCode>
                <c:ptCount val="6"/>
                <c:pt idx="0">
                  <c:v>0.20178260959640579</c:v>
                </c:pt>
                <c:pt idx="1">
                  <c:v>0.17833071580064055</c:v>
                </c:pt>
                <c:pt idx="2">
                  <c:v>0.16945294754171608</c:v>
                </c:pt>
                <c:pt idx="3">
                  <c:v>0.17024256485174949</c:v>
                </c:pt>
                <c:pt idx="4">
                  <c:v>0.16754734001446547</c:v>
                </c:pt>
                <c:pt idx="5">
                  <c:v>0.16766715507658342</c:v>
                </c:pt>
              </c:numCache>
            </c:numRef>
          </c:val>
          <c:smooth val="0"/>
          <c:extLst>
            <c:ext xmlns:c16="http://schemas.microsoft.com/office/drawing/2014/chart" uri="{C3380CC4-5D6E-409C-BE32-E72D297353CC}">
              <c16:uniqueId val="{00000008-868C-4B38-9B48-1DE0C3EB4C17}"/>
            </c:ext>
          </c:extLst>
        </c:ser>
        <c:ser>
          <c:idx val="9"/>
          <c:order val="9"/>
          <c:tx>
            <c:strRef>
              <c:f>'Schätzung VLS vs. Stromkosten'!$L$3:$L$4</c:f>
              <c:strCache>
                <c:ptCount val="2"/>
                <c:pt idx="0">
                  <c:v>LOHC Abwärmenutzung</c:v>
                </c:pt>
                <c:pt idx="1">
                  <c:v>Produkten-/Chemikalientanker</c:v>
                </c:pt>
              </c:strCache>
            </c:strRef>
          </c:tx>
          <c:spPr>
            <a:ln w="28575" cap="rnd">
              <a:solidFill>
                <a:schemeClr val="accent4">
                  <a:lumMod val="60000"/>
                </a:schemeClr>
              </a:solidFill>
              <a:round/>
            </a:ln>
            <a:effectLst/>
          </c:spPr>
          <c:marker>
            <c:symbol val="none"/>
          </c:marker>
          <c:cat>
            <c:strRef>
              <c:f>'Schätzung VLS vs. Stromkosten'!$A$14:$A$19</c:f>
              <c:strCache>
                <c:ptCount val="6"/>
                <c:pt idx="0">
                  <c:v>3000/0,0401</c:v>
                </c:pt>
                <c:pt idx="1">
                  <c:v>4000/0,0418</c:v>
                </c:pt>
                <c:pt idx="2">
                  <c:v>5000/0,0453</c:v>
                </c:pt>
                <c:pt idx="3">
                  <c:v>6000/0,0514</c:v>
                </c:pt>
                <c:pt idx="4">
                  <c:v>7000/0,0540</c:v>
                </c:pt>
                <c:pt idx="5">
                  <c:v>8000/0,0566</c:v>
                </c:pt>
              </c:strCache>
            </c:strRef>
          </c:cat>
          <c:val>
            <c:numRef>
              <c:f>'Schätzung VLS vs. Stromkosten'!$L$14:$L$19</c:f>
              <c:numCache>
                <c:formatCode>_-* #,##0.000\ "€"_-;\-* #,##0.000\ "€"_-;_-* "-"??\ "€"_-;_-@_-</c:formatCode>
                <c:ptCount val="6"/>
                <c:pt idx="0">
                  <c:v>0.13967365236055282</c:v>
                </c:pt>
                <c:pt idx="1">
                  <c:v>0.12620093994281623</c:v>
                </c:pt>
                <c:pt idx="2">
                  <c:v>0.12196474521547739</c:v>
                </c:pt>
                <c:pt idx="3">
                  <c:v>0.12498416240979522</c:v>
                </c:pt>
                <c:pt idx="4">
                  <c:v>0.12441488537712889</c:v>
                </c:pt>
                <c:pt idx="5">
                  <c:v>0.1249963273083336</c:v>
                </c:pt>
              </c:numCache>
            </c:numRef>
          </c:val>
          <c:smooth val="0"/>
          <c:extLst>
            <c:ext xmlns:c16="http://schemas.microsoft.com/office/drawing/2014/chart" uri="{C3380CC4-5D6E-409C-BE32-E72D297353CC}">
              <c16:uniqueId val="{00000009-868C-4B38-9B48-1DE0C3EB4C17}"/>
            </c:ext>
          </c:extLst>
        </c:ser>
        <c:ser>
          <c:idx val="10"/>
          <c:order val="10"/>
          <c:tx>
            <c:strRef>
              <c:f>'Schätzung VLS vs. Stromkosten'!$M$3:$M$4</c:f>
              <c:strCache>
                <c:ptCount val="2"/>
                <c:pt idx="0">
                  <c:v>LOHC</c:v>
                </c:pt>
                <c:pt idx="1">
                  <c:v>Produkten-/Chemikalientanker</c:v>
                </c:pt>
              </c:strCache>
            </c:strRef>
          </c:tx>
          <c:spPr>
            <a:ln w="28575" cap="rnd">
              <a:solidFill>
                <a:schemeClr val="accent5">
                  <a:lumMod val="60000"/>
                </a:schemeClr>
              </a:solidFill>
              <a:round/>
            </a:ln>
            <a:effectLst/>
          </c:spPr>
          <c:marker>
            <c:symbol val="none"/>
          </c:marker>
          <c:cat>
            <c:strRef>
              <c:f>'Schätzung VLS vs. Stromkosten'!$A$14:$A$19</c:f>
              <c:strCache>
                <c:ptCount val="6"/>
                <c:pt idx="0">
                  <c:v>3000/0,0401</c:v>
                </c:pt>
                <c:pt idx="1">
                  <c:v>4000/0,0418</c:v>
                </c:pt>
                <c:pt idx="2">
                  <c:v>5000/0,0453</c:v>
                </c:pt>
                <c:pt idx="3">
                  <c:v>6000/0,0514</c:v>
                </c:pt>
                <c:pt idx="4">
                  <c:v>7000/0,0540</c:v>
                </c:pt>
                <c:pt idx="5">
                  <c:v>8000/0,0566</c:v>
                </c:pt>
              </c:strCache>
            </c:strRef>
          </c:cat>
          <c:val>
            <c:numRef>
              <c:f>'Schätzung VLS vs. Stromkosten'!$M$14:$M$19</c:f>
              <c:numCache>
                <c:formatCode>_-* #,##0.000\ "€"_-;\-* #,##0.000\ "€"_-;_-* "-"??\ "€"_-;_-@_-</c:formatCode>
                <c:ptCount val="6"/>
                <c:pt idx="0">
                  <c:v>0.17262788014854552</c:v>
                </c:pt>
                <c:pt idx="1">
                  <c:v>0.1591551677308089</c:v>
                </c:pt>
                <c:pt idx="2">
                  <c:v>0.15491897300347007</c:v>
                </c:pt>
                <c:pt idx="3">
                  <c:v>0.15793839019778791</c:v>
                </c:pt>
                <c:pt idx="4">
                  <c:v>0.15736911316512159</c:v>
                </c:pt>
                <c:pt idx="5">
                  <c:v>0.1579505550963263</c:v>
                </c:pt>
              </c:numCache>
            </c:numRef>
          </c:val>
          <c:smooth val="0"/>
          <c:extLst>
            <c:ext xmlns:c16="http://schemas.microsoft.com/office/drawing/2014/chart" uri="{C3380CC4-5D6E-409C-BE32-E72D297353CC}">
              <c16:uniqueId val="{0000000A-868C-4B38-9B48-1DE0C3EB4C17}"/>
            </c:ext>
          </c:extLst>
        </c:ser>
        <c:ser>
          <c:idx val="11"/>
          <c:order val="11"/>
          <c:tx>
            <c:strRef>
              <c:f>'Schätzung VLS vs. Stromkosten'!$N$3:$N$4</c:f>
              <c:strCache>
                <c:ptCount val="2"/>
                <c:pt idx="0">
                  <c:v>NH3 HC Abwärmenutzung</c:v>
                </c:pt>
                <c:pt idx="1">
                  <c:v>Produkten-/Chemikalientanker</c:v>
                </c:pt>
              </c:strCache>
            </c:strRef>
          </c:tx>
          <c:spPr>
            <a:ln w="28575" cap="rnd">
              <a:solidFill>
                <a:schemeClr val="accent6">
                  <a:lumMod val="60000"/>
                </a:schemeClr>
              </a:solidFill>
              <a:round/>
            </a:ln>
            <a:effectLst/>
          </c:spPr>
          <c:marker>
            <c:symbol val="none"/>
          </c:marker>
          <c:cat>
            <c:strRef>
              <c:f>'Schätzung VLS vs. Stromkosten'!$A$14:$A$19</c:f>
              <c:strCache>
                <c:ptCount val="6"/>
                <c:pt idx="0">
                  <c:v>3000/0,0401</c:v>
                </c:pt>
                <c:pt idx="1">
                  <c:v>4000/0,0418</c:v>
                </c:pt>
                <c:pt idx="2">
                  <c:v>5000/0,0453</c:v>
                </c:pt>
                <c:pt idx="3">
                  <c:v>6000/0,0514</c:v>
                </c:pt>
                <c:pt idx="4">
                  <c:v>7000/0,0540</c:v>
                </c:pt>
                <c:pt idx="5">
                  <c:v>8000/0,0566</c:v>
                </c:pt>
              </c:strCache>
            </c:strRef>
          </c:cat>
          <c:val>
            <c:numRef>
              <c:f>'Schätzung VLS vs. Stromkosten'!$N$14:$N$19</c:f>
              <c:numCache>
                <c:formatCode>_-* #,##0.000\ "€"_-;\-* #,##0.000\ "€"_-;_-* "-"??\ "€"_-;_-@_-</c:formatCode>
                <c:ptCount val="6"/>
                <c:pt idx="0">
                  <c:v>0.14251623791100099</c:v>
                </c:pt>
                <c:pt idx="1">
                  <c:v>0.12697738705567901</c:v>
                </c:pt>
                <c:pt idx="2">
                  <c:v>0.12184566765802141</c:v>
                </c:pt>
                <c:pt idx="3">
                  <c:v>0.12394815965784811</c:v>
                </c:pt>
                <c:pt idx="4">
                  <c:v>0.12295574684395594</c:v>
                </c:pt>
                <c:pt idx="5">
                  <c:v>0.12306694461500815</c:v>
                </c:pt>
              </c:numCache>
            </c:numRef>
          </c:val>
          <c:smooth val="0"/>
          <c:extLst>
            <c:ext xmlns:c16="http://schemas.microsoft.com/office/drawing/2014/chart" uri="{C3380CC4-5D6E-409C-BE32-E72D297353CC}">
              <c16:uniqueId val="{0000000B-868C-4B38-9B48-1DE0C3EB4C17}"/>
            </c:ext>
          </c:extLst>
        </c:ser>
        <c:ser>
          <c:idx val="12"/>
          <c:order val="12"/>
          <c:tx>
            <c:strRef>
              <c:f>'Schätzung VLS vs. Stromkosten'!$O$3:$O$4</c:f>
              <c:strCache>
                <c:ptCount val="2"/>
                <c:pt idx="0">
                  <c:v>NH3 HC</c:v>
                </c:pt>
                <c:pt idx="1">
                  <c:v>Produkten-/Chemikalientanker</c:v>
                </c:pt>
              </c:strCache>
            </c:strRef>
          </c:tx>
          <c:spPr>
            <a:ln w="28575" cap="rnd">
              <a:solidFill>
                <a:schemeClr val="accent1">
                  <a:lumMod val="80000"/>
                  <a:lumOff val="20000"/>
                </a:schemeClr>
              </a:solidFill>
              <a:round/>
            </a:ln>
            <a:effectLst/>
          </c:spPr>
          <c:marker>
            <c:symbol val="none"/>
          </c:marker>
          <c:cat>
            <c:strRef>
              <c:f>'Schätzung VLS vs. Stromkosten'!$A$14:$A$19</c:f>
              <c:strCache>
                <c:ptCount val="6"/>
                <c:pt idx="0">
                  <c:v>3000/0,0401</c:v>
                </c:pt>
                <c:pt idx="1">
                  <c:v>4000/0,0418</c:v>
                </c:pt>
                <c:pt idx="2">
                  <c:v>5000/0,0453</c:v>
                </c:pt>
                <c:pt idx="3">
                  <c:v>6000/0,0514</c:v>
                </c:pt>
                <c:pt idx="4">
                  <c:v>7000/0,0540</c:v>
                </c:pt>
                <c:pt idx="5">
                  <c:v>8000/0,0566</c:v>
                </c:pt>
              </c:strCache>
            </c:strRef>
          </c:cat>
          <c:val>
            <c:numRef>
              <c:f>'Schätzung VLS vs. Stromkosten'!$O$14:$O$19</c:f>
              <c:numCache>
                <c:formatCode>_-* #,##0.000\ "€"_-;\-* #,##0.000\ "€"_-;_-* "-"??\ "€"_-;_-@_-</c:formatCode>
                <c:ptCount val="6"/>
                <c:pt idx="0">
                  <c:v>0.16247399266028351</c:v>
                </c:pt>
                <c:pt idx="1">
                  <c:v>0.14693514180496156</c:v>
                </c:pt>
                <c:pt idx="2">
                  <c:v>0.14180342240730393</c:v>
                </c:pt>
                <c:pt idx="3">
                  <c:v>0.14390591440713066</c:v>
                </c:pt>
                <c:pt idx="4">
                  <c:v>0.14291350159323848</c:v>
                </c:pt>
                <c:pt idx="5">
                  <c:v>0.14302469936429069</c:v>
                </c:pt>
              </c:numCache>
            </c:numRef>
          </c:val>
          <c:smooth val="0"/>
          <c:extLst>
            <c:ext xmlns:c16="http://schemas.microsoft.com/office/drawing/2014/chart" uri="{C3380CC4-5D6E-409C-BE32-E72D297353CC}">
              <c16:uniqueId val="{0000000C-868C-4B38-9B48-1DE0C3EB4C17}"/>
            </c:ext>
          </c:extLst>
        </c:ser>
        <c:dLbls>
          <c:showLegendKey val="0"/>
          <c:showVal val="0"/>
          <c:showCatName val="0"/>
          <c:showSerName val="0"/>
          <c:showPercent val="0"/>
          <c:showBubbleSize val="0"/>
        </c:dLbls>
        <c:smooth val="0"/>
        <c:axId val="632816632"/>
        <c:axId val="632816960"/>
      </c:lineChart>
      <c:catAx>
        <c:axId val="6328166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VBS/Stromkosten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32816960"/>
        <c:crosses val="autoZero"/>
        <c:auto val="1"/>
        <c:lblAlgn val="ctr"/>
        <c:lblOffset val="100"/>
        <c:noMultiLvlLbl val="0"/>
      </c:catAx>
      <c:valAx>
        <c:axId val="632816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Kosten je gelieferter Energie</a:t>
                </a:r>
                <a:r>
                  <a:rPr lang="de-DE">
                    <a:solidFill>
                      <a:sysClr val="windowText" lastClr="000000"/>
                    </a:solidFill>
                  </a:rPr>
                  <a:t>menge</a:t>
                </a:r>
                <a:r>
                  <a:rPr lang="de-DE" baseline="0"/>
                  <a:t> in €/kWh</a:t>
                </a:r>
                <a:endParaRPr lang="de-DE"/>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_-* #,##0.000\ &quot;€&quot;_-;\-* #,##0.000\ &quot;€&quot;_-;_-* &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32816632"/>
        <c:crosses val="autoZero"/>
        <c:crossBetween val="between"/>
      </c:valAx>
      <c:spPr>
        <a:noFill/>
        <a:ln>
          <a:noFill/>
        </a:ln>
        <a:effectLst/>
      </c:spPr>
    </c:plotArea>
    <c:legend>
      <c:legendPos val="r"/>
      <c:layout>
        <c:manualLayout>
          <c:xMode val="edge"/>
          <c:yMode val="edge"/>
          <c:x val="0.65440653251676872"/>
          <c:y val="2.0546500675070165E-2"/>
          <c:w val="0.33448235637212015"/>
          <c:h val="0.955332806801293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accent5">
          <a:lumMod val="50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Transportoptionen!$B$66</c:f>
          <c:strCache>
            <c:ptCount val="1"/>
            <c:pt idx="0">
              <c:v>Umwandlungs- und Transportkosten H2-basierter Energieträger/Grundstoffe bei 2000km Distanz</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stacked"/>
        <c:varyColors val="0"/>
        <c:ser>
          <c:idx val="0"/>
          <c:order val="0"/>
          <c:tx>
            <c:strRef>
              <c:f>Transportoptionen!$B$61</c:f>
              <c:strCache>
                <c:ptCount val="1"/>
                <c:pt idx="0">
                  <c:v>CAPEX + O&amp;M Wandlung</c:v>
                </c:pt>
              </c:strCache>
            </c:strRef>
          </c:tx>
          <c:spPr>
            <a:solidFill>
              <a:schemeClr val="accent1"/>
            </a:solidFill>
            <a:ln>
              <a:noFill/>
            </a:ln>
            <a:effectLst/>
          </c:spPr>
          <c:invertIfNegative val="0"/>
          <c:cat>
            <c:multiLvlStrRef>
              <c:f>Transportoptionen!$C$7:$O$8</c:f>
              <c:multiLvlStrCache>
                <c:ptCount val="13"/>
                <c:lvl>
                  <c:pt idx="0">
                    <c:v>TK-Tanker klein</c:v>
                  </c:pt>
                  <c:pt idx="1">
                    <c:v>TK-Tanker</c:v>
                  </c:pt>
                  <c:pt idx="2">
                    <c:v>H2-Gaspipeline Neubau, 300mm</c:v>
                  </c:pt>
                  <c:pt idx="3">
                    <c:v>H2-Gaspipeline Neubau, 1016mm</c:v>
                  </c:pt>
                  <c:pt idx="4">
                    <c:v>H2-Gaspipeline Umrüstung, 1016mm</c:v>
                  </c:pt>
                  <c:pt idx="5">
                    <c:v>CH4-Gaspipeline Weiternutzung, 1016mm</c:v>
                  </c:pt>
                  <c:pt idx="6">
                    <c:v>Produkten-/Chemikalientanker</c:v>
                  </c:pt>
                  <c:pt idx="7">
                    <c:v>Produkten-/Chemikalientanker</c:v>
                  </c:pt>
                  <c:pt idx="8">
                    <c:v>Produkten-/Chemikalientanker</c:v>
                  </c:pt>
                  <c:pt idx="9">
                    <c:v>Produkten-/Chemikalientanker</c:v>
                  </c:pt>
                  <c:pt idx="10">
                    <c:v>Produkten-/Chemikalientanker</c:v>
                  </c:pt>
                  <c:pt idx="11">
                    <c:v>Produkten-/Chemikalientanker</c:v>
                  </c:pt>
                  <c:pt idx="12">
                    <c:v>Produkten-/Chemikalientanker</c:v>
                  </c:pt>
                </c:lvl>
                <c:lvl>
                  <c:pt idx="0">
                    <c:v>LH2</c:v>
                  </c:pt>
                  <c:pt idx="2">
                    <c:v>H2</c:v>
                  </c:pt>
                  <c:pt idx="5">
                    <c:v>CH4</c:v>
                  </c:pt>
                  <c:pt idx="6">
                    <c:v>CH3OH</c:v>
                  </c:pt>
                  <c:pt idx="7">
                    <c:v>NH3</c:v>
                  </c:pt>
                  <c:pt idx="8">
                    <c:v>FT-Produkt</c:v>
                  </c:pt>
                  <c:pt idx="9">
                    <c:v>LOHC Abwärmenutzung</c:v>
                  </c:pt>
                  <c:pt idx="10">
                    <c:v>LOHC</c:v>
                  </c:pt>
                  <c:pt idx="11">
                    <c:v>NH3 HC Abwärmenutzung</c:v>
                  </c:pt>
                  <c:pt idx="12">
                    <c:v>NH3 HC</c:v>
                  </c:pt>
                </c:lvl>
              </c:multiLvlStrCache>
            </c:multiLvlStrRef>
          </c:cat>
          <c:val>
            <c:numRef>
              <c:f>Transportoptionen!$C$61:$O$61</c:f>
              <c:numCache>
                <c:formatCode>#,##0.00\ "€"</c:formatCode>
                <c:ptCount val="13"/>
                <c:pt idx="0">
                  <c:v>2.7699726808880294E-2</c:v>
                </c:pt>
                <c:pt idx="1">
                  <c:v>2.7699726808880294E-2</c:v>
                </c:pt>
                <c:pt idx="2">
                  <c:v>4.9890135958735062E-4</c:v>
                </c:pt>
                <c:pt idx="3">
                  <c:v>4.9890135958735062E-4</c:v>
                </c:pt>
                <c:pt idx="4">
                  <c:v>4.9890135958735062E-4</c:v>
                </c:pt>
                <c:pt idx="5">
                  <c:v>1.4307958773865493E-2</c:v>
                </c:pt>
                <c:pt idx="6">
                  <c:v>1.2812755242399387E-2</c:v>
                </c:pt>
                <c:pt idx="7">
                  <c:v>1.3591090927559554E-2</c:v>
                </c:pt>
                <c:pt idx="8">
                  <c:v>1.9874996623412695E-2</c:v>
                </c:pt>
                <c:pt idx="9">
                  <c:v>2.0418655761974613E-2</c:v>
                </c:pt>
                <c:pt idx="10">
                  <c:v>2.0418655761974613E-2</c:v>
                </c:pt>
                <c:pt idx="11">
                  <c:v>1.8835814230038602E-2</c:v>
                </c:pt>
                <c:pt idx="12">
                  <c:v>1.8835814230038602E-2</c:v>
                </c:pt>
              </c:numCache>
            </c:numRef>
          </c:val>
          <c:extLst>
            <c:ext xmlns:c16="http://schemas.microsoft.com/office/drawing/2014/chart" uri="{C3380CC4-5D6E-409C-BE32-E72D297353CC}">
              <c16:uniqueId val="{00000061-581D-4924-9176-B76D659A7625}"/>
            </c:ext>
          </c:extLst>
        </c:ser>
        <c:ser>
          <c:idx val="1"/>
          <c:order val="1"/>
          <c:tx>
            <c:strRef>
              <c:f>Transportoptionen!$B$62</c:f>
              <c:strCache>
                <c:ptCount val="1"/>
                <c:pt idx="0">
                  <c:v>Hilfsenergie</c:v>
                </c:pt>
              </c:strCache>
            </c:strRef>
          </c:tx>
          <c:spPr>
            <a:solidFill>
              <a:schemeClr val="accent2"/>
            </a:solidFill>
            <a:ln>
              <a:noFill/>
            </a:ln>
            <a:effectLst/>
          </c:spPr>
          <c:invertIfNegative val="0"/>
          <c:cat>
            <c:multiLvlStrRef>
              <c:f>Transportoptionen!$C$7:$O$8</c:f>
              <c:multiLvlStrCache>
                <c:ptCount val="13"/>
                <c:lvl>
                  <c:pt idx="0">
                    <c:v>TK-Tanker klein</c:v>
                  </c:pt>
                  <c:pt idx="1">
                    <c:v>TK-Tanker</c:v>
                  </c:pt>
                  <c:pt idx="2">
                    <c:v>H2-Gaspipeline Neubau, 300mm</c:v>
                  </c:pt>
                  <c:pt idx="3">
                    <c:v>H2-Gaspipeline Neubau, 1016mm</c:v>
                  </c:pt>
                  <c:pt idx="4">
                    <c:v>H2-Gaspipeline Umrüstung, 1016mm</c:v>
                  </c:pt>
                  <c:pt idx="5">
                    <c:v>CH4-Gaspipeline Weiternutzung, 1016mm</c:v>
                  </c:pt>
                  <c:pt idx="6">
                    <c:v>Produkten-/Chemikalientanker</c:v>
                  </c:pt>
                  <c:pt idx="7">
                    <c:v>Produkten-/Chemikalientanker</c:v>
                  </c:pt>
                  <c:pt idx="8">
                    <c:v>Produkten-/Chemikalientanker</c:v>
                  </c:pt>
                  <c:pt idx="9">
                    <c:v>Produkten-/Chemikalientanker</c:v>
                  </c:pt>
                  <c:pt idx="10">
                    <c:v>Produkten-/Chemikalientanker</c:v>
                  </c:pt>
                  <c:pt idx="11">
                    <c:v>Produkten-/Chemikalientanker</c:v>
                  </c:pt>
                  <c:pt idx="12">
                    <c:v>Produkten-/Chemikalientanker</c:v>
                  </c:pt>
                </c:lvl>
                <c:lvl>
                  <c:pt idx="0">
                    <c:v>LH2</c:v>
                  </c:pt>
                  <c:pt idx="2">
                    <c:v>H2</c:v>
                  </c:pt>
                  <c:pt idx="5">
                    <c:v>CH4</c:v>
                  </c:pt>
                  <c:pt idx="6">
                    <c:v>CH3OH</c:v>
                  </c:pt>
                  <c:pt idx="7">
                    <c:v>NH3</c:v>
                  </c:pt>
                  <c:pt idx="8">
                    <c:v>FT-Produkt</c:v>
                  </c:pt>
                  <c:pt idx="9">
                    <c:v>LOHC Abwärmenutzung</c:v>
                  </c:pt>
                  <c:pt idx="10">
                    <c:v>LOHC</c:v>
                  </c:pt>
                  <c:pt idx="11">
                    <c:v>NH3 HC Abwärmenutzung</c:v>
                  </c:pt>
                  <c:pt idx="12">
                    <c:v>NH3 HC</c:v>
                  </c:pt>
                </c:lvl>
              </c:multiLvlStrCache>
            </c:multiLvlStrRef>
          </c:cat>
          <c:val>
            <c:numRef>
              <c:f>Transportoptionen!$C$62:$O$62</c:f>
              <c:numCache>
                <c:formatCode>#,##0.00\ "€"</c:formatCode>
                <c:ptCount val="13"/>
                <c:pt idx="0">
                  <c:v>1.0804198059761978E-2</c:v>
                </c:pt>
                <c:pt idx="1">
                  <c:v>1.0804198059761978E-2</c:v>
                </c:pt>
                <c:pt idx="2">
                  <c:v>6.2773452275809171E-4</c:v>
                </c:pt>
                <c:pt idx="3">
                  <c:v>6.2773452275809171E-4</c:v>
                </c:pt>
                <c:pt idx="4">
                  <c:v>6.2773452275809171E-4</c:v>
                </c:pt>
                <c:pt idx="5">
                  <c:v>6.5109074326041773E-4</c:v>
                </c:pt>
                <c:pt idx="6">
                  <c:v>1.7491523003040886E-3</c:v>
                </c:pt>
                <c:pt idx="7">
                  <c:v>2.3192599395907704E-3</c:v>
                </c:pt>
                <c:pt idx="8">
                  <c:v>1.1992324249216E-3</c:v>
                </c:pt>
                <c:pt idx="9">
                  <c:v>4.8573873777013228E-3</c:v>
                </c:pt>
                <c:pt idx="10">
                  <c:v>3.8530471330626155E-2</c:v>
                </c:pt>
                <c:pt idx="11">
                  <c:v>6.3024488681944872E-3</c:v>
                </c:pt>
                <c:pt idx="12">
                  <c:v>2.6260203617477027E-2</c:v>
                </c:pt>
              </c:numCache>
            </c:numRef>
          </c:val>
          <c:extLst>
            <c:ext xmlns:c16="http://schemas.microsoft.com/office/drawing/2014/chart" uri="{C3380CC4-5D6E-409C-BE32-E72D297353CC}">
              <c16:uniqueId val="{00000062-581D-4924-9176-B76D659A7625}"/>
            </c:ext>
          </c:extLst>
        </c:ser>
        <c:ser>
          <c:idx val="2"/>
          <c:order val="2"/>
          <c:tx>
            <c:strRef>
              <c:f>Transportoptionen!$B$63</c:f>
              <c:strCache>
                <c:ptCount val="1"/>
                <c:pt idx="0">
                  <c:v>Hilfsstoffe</c:v>
                </c:pt>
              </c:strCache>
            </c:strRef>
          </c:tx>
          <c:spPr>
            <a:solidFill>
              <a:schemeClr val="accent3"/>
            </a:solidFill>
            <a:ln>
              <a:noFill/>
            </a:ln>
            <a:effectLst/>
          </c:spPr>
          <c:invertIfNegative val="0"/>
          <c:cat>
            <c:multiLvlStrRef>
              <c:f>Transportoptionen!$C$7:$O$8</c:f>
              <c:multiLvlStrCache>
                <c:ptCount val="13"/>
                <c:lvl>
                  <c:pt idx="0">
                    <c:v>TK-Tanker klein</c:v>
                  </c:pt>
                  <c:pt idx="1">
                    <c:v>TK-Tanker</c:v>
                  </c:pt>
                  <c:pt idx="2">
                    <c:v>H2-Gaspipeline Neubau, 300mm</c:v>
                  </c:pt>
                  <c:pt idx="3">
                    <c:v>H2-Gaspipeline Neubau, 1016mm</c:v>
                  </c:pt>
                  <c:pt idx="4">
                    <c:v>H2-Gaspipeline Umrüstung, 1016mm</c:v>
                  </c:pt>
                  <c:pt idx="5">
                    <c:v>CH4-Gaspipeline Weiternutzung, 1016mm</c:v>
                  </c:pt>
                  <c:pt idx="6">
                    <c:v>Produkten-/Chemikalientanker</c:v>
                  </c:pt>
                  <c:pt idx="7">
                    <c:v>Produkten-/Chemikalientanker</c:v>
                  </c:pt>
                  <c:pt idx="8">
                    <c:v>Produkten-/Chemikalientanker</c:v>
                  </c:pt>
                  <c:pt idx="9">
                    <c:v>Produkten-/Chemikalientanker</c:v>
                  </c:pt>
                  <c:pt idx="10">
                    <c:v>Produkten-/Chemikalientanker</c:v>
                  </c:pt>
                  <c:pt idx="11">
                    <c:v>Produkten-/Chemikalientanker</c:v>
                  </c:pt>
                  <c:pt idx="12">
                    <c:v>Produkten-/Chemikalientanker</c:v>
                  </c:pt>
                </c:lvl>
                <c:lvl>
                  <c:pt idx="0">
                    <c:v>LH2</c:v>
                  </c:pt>
                  <c:pt idx="2">
                    <c:v>H2</c:v>
                  </c:pt>
                  <c:pt idx="5">
                    <c:v>CH4</c:v>
                  </c:pt>
                  <c:pt idx="6">
                    <c:v>CH3OH</c:v>
                  </c:pt>
                  <c:pt idx="7">
                    <c:v>NH3</c:v>
                  </c:pt>
                  <c:pt idx="8">
                    <c:v>FT-Produkt</c:v>
                  </c:pt>
                  <c:pt idx="9">
                    <c:v>LOHC Abwärmenutzung</c:v>
                  </c:pt>
                  <c:pt idx="10">
                    <c:v>LOHC</c:v>
                  </c:pt>
                  <c:pt idx="11">
                    <c:v>NH3 HC Abwärmenutzung</c:v>
                  </c:pt>
                  <c:pt idx="12">
                    <c:v>NH3 HC</c:v>
                  </c:pt>
                </c:lvl>
              </c:multiLvlStrCache>
            </c:multiLvlStrRef>
          </c:cat>
          <c:val>
            <c:numRef>
              <c:f>Transportoptionen!$C$63:$O$63</c:f>
              <c:numCache>
                <c:formatCode>#,##0.00\ "€"</c:formatCode>
                <c:ptCount val="13"/>
                <c:pt idx="0">
                  <c:v>0</c:v>
                </c:pt>
                <c:pt idx="1">
                  <c:v>0</c:v>
                </c:pt>
                <c:pt idx="2">
                  <c:v>0</c:v>
                </c:pt>
                <c:pt idx="3">
                  <c:v>0</c:v>
                </c:pt>
                <c:pt idx="4">
                  <c:v>0</c:v>
                </c:pt>
                <c:pt idx="5">
                  <c:v>2.8623846832433724E-2</c:v>
                </c:pt>
                <c:pt idx="6">
                  <c:v>3.4176814862862476E-2</c:v>
                </c:pt>
                <c:pt idx="7">
                  <c:v>8.7532974160377999E-3</c:v>
                </c:pt>
                <c:pt idx="8">
                  <c:v>3.7811723681267319E-2</c:v>
                </c:pt>
                <c:pt idx="9">
                  <c:v>8.7565507285058651E-3</c:v>
                </c:pt>
                <c:pt idx="10">
                  <c:v>7.5705687638685966E-3</c:v>
                </c:pt>
                <c:pt idx="11">
                  <c:v>7.6456791246598804E-3</c:v>
                </c:pt>
                <c:pt idx="12">
                  <c:v>7.6456791246598804E-3</c:v>
                </c:pt>
              </c:numCache>
            </c:numRef>
          </c:val>
          <c:extLst>
            <c:ext xmlns:c16="http://schemas.microsoft.com/office/drawing/2014/chart" uri="{C3380CC4-5D6E-409C-BE32-E72D297353CC}">
              <c16:uniqueId val="{00000063-581D-4924-9176-B76D659A7625}"/>
            </c:ext>
          </c:extLst>
        </c:ser>
        <c:ser>
          <c:idx val="3"/>
          <c:order val="3"/>
          <c:tx>
            <c:strRef>
              <c:f>Transportoptionen!$B$64</c:f>
              <c:strCache>
                <c:ptCount val="1"/>
                <c:pt idx="0">
                  <c:v>Transport</c:v>
                </c:pt>
              </c:strCache>
              <c:extLst xmlns:c15="http://schemas.microsoft.com/office/drawing/2012/chart"/>
            </c:strRef>
          </c:tx>
          <c:spPr>
            <a:solidFill>
              <a:schemeClr val="accent4"/>
            </a:solidFill>
            <a:ln>
              <a:noFill/>
            </a:ln>
            <a:effectLst/>
          </c:spPr>
          <c:invertIfNegative val="0"/>
          <c:cat>
            <c:multiLvlStrRef>
              <c:f>Transportoptionen!$C$7:$O$8</c:f>
              <c:multiLvlStrCache>
                <c:ptCount val="13"/>
                <c:lvl>
                  <c:pt idx="0">
                    <c:v>TK-Tanker klein</c:v>
                  </c:pt>
                  <c:pt idx="1">
                    <c:v>TK-Tanker</c:v>
                  </c:pt>
                  <c:pt idx="2">
                    <c:v>H2-Gaspipeline Neubau, 300mm</c:v>
                  </c:pt>
                  <c:pt idx="3">
                    <c:v>H2-Gaspipeline Neubau, 1016mm</c:v>
                  </c:pt>
                  <c:pt idx="4">
                    <c:v>H2-Gaspipeline Umrüstung, 1016mm</c:v>
                  </c:pt>
                  <c:pt idx="5">
                    <c:v>CH4-Gaspipeline Weiternutzung, 1016mm</c:v>
                  </c:pt>
                  <c:pt idx="6">
                    <c:v>Produkten-/Chemikalientanker</c:v>
                  </c:pt>
                  <c:pt idx="7">
                    <c:v>Produkten-/Chemikalientanker</c:v>
                  </c:pt>
                  <c:pt idx="8">
                    <c:v>Produkten-/Chemikalientanker</c:v>
                  </c:pt>
                  <c:pt idx="9">
                    <c:v>Produkten-/Chemikalientanker</c:v>
                  </c:pt>
                  <c:pt idx="10">
                    <c:v>Produkten-/Chemikalientanker</c:v>
                  </c:pt>
                  <c:pt idx="11">
                    <c:v>Produkten-/Chemikalientanker</c:v>
                  </c:pt>
                  <c:pt idx="12">
                    <c:v>Produkten-/Chemikalientanker</c:v>
                  </c:pt>
                </c:lvl>
                <c:lvl>
                  <c:pt idx="0">
                    <c:v>LH2</c:v>
                  </c:pt>
                  <c:pt idx="2">
                    <c:v>H2</c:v>
                  </c:pt>
                  <c:pt idx="5">
                    <c:v>CH4</c:v>
                  </c:pt>
                  <c:pt idx="6">
                    <c:v>CH3OH</c:v>
                  </c:pt>
                  <c:pt idx="7">
                    <c:v>NH3</c:v>
                  </c:pt>
                  <c:pt idx="8">
                    <c:v>FT-Produkt</c:v>
                  </c:pt>
                  <c:pt idx="9">
                    <c:v>LOHC Abwärmenutzung</c:v>
                  </c:pt>
                  <c:pt idx="10">
                    <c:v>LOHC</c:v>
                  </c:pt>
                  <c:pt idx="11">
                    <c:v>NH3 HC Abwärmenutzung</c:v>
                  </c:pt>
                  <c:pt idx="12">
                    <c:v>NH3 HC</c:v>
                  </c:pt>
                </c:lvl>
              </c:multiLvlStrCache>
              <c:extLst xmlns:c15="http://schemas.microsoft.com/office/drawing/2012/chart"/>
            </c:multiLvlStrRef>
          </c:cat>
          <c:val>
            <c:numRef>
              <c:f>Transportoptionen!$C$64:$O$64</c:f>
              <c:numCache>
                <c:formatCode>#,##0.00\ "€"</c:formatCode>
                <c:ptCount val="13"/>
                <c:pt idx="0">
                  <c:v>5.0210564848192259E-2</c:v>
                </c:pt>
                <c:pt idx="1">
                  <c:v>3.4422398569983587E-3</c:v>
                </c:pt>
                <c:pt idx="2">
                  <c:v>9.1397101039914941E-2</c:v>
                </c:pt>
                <c:pt idx="3">
                  <c:v>2.0241562485521621E-2</c:v>
                </c:pt>
                <c:pt idx="4">
                  <c:v>9.8315939775383918E-3</c:v>
                </c:pt>
                <c:pt idx="5">
                  <c:v>2.6809145704134191E-3</c:v>
                </c:pt>
                <c:pt idx="6">
                  <c:v>1.2958373819723819E-3</c:v>
                </c:pt>
                <c:pt idx="7">
                  <c:v>1.8715419445252625E-3</c:v>
                </c:pt>
                <c:pt idx="8">
                  <c:v>6.9519394375336179E-4</c:v>
                </c:pt>
                <c:pt idx="9">
                  <c:v>3.611161817759639E-3</c:v>
                </c:pt>
                <c:pt idx="10">
                  <c:v>3.611161817759639E-3</c:v>
                </c:pt>
                <c:pt idx="11">
                  <c:v>1.6347221505309318E-3</c:v>
                </c:pt>
                <c:pt idx="12">
                  <c:v>1.6347221505309318E-3</c:v>
                </c:pt>
              </c:numCache>
              <c:extLst xmlns:c15="http://schemas.microsoft.com/office/drawing/2012/chart"/>
            </c:numRef>
          </c:val>
          <c:extLst xmlns:c15="http://schemas.microsoft.com/office/drawing/2012/chart">
            <c:ext xmlns:c16="http://schemas.microsoft.com/office/drawing/2014/chart" uri="{C3380CC4-5D6E-409C-BE32-E72D297353CC}">
              <c16:uniqueId val="{00000064-581D-4924-9176-B76D659A7625}"/>
            </c:ext>
          </c:extLst>
        </c:ser>
        <c:ser>
          <c:idx val="4"/>
          <c:order val="4"/>
          <c:tx>
            <c:strRef>
              <c:f>Transportoptionen!$B$65</c:f>
              <c:strCache>
                <c:ptCount val="1"/>
                <c:pt idx="0">
                  <c:v>Wandlungsverluste</c:v>
                </c:pt>
              </c:strCache>
            </c:strRef>
          </c:tx>
          <c:spPr>
            <a:solidFill>
              <a:schemeClr val="accent5"/>
            </a:solidFill>
            <a:ln>
              <a:noFill/>
            </a:ln>
            <a:effectLst/>
          </c:spPr>
          <c:invertIfNegative val="0"/>
          <c:cat>
            <c:multiLvlStrRef>
              <c:f>Transportoptionen!$C$7:$O$8</c:f>
              <c:multiLvlStrCache>
                <c:ptCount val="13"/>
                <c:lvl>
                  <c:pt idx="0">
                    <c:v>TK-Tanker klein</c:v>
                  </c:pt>
                  <c:pt idx="1">
                    <c:v>TK-Tanker</c:v>
                  </c:pt>
                  <c:pt idx="2">
                    <c:v>H2-Gaspipeline Neubau, 300mm</c:v>
                  </c:pt>
                  <c:pt idx="3">
                    <c:v>H2-Gaspipeline Neubau, 1016mm</c:v>
                  </c:pt>
                  <c:pt idx="4">
                    <c:v>H2-Gaspipeline Umrüstung, 1016mm</c:v>
                  </c:pt>
                  <c:pt idx="5">
                    <c:v>CH4-Gaspipeline Weiternutzung, 1016mm</c:v>
                  </c:pt>
                  <c:pt idx="6">
                    <c:v>Produkten-/Chemikalientanker</c:v>
                  </c:pt>
                  <c:pt idx="7">
                    <c:v>Produkten-/Chemikalientanker</c:v>
                  </c:pt>
                  <c:pt idx="8">
                    <c:v>Produkten-/Chemikalientanker</c:v>
                  </c:pt>
                  <c:pt idx="9">
                    <c:v>Produkten-/Chemikalientanker</c:v>
                  </c:pt>
                  <c:pt idx="10">
                    <c:v>Produkten-/Chemikalientanker</c:v>
                  </c:pt>
                  <c:pt idx="11">
                    <c:v>Produkten-/Chemikalientanker</c:v>
                  </c:pt>
                  <c:pt idx="12">
                    <c:v>Produkten-/Chemikalientanker</c:v>
                  </c:pt>
                </c:lvl>
                <c:lvl>
                  <c:pt idx="0">
                    <c:v>LH2</c:v>
                  </c:pt>
                  <c:pt idx="2">
                    <c:v>H2</c:v>
                  </c:pt>
                  <c:pt idx="5">
                    <c:v>CH4</c:v>
                  </c:pt>
                  <c:pt idx="6">
                    <c:v>CH3OH</c:v>
                  </c:pt>
                  <c:pt idx="7">
                    <c:v>NH3</c:v>
                  </c:pt>
                  <c:pt idx="8">
                    <c:v>FT-Produkt</c:v>
                  </c:pt>
                  <c:pt idx="9">
                    <c:v>LOHC Abwärmenutzung</c:v>
                  </c:pt>
                  <c:pt idx="10">
                    <c:v>LOHC</c:v>
                  </c:pt>
                  <c:pt idx="11">
                    <c:v>NH3 HC Abwärmenutzung</c:v>
                  </c:pt>
                  <c:pt idx="12">
                    <c:v>NH3 HC</c:v>
                  </c:pt>
                </c:lvl>
              </c:multiLvlStrCache>
            </c:multiLvlStrRef>
          </c:cat>
          <c:val>
            <c:numRef>
              <c:f>Transportoptionen!$C$65:$O$65</c:f>
              <c:numCache>
                <c:formatCode>#,##0.00\ "€"</c:formatCode>
                <c:ptCount val="13"/>
                <c:pt idx="0">
                  <c:v>0</c:v>
                </c:pt>
                <c:pt idx="1">
                  <c:v>0</c:v>
                </c:pt>
                <c:pt idx="2">
                  <c:v>0</c:v>
                </c:pt>
                <c:pt idx="3">
                  <c:v>0</c:v>
                </c:pt>
                <c:pt idx="4">
                  <c:v>0</c:v>
                </c:pt>
                <c:pt idx="5">
                  <c:v>1.7864135377206929E-2</c:v>
                </c:pt>
                <c:pt idx="6">
                  <c:v>6.9021391645443771E-3</c:v>
                </c:pt>
                <c:pt idx="7">
                  <c:v>1.260846118248383E-2</c:v>
                </c:pt>
                <c:pt idx="8">
                  <c:v>2.2666490861069342E-2</c:v>
                </c:pt>
                <c:pt idx="9">
                  <c:v>0</c:v>
                </c:pt>
                <c:pt idx="10">
                  <c:v>0</c:v>
                </c:pt>
                <c:pt idx="11">
                  <c:v>0</c:v>
                </c:pt>
                <c:pt idx="12">
                  <c:v>0</c:v>
                </c:pt>
              </c:numCache>
            </c:numRef>
          </c:val>
          <c:extLst>
            <c:ext xmlns:c16="http://schemas.microsoft.com/office/drawing/2014/chart" uri="{C3380CC4-5D6E-409C-BE32-E72D297353CC}">
              <c16:uniqueId val="{00000065-581D-4924-9176-B76D659A7625}"/>
            </c:ext>
          </c:extLst>
        </c:ser>
        <c:dLbls>
          <c:showLegendKey val="0"/>
          <c:showVal val="0"/>
          <c:showCatName val="0"/>
          <c:showSerName val="0"/>
          <c:showPercent val="0"/>
          <c:showBubbleSize val="0"/>
        </c:dLbls>
        <c:gapWidth val="219"/>
        <c:overlap val="100"/>
        <c:axId val="392619912"/>
        <c:axId val="392620240"/>
        <c:extLst/>
      </c:barChart>
      <c:catAx>
        <c:axId val="392619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2620240"/>
        <c:crosses val="autoZero"/>
        <c:auto val="1"/>
        <c:lblAlgn val="ctr"/>
        <c:lblOffset val="100"/>
        <c:noMultiLvlLbl val="0"/>
      </c:catAx>
      <c:valAx>
        <c:axId val="3926202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u="none" strike="noStrike" baseline="0">
                    <a:effectLst/>
                  </a:rPr>
                  <a:t>Kosten je gelieferter Energie in €/kWh</a:t>
                </a:r>
                <a:endParaRPr lang="de-DE"/>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261991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rgbClr val="32578C"/>
      </a:solidFill>
      <a:round/>
    </a:ln>
    <a:effectLst/>
  </c:spPr>
  <c:txPr>
    <a:bodyPr rot="2700000"/>
    <a:lstStyle/>
    <a:p>
      <a:pPr>
        <a:defRPr/>
      </a:pPr>
      <a:endParaRPr lang="de-DE"/>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Umwandlungs- und Transportkosten H2-basierter Energieträger/Grundstoffe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1"/>
          <c:order val="1"/>
          <c:tx>
            <c:strRef>
              <c:f>Transportoptionen!$D$7:$D$8</c:f>
              <c:strCache>
                <c:ptCount val="2"/>
                <c:pt idx="0">
                  <c:v>LH2</c:v>
                </c:pt>
                <c:pt idx="1">
                  <c:v>TK-Tanker</c:v>
                </c:pt>
              </c:strCache>
            </c:strRef>
          </c:tx>
          <c:spPr>
            <a:ln w="19050" cap="rnd">
              <a:solidFill>
                <a:schemeClr val="accent2"/>
              </a:solidFill>
              <a:round/>
            </a:ln>
            <a:effectLst/>
          </c:spPr>
          <c:marker>
            <c:symbol val="none"/>
          </c:marker>
          <c:xVal>
            <c:numRef>
              <c:f>Transportoptionen!$A$51:$A$59</c:f>
              <c:numCache>
                <c:formatCode>General</c:formatCode>
                <c:ptCount val="9"/>
                <c:pt idx="0">
                  <c:v>100</c:v>
                </c:pt>
                <c:pt idx="1">
                  <c:v>200</c:v>
                </c:pt>
                <c:pt idx="2">
                  <c:v>400</c:v>
                </c:pt>
                <c:pt idx="3">
                  <c:v>800</c:v>
                </c:pt>
                <c:pt idx="4">
                  <c:v>1600</c:v>
                </c:pt>
                <c:pt idx="5">
                  <c:v>3200</c:v>
                </c:pt>
                <c:pt idx="6">
                  <c:v>6400</c:v>
                </c:pt>
                <c:pt idx="7">
                  <c:v>12800</c:v>
                </c:pt>
                <c:pt idx="8">
                  <c:v>25600</c:v>
                </c:pt>
              </c:numCache>
            </c:numRef>
          </c:xVal>
          <c:yVal>
            <c:numRef>
              <c:f>Transportoptionen!$D$51:$D$59</c:f>
              <c:numCache>
                <c:formatCode>#,##0.00\ "€"</c:formatCode>
                <c:ptCount val="9"/>
                <c:pt idx="0">
                  <c:v>3.9467007928939632E-2</c:v>
                </c:pt>
                <c:pt idx="1">
                  <c:v>3.9597489865608099E-2</c:v>
                </c:pt>
                <c:pt idx="2">
                  <c:v>3.9858453738945053E-2</c:v>
                </c:pt>
                <c:pt idx="3">
                  <c:v>4.0380381485618941E-2</c:v>
                </c:pt>
                <c:pt idx="4">
                  <c:v>4.1424236978966737E-2</c:v>
                </c:pt>
                <c:pt idx="5">
                  <c:v>4.3511947965662316E-2</c:v>
                </c:pt>
                <c:pt idx="6">
                  <c:v>4.7687369939053481E-2</c:v>
                </c:pt>
                <c:pt idx="7">
                  <c:v>5.6038213885835818E-2</c:v>
                </c:pt>
                <c:pt idx="8">
                  <c:v>7.2739901779400484E-2</c:v>
                </c:pt>
              </c:numCache>
            </c:numRef>
          </c:yVal>
          <c:smooth val="0"/>
          <c:extLst>
            <c:ext xmlns:c16="http://schemas.microsoft.com/office/drawing/2014/chart" uri="{C3380CC4-5D6E-409C-BE32-E72D297353CC}">
              <c16:uniqueId val="{00000000-483E-4D85-AE10-1B24D9F4226D}"/>
            </c:ext>
          </c:extLst>
        </c:ser>
        <c:ser>
          <c:idx val="2"/>
          <c:order val="2"/>
          <c:tx>
            <c:strRef>
              <c:f>Transportoptionen!$E$7:$E$8</c:f>
              <c:strCache>
                <c:ptCount val="2"/>
                <c:pt idx="0">
                  <c:v>H2</c:v>
                </c:pt>
                <c:pt idx="1">
                  <c:v>H2-Gaspipeline Neubau, 300mm</c:v>
                </c:pt>
              </c:strCache>
            </c:strRef>
          </c:tx>
          <c:spPr>
            <a:ln w="19050" cap="rnd">
              <a:solidFill>
                <a:schemeClr val="accent3"/>
              </a:solidFill>
              <a:round/>
            </a:ln>
            <a:effectLst/>
          </c:spPr>
          <c:marker>
            <c:symbol val="none"/>
          </c:marker>
          <c:xVal>
            <c:numRef>
              <c:f>Transportoptionen!$A$51:$A$59</c:f>
              <c:numCache>
                <c:formatCode>General</c:formatCode>
                <c:ptCount val="9"/>
                <c:pt idx="0">
                  <c:v>100</c:v>
                </c:pt>
                <c:pt idx="1">
                  <c:v>200</c:v>
                </c:pt>
                <c:pt idx="2">
                  <c:v>400</c:v>
                </c:pt>
                <c:pt idx="3">
                  <c:v>800</c:v>
                </c:pt>
                <c:pt idx="4">
                  <c:v>1600</c:v>
                </c:pt>
                <c:pt idx="5">
                  <c:v>3200</c:v>
                </c:pt>
                <c:pt idx="6">
                  <c:v>6400</c:v>
                </c:pt>
                <c:pt idx="7">
                  <c:v>12800</c:v>
                </c:pt>
                <c:pt idx="8">
                  <c:v>25600</c:v>
                </c:pt>
              </c:numCache>
            </c:numRef>
          </c:xVal>
          <c:yVal>
            <c:numRef>
              <c:f>Transportoptionen!$E$51:$E$59</c:f>
              <c:numCache>
                <c:formatCode>#,##0.00\ "€"</c:formatCode>
                <c:ptCount val="9"/>
                <c:pt idx="0">
                  <c:v>5.696490934341188E-3</c:v>
                </c:pt>
                <c:pt idx="1">
                  <c:v>1.0266345986336935E-2</c:v>
                </c:pt>
                <c:pt idx="2">
                  <c:v>1.940605609032843E-2</c:v>
                </c:pt>
                <c:pt idx="3">
                  <c:v>3.7685476298311413E-2</c:v>
                </c:pt>
                <c:pt idx="4">
                  <c:v>7.4244316714277392E-2</c:v>
                </c:pt>
                <c:pt idx="5">
                  <c:v>0.14736199754620935</c:v>
                </c:pt>
                <c:pt idx="6">
                  <c:v>0.29359735921007324</c:v>
                </c:pt>
                <c:pt idx="7">
                  <c:v>0.58606808253780096</c:v>
                </c:pt>
                <c:pt idx="8">
                  <c:v>1.1710095291932567</c:v>
                </c:pt>
              </c:numCache>
            </c:numRef>
          </c:yVal>
          <c:smooth val="0"/>
          <c:extLst>
            <c:ext xmlns:c16="http://schemas.microsoft.com/office/drawing/2014/chart" uri="{C3380CC4-5D6E-409C-BE32-E72D297353CC}">
              <c16:uniqueId val="{00000001-483E-4D85-AE10-1B24D9F4226D}"/>
            </c:ext>
          </c:extLst>
        </c:ser>
        <c:ser>
          <c:idx val="3"/>
          <c:order val="3"/>
          <c:tx>
            <c:strRef>
              <c:f>Transportoptionen!$F$7:$F$8</c:f>
              <c:strCache>
                <c:ptCount val="2"/>
                <c:pt idx="0">
                  <c:v>H2</c:v>
                </c:pt>
                <c:pt idx="1">
                  <c:v>H2-Gaspipeline Neubau, 1016mm</c:v>
                </c:pt>
              </c:strCache>
            </c:strRef>
          </c:tx>
          <c:spPr>
            <a:ln w="19050" cap="rnd">
              <a:solidFill>
                <a:schemeClr val="accent4"/>
              </a:solidFill>
              <a:round/>
            </a:ln>
            <a:effectLst/>
          </c:spPr>
          <c:marker>
            <c:symbol val="none"/>
          </c:marker>
          <c:xVal>
            <c:numRef>
              <c:f>Transportoptionen!$A$51:$A$59</c:f>
              <c:numCache>
                <c:formatCode>General</c:formatCode>
                <c:ptCount val="9"/>
                <c:pt idx="0">
                  <c:v>100</c:v>
                </c:pt>
                <c:pt idx="1">
                  <c:v>200</c:v>
                </c:pt>
                <c:pt idx="2">
                  <c:v>400</c:v>
                </c:pt>
                <c:pt idx="3">
                  <c:v>800</c:v>
                </c:pt>
                <c:pt idx="4">
                  <c:v>1600</c:v>
                </c:pt>
                <c:pt idx="5">
                  <c:v>3200</c:v>
                </c:pt>
                <c:pt idx="6">
                  <c:v>6400</c:v>
                </c:pt>
                <c:pt idx="7">
                  <c:v>12800</c:v>
                </c:pt>
                <c:pt idx="8">
                  <c:v>25600</c:v>
                </c:pt>
              </c:numCache>
            </c:numRef>
          </c:xVal>
          <c:yVal>
            <c:numRef>
              <c:f>Transportoptionen!$F$51:$F$59</c:f>
              <c:numCache>
                <c:formatCode>#,##0.00\ "€"</c:formatCode>
                <c:ptCount val="9"/>
                <c:pt idx="0">
                  <c:v>2.1387140066215231E-3</c:v>
                </c:pt>
                <c:pt idx="1">
                  <c:v>3.1507921308976043E-3</c:v>
                </c:pt>
                <c:pt idx="2">
                  <c:v>5.1749483794497663E-3</c:v>
                </c:pt>
                <c:pt idx="3">
                  <c:v>9.2232608765540902E-3</c:v>
                </c:pt>
                <c:pt idx="4">
                  <c:v>1.731988587076274E-2</c:v>
                </c:pt>
                <c:pt idx="5">
                  <c:v>3.3513135859180032E-2</c:v>
                </c:pt>
                <c:pt idx="6">
                  <c:v>6.5899635836014631E-2</c:v>
                </c:pt>
                <c:pt idx="7">
                  <c:v>0.13067263578968383</c:v>
                </c:pt>
                <c:pt idx="8">
                  <c:v>0.26021863569702219</c:v>
                </c:pt>
              </c:numCache>
            </c:numRef>
          </c:yVal>
          <c:smooth val="0"/>
          <c:extLst>
            <c:ext xmlns:c16="http://schemas.microsoft.com/office/drawing/2014/chart" uri="{C3380CC4-5D6E-409C-BE32-E72D297353CC}">
              <c16:uniqueId val="{00000002-483E-4D85-AE10-1B24D9F4226D}"/>
            </c:ext>
          </c:extLst>
        </c:ser>
        <c:ser>
          <c:idx val="4"/>
          <c:order val="4"/>
          <c:tx>
            <c:strRef>
              <c:f>Transportoptionen!$G$7:$G$8</c:f>
              <c:strCache>
                <c:ptCount val="2"/>
                <c:pt idx="0">
                  <c:v>H2</c:v>
                </c:pt>
                <c:pt idx="1">
                  <c:v>H2-Gaspipeline Umrüstung, 1016mm</c:v>
                </c:pt>
              </c:strCache>
            </c:strRef>
          </c:tx>
          <c:spPr>
            <a:ln w="19050" cap="rnd">
              <a:solidFill>
                <a:schemeClr val="accent5"/>
              </a:solidFill>
              <a:prstDash val="solid"/>
              <a:round/>
            </a:ln>
            <a:effectLst/>
          </c:spPr>
          <c:marker>
            <c:symbol val="none"/>
          </c:marker>
          <c:xVal>
            <c:numRef>
              <c:f>Transportoptionen!$A$51:$A$59</c:f>
              <c:numCache>
                <c:formatCode>General</c:formatCode>
                <c:ptCount val="9"/>
                <c:pt idx="0">
                  <c:v>100</c:v>
                </c:pt>
                <c:pt idx="1">
                  <c:v>200</c:v>
                </c:pt>
                <c:pt idx="2">
                  <c:v>400</c:v>
                </c:pt>
                <c:pt idx="3">
                  <c:v>800</c:v>
                </c:pt>
                <c:pt idx="4">
                  <c:v>1600</c:v>
                </c:pt>
                <c:pt idx="5">
                  <c:v>3200</c:v>
                </c:pt>
                <c:pt idx="6">
                  <c:v>6400</c:v>
                </c:pt>
                <c:pt idx="7">
                  <c:v>12800</c:v>
                </c:pt>
                <c:pt idx="8">
                  <c:v>25600</c:v>
                </c:pt>
              </c:numCache>
            </c:numRef>
          </c:xVal>
          <c:yVal>
            <c:numRef>
              <c:f>Transportoptionen!$G$51:$G$59</c:f>
              <c:numCache>
                <c:formatCode>#,##0.00\ "€"</c:formatCode>
                <c:ptCount val="9"/>
                <c:pt idx="0">
                  <c:v>1.6182155812223618E-3</c:v>
                </c:pt>
                <c:pt idx="1">
                  <c:v>2.1097952800992813E-3</c:v>
                </c:pt>
                <c:pt idx="2">
                  <c:v>3.0929546778531206E-3</c:v>
                </c:pt>
                <c:pt idx="3">
                  <c:v>5.059273473360798E-3</c:v>
                </c:pt>
                <c:pt idx="4">
                  <c:v>8.9919110643761537E-3</c:v>
                </c:pt>
                <c:pt idx="5">
                  <c:v>1.685718624640687E-2</c:v>
                </c:pt>
                <c:pt idx="6">
                  <c:v>3.2587736610468293E-2</c:v>
                </c:pt>
                <c:pt idx="7">
                  <c:v>6.4048837338591139E-2</c:v>
                </c:pt>
                <c:pt idx="8">
                  <c:v>0.12697103879483684</c:v>
                </c:pt>
              </c:numCache>
            </c:numRef>
          </c:yVal>
          <c:smooth val="0"/>
          <c:extLst>
            <c:ext xmlns:c16="http://schemas.microsoft.com/office/drawing/2014/chart" uri="{C3380CC4-5D6E-409C-BE32-E72D297353CC}">
              <c16:uniqueId val="{00000003-483E-4D85-AE10-1B24D9F4226D}"/>
            </c:ext>
          </c:extLst>
        </c:ser>
        <c:ser>
          <c:idx val="9"/>
          <c:order val="5"/>
          <c:tx>
            <c:strRef>
              <c:f>Transportoptionen!$M$7:$M$8</c:f>
              <c:strCache>
                <c:ptCount val="2"/>
                <c:pt idx="0">
                  <c:v>LOHC</c:v>
                </c:pt>
                <c:pt idx="1">
                  <c:v>Produkten-/Chemikalientanker</c:v>
                </c:pt>
              </c:strCache>
            </c:strRef>
          </c:tx>
          <c:spPr>
            <a:ln w="19050" cap="rnd">
              <a:solidFill>
                <a:schemeClr val="accent4">
                  <a:lumMod val="60000"/>
                </a:schemeClr>
              </a:solidFill>
              <a:prstDash val="dashDot"/>
              <a:round/>
            </a:ln>
            <a:effectLst/>
          </c:spPr>
          <c:marker>
            <c:symbol val="none"/>
          </c:marker>
          <c:xVal>
            <c:numRef>
              <c:f>Transportoptionen!$A$51:$A$59</c:f>
              <c:numCache>
                <c:formatCode>General</c:formatCode>
                <c:ptCount val="9"/>
                <c:pt idx="0">
                  <c:v>100</c:v>
                </c:pt>
                <c:pt idx="1">
                  <c:v>200</c:v>
                </c:pt>
                <c:pt idx="2">
                  <c:v>400</c:v>
                </c:pt>
                <c:pt idx="3">
                  <c:v>800</c:v>
                </c:pt>
                <c:pt idx="4">
                  <c:v>1600</c:v>
                </c:pt>
                <c:pt idx="5">
                  <c:v>3200</c:v>
                </c:pt>
                <c:pt idx="6">
                  <c:v>6400</c:v>
                </c:pt>
                <c:pt idx="7">
                  <c:v>12800</c:v>
                </c:pt>
                <c:pt idx="8">
                  <c:v>25600</c:v>
                </c:pt>
              </c:numCache>
            </c:numRef>
          </c:xVal>
          <c:yVal>
            <c:numRef>
              <c:f>Transportoptionen!$M$51:$M$59</c:f>
              <c:numCache>
                <c:formatCode>#,##0.00\ "€"</c:formatCode>
                <c:ptCount val="9"/>
                <c:pt idx="0">
                  <c:v>6.3534733997859097E-2</c:v>
                </c:pt>
                <c:pt idx="1">
                  <c:v>6.3869654419857452E-2</c:v>
                </c:pt>
                <c:pt idx="2">
                  <c:v>6.4539495263854108E-2</c:v>
                </c:pt>
                <c:pt idx="3">
                  <c:v>6.587917695184746E-2</c:v>
                </c:pt>
                <c:pt idx="4">
                  <c:v>6.8558540327834136E-2</c:v>
                </c:pt>
                <c:pt idx="5">
                  <c:v>7.3917267079807517E-2</c:v>
                </c:pt>
                <c:pt idx="6">
                  <c:v>8.4634720583754264E-2</c:v>
                </c:pt>
                <c:pt idx="7">
                  <c:v>0.10606962759164776</c:v>
                </c:pt>
                <c:pt idx="8">
                  <c:v>0.14893944160743475</c:v>
                </c:pt>
              </c:numCache>
            </c:numRef>
          </c:yVal>
          <c:smooth val="0"/>
          <c:extLst>
            <c:ext xmlns:c16="http://schemas.microsoft.com/office/drawing/2014/chart" uri="{C3380CC4-5D6E-409C-BE32-E72D297353CC}">
              <c16:uniqueId val="{00000004-483E-4D85-AE10-1B24D9F4226D}"/>
            </c:ext>
          </c:extLst>
        </c:ser>
        <c:ser>
          <c:idx val="10"/>
          <c:order val="6"/>
          <c:tx>
            <c:strRef>
              <c:f>Transportoptionen!$L$7:$L$8</c:f>
              <c:strCache>
                <c:ptCount val="2"/>
                <c:pt idx="0">
                  <c:v>LOHC Abwärmenutzung</c:v>
                </c:pt>
                <c:pt idx="1">
                  <c:v>Produkten-/Chemikalientanker</c:v>
                </c:pt>
              </c:strCache>
            </c:strRef>
          </c:tx>
          <c:spPr>
            <a:ln w="19050" cap="rnd">
              <a:solidFill>
                <a:schemeClr val="accent5">
                  <a:lumMod val="60000"/>
                </a:schemeClr>
              </a:solidFill>
              <a:prstDash val="dashDot"/>
              <a:round/>
            </a:ln>
            <a:effectLst/>
          </c:spPr>
          <c:marker>
            <c:symbol val="none"/>
          </c:marker>
          <c:xVal>
            <c:numRef>
              <c:f>Transportoptionen!$A$51:$A$59</c:f>
              <c:numCache>
                <c:formatCode>General</c:formatCode>
                <c:ptCount val="9"/>
                <c:pt idx="0">
                  <c:v>100</c:v>
                </c:pt>
                <c:pt idx="1">
                  <c:v>200</c:v>
                </c:pt>
                <c:pt idx="2">
                  <c:v>400</c:v>
                </c:pt>
                <c:pt idx="3">
                  <c:v>800</c:v>
                </c:pt>
                <c:pt idx="4">
                  <c:v>1600</c:v>
                </c:pt>
                <c:pt idx="5">
                  <c:v>3200</c:v>
                </c:pt>
                <c:pt idx="6">
                  <c:v>6400</c:v>
                </c:pt>
                <c:pt idx="7">
                  <c:v>12800</c:v>
                </c:pt>
                <c:pt idx="8">
                  <c:v>25600</c:v>
                </c:pt>
              </c:numCache>
            </c:numRef>
          </c:xVal>
          <c:yVal>
            <c:numRef>
              <c:f>Transportoptionen!$L$51:$L$59</c:f>
              <c:numCache>
                <c:formatCode>#,##0.00\ "€"</c:formatCode>
                <c:ptCount val="9"/>
                <c:pt idx="0">
                  <c:v>3.0083006267786098E-2</c:v>
                </c:pt>
                <c:pt idx="1">
                  <c:v>3.0468696465667876E-2</c:v>
                </c:pt>
                <c:pt idx="2">
                  <c:v>3.1240076861431432E-2</c:v>
                </c:pt>
                <c:pt idx="3">
                  <c:v>3.2782837652958564E-2</c:v>
                </c:pt>
                <c:pt idx="4">
                  <c:v>3.5868359236012809E-2</c:v>
                </c:pt>
                <c:pt idx="5">
                  <c:v>4.2039402402121291E-2</c:v>
                </c:pt>
                <c:pt idx="6">
                  <c:v>5.4381488734338262E-2</c:v>
                </c:pt>
                <c:pt idx="7">
                  <c:v>7.9065661398772205E-2</c:v>
                </c:pt>
                <c:pt idx="8">
                  <c:v>0.1284340067276401</c:v>
                </c:pt>
              </c:numCache>
            </c:numRef>
          </c:yVal>
          <c:smooth val="0"/>
          <c:extLst>
            <c:ext xmlns:c16="http://schemas.microsoft.com/office/drawing/2014/chart" uri="{C3380CC4-5D6E-409C-BE32-E72D297353CC}">
              <c16:uniqueId val="{00000005-483E-4D85-AE10-1B24D9F4226D}"/>
            </c:ext>
          </c:extLst>
        </c:ser>
        <c:ser>
          <c:idx val="7"/>
          <c:order val="7"/>
          <c:tx>
            <c:strRef>
              <c:f>Transportoptionen!$O$7:$O$8</c:f>
              <c:strCache>
                <c:ptCount val="2"/>
                <c:pt idx="0">
                  <c:v>NH3 HC</c:v>
                </c:pt>
                <c:pt idx="1">
                  <c:v>Produkten-/Chemikalientanker</c:v>
                </c:pt>
              </c:strCache>
            </c:strRef>
          </c:tx>
          <c:spPr>
            <a:ln w="19050" cap="rnd">
              <a:solidFill>
                <a:schemeClr val="accent2">
                  <a:lumMod val="60000"/>
                </a:schemeClr>
              </a:solidFill>
              <a:prstDash val="sysDot"/>
              <a:round/>
            </a:ln>
            <a:effectLst/>
          </c:spPr>
          <c:marker>
            <c:symbol val="none"/>
          </c:marker>
          <c:xVal>
            <c:numRef>
              <c:f>Transportoptionen!$A$51:$A$59</c:f>
              <c:numCache>
                <c:formatCode>General</c:formatCode>
                <c:ptCount val="9"/>
                <c:pt idx="0">
                  <c:v>100</c:v>
                </c:pt>
                <c:pt idx="1">
                  <c:v>200</c:v>
                </c:pt>
                <c:pt idx="2">
                  <c:v>400</c:v>
                </c:pt>
                <c:pt idx="3">
                  <c:v>800</c:v>
                </c:pt>
                <c:pt idx="4">
                  <c:v>1600</c:v>
                </c:pt>
                <c:pt idx="5">
                  <c:v>3200</c:v>
                </c:pt>
                <c:pt idx="6">
                  <c:v>6400</c:v>
                </c:pt>
                <c:pt idx="7">
                  <c:v>12800</c:v>
                </c:pt>
                <c:pt idx="8">
                  <c:v>25600</c:v>
                </c:pt>
              </c:numCache>
            </c:numRef>
          </c:xVal>
          <c:yVal>
            <c:numRef>
              <c:f>Transportoptionen!$O$51:$O$59</c:f>
              <c:numCache>
                <c:formatCode>#,##0.00\ "€"</c:formatCode>
                <c:ptCount val="9"/>
                <c:pt idx="0">
                  <c:v>5.3319945769547558E-2</c:v>
                </c:pt>
                <c:pt idx="1">
                  <c:v>5.3375549630240125E-2</c:v>
                </c:pt>
                <c:pt idx="2">
                  <c:v>5.3486757351625273E-2</c:v>
                </c:pt>
                <c:pt idx="3">
                  <c:v>5.3709172794395563E-2</c:v>
                </c:pt>
                <c:pt idx="4">
                  <c:v>5.4154003679936148E-2</c:v>
                </c:pt>
                <c:pt idx="5">
                  <c:v>5.5043665451017312E-2</c:v>
                </c:pt>
                <c:pt idx="6">
                  <c:v>5.6822988993179641E-2</c:v>
                </c:pt>
                <c:pt idx="7">
                  <c:v>6.0381636077504297E-2</c:v>
                </c:pt>
                <c:pt idx="8">
                  <c:v>6.749893024615361E-2</c:v>
                </c:pt>
              </c:numCache>
            </c:numRef>
          </c:yVal>
          <c:smooth val="0"/>
          <c:extLst>
            <c:ext xmlns:c16="http://schemas.microsoft.com/office/drawing/2014/chart" uri="{C3380CC4-5D6E-409C-BE32-E72D297353CC}">
              <c16:uniqueId val="{00000006-483E-4D85-AE10-1B24D9F4226D}"/>
            </c:ext>
          </c:extLst>
        </c:ser>
        <c:ser>
          <c:idx val="11"/>
          <c:order val="8"/>
          <c:tx>
            <c:strRef>
              <c:f>Transportoptionen!$N$7:$N$8</c:f>
              <c:strCache>
                <c:ptCount val="2"/>
                <c:pt idx="0">
                  <c:v>NH3 HC Abwärmenutzung</c:v>
                </c:pt>
                <c:pt idx="1">
                  <c:v>Produkten-/Chemikalientanker</c:v>
                </c:pt>
              </c:strCache>
            </c:strRef>
          </c:tx>
          <c:spPr>
            <a:ln w="19050" cap="rnd">
              <a:solidFill>
                <a:schemeClr val="accent6">
                  <a:lumMod val="60000"/>
                </a:schemeClr>
              </a:solidFill>
              <a:prstDash val="sysDot"/>
              <a:round/>
            </a:ln>
            <a:effectLst/>
          </c:spPr>
          <c:marker>
            <c:symbol val="none"/>
          </c:marker>
          <c:xVal>
            <c:numRef>
              <c:f>Transportoptionen!$A$51:$A$59</c:f>
              <c:numCache>
                <c:formatCode>General</c:formatCode>
                <c:ptCount val="9"/>
                <c:pt idx="0">
                  <c:v>100</c:v>
                </c:pt>
                <c:pt idx="1">
                  <c:v>200</c:v>
                </c:pt>
                <c:pt idx="2">
                  <c:v>400</c:v>
                </c:pt>
                <c:pt idx="3">
                  <c:v>800</c:v>
                </c:pt>
                <c:pt idx="4">
                  <c:v>1600</c:v>
                </c:pt>
                <c:pt idx="5">
                  <c:v>3200</c:v>
                </c:pt>
                <c:pt idx="6">
                  <c:v>6400</c:v>
                </c:pt>
                <c:pt idx="7">
                  <c:v>12800</c:v>
                </c:pt>
                <c:pt idx="8">
                  <c:v>25600</c:v>
                </c:pt>
              </c:numCache>
            </c:numRef>
          </c:xVal>
          <c:yVal>
            <c:numRef>
              <c:f>Transportoptionen!$N$51:$N$59</c:f>
              <c:numCache>
                <c:formatCode>#,##0.00\ "€"</c:formatCode>
                <c:ptCount val="9"/>
                <c:pt idx="0">
                  <c:v>3.3362191020265018E-2</c:v>
                </c:pt>
                <c:pt idx="1">
                  <c:v>3.3417794880957592E-2</c:v>
                </c:pt>
                <c:pt idx="2">
                  <c:v>3.3529002602342733E-2</c:v>
                </c:pt>
                <c:pt idx="3">
                  <c:v>3.375141804511303E-2</c:v>
                </c:pt>
                <c:pt idx="4">
                  <c:v>3.4196248930653608E-2</c:v>
                </c:pt>
                <c:pt idx="5">
                  <c:v>3.5085910701734772E-2</c:v>
                </c:pt>
                <c:pt idx="6">
                  <c:v>3.6865234243897108E-2</c:v>
                </c:pt>
                <c:pt idx="7">
                  <c:v>4.0423881328221764E-2</c:v>
                </c:pt>
                <c:pt idx="8">
                  <c:v>4.754117549687107E-2</c:v>
                </c:pt>
              </c:numCache>
            </c:numRef>
          </c:yVal>
          <c:smooth val="0"/>
          <c:extLst>
            <c:ext xmlns:c16="http://schemas.microsoft.com/office/drawing/2014/chart" uri="{C3380CC4-5D6E-409C-BE32-E72D297353CC}">
              <c16:uniqueId val="{00000007-483E-4D85-AE10-1B24D9F4226D}"/>
            </c:ext>
          </c:extLst>
        </c:ser>
        <c:ser>
          <c:idx val="12"/>
          <c:order val="9"/>
          <c:tx>
            <c:strRef>
              <c:f>Transportoptionen!$J$7:$J$8</c:f>
              <c:strCache>
                <c:ptCount val="2"/>
                <c:pt idx="0">
                  <c:v>NH3</c:v>
                </c:pt>
                <c:pt idx="1">
                  <c:v>Produkten-/Chemikalientanker</c:v>
                </c:pt>
              </c:strCache>
            </c:strRef>
          </c:tx>
          <c:spPr>
            <a:ln w="19050" cap="rnd">
              <a:solidFill>
                <a:schemeClr val="accent1">
                  <a:lumMod val="80000"/>
                  <a:lumOff val="20000"/>
                </a:schemeClr>
              </a:solidFill>
              <a:prstDash val="dash"/>
              <a:round/>
            </a:ln>
            <a:effectLst/>
          </c:spPr>
          <c:marker>
            <c:symbol val="none"/>
          </c:marker>
          <c:xVal>
            <c:numRef>
              <c:f>Transportoptionen!$A$51:$A$59</c:f>
              <c:numCache>
                <c:formatCode>General</c:formatCode>
                <c:ptCount val="9"/>
                <c:pt idx="0">
                  <c:v>100</c:v>
                </c:pt>
                <c:pt idx="1">
                  <c:v>200</c:v>
                </c:pt>
                <c:pt idx="2">
                  <c:v>400</c:v>
                </c:pt>
                <c:pt idx="3">
                  <c:v>800</c:v>
                </c:pt>
                <c:pt idx="4">
                  <c:v>1600</c:v>
                </c:pt>
                <c:pt idx="5">
                  <c:v>3200</c:v>
                </c:pt>
                <c:pt idx="6">
                  <c:v>6400</c:v>
                </c:pt>
                <c:pt idx="7">
                  <c:v>12800</c:v>
                </c:pt>
                <c:pt idx="8">
                  <c:v>25600</c:v>
                </c:pt>
              </c:numCache>
            </c:numRef>
          </c:xVal>
          <c:yVal>
            <c:numRef>
              <c:f>Transportoptionen!$J$51:$J$59</c:f>
              <c:numCache>
                <c:formatCode>#,##0.00\ "€"</c:formatCode>
                <c:ptCount val="9"/>
                <c:pt idx="0">
                  <c:v>3.7934128315971129E-2</c:v>
                </c:pt>
                <c:pt idx="1">
                  <c:v>3.7997787426193551E-2</c:v>
                </c:pt>
                <c:pt idx="2">
                  <c:v>3.8125105646638395E-2</c:v>
                </c:pt>
                <c:pt idx="3">
                  <c:v>3.8379742087528104E-2</c:v>
                </c:pt>
                <c:pt idx="4">
                  <c:v>3.8889014969307509E-2</c:v>
                </c:pt>
                <c:pt idx="5">
                  <c:v>3.9907560732866325E-2</c:v>
                </c:pt>
                <c:pt idx="6">
                  <c:v>4.194465225998395E-2</c:v>
                </c:pt>
                <c:pt idx="7">
                  <c:v>4.6018835314219193E-2</c:v>
                </c:pt>
                <c:pt idx="8">
                  <c:v>5.4167201422689694E-2</c:v>
                </c:pt>
              </c:numCache>
            </c:numRef>
          </c:yVal>
          <c:smooth val="0"/>
          <c:extLst>
            <c:ext xmlns:c16="http://schemas.microsoft.com/office/drawing/2014/chart" uri="{C3380CC4-5D6E-409C-BE32-E72D297353CC}">
              <c16:uniqueId val="{00000008-483E-4D85-AE10-1B24D9F4226D}"/>
            </c:ext>
          </c:extLst>
        </c:ser>
        <c:ser>
          <c:idx val="5"/>
          <c:order val="10"/>
          <c:tx>
            <c:strRef>
              <c:f>Transportoptionen!$H$7:$H$8</c:f>
              <c:strCache>
                <c:ptCount val="2"/>
                <c:pt idx="0">
                  <c:v>CH4</c:v>
                </c:pt>
                <c:pt idx="1">
                  <c:v>CH4-Gaspipeline Weiternutzung, 1016mm</c:v>
                </c:pt>
              </c:strCache>
            </c:strRef>
          </c:tx>
          <c:spPr>
            <a:ln w="19050" cap="rnd">
              <a:solidFill>
                <a:schemeClr val="accent6"/>
              </a:solidFill>
              <a:prstDash val="dash"/>
              <a:round/>
            </a:ln>
            <a:effectLst/>
          </c:spPr>
          <c:marker>
            <c:symbol val="none"/>
          </c:marker>
          <c:xVal>
            <c:numRef>
              <c:f>Transportoptionen!$A$51:$A$59</c:f>
              <c:numCache>
                <c:formatCode>General</c:formatCode>
                <c:ptCount val="9"/>
                <c:pt idx="0">
                  <c:v>100</c:v>
                </c:pt>
                <c:pt idx="1">
                  <c:v>200</c:v>
                </c:pt>
                <c:pt idx="2">
                  <c:v>400</c:v>
                </c:pt>
                <c:pt idx="3">
                  <c:v>800</c:v>
                </c:pt>
                <c:pt idx="4">
                  <c:v>1600</c:v>
                </c:pt>
                <c:pt idx="5">
                  <c:v>3200</c:v>
                </c:pt>
                <c:pt idx="6">
                  <c:v>6400</c:v>
                </c:pt>
                <c:pt idx="7">
                  <c:v>12800</c:v>
                </c:pt>
                <c:pt idx="8">
                  <c:v>25600</c:v>
                </c:pt>
              </c:numCache>
            </c:numRef>
          </c:xVal>
          <c:yVal>
            <c:numRef>
              <c:f>Transportoptionen!$H$51:$H$59</c:f>
              <c:numCache>
                <c:formatCode>#,##0.00\ "€"</c:formatCode>
                <c:ptCount val="9"/>
                <c:pt idx="0">
                  <c:v>6.1581077455287243E-2</c:v>
                </c:pt>
                <c:pt idx="1">
                  <c:v>6.171512318380791E-2</c:v>
                </c:pt>
                <c:pt idx="2">
                  <c:v>6.198321464084925E-2</c:v>
                </c:pt>
                <c:pt idx="3">
                  <c:v>6.2519397554931938E-2</c:v>
                </c:pt>
                <c:pt idx="4">
                  <c:v>6.3591763383097299E-2</c:v>
                </c:pt>
                <c:pt idx="5">
                  <c:v>6.5736495039428036E-2</c:v>
                </c:pt>
                <c:pt idx="6">
                  <c:v>7.0025958352089523E-2</c:v>
                </c:pt>
                <c:pt idx="7">
                  <c:v>7.860488497741247E-2</c:v>
                </c:pt>
                <c:pt idx="8">
                  <c:v>9.5762738228058336E-2</c:v>
                </c:pt>
              </c:numCache>
            </c:numRef>
          </c:yVal>
          <c:smooth val="0"/>
          <c:extLst>
            <c:ext xmlns:c16="http://schemas.microsoft.com/office/drawing/2014/chart" uri="{C3380CC4-5D6E-409C-BE32-E72D297353CC}">
              <c16:uniqueId val="{00000009-483E-4D85-AE10-1B24D9F4226D}"/>
            </c:ext>
          </c:extLst>
        </c:ser>
        <c:ser>
          <c:idx val="6"/>
          <c:order val="11"/>
          <c:tx>
            <c:strRef>
              <c:f>Transportoptionen!$I$7:$I$8</c:f>
              <c:strCache>
                <c:ptCount val="2"/>
                <c:pt idx="0">
                  <c:v>CH3OH</c:v>
                </c:pt>
                <c:pt idx="1">
                  <c:v>Produkten-/Chemikalientanker</c:v>
                </c:pt>
              </c:strCache>
            </c:strRef>
          </c:tx>
          <c:spPr>
            <a:ln w="19050" cap="rnd">
              <a:solidFill>
                <a:schemeClr val="accent6">
                  <a:lumMod val="50000"/>
                </a:schemeClr>
              </a:solidFill>
              <a:prstDash val="dash"/>
              <a:round/>
            </a:ln>
            <a:effectLst/>
          </c:spPr>
          <c:marker>
            <c:symbol val="none"/>
          </c:marker>
          <c:xVal>
            <c:numRef>
              <c:f>Transportoptionen!$A$51:$A$59</c:f>
              <c:numCache>
                <c:formatCode>General</c:formatCode>
                <c:ptCount val="9"/>
                <c:pt idx="0">
                  <c:v>100</c:v>
                </c:pt>
                <c:pt idx="1">
                  <c:v>200</c:v>
                </c:pt>
                <c:pt idx="2">
                  <c:v>400</c:v>
                </c:pt>
                <c:pt idx="3">
                  <c:v>800</c:v>
                </c:pt>
                <c:pt idx="4">
                  <c:v>1600</c:v>
                </c:pt>
                <c:pt idx="5">
                  <c:v>3200</c:v>
                </c:pt>
                <c:pt idx="6">
                  <c:v>6400</c:v>
                </c:pt>
                <c:pt idx="7">
                  <c:v>12800</c:v>
                </c:pt>
                <c:pt idx="8">
                  <c:v>25600</c:v>
                </c:pt>
              </c:numCache>
            </c:numRef>
          </c:xVal>
          <c:yVal>
            <c:numRef>
              <c:f>Transportoptionen!$I$51:$I$59</c:f>
              <c:numCache>
                <c:formatCode>#,##0.00\ "€"</c:formatCode>
                <c:ptCount val="9"/>
                <c:pt idx="0">
                  <c:v>5.6099236962816608E-2</c:v>
                </c:pt>
                <c:pt idx="1">
                  <c:v>5.6143313909620081E-2</c:v>
                </c:pt>
                <c:pt idx="2">
                  <c:v>5.6231467803227048E-2</c:v>
                </c:pt>
                <c:pt idx="3">
                  <c:v>5.6407775590440967E-2</c:v>
                </c:pt>
                <c:pt idx="4">
                  <c:v>5.6760391164868793E-2</c:v>
                </c:pt>
                <c:pt idx="5">
                  <c:v>5.7465622313724457E-2</c:v>
                </c:pt>
                <c:pt idx="6">
                  <c:v>5.8876084611435779E-2</c:v>
                </c:pt>
                <c:pt idx="7">
                  <c:v>6.169700920685843E-2</c:v>
                </c:pt>
                <c:pt idx="8">
                  <c:v>6.7338858397703746E-2</c:v>
                </c:pt>
              </c:numCache>
            </c:numRef>
          </c:yVal>
          <c:smooth val="0"/>
          <c:extLst>
            <c:ext xmlns:c16="http://schemas.microsoft.com/office/drawing/2014/chart" uri="{C3380CC4-5D6E-409C-BE32-E72D297353CC}">
              <c16:uniqueId val="{0000000A-483E-4D85-AE10-1B24D9F4226D}"/>
            </c:ext>
          </c:extLst>
        </c:ser>
        <c:ser>
          <c:idx val="8"/>
          <c:order val="12"/>
          <c:tx>
            <c:strRef>
              <c:f>Transportoptionen!$K$7:$K$8</c:f>
              <c:strCache>
                <c:ptCount val="2"/>
                <c:pt idx="0">
                  <c:v>FT-Produkt</c:v>
                </c:pt>
                <c:pt idx="1">
                  <c:v>Produkten-/Chemikalientanker</c:v>
                </c:pt>
              </c:strCache>
            </c:strRef>
          </c:tx>
          <c:spPr>
            <a:ln w="19050" cap="rnd">
              <a:solidFill>
                <a:schemeClr val="accent3">
                  <a:lumMod val="60000"/>
                </a:schemeClr>
              </a:solidFill>
              <a:prstDash val="dash"/>
              <a:round/>
            </a:ln>
            <a:effectLst/>
          </c:spPr>
          <c:marker>
            <c:symbol val="none"/>
          </c:marker>
          <c:xVal>
            <c:numRef>
              <c:f>Transportoptionen!$A$51:$A$59</c:f>
              <c:numCache>
                <c:formatCode>General</c:formatCode>
                <c:ptCount val="9"/>
                <c:pt idx="0">
                  <c:v>100</c:v>
                </c:pt>
                <c:pt idx="1">
                  <c:v>200</c:v>
                </c:pt>
                <c:pt idx="2">
                  <c:v>400</c:v>
                </c:pt>
                <c:pt idx="3">
                  <c:v>800</c:v>
                </c:pt>
                <c:pt idx="4">
                  <c:v>1600</c:v>
                </c:pt>
                <c:pt idx="5">
                  <c:v>3200</c:v>
                </c:pt>
                <c:pt idx="6">
                  <c:v>6400</c:v>
                </c:pt>
                <c:pt idx="7">
                  <c:v>12800</c:v>
                </c:pt>
                <c:pt idx="8">
                  <c:v>25600</c:v>
                </c:pt>
              </c:numCache>
            </c:numRef>
          </c:xVal>
          <c:yVal>
            <c:numRef>
              <c:f>Transportoptionen!$K$51:$K$59</c:f>
              <c:numCache>
                <c:formatCode>#,##0.00\ "€"</c:formatCode>
                <c:ptCount val="9"/>
                <c:pt idx="0">
                  <c:v>8.1798353919704636E-2</c:v>
                </c:pt>
                <c:pt idx="1">
                  <c:v>8.1822000425742517E-2</c:v>
                </c:pt>
                <c:pt idx="2">
                  <c:v>8.1869293437818277E-2</c:v>
                </c:pt>
                <c:pt idx="3">
                  <c:v>8.1963879461969785E-2</c:v>
                </c:pt>
                <c:pt idx="4">
                  <c:v>8.2153051510272801E-2</c:v>
                </c:pt>
                <c:pt idx="5">
                  <c:v>8.253139560687886E-2</c:v>
                </c:pt>
                <c:pt idx="6">
                  <c:v>8.3288083800090951E-2</c:v>
                </c:pt>
                <c:pt idx="7">
                  <c:v>8.4801460186515118E-2</c:v>
                </c:pt>
                <c:pt idx="8">
                  <c:v>8.7828212959363453E-2</c:v>
                </c:pt>
              </c:numCache>
            </c:numRef>
          </c:yVal>
          <c:smooth val="0"/>
          <c:extLst>
            <c:ext xmlns:c16="http://schemas.microsoft.com/office/drawing/2014/chart" uri="{C3380CC4-5D6E-409C-BE32-E72D297353CC}">
              <c16:uniqueId val="{0000000B-483E-4D85-AE10-1B24D9F4226D}"/>
            </c:ext>
          </c:extLst>
        </c:ser>
        <c:dLbls>
          <c:showLegendKey val="0"/>
          <c:showVal val="0"/>
          <c:showCatName val="0"/>
          <c:showSerName val="0"/>
          <c:showPercent val="0"/>
          <c:showBubbleSize val="0"/>
        </c:dLbls>
        <c:axId val="314544640"/>
        <c:axId val="499193928"/>
        <c:extLst>
          <c:ext xmlns:c15="http://schemas.microsoft.com/office/drawing/2012/chart" uri="{02D57815-91ED-43cb-92C2-25804820EDAC}">
            <c15:filteredScatterSeries>
              <c15:ser>
                <c:idx val="0"/>
                <c:order val="0"/>
                <c:tx>
                  <c:strRef>
                    <c:extLst>
                      <c:ext uri="{02D57815-91ED-43cb-92C2-25804820EDAC}">
                        <c15:formulaRef>
                          <c15:sqref>Transportoptionen!$C$7:$C$8</c15:sqref>
                        </c15:formulaRef>
                      </c:ext>
                    </c:extLst>
                    <c:strCache>
                      <c:ptCount val="2"/>
                      <c:pt idx="0">
                        <c:v>LH2</c:v>
                      </c:pt>
                      <c:pt idx="1">
                        <c:v>TK-Tanker klein</c:v>
                      </c:pt>
                    </c:strCache>
                  </c:strRef>
                </c:tx>
                <c:spPr>
                  <a:ln w="19050" cap="rnd">
                    <a:solidFill>
                      <a:schemeClr val="accent1"/>
                    </a:solidFill>
                    <a:round/>
                  </a:ln>
                  <a:effectLst/>
                </c:spPr>
                <c:marker>
                  <c:symbol val="none"/>
                </c:marker>
                <c:xVal>
                  <c:numRef>
                    <c:extLst>
                      <c:ext uri="{02D57815-91ED-43cb-92C2-25804820EDAC}">
                        <c15:formulaRef>
                          <c15:sqref>Transportoptionen!$A$51:$A$59</c15:sqref>
                        </c15:formulaRef>
                      </c:ext>
                    </c:extLst>
                    <c:numCache>
                      <c:formatCode>General</c:formatCode>
                      <c:ptCount val="9"/>
                      <c:pt idx="0">
                        <c:v>100</c:v>
                      </c:pt>
                      <c:pt idx="1">
                        <c:v>200</c:v>
                      </c:pt>
                      <c:pt idx="2">
                        <c:v>400</c:v>
                      </c:pt>
                      <c:pt idx="3">
                        <c:v>800</c:v>
                      </c:pt>
                      <c:pt idx="4">
                        <c:v>1600</c:v>
                      </c:pt>
                      <c:pt idx="5">
                        <c:v>3200</c:v>
                      </c:pt>
                      <c:pt idx="6">
                        <c:v>6400</c:v>
                      </c:pt>
                      <c:pt idx="7">
                        <c:v>12800</c:v>
                      </c:pt>
                      <c:pt idx="8">
                        <c:v>25600</c:v>
                      </c:pt>
                    </c:numCache>
                  </c:numRef>
                </c:xVal>
                <c:yVal>
                  <c:numRef>
                    <c:extLst>
                      <c:ext uri="{02D57815-91ED-43cb-92C2-25804820EDAC}">
                        <c15:formulaRef>
                          <c15:sqref>Transportoptionen!$C$51:$C$59</c15:sqref>
                        </c15:formulaRef>
                      </c:ext>
                    </c:extLst>
                    <c:numCache>
                      <c:formatCode>#,##0.00\ "€"</c:formatCode>
                      <c:ptCount val="9"/>
                      <c:pt idx="0">
                        <c:v>5.4800586841835766E-2</c:v>
                      </c:pt>
                      <c:pt idx="1">
                        <c:v>5.6585529098414654E-2</c:v>
                      </c:pt>
                      <c:pt idx="2">
                        <c:v>6.0155413611572416E-2</c:v>
                      </c:pt>
                      <c:pt idx="3">
                        <c:v>6.7295182637887946E-2</c:v>
                      </c:pt>
                      <c:pt idx="4">
                        <c:v>8.1574720690519006E-2</c:v>
                      </c:pt>
                      <c:pt idx="5">
                        <c:v>0.11013379679578111</c:v>
                      </c:pt>
                      <c:pt idx="6">
                        <c:v>0.16725194900630536</c:v>
                      </c:pt>
                      <c:pt idx="7">
                        <c:v>0.28148825342735373</c:v>
                      </c:pt>
                      <c:pt idx="8">
                        <c:v>0.50996086226945059</c:v>
                      </c:pt>
                    </c:numCache>
                  </c:numRef>
                </c:yVal>
                <c:smooth val="0"/>
                <c:extLst>
                  <c:ext xmlns:c16="http://schemas.microsoft.com/office/drawing/2014/chart" uri="{C3380CC4-5D6E-409C-BE32-E72D297353CC}">
                    <c16:uniqueId val="{0000000C-483E-4D85-AE10-1B24D9F4226D}"/>
                  </c:ext>
                </c:extLst>
              </c15:ser>
            </c15:filteredScatterSeries>
          </c:ext>
        </c:extLst>
      </c:scatterChart>
      <c:valAx>
        <c:axId val="314544640"/>
        <c:scaling>
          <c:orientation val="minMax"/>
          <c:max val="150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Transportdistanz nach Deutschland</a:t>
                </a:r>
                <a:r>
                  <a:rPr lang="de-DE" baseline="0"/>
                  <a:t> in </a:t>
                </a:r>
                <a:r>
                  <a:rPr lang="de-DE"/>
                  <a:t>km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99193928"/>
        <c:crosses val="autoZero"/>
        <c:crossBetween val="midCat"/>
      </c:valAx>
      <c:valAx>
        <c:axId val="499193928"/>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Kosten je gelieferter Energie in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quot;€&quot;"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4544640"/>
        <c:crosses val="autoZero"/>
        <c:crossBetween val="midCat"/>
      </c:valAx>
      <c:spPr>
        <a:noFill/>
        <a:ln>
          <a:noFill/>
        </a:ln>
        <a:effectLst/>
      </c:spPr>
    </c:plotArea>
    <c:legend>
      <c:legendPos val="r"/>
      <c:layout>
        <c:manualLayout>
          <c:xMode val="edge"/>
          <c:yMode val="edge"/>
          <c:x val="0.63691541398234297"/>
          <c:y val="0.10900049901338456"/>
          <c:w val="0.33368143044619425"/>
          <c:h val="0.871615568013504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rgbClr val="32578C"/>
      </a:solidFill>
      <a:round/>
    </a:ln>
    <a:effectLst/>
  </c:spPr>
  <c:txPr>
    <a:bodyPr/>
    <a:lstStyle/>
    <a:p>
      <a:pPr>
        <a:defRPr/>
      </a:pPr>
      <a:endParaRPr lang="de-DE"/>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Transportoptionen!$A$47</c:f>
              <c:strCache>
                <c:ptCount val="1"/>
                <c:pt idx="0">
                  <c:v>Gesamteffizienz ab Eingang Strom</c:v>
                </c:pt>
              </c:strCache>
            </c:strRef>
          </c:tx>
          <c:spPr>
            <a:solidFill>
              <a:schemeClr val="accent1"/>
            </a:solidFill>
            <a:ln>
              <a:noFill/>
            </a:ln>
            <a:effectLst/>
          </c:spPr>
          <c:invertIfNegative val="0"/>
          <c:cat>
            <c:multiLvlStrRef>
              <c:f>Transportoptionen!$C$7:$O$8</c:f>
              <c:multiLvlStrCache>
                <c:ptCount val="13"/>
                <c:lvl>
                  <c:pt idx="0">
                    <c:v>TK-Tanker klein</c:v>
                  </c:pt>
                  <c:pt idx="1">
                    <c:v>TK-Tanker</c:v>
                  </c:pt>
                  <c:pt idx="2">
                    <c:v>H2-Gaspipeline Neubau, 300mm</c:v>
                  </c:pt>
                  <c:pt idx="3">
                    <c:v>H2-Gaspipeline Neubau, 1016mm</c:v>
                  </c:pt>
                  <c:pt idx="4">
                    <c:v>H2-Gaspipeline Umrüstung, 1016mm</c:v>
                  </c:pt>
                  <c:pt idx="5">
                    <c:v>CH4-Gaspipeline Weiternutzung, 1016mm</c:v>
                  </c:pt>
                  <c:pt idx="6">
                    <c:v>Produkten-/Chemikalientanker</c:v>
                  </c:pt>
                  <c:pt idx="7">
                    <c:v>Produkten-/Chemikalientanker</c:v>
                  </c:pt>
                  <c:pt idx="8">
                    <c:v>Produkten-/Chemikalientanker</c:v>
                  </c:pt>
                  <c:pt idx="9">
                    <c:v>Produkten-/Chemikalientanker</c:v>
                  </c:pt>
                  <c:pt idx="10">
                    <c:v>Produkten-/Chemikalientanker</c:v>
                  </c:pt>
                  <c:pt idx="11">
                    <c:v>Produkten-/Chemikalientanker</c:v>
                  </c:pt>
                  <c:pt idx="12">
                    <c:v>Produkten-/Chemikalientanker</c:v>
                  </c:pt>
                </c:lvl>
                <c:lvl>
                  <c:pt idx="0">
                    <c:v>LH2</c:v>
                  </c:pt>
                  <c:pt idx="2">
                    <c:v>H2</c:v>
                  </c:pt>
                  <c:pt idx="5">
                    <c:v>CH4</c:v>
                  </c:pt>
                  <c:pt idx="6">
                    <c:v>CH3OH</c:v>
                  </c:pt>
                  <c:pt idx="7">
                    <c:v>NH3</c:v>
                  </c:pt>
                  <c:pt idx="8">
                    <c:v>FT-Produkt</c:v>
                  </c:pt>
                  <c:pt idx="9">
                    <c:v>LOHC Abwärmenutzung</c:v>
                  </c:pt>
                  <c:pt idx="10">
                    <c:v>LOHC</c:v>
                  </c:pt>
                  <c:pt idx="11">
                    <c:v>NH3 HC Abwärmenutzung</c:v>
                  </c:pt>
                  <c:pt idx="12">
                    <c:v>NH3 HC</c:v>
                  </c:pt>
                </c:lvl>
              </c:multiLvlStrCache>
            </c:multiLvlStrRef>
          </c:cat>
          <c:val>
            <c:numRef>
              <c:f>Transportoptionen!$C$47:$O$47</c:f>
              <c:numCache>
                <c:formatCode>0%</c:formatCode>
                <c:ptCount val="13"/>
                <c:pt idx="0">
                  <c:v>0.4682500264856494</c:v>
                </c:pt>
                <c:pt idx="1">
                  <c:v>0.51051417677127375</c:v>
                </c:pt>
                <c:pt idx="2">
                  <c:v>0.58211950182562944</c:v>
                </c:pt>
                <c:pt idx="3">
                  <c:v>0.62694317834441904</c:v>
                </c:pt>
                <c:pt idx="4">
                  <c:v>0.63385924050734277</c:v>
                </c:pt>
                <c:pt idx="5">
                  <c:v>0.41150998785618192</c:v>
                </c:pt>
                <c:pt idx="6">
                  <c:v>0.41768652932807282</c:v>
                </c:pt>
                <c:pt idx="7">
                  <c:v>0.53213849063145668</c:v>
                </c:pt>
                <c:pt idx="8">
                  <c:v>0.36829873434444205</c:v>
                </c:pt>
                <c:pt idx="9">
                  <c:v>0.60880248335502885</c:v>
                </c:pt>
                <c:pt idx="10">
                  <c:v>0.45864406185958317</c:v>
                </c:pt>
                <c:pt idx="11">
                  <c:v>0.59329483035010677</c:v>
                </c:pt>
                <c:pt idx="12">
                  <c:v>0.49687806961887898</c:v>
                </c:pt>
              </c:numCache>
            </c:numRef>
          </c:val>
          <c:extLst>
            <c:ext xmlns:c16="http://schemas.microsoft.com/office/drawing/2014/chart" uri="{C3380CC4-5D6E-409C-BE32-E72D297353CC}">
              <c16:uniqueId val="{00000000-8103-4874-8930-95F4F1B93D1C}"/>
            </c:ext>
          </c:extLst>
        </c:ser>
        <c:dLbls>
          <c:showLegendKey val="0"/>
          <c:showVal val="0"/>
          <c:showCatName val="0"/>
          <c:showSerName val="0"/>
          <c:showPercent val="0"/>
          <c:showBubbleSize val="0"/>
        </c:dLbls>
        <c:gapWidth val="219"/>
        <c:overlap val="-27"/>
        <c:axId val="462897280"/>
        <c:axId val="462897608"/>
      </c:barChart>
      <c:catAx>
        <c:axId val="462897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2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2897608"/>
        <c:crosses val="autoZero"/>
        <c:auto val="1"/>
        <c:lblAlgn val="ctr"/>
        <c:lblOffset val="100"/>
        <c:noMultiLvlLbl val="0"/>
      </c:catAx>
      <c:valAx>
        <c:axId val="4628976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2897280"/>
        <c:crosses val="autoZero"/>
        <c:crossBetween val="between"/>
      </c:valAx>
      <c:spPr>
        <a:noFill/>
        <a:ln>
          <a:noFill/>
        </a:ln>
        <a:effectLst/>
      </c:spPr>
    </c:plotArea>
    <c:plotVisOnly val="1"/>
    <c:dispBlanksAs val="gap"/>
    <c:showDLblsOverMax val="0"/>
  </c:chart>
  <c:spPr>
    <a:solidFill>
      <a:schemeClr val="bg1"/>
    </a:solidFill>
    <a:ln w="9525" cap="flat" cmpd="sng" algn="ctr">
      <a:solidFill>
        <a:srgbClr val="32578C"/>
      </a:solidFill>
      <a:round/>
    </a:ln>
    <a:effectLst/>
  </c:spPr>
  <c:txPr>
    <a:bodyPr/>
    <a:lstStyle/>
    <a:p>
      <a:pPr>
        <a:defRPr/>
      </a:pPr>
      <a:endParaRPr lang="de-DE"/>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Containerschiffe - dwt und Länge</a:t>
            </a:r>
            <a:r>
              <a:rPr lang="de-DE" baseline="0"/>
              <a:t> über TEU</a:t>
            </a: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1"/>
          <c:order val="1"/>
          <c:tx>
            <c:strRef>
              <c:f>'Schätzung Schiff'!$D$30</c:f>
              <c:strCache>
                <c:ptCount val="1"/>
                <c:pt idx="0">
                  <c:v>dwt</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dispRSqr val="0"/>
            <c:dispEq val="1"/>
            <c:trendlineLbl>
              <c:layout>
                <c:manualLayout>
                  <c:x val="0.17514085739282589"/>
                  <c:y val="0.2286154855643044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'Schätzung Schiff'!$E$31:$E$1697</c:f>
              <c:numCache>
                <c:formatCode>General</c:formatCode>
                <c:ptCount val="1667"/>
                <c:pt idx="0">
                  <c:v>868</c:v>
                </c:pt>
                <c:pt idx="1">
                  <c:v>868</c:v>
                </c:pt>
                <c:pt idx="2">
                  <c:v>1254</c:v>
                </c:pt>
                <c:pt idx="3">
                  <c:v>1338</c:v>
                </c:pt>
                <c:pt idx="4">
                  <c:v>1438</c:v>
                </c:pt>
                <c:pt idx="5">
                  <c:v>1438</c:v>
                </c:pt>
                <c:pt idx="6">
                  <c:v>1438</c:v>
                </c:pt>
                <c:pt idx="7">
                  <c:v>1658</c:v>
                </c:pt>
                <c:pt idx="8">
                  <c:v>1674</c:v>
                </c:pt>
                <c:pt idx="9">
                  <c:v>1678</c:v>
                </c:pt>
                <c:pt idx="10">
                  <c:v>1678</c:v>
                </c:pt>
                <c:pt idx="11">
                  <c:v>1678</c:v>
                </c:pt>
                <c:pt idx="12">
                  <c:v>1698</c:v>
                </c:pt>
                <c:pt idx="13">
                  <c:v>1712</c:v>
                </c:pt>
                <c:pt idx="14">
                  <c:v>1716</c:v>
                </c:pt>
                <c:pt idx="15">
                  <c:v>1728</c:v>
                </c:pt>
                <c:pt idx="16">
                  <c:v>1728</c:v>
                </c:pt>
                <c:pt idx="17">
                  <c:v>1730</c:v>
                </c:pt>
                <c:pt idx="18">
                  <c:v>1730</c:v>
                </c:pt>
                <c:pt idx="19">
                  <c:v>1730</c:v>
                </c:pt>
                <c:pt idx="20">
                  <c:v>1730</c:v>
                </c:pt>
                <c:pt idx="21">
                  <c:v>1732</c:v>
                </c:pt>
                <c:pt idx="22">
                  <c:v>1732</c:v>
                </c:pt>
                <c:pt idx="23">
                  <c:v>1740</c:v>
                </c:pt>
                <c:pt idx="24">
                  <c:v>1740</c:v>
                </c:pt>
                <c:pt idx="25">
                  <c:v>1768</c:v>
                </c:pt>
                <c:pt idx="26">
                  <c:v>1768</c:v>
                </c:pt>
                <c:pt idx="27">
                  <c:v>1795</c:v>
                </c:pt>
                <c:pt idx="28">
                  <c:v>1819</c:v>
                </c:pt>
                <c:pt idx="29">
                  <c:v>1819</c:v>
                </c:pt>
                <c:pt idx="30">
                  <c:v>1819</c:v>
                </c:pt>
                <c:pt idx="31">
                  <c:v>1819</c:v>
                </c:pt>
                <c:pt idx="32">
                  <c:v>1819</c:v>
                </c:pt>
                <c:pt idx="33">
                  <c:v>1819</c:v>
                </c:pt>
                <c:pt idx="34">
                  <c:v>1819</c:v>
                </c:pt>
                <c:pt idx="35">
                  <c:v>1819</c:v>
                </c:pt>
                <c:pt idx="36">
                  <c:v>1819</c:v>
                </c:pt>
                <c:pt idx="37">
                  <c:v>1835</c:v>
                </c:pt>
                <c:pt idx="38">
                  <c:v>1845</c:v>
                </c:pt>
                <c:pt idx="39">
                  <c:v>1849</c:v>
                </c:pt>
                <c:pt idx="40">
                  <c:v>1850</c:v>
                </c:pt>
                <c:pt idx="41">
                  <c:v>1852</c:v>
                </c:pt>
                <c:pt idx="42">
                  <c:v>1853</c:v>
                </c:pt>
                <c:pt idx="43">
                  <c:v>1853</c:v>
                </c:pt>
                <c:pt idx="44">
                  <c:v>1853</c:v>
                </c:pt>
                <c:pt idx="45">
                  <c:v>1875</c:v>
                </c:pt>
                <c:pt idx="46">
                  <c:v>1876</c:v>
                </c:pt>
                <c:pt idx="47">
                  <c:v>1900</c:v>
                </c:pt>
                <c:pt idx="48">
                  <c:v>1924</c:v>
                </c:pt>
                <c:pt idx="49">
                  <c:v>1970</c:v>
                </c:pt>
                <c:pt idx="50">
                  <c:v>2007</c:v>
                </c:pt>
                <c:pt idx="51">
                  <c:v>2007</c:v>
                </c:pt>
                <c:pt idx="52">
                  <c:v>2017</c:v>
                </c:pt>
                <c:pt idx="53">
                  <c:v>2048</c:v>
                </c:pt>
                <c:pt idx="54">
                  <c:v>2061</c:v>
                </c:pt>
                <c:pt idx="55">
                  <c:v>2061</c:v>
                </c:pt>
                <c:pt idx="56">
                  <c:v>2061</c:v>
                </c:pt>
                <c:pt idx="57">
                  <c:v>2061</c:v>
                </c:pt>
                <c:pt idx="58">
                  <c:v>2065</c:v>
                </c:pt>
                <c:pt idx="59">
                  <c:v>2072</c:v>
                </c:pt>
                <c:pt idx="60">
                  <c:v>2078</c:v>
                </c:pt>
                <c:pt idx="61">
                  <c:v>2109</c:v>
                </c:pt>
                <c:pt idx="62">
                  <c:v>2122</c:v>
                </c:pt>
                <c:pt idx="63">
                  <c:v>2127</c:v>
                </c:pt>
                <c:pt idx="64">
                  <c:v>2135</c:v>
                </c:pt>
                <c:pt idx="65">
                  <c:v>2135</c:v>
                </c:pt>
                <c:pt idx="66">
                  <c:v>2135</c:v>
                </c:pt>
                <c:pt idx="67">
                  <c:v>2169</c:v>
                </c:pt>
                <c:pt idx="68">
                  <c:v>2200</c:v>
                </c:pt>
                <c:pt idx="69">
                  <c:v>2205</c:v>
                </c:pt>
                <c:pt idx="70">
                  <c:v>2207</c:v>
                </c:pt>
                <c:pt idx="71">
                  <c:v>2208</c:v>
                </c:pt>
                <c:pt idx="72">
                  <c:v>2225</c:v>
                </c:pt>
                <c:pt idx="73">
                  <c:v>2226</c:v>
                </c:pt>
                <c:pt idx="74">
                  <c:v>2226</c:v>
                </c:pt>
                <c:pt idx="75">
                  <c:v>2226</c:v>
                </c:pt>
                <c:pt idx="76">
                  <c:v>2226</c:v>
                </c:pt>
                <c:pt idx="77">
                  <c:v>2240</c:v>
                </c:pt>
                <c:pt idx="78">
                  <c:v>2245</c:v>
                </c:pt>
                <c:pt idx="79">
                  <c:v>2260</c:v>
                </c:pt>
                <c:pt idx="80">
                  <c:v>2260</c:v>
                </c:pt>
                <c:pt idx="81">
                  <c:v>2260</c:v>
                </c:pt>
                <c:pt idx="82">
                  <c:v>2303</c:v>
                </c:pt>
                <c:pt idx="83">
                  <c:v>2330</c:v>
                </c:pt>
                <c:pt idx="84">
                  <c:v>2339</c:v>
                </c:pt>
                <c:pt idx="85">
                  <c:v>2400</c:v>
                </c:pt>
                <c:pt idx="86">
                  <c:v>2440</c:v>
                </c:pt>
                <c:pt idx="87">
                  <c:v>2450</c:v>
                </c:pt>
                <c:pt idx="88">
                  <c:v>2452</c:v>
                </c:pt>
                <c:pt idx="89">
                  <c:v>2452</c:v>
                </c:pt>
                <c:pt idx="90">
                  <c:v>2470</c:v>
                </c:pt>
                <c:pt idx="91">
                  <c:v>2470</c:v>
                </c:pt>
                <c:pt idx="92">
                  <c:v>2474</c:v>
                </c:pt>
                <c:pt idx="93">
                  <c:v>2474</c:v>
                </c:pt>
                <c:pt idx="94">
                  <c:v>2478</c:v>
                </c:pt>
                <c:pt idx="95">
                  <c:v>2478</c:v>
                </c:pt>
                <c:pt idx="96">
                  <c:v>2478</c:v>
                </c:pt>
                <c:pt idx="97">
                  <c:v>2478</c:v>
                </c:pt>
                <c:pt idx="98">
                  <c:v>2478</c:v>
                </c:pt>
                <c:pt idx="99">
                  <c:v>2478</c:v>
                </c:pt>
                <c:pt idx="100">
                  <c:v>2478</c:v>
                </c:pt>
                <c:pt idx="101">
                  <c:v>2478</c:v>
                </c:pt>
                <c:pt idx="102">
                  <c:v>2478</c:v>
                </c:pt>
                <c:pt idx="103">
                  <c:v>2478</c:v>
                </c:pt>
                <c:pt idx="104">
                  <c:v>2483</c:v>
                </c:pt>
                <c:pt idx="105">
                  <c:v>2487</c:v>
                </c:pt>
                <c:pt idx="106">
                  <c:v>2490</c:v>
                </c:pt>
                <c:pt idx="107">
                  <c:v>2490</c:v>
                </c:pt>
                <c:pt idx="108">
                  <c:v>2490</c:v>
                </c:pt>
                <c:pt idx="109">
                  <c:v>2500</c:v>
                </c:pt>
                <c:pt idx="110">
                  <c:v>2500</c:v>
                </c:pt>
                <c:pt idx="111">
                  <c:v>2504</c:v>
                </c:pt>
                <c:pt idx="112">
                  <c:v>2506</c:v>
                </c:pt>
                <c:pt idx="113">
                  <c:v>2506</c:v>
                </c:pt>
                <c:pt idx="114">
                  <c:v>2524</c:v>
                </c:pt>
                <c:pt idx="115">
                  <c:v>2530</c:v>
                </c:pt>
                <c:pt idx="116">
                  <c:v>2532</c:v>
                </c:pt>
                <c:pt idx="117">
                  <c:v>2532</c:v>
                </c:pt>
                <c:pt idx="118">
                  <c:v>2532</c:v>
                </c:pt>
                <c:pt idx="119">
                  <c:v>2546</c:v>
                </c:pt>
                <c:pt idx="120">
                  <c:v>2550</c:v>
                </c:pt>
                <c:pt idx="121">
                  <c:v>2550</c:v>
                </c:pt>
                <c:pt idx="122">
                  <c:v>2550</c:v>
                </c:pt>
                <c:pt idx="123">
                  <c:v>2550</c:v>
                </c:pt>
                <c:pt idx="124">
                  <c:v>2550</c:v>
                </c:pt>
                <c:pt idx="125">
                  <c:v>2550</c:v>
                </c:pt>
                <c:pt idx="126">
                  <c:v>2550</c:v>
                </c:pt>
                <c:pt idx="127">
                  <c:v>2553</c:v>
                </c:pt>
                <c:pt idx="128">
                  <c:v>2553</c:v>
                </c:pt>
                <c:pt idx="129">
                  <c:v>2556</c:v>
                </c:pt>
                <c:pt idx="130">
                  <c:v>2556</c:v>
                </c:pt>
                <c:pt idx="131">
                  <c:v>2556</c:v>
                </c:pt>
                <c:pt idx="132">
                  <c:v>2556</c:v>
                </c:pt>
                <c:pt idx="133">
                  <c:v>2556</c:v>
                </c:pt>
                <c:pt idx="134">
                  <c:v>2556</c:v>
                </c:pt>
                <c:pt idx="135">
                  <c:v>2556</c:v>
                </c:pt>
                <c:pt idx="136">
                  <c:v>2556</c:v>
                </c:pt>
                <c:pt idx="137">
                  <c:v>2556</c:v>
                </c:pt>
                <c:pt idx="138">
                  <c:v>2556</c:v>
                </c:pt>
                <c:pt idx="139">
                  <c:v>2556</c:v>
                </c:pt>
                <c:pt idx="140">
                  <c:v>2556</c:v>
                </c:pt>
                <c:pt idx="141">
                  <c:v>2556</c:v>
                </c:pt>
                <c:pt idx="142">
                  <c:v>2556</c:v>
                </c:pt>
                <c:pt idx="143">
                  <c:v>2556</c:v>
                </c:pt>
                <c:pt idx="144">
                  <c:v>2556</c:v>
                </c:pt>
                <c:pt idx="145">
                  <c:v>2556</c:v>
                </c:pt>
                <c:pt idx="146">
                  <c:v>2556</c:v>
                </c:pt>
                <c:pt idx="147">
                  <c:v>2566</c:v>
                </c:pt>
                <c:pt idx="148">
                  <c:v>2578</c:v>
                </c:pt>
                <c:pt idx="149">
                  <c:v>2592</c:v>
                </c:pt>
                <c:pt idx="150">
                  <c:v>2600</c:v>
                </c:pt>
                <c:pt idx="151">
                  <c:v>2600</c:v>
                </c:pt>
                <c:pt idx="152">
                  <c:v>2600</c:v>
                </c:pt>
                <c:pt idx="153">
                  <c:v>2602</c:v>
                </c:pt>
                <c:pt idx="154">
                  <c:v>2604</c:v>
                </c:pt>
                <c:pt idx="155">
                  <c:v>2622</c:v>
                </c:pt>
                <c:pt idx="156">
                  <c:v>2660</c:v>
                </c:pt>
                <c:pt idx="157">
                  <c:v>2664</c:v>
                </c:pt>
                <c:pt idx="158">
                  <c:v>2680</c:v>
                </c:pt>
                <c:pt idx="159">
                  <c:v>2681</c:v>
                </c:pt>
                <c:pt idx="160">
                  <c:v>2700</c:v>
                </c:pt>
                <c:pt idx="161">
                  <c:v>2702</c:v>
                </c:pt>
                <c:pt idx="162">
                  <c:v>2702</c:v>
                </c:pt>
                <c:pt idx="163">
                  <c:v>2702</c:v>
                </c:pt>
                <c:pt idx="164">
                  <c:v>2710</c:v>
                </c:pt>
                <c:pt idx="165">
                  <c:v>2714</c:v>
                </c:pt>
                <c:pt idx="166">
                  <c:v>2724</c:v>
                </c:pt>
                <c:pt idx="167">
                  <c:v>2724</c:v>
                </c:pt>
                <c:pt idx="168">
                  <c:v>2732</c:v>
                </c:pt>
                <c:pt idx="169">
                  <c:v>2732</c:v>
                </c:pt>
                <c:pt idx="170">
                  <c:v>2732</c:v>
                </c:pt>
                <c:pt idx="171">
                  <c:v>2732</c:v>
                </c:pt>
                <c:pt idx="172">
                  <c:v>2732</c:v>
                </c:pt>
                <c:pt idx="173">
                  <c:v>2732</c:v>
                </c:pt>
                <c:pt idx="174">
                  <c:v>2741</c:v>
                </c:pt>
                <c:pt idx="175">
                  <c:v>2742</c:v>
                </c:pt>
                <c:pt idx="176">
                  <c:v>2742</c:v>
                </c:pt>
                <c:pt idx="177">
                  <c:v>2742</c:v>
                </c:pt>
                <c:pt idx="178">
                  <c:v>2742</c:v>
                </c:pt>
                <c:pt idx="179">
                  <c:v>2742</c:v>
                </c:pt>
                <c:pt idx="180">
                  <c:v>2747</c:v>
                </c:pt>
                <c:pt idx="181">
                  <c:v>2750</c:v>
                </c:pt>
                <c:pt idx="182">
                  <c:v>2750</c:v>
                </c:pt>
                <c:pt idx="183">
                  <c:v>2750</c:v>
                </c:pt>
                <c:pt idx="184">
                  <c:v>2750</c:v>
                </c:pt>
                <c:pt idx="185">
                  <c:v>2758</c:v>
                </c:pt>
                <c:pt idx="186">
                  <c:v>2758</c:v>
                </c:pt>
                <c:pt idx="187">
                  <c:v>2764</c:v>
                </c:pt>
                <c:pt idx="188">
                  <c:v>2764</c:v>
                </c:pt>
                <c:pt idx="189">
                  <c:v>2764</c:v>
                </c:pt>
                <c:pt idx="190">
                  <c:v>2785</c:v>
                </c:pt>
                <c:pt idx="191">
                  <c:v>2785</c:v>
                </c:pt>
                <c:pt idx="192">
                  <c:v>2790</c:v>
                </c:pt>
                <c:pt idx="193">
                  <c:v>2790</c:v>
                </c:pt>
                <c:pt idx="194">
                  <c:v>2797</c:v>
                </c:pt>
                <c:pt idx="195">
                  <c:v>2808</c:v>
                </c:pt>
                <c:pt idx="196">
                  <c:v>2808</c:v>
                </c:pt>
                <c:pt idx="197">
                  <c:v>2809</c:v>
                </c:pt>
                <c:pt idx="198">
                  <c:v>2824</c:v>
                </c:pt>
                <c:pt idx="199">
                  <c:v>2824</c:v>
                </c:pt>
                <c:pt idx="200">
                  <c:v>2824</c:v>
                </c:pt>
                <c:pt idx="201">
                  <c:v>2824</c:v>
                </c:pt>
                <c:pt idx="202">
                  <c:v>2824</c:v>
                </c:pt>
                <c:pt idx="203">
                  <c:v>2824</c:v>
                </c:pt>
                <c:pt idx="204">
                  <c:v>2824</c:v>
                </c:pt>
                <c:pt idx="205">
                  <c:v>2824</c:v>
                </c:pt>
                <c:pt idx="206">
                  <c:v>2824</c:v>
                </c:pt>
                <c:pt idx="207">
                  <c:v>2824</c:v>
                </c:pt>
                <c:pt idx="208">
                  <c:v>2824</c:v>
                </c:pt>
                <c:pt idx="209">
                  <c:v>2824</c:v>
                </c:pt>
                <c:pt idx="210">
                  <c:v>2824</c:v>
                </c:pt>
                <c:pt idx="211">
                  <c:v>2824</c:v>
                </c:pt>
                <c:pt idx="212">
                  <c:v>2824</c:v>
                </c:pt>
                <c:pt idx="213">
                  <c:v>2824</c:v>
                </c:pt>
                <c:pt idx="214">
                  <c:v>2824</c:v>
                </c:pt>
                <c:pt idx="215">
                  <c:v>2824</c:v>
                </c:pt>
                <c:pt idx="216">
                  <c:v>2824</c:v>
                </c:pt>
                <c:pt idx="217">
                  <c:v>2824</c:v>
                </c:pt>
                <c:pt idx="218">
                  <c:v>2824</c:v>
                </c:pt>
                <c:pt idx="219">
                  <c:v>2824</c:v>
                </c:pt>
                <c:pt idx="220">
                  <c:v>2824</c:v>
                </c:pt>
                <c:pt idx="221">
                  <c:v>2824</c:v>
                </c:pt>
                <c:pt idx="222">
                  <c:v>2824</c:v>
                </c:pt>
                <c:pt idx="223">
                  <c:v>2824</c:v>
                </c:pt>
                <c:pt idx="224">
                  <c:v>2825</c:v>
                </c:pt>
                <c:pt idx="225">
                  <c:v>2840</c:v>
                </c:pt>
                <c:pt idx="226">
                  <c:v>2872</c:v>
                </c:pt>
                <c:pt idx="227">
                  <c:v>2872</c:v>
                </c:pt>
                <c:pt idx="228">
                  <c:v>2890</c:v>
                </c:pt>
                <c:pt idx="229">
                  <c:v>2900</c:v>
                </c:pt>
                <c:pt idx="230">
                  <c:v>2908</c:v>
                </c:pt>
                <c:pt idx="231">
                  <c:v>2908</c:v>
                </c:pt>
                <c:pt idx="232">
                  <c:v>2932</c:v>
                </c:pt>
                <c:pt idx="233">
                  <c:v>2959</c:v>
                </c:pt>
                <c:pt idx="234">
                  <c:v>2986</c:v>
                </c:pt>
                <c:pt idx="235">
                  <c:v>3005</c:v>
                </c:pt>
                <c:pt idx="236">
                  <c:v>3005</c:v>
                </c:pt>
                <c:pt idx="237">
                  <c:v>3005</c:v>
                </c:pt>
                <c:pt idx="238">
                  <c:v>3005</c:v>
                </c:pt>
                <c:pt idx="239">
                  <c:v>3005</c:v>
                </c:pt>
                <c:pt idx="240">
                  <c:v>3029</c:v>
                </c:pt>
                <c:pt idx="241">
                  <c:v>3032</c:v>
                </c:pt>
                <c:pt idx="242">
                  <c:v>3091</c:v>
                </c:pt>
                <c:pt idx="243">
                  <c:v>3091</c:v>
                </c:pt>
                <c:pt idx="244">
                  <c:v>3091</c:v>
                </c:pt>
                <c:pt idx="245">
                  <c:v>3091</c:v>
                </c:pt>
                <c:pt idx="246">
                  <c:v>3091</c:v>
                </c:pt>
                <c:pt idx="247">
                  <c:v>3100</c:v>
                </c:pt>
                <c:pt idx="248">
                  <c:v>3100</c:v>
                </c:pt>
                <c:pt idx="249">
                  <c:v>3100</c:v>
                </c:pt>
                <c:pt idx="250">
                  <c:v>3100</c:v>
                </c:pt>
                <c:pt idx="251">
                  <c:v>3108</c:v>
                </c:pt>
                <c:pt idx="252">
                  <c:v>3237</c:v>
                </c:pt>
                <c:pt idx="253">
                  <c:v>3237</c:v>
                </c:pt>
                <c:pt idx="254">
                  <c:v>3237</c:v>
                </c:pt>
                <c:pt idx="255">
                  <c:v>3237</c:v>
                </c:pt>
                <c:pt idx="256">
                  <c:v>3237</c:v>
                </c:pt>
                <c:pt idx="257">
                  <c:v>3300</c:v>
                </c:pt>
                <c:pt idx="258">
                  <c:v>3300</c:v>
                </c:pt>
                <c:pt idx="259">
                  <c:v>3388</c:v>
                </c:pt>
                <c:pt idx="260">
                  <c:v>3398</c:v>
                </c:pt>
                <c:pt idx="261">
                  <c:v>3398</c:v>
                </c:pt>
                <c:pt idx="262">
                  <c:v>3398</c:v>
                </c:pt>
                <c:pt idx="263">
                  <c:v>3400</c:v>
                </c:pt>
                <c:pt idx="264">
                  <c:v>3400</c:v>
                </c:pt>
                <c:pt idx="265">
                  <c:v>3400</c:v>
                </c:pt>
                <c:pt idx="266">
                  <c:v>3400</c:v>
                </c:pt>
                <c:pt idx="267">
                  <c:v>3414</c:v>
                </c:pt>
                <c:pt idx="268">
                  <c:v>3424</c:v>
                </c:pt>
                <c:pt idx="269">
                  <c:v>3424</c:v>
                </c:pt>
                <c:pt idx="270">
                  <c:v>3424</c:v>
                </c:pt>
                <c:pt idx="271">
                  <c:v>3424</c:v>
                </c:pt>
                <c:pt idx="272">
                  <c:v>3426</c:v>
                </c:pt>
                <c:pt idx="273">
                  <c:v>3426</c:v>
                </c:pt>
                <c:pt idx="274">
                  <c:v>3429</c:v>
                </c:pt>
                <c:pt idx="275">
                  <c:v>3429</c:v>
                </c:pt>
                <c:pt idx="276">
                  <c:v>3429</c:v>
                </c:pt>
                <c:pt idx="277">
                  <c:v>3429</c:v>
                </c:pt>
                <c:pt idx="278">
                  <c:v>3430</c:v>
                </c:pt>
                <c:pt idx="279">
                  <c:v>3430</c:v>
                </c:pt>
                <c:pt idx="280">
                  <c:v>3430</c:v>
                </c:pt>
                <c:pt idx="281">
                  <c:v>3430</c:v>
                </c:pt>
                <c:pt idx="282">
                  <c:v>3469</c:v>
                </c:pt>
                <c:pt idx="283">
                  <c:v>3469</c:v>
                </c:pt>
                <c:pt idx="284">
                  <c:v>3500</c:v>
                </c:pt>
                <c:pt idx="285">
                  <c:v>3500</c:v>
                </c:pt>
                <c:pt idx="286">
                  <c:v>3510</c:v>
                </c:pt>
                <c:pt idx="287">
                  <c:v>3534</c:v>
                </c:pt>
                <c:pt idx="288">
                  <c:v>3534</c:v>
                </c:pt>
                <c:pt idx="289">
                  <c:v>3534</c:v>
                </c:pt>
                <c:pt idx="290">
                  <c:v>3534</c:v>
                </c:pt>
                <c:pt idx="291">
                  <c:v>3534</c:v>
                </c:pt>
                <c:pt idx="292">
                  <c:v>3534</c:v>
                </c:pt>
                <c:pt idx="293">
                  <c:v>3534</c:v>
                </c:pt>
                <c:pt idx="294">
                  <c:v>3534</c:v>
                </c:pt>
                <c:pt idx="295">
                  <c:v>3534</c:v>
                </c:pt>
                <c:pt idx="296">
                  <c:v>3534</c:v>
                </c:pt>
                <c:pt idx="297">
                  <c:v>3586</c:v>
                </c:pt>
                <c:pt idx="298">
                  <c:v>3586</c:v>
                </c:pt>
                <c:pt idx="299">
                  <c:v>3586</c:v>
                </c:pt>
                <c:pt idx="300">
                  <c:v>3600</c:v>
                </c:pt>
                <c:pt idx="301">
                  <c:v>3606</c:v>
                </c:pt>
                <c:pt idx="302">
                  <c:v>3607</c:v>
                </c:pt>
                <c:pt idx="303">
                  <c:v>3630</c:v>
                </c:pt>
                <c:pt idx="304">
                  <c:v>3630</c:v>
                </c:pt>
                <c:pt idx="305">
                  <c:v>3635</c:v>
                </c:pt>
                <c:pt idx="306">
                  <c:v>3635</c:v>
                </c:pt>
                <c:pt idx="307">
                  <c:v>3646</c:v>
                </c:pt>
                <c:pt idx="308">
                  <c:v>3646</c:v>
                </c:pt>
                <c:pt idx="309">
                  <c:v>3649</c:v>
                </c:pt>
                <c:pt idx="310">
                  <c:v>3660</c:v>
                </c:pt>
                <c:pt idx="311">
                  <c:v>3700</c:v>
                </c:pt>
                <c:pt idx="312">
                  <c:v>3700</c:v>
                </c:pt>
                <c:pt idx="313">
                  <c:v>3700</c:v>
                </c:pt>
                <c:pt idx="314">
                  <c:v>3739</c:v>
                </c:pt>
                <c:pt idx="315">
                  <c:v>3739</c:v>
                </c:pt>
                <c:pt idx="316">
                  <c:v>3739</c:v>
                </c:pt>
                <c:pt idx="317">
                  <c:v>3739</c:v>
                </c:pt>
                <c:pt idx="318">
                  <c:v>3753</c:v>
                </c:pt>
                <c:pt idx="319">
                  <c:v>3800</c:v>
                </c:pt>
                <c:pt idx="320">
                  <c:v>3800</c:v>
                </c:pt>
                <c:pt idx="321">
                  <c:v>3800</c:v>
                </c:pt>
                <c:pt idx="322">
                  <c:v>3802</c:v>
                </c:pt>
                <c:pt idx="323">
                  <c:v>3802</c:v>
                </c:pt>
                <c:pt idx="324">
                  <c:v>3802</c:v>
                </c:pt>
                <c:pt idx="325">
                  <c:v>3802</c:v>
                </c:pt>
                <c:pt idx="326">
                  <c:v>3808</c:v>
                </c:pt>
                <c:pt idx="327">
                  <c:v>3842</c:v>
                </c:pt>
                <c:pt idx="328">
                  <c:v>3853</c:v>
                </c:pt>
                <c:pt idx="329">
                  <c:v>3853</c:v>
                </c:pt>
                <c:pt idx="330">
                  <c:v>3853</c:v>
                </c:pt>
                <c:pt idx="331">
                  <c:v>3868</c:v>
                </c:pt>
                <c:pt idx="332">
                  <c:v>3868</c:v>
                </c:pt>
                <c:pt idx="333">
                  <c:v>3884</c:v>
                </c:pt>
                <c:pt idx="334">
                  <c:v>3884</c:v>
                </c:pt>
                <c:pt idx="335">
                  <c:v>3884</c:v>
                </c:pt>
                <c:pt idx="336">
                  <c:v>3884</c:v>
                </c:pt>
                <c:pt idx="337">
                  <c:v>3937</c:v>
                </c:pt>
                <c:pt idx="338">
                  <c:v>3937</c:v>
                </c:pt>
                <c:pt idx="339">
                  <c:v>3961</c:v>
                </c:pt>
                <c:pt idx="340">
                  <c:v>3963</c:v>
                </c:pt>
                <c:pt idx="341">
                  <c:v>3963</c:v>
                </c:pt>
                <c:pt idx="342">
                  <c:v>4000</c:v>
                </c:pt>
                <c:pt idx="343">
                  <c:v>4000</c:v>
                </c:pt>
                <c:pt idx="344">
                  <c:v>4024</c:v>
                </c:pt>
                <c:pt idx="345">
                  <c:v>4038</c:v>
                </c:pt>
                <c:pt idx="346">
                  <c:v>4038</c:v>
                </c:pt>
                <c:pt idx="347">
                  <c:v>4043</c:v>
                </c:pt>
                <c:pt idx="348">
                  <c:v>4043</c:v>
                </c:pt>
                <c:pt idx="349">
                  <c:v>4045</c:v>
                </c:pt>
                <c:pt idx="350">
                  <c:v>4045</c:v>
                </c:pt>
                <c:pt idx="351">
                  <c:v>4045</c:v>
                </c:pt>
                <c:pt idx="352">
                  <c:v>4045</c:v>
                </c:pt>
                <c:pt idx="353">
                  <c:v>4050</c:v>
                </c:pt>
                <c:pt idx="354">
                  <c:v>4056</c:v>
                </c:pt>
                <c:pt idx="355">
                  <c:v>4112</c:v>
                </c:pt>
                <c:pt idx="356">
                  <c:v>4112</c:v>
                </c:pt>
                <c:pt idx="357">
                  <c:v>4112</c:v>
                </c:pt>
                <c:pt idx="358">
                  <c:v>4112</c:v>
                </c:pt>
                <c:pt idx="359">
                  <c:v>4112</c:v>
                </c:pt>
                <c:pt idx="360">
                  <c:v>4115</c:v>
                </c:pt>
                <c:pt idx="361">
                  <c:v>4115</c:v>
                </c:pt>
                <c:pt idx="362">
                  <c:v>4115</c:v>
                </c:pt>
                <c:pt idx="363">
                  <c:v>4132</c:v>
                </c:pt>
                <c:pt idx="364">
                  <c:v>4132</c:v>
                </c:pt>
                <c:pt idx="365">
                  <c:v>4132</c:v>
                </c:pt>
                <c:pt idx="366">
                  <c:v>4132</c:v>
                </c:pt>
                <c:pt idx="367">
                  <c:v>4154</c:v>
                </c:pt>
                <c:pt idx="368">
                  <c:v>4158</c:v>
                </c:pt>
                <c:pt idx="369">
                  <c:v>4173</c:v>
                </c:pt>
                <c:pt idx="370">
                  <c:v>4178</c:v>
                </c:pt>
                <c:pt idx="371">
                  <c:v>4196</c:v>
                </c:pt>
                <c:pt idx="372">
                  <c:v>4248</c:v>
                </c:pt>
                <c:pt idx="373">
                  <c:v>4248</c:v>
                </c:pt>
                <c:pt idx="374">
                  <c:v>4248</c:v>
                </c:pt>
                <c:pt idx="375">
                  <c:v>4250</c:v>
                </c:pt>
                <c:pt idx="376">
                  <c:v>4250</c:v>
                </c:pt>
                <c:pt idx="377">
                  <c:v>4250</c:v>
                </c:pt>
                <c:pt idx="378">
                  <c:v>4250</c:v>
                </c:pt>
                <c:pt idx="379">
                  <c:v>4250</c:v>
                </c:pt>
                <c:pt idx="380">
                  <c:v>4250</c:v>
                </c:pt>
                <c:pt idx="381">
                  <c:v>4250</c:v>
                </c:pt>
                <c:pt idx="382">
                  <c:v>4250</c:v>
                </c:pt>
                <c:pt idx="383">
                  <c:v>4250</c:v>
                </c:pt>
                <c:pt idx="384">
                  <c:v>4250</c:v>
                </c:pt>
                <c:pt idx="385">
                  <c:v>4250</c:v>
                </c:pt>
                <c:pt idx="386">
                  <c:v>4250</c:v>
                </c:pt>
                <c:pt idx="387">
                  <c:v>4250</c:v>
                </c:pt>
                <c:pt idx="388">
                  <c:v>4250</c:v>
                </c:pt>
                <c:pt idx="389">
                  <c:v>4250</c:v>
                </c:pt>
                <c:pt idx="390">
                  <c:v>4250</c:v>
                </c:pt>
                <c:pt idx="391">
                  <c:v>4250</c:v>
                </c:pt>
                <c:pt idx="392">
                  <c:v>4250</c:v>
                </c:pt>
                <c:pt idx="393">
                  <c:v>4250</c:v>
                </c:pt>
                <c:pt idx="394">
                  <c:v>4250</c:v>
                </c:pt>
                <c:pt idx="395">
                  <c:v>4250</c:v>
                </c:pt>
                <c:pt idx="396">
                  <c:v>4250</c:v>
                </c:pt>
                <c:pt idx="397">
                  <c:v>4250</c:v>
                </c:pt>
                <c:pt idx="398">
                  <c:v>4250</c:v>
                </c:pt>
                <c:pt idx="399">
                  <c:v>4250</c:v>
                </c:pt>
                <c:pt idx="400">
                  <c:v>4250</c:v>
                </c:pt>
                <c:pt idx="401">
                  <c:v>4250</c:v>
                </c:pt>
                <c:pt idx="402">
                  <c:v>4250</c:v>
                </c:pt>
                <c:pt idx="403">
                  <c:v>4250</c:v>
                </c:pt>
                <c:pt idx="404">
                  <c:v>4250</c:v>
                </c:pt>
                <c:pt idx="405">
                  <c:v>4250</c:v>
                </c:pt>
                <c:pt idx="406">
                  <c:v>4252</c:v>
                </c:pt>
                <c:pt idx="407">
                  <c:v>4252</c:v>
                </c:pt>
                <c:pt idx="408">
                  <c:v>4252</c:v>
                </c:pt>
                <c:pt idx="409">
                  <c:v>4252</c:v>
                </c:pt>
                <c:pt idx="410">
                  <c:v>4253</c:v>
                </c:pt>
                <c:pt idx="411">
                  <c:v>4253</c:v>
                </c:pt>
                <c:pt idx="412">
                  <c:v>4253</c:v>
                </c:pt>
                <c:pt idx="413">
                  <c:v>4253</c:v>
                </c:pt>
                <c:pt idx="414">
                  <c:v>4253</c:v>
                </c:pt>
                <c:pt idx="415">
                  <c:v>4253</c:v>
                </c:pt>
                <c:pt idx="416">
                  <c:v>4253</c:v>
                </c:pt>
                <c:pt idx="417">
                  <c:v>4253</c:v>
                </c:pt>
                <c:pt idx="418">
                  <c:v>4253</c:v>
                </c:pt>
                <c:pt idx="419">
                  <c:v>4253</c:v>
                </c:pt>
                <c:pt idx="420">
                  <c:v>4253</c:v>
                </c:pt>
                <c:pt idx="421">
                  <c:v>4253</c:v>
                </c:pt>
                <c:pt idx="422">
                  <c:v>4253</c:v>
                </c:pt>
                <c:pt idx="423">
                  <c:v>4253</c:v>
                </c:pt>
                <c:pt idx="424">
                  <c:v>4253</c:v>
                </c:pt>
                <c:pt idx="425">
                  <c:v>4253</c:v>
                </c:pt>
                <c:pt idx="426">
                  <c:v>4254</c:v>
                </c:pt>
                <c:pt idx="427">
                  <c:v>4254</c:v>
                </c:pt>
                <c:pt idx="428">
                  <c:v>4254</c:v>
                </c:pt>
                <c:pt idx="429">
                  <c:v>4254</c:v>
                </c:pt>
                <c:pt idx="430">
                  <c:v>4254</c:v>
                </c:pt>
                <c:pt idx="431">
                  <c:v>4255</c:v>
                </c:pt>
                <c:pt idx="432">
                  <c:v>4255</c:v>
                </c:pt>
                <c:pt idx="433">
                  <c:v>4255</c:v>
                </c:pt>
                <c:pt idx="434">
                  <c:v>4255</c:v>
                </c:pt>
                <c:pt idx="435">
                  <c:v>4256</c:v>
                </c:pt>
                <c:pt idx="436">
                  <c:v>4292</c:v>
                </c:pt>
                <c:pt idx="437">
                  <c:v>4292</c:v>
                </c:pt>
                <c:pt idx="438">
                  <c:v>4294</c:v>
                </c:pt>
                <c:pt idx="439">
                  <c:v>4298</c:v>
                </c:pt>
                <c:pt idx="440">
                  <c:v>4298</c:v>
                </c:pt>
                <c:pt idx="441">
                  <c:v>4298</c:v>
                </c:pt>
                <c:pt idx="442">
                  <c:v>4300</c:v>
                </c:pt>
                <c:pt idx="443">
                  <c:v>4300</c:v>
                </c:pt>
                <c:pt idx="444">
                  <c:v>4300</c:v>
                </c:pt>
                <c:pt idx="445">
                  <c:v>4300</c:v>
                </c:pt>
                <c:pt idx="446">
                  <c:v>4300</c:v>
                </c:pt>
                <c:pt idx="447">
                  <c:v>4300</c:v>
                </c:pt>
                <c:pt idx="448">
                  <c:v>4300</c:v>
                </c:pt>
                <c:pt idx="449">
                  <c:v>4308</c:v>
                </c:pt>
                <c:pt idx="450">
                  <c:v>4308</c:v>
                </c:pt>
                <c:pt idx="451">
                  <c:v>4315</c:v>
                </c:pt>
                <c:pt idx="452">
                  <c:v>4319</c:v>
                </c:pt>
                <c:pt idx="453">
                  <c:v>4319</c:v>
                </c:pt>
                <c:pt idx="454">
                  <c:v>4322</c:v>
                </c:pt>
                <c:pt idx="455">
                  <c:v>4330</c:v>
                </c:pt>
                <c:pt idx="456">
                  <c:v>4350</c:v>
                </c:pt>
                <c:pt idx="457">
                  <c:v>4360</c:v>
                </c:pt>
                <c:pt idx="458">
                  <c:v>4360</c:v>
                </c:pt>
                <c:pt idx="459">
                  <c:v>4367</c:v>
                </c:pt>
                <c:pt idx="460">
                  <c:v>4380</c:v>
                </c:pt>
                <c:pt idx="461">
                  <c:v>4389</c:v>
                </c:pt>
                <c:pt idx="462">
                  <c:v>4389</c:v>
                </c:pt>
                <c:pt idx="463">
                  <c:v>4400</c:v>
                </c:pt>
                <c:pt idx="464">
                  <c:v>4400</c:v>
                </c:pt>
                <c:pt idx="465">
                  <c:v>4400</c:v>
                </c:pt>
                <c:pt idx="466">
                  <c:v>4400</c:v>
                </c:pt>
                <c:pt idx="467">
                  <c:v>4400</c:v>
                </c:pt>
                <c:pt idx="468">
                  <c:v>4400</c:v>
                </c:pt>
                <c:pt idx="469">
                  <c:v>4400</c:v>
                </c:pt>
                <c:pt idx="470">
                  <c:v>4402</c:v>
                </c:pt>
                <c:pt idx="471">
                  <c:v>4402</c:v>
                </c:pt>
                <c:pt idx="472">
                  <c:v>4402</c:v>
                </c:pt>
                <c:pt idx="473">
                  <c:v>4409</c:v>
                </c:pt>
                <c:pt idx="474">
                  <c:v>4437</c:v>
                </c:pt>
                <c:pt idx="475">
                  <c:v>4437</c:v>
                </c:pt>
                <c:pt idx="476">
                  <c:v>4437</c:v>
                </c:pt>
                <c:pt idx="477">
                  <c:v>4437</c:v>
                </c:pt>
                <c:pt idx="478">
                  <c:v>4437</c:v>
                </c:pt>
                <c:pt idx="479">
                  <c:v>4444</c:v>
                </c:pt>
                <c:pt idx="480">
                  <c:v>4469</c:v>
                </c:pt>
                <c:pt idx="481">
                  <c:v>4492</c:v>
                </c:pt>
                <c:pt idx="482">
                  <c:v>4500</c:v>
                </c:pt>
                <c:pt idx="483">
                  <c:v>4500</c:v>
                </c:pt>
                <c:pt idx="484">
                  <c:v>4504</c:v>
                </c:pt>
                <c:pt idx="485">
                  <c:v>4507</c:v>
                </c:pt>
                <c:pt idx="486">
                  <c:v>4507</c:v>
                </c:pt>
                <c:pt idx="487">
                  <c:v>4520</c:v>
                </c:pt>
                <c:pt idx="488">
                  <c:v>4520</c:v>
                </c:pt>
                <c:pt idx="489">
                  <c:v>4520</c:v>
                </c:pt>
                <c:pt idx="490">
                  <c:v>4520</c:v>
                </c:pt>
                <c:pt idx="491">
                  <c:v>4544</c:v>
                </c:pt>
                <c:pt idx="492">
                  <c:v>4545</c:v>
                </c:pt>
                <c:pt idx="493">
                  <c:v>4545</c:v>
                </c:pt>
                <c:pt idx="494">
                  <c:v>4546</c:v>
                </c:pt>
                <c:pt idx="495">
                  <c:v>4571</c:v>
                </c:pt>
                <c:pt idx="496">
                  <c:v>4571</c:v>
                </c:pt>
                <c:pt idx="497">
                  <c:v>4578</c:v>
                </c:pt>
                <c:pt idx="498">
                  <c:v>4578</c:v>
                </c:pt>
                <c:pt idx="499">
                  <c:v>4578</c:v>
                </c:pt>
                <c:pt idx="500">
                  <c:v>4600</c:v>
                </c:pt>
                <c:pt idx="501">
                  <c:v>4600</c:v>
                </c:pt>
                <c:pt idx="502">
                  <c:v>4612</c:v>
                </c:pt>
                <c:pt idx="503">
                  <c:v>4612</c:v>
                </c:pt>
                <c:pt idx="504">
                  <c:v>4616</c:v>
                </c:pt>
                <c:pt idx="505">
                  <c:v>4639</c:v>
                </c:pt>
                <c:pt idx="506">
                  <c:v>4639</c:v>
                </c:pt>
                <c:pt idx="507">
                  <c:v>4639</c:v>
                </c:pt>
                <c:pt idx="508">
                  <c:v>4651</c:v>
                </c:pt>
                <c:pt idx="509">
                  <c:v>4658</c:v>
                </c:pt>
                <c:pt idx="510">
                  <c:v>4662</c:v>
                </c:pt>
                <c:pt idx="511">
                  <c:v>4662</c:v>
                </c:pt>
                <c:pt idx="512">
                  <c:v>4662</c:v>
                </c:pt>
                <c:pt idx="513">
                  <c:v>4662</c:v>
                </c:pt>
                <c:pt idx="514">
                  <c:v>4700</c:v>
                </c:pt>
                <c:pt idx="515">
                  <c:v>4700</c:v>
                </c:pt>
                <c:pt idx="516">
                  <c:v>4700</c:v>
                </c:pt>
                <c:pt idx="517">
                  <c:v>4706</c:v>
                </c:pt>
                <c:pt idx="518">
                  <c:v>4728</c:v>
                </c:pt>
                <c:pt idx="519">
                  <c:v>4728</c:v>
                </c:pt>
                <c:pt idx="520">
                  <c:v>4738</c:v>
                </c:pt>
                <c:pt idx="521">
                  <c:v>4738</c:v>
                </c:pt>
                <c:pt idx="522">
                  <c:v>4738</c:v>
                </c:pt>
                <c:pt idx="523">
                  <c:v>4738</c:v>
                </c:pt>
                <c:pt idx="524">
                  <c:v>4743</c:v>
                </c:pt>
                <c:pt idx="525">
                  <c:v>4803</c:v>
                </c:pt>
                <c:pt idx="526">
                  <c:v>4814</c:v>
                </c:pt>
                <c:pt idx="527">
                  <c:v>4839</c:v>
                </c:pt>
                <c:pt idx="528">
                  <c:v>4839</c:v>
                </c:pt>
                <c:pt idx="529">
                  <c:v>4843</c:v>
                </c:pt>
                <c:pt idx="530">
                  <c:v>4846</c:v>
                </c:pt>
                <c:pt idx="531">
                  <c:v>4860</c:v>
                </c:pt>
                <c:pt idx="532">
                  <c:v>4860</c:v>
                </c:pt>
                <c:pt idx="533">
                  <c:v>4860</c:v>
                </c:pt>
                <c:pt idx="534">
                  <c:v>4860</c:v>
                </c:pt>
                <c:pt idx="535">
                  <c:v>4860</c:v>
                </c:pt>
                <c:pt idx="536">
                  <c:v>4860</c:v>
                </c:pt>
                <c:pt idx="537">
                  <c:v>4870</c:v>
                </c:pt>
                <c:pt idx="538">
                  <c:v>4872</c:v>
                </c:pt>
                <c:pt idx="539">
                  <c:v>4872</c:v>
                </c:pt>
                <c:pt idx="540">
                  <c:v>4884</c:v>
                </c:pt>
                <c:pt idx="541">
                  <c:v>4888</c:v>
                </c:pt>
                <c:pt idx="542">
                  <c:v>4888</c:v>
                </c:pt>
                <c:pt idx="543">
                  <c:v>4888</c:v>
                </c:pt>
                <c:pt idx="544">
                  <c:v>4888</c:v>
                </c:pt>
                <c:pt idx="545">
                  <c:v>4888</c:v>
                </c:pt>
                <c:pt idx="546">
                  <c:v>4888</c:v>
                </c:pt>
                <c:pt idx="547">
                  <c:v>4888</c:v>
                </c:pt>
                <c:pt idx="548">
                  <c:v>4888</c:v>
                </c:pt>
                <c:pt idx="549">
                  <c:v>4888</c:v>
                </c:pt>
                <c:pt idx="550">
                  <c:v>4888</c:v>
                </c:pt>
                <c:pt idx="551">
                  <c:v>4890</c:v>
                </c:pt>
                <c:pt idx="552">
                  <c:v>4890</c:v>
                </c:pt>
                <c:pt idx="553">
                  <c:v>4890</c:v>
                </c:pt>
                <c:pt idx="554">
                  <c:v>4890</c:v>
                </c:pt>
                <c:pt idx="555">
                  <c:v>4890</c:v>
                </c:pt>
                <c:pt idx="556">
                  <c:v>4900</c:v>
                </c:pt>
                <c:pt idx="557">
                  <c:v>4922</c:v>
                </c:pt>
                <c:pt idx="558">
                  <c:v>4922</c:v>
                </c:pt>
                <c:pt idx="559">
                  <c:v>4943</c:v>
                </c:pt>
                <c:pt idx="560">
                  <c:v>4944</c:v>
                </c:pt>
                <c:pt idx="561">
                  <c:v>4953</c:v>
                </c:pt>
                <c:pt idx="562">
                  <c:v>4953</c:v>
                </c:pt>
                <c:pt idx="563">
                  <c:v>4975</c:v>
                </c:pt>
                <c:pt idx="564">
                  <c:v>5015</c:v>
                </c:pt>
                <c:pt idx="565">
                  <c:v>5018</c:v>
                </c:pt>
                <c:pt idx="566">
                  <c:v>5018</c:v>
                </c:pt>
                <c:pt idx="567">
                  <c:v>5023</c:v>
                </c:pt>
                <c:pt idx="568">
                  <c:v>5029</c:v>
                </c:pt>
                <c:pt idx="569">
                  <c:v>5040</c:v>
                </c:pt>
                <c:pt idx="570">
                  <c:v>5041</c:v>
                </c:pt>
                <c:pt idx="571">
                  <c:v>5041</c:v>
                </c:pt>
                <c:pt idx="572">
                  <c:v>5041</c:v>
                </c:pt>
                <c:pt idx="573">
                  <c:v>5041</c:v>
                </c:pt>
                <c:pt idx="574">
                  <c:v>5042</c:v>
                </c:pt>
                <c:pt idx="575">
                  <c:v>5042</c:v>
                </c:pt>
                <c:pt idx="576">
                  <c:v>5042</c:v>
                </c:pt>
                <c:pt idx="577">
                  <c:v>5050</c:v>
                </c:pt>
                <c:pt idx="578">
                  <c:v>5050</c:v>
                </c:pt>
                <c:pt idx="579">
                  <c:v>5050</c:v>
                </c:pt>
                <c:pt idx="580">
                  <c:v>5050</c:v>
                </c:pt>
                <c:pt idx="581">
                  <c:v>5059</c:v>
                </c:pt>
                <c:pt idx="582">
                  <c:v>5059</c:v>
                </c:pt>
                <c:pt idx="583">
                  <c:v>5059</c:v>
                </c:pt>
                <c:pt idx="584">
                  <c:v>5059</c:v>
                </c:pt>
                <c:pt idx="585">
                  <c:v>5060</c:v>
                </c:pt>
                <c:pt idx="586">
                  <c:v>5060</c:v>
                </c:pt>
                <c:pt idx="587">
                  <c:v>5060</c:v>
                </c:pt>
                <c:pt idx="588">
                  <c:v>5060</c:v>
                </c:pt>
                <c:pt idx="589">
                  <c:v>5078</c:v>
                </c:pt>
                <c:pt idx="590">
                  <c:v>5086</c:v>
                </c:pt>
                <c:pt idx="591">
                  <c:v>5086</c:v>
                </c:pt>
                <c:pt idx="592">
                  <c:v>5089</c:v>
                </c:pt>
                <c:pt idx="593">
                  <c:v>5100</c:v>
                </c:pt>
                <c:pt idx="594">
                  <c:v>5100</c:v>
                </c:pt>
                <c:pt idx="595">
                  <c:v>5294</c:v>
                </c:pt>
                <c:pt idx="596">
                  <c:v>5294</c:v>
                </c:pt>
                <c:pt idx="597">
                  <c:v>5303</c:v>
                </c:pt>
                <c:pt idx="598">
                  <c:v>5303</c:v>
                </c:pt>
                <c:pt idx="599">
                  <c:v>5344</c:v>
                </c:pt>
                <c:pt idx="600">
                  <c:v>5344</c:v>
                </c:pt>
                <c:pt idx="601">
                  <c:v>5364</c:v>
                </c:pt>
                <c:pt idx="602">
                  <c:v>5418</c:v>
                </c:pt>
                <c:pt idx="603">
                  <c:v>5466</c:v>
                </c:pt>
                <c:pt idx="604">
                  <c:v>5468</c:v>
                </c:pt>
                <c:pt idx="605">
                  <c:v>5510</c:v>
                </c:pt>
                <c:pt idx="606">
                  <c:v>5512</c:v>
                </c:pt>
                <c:pt idx="607">
                  <c:v>5512</c:v>
                </c:pt>
                <c:pt idx="608">
                  <c:v>5514</c:v>
                </c:pt>
                <c:pt idx="609">
                  <c:v>5527</c:v>
                </c:pt>
                <c:pt idx="610">
                  <c:v>5527</c:v>
                </c:pt>
                <c:pt idx="611">
                  <c:v>5527</c:v>
                </c:pt>
                <c:pt idx="612">
                  <c:v>5527</c:v>
                </c:pt>
                <c:pt idx="613">
                  <c:v>5527</c:v>
                </c:pt>
                <c:pt idx="614">
                  <c:v>5527</c:v>
                </c:pt>
                <c:pt idx="615">
                  <c:v>5527</c:v>
                </c:pt>
                <c:pt idx="616">
                  <c:v>5550</c:v>
                </c:pt>
                <c:pt idx="617">
                  <c:v>5550</c:v>
                </c:pt>
                <c:pt idx="618">
                  <c:v>5550</c:v>
                </c:pt>
                <c:pt idx="619">
                  <c:v>5550</c:v>
                </c:pt>
                <c:pt idx="620">
                  <c:v>5550</c:v>
                </c:pt>
                <c:pt idx="621">
                  <c:v>5551</c:v>
                </c:pt>
                <c:pt idx="622">
                  <c:v>5551</c:v>
                </c:pt>
                <c:pt idx="623">
                  <c:v>5551</c:v>
                </c:pt>
                <c:pt idx="624">
                  <c:v>5551</c:v>
                </c:pt>
                <c:pt idx="625">
                  <c:v>5551</c:v>
                </c:pt>
                <c:pt idx="626">
                  <c:v>5551</c:v>
                </c:pt>
                <c:pt idx="627">
                  <c:v>5552</c:v>
                </c:pt>
                <c:pt idx="628">
                  <c:v>5552</c:v>
                </c:pt>
                <c:pt idx="629">
                  <c:v>5552</c:v>
                </c:pt>
                <c:pt idx="630">
                  <c:v>5552</c:v>
                </c:pt>
                <c:pt idx="631">
                  <c:v>5560</c:v>
                </c:pt>
                <c:pt idx="632">
                  <c:v>5568</c:v>
                </c:pt>
                <c:pt idx="633">
                  <c:v>5568</c:v>
                </c:pt>
                <c:pt idx="634">
                  <c:v>5572</c:v>
                </c:pt>
                <c:pt idx="635">
                  <c:v>5576</c:v>
                </c:pt>
                <c:pt idx="636">
                  <c:v>5576</c:v>
                </c:pt>
                <c:pt idx="637">
                  <c:v>5576</c:v>
                </c:pt>
                <c:pt idx="638">
                  <c:v>5576</c:v>
                </c:pt>
                <c:pt idx="639">
                  <c:v>5599</c:v>
                </c:pt>
                <c:pt idx="640">
                  <c:v>5605</c:v>
                </c:pt>
                <c:pt idx="641">
                  <c:v>5605</c:v>
                </c:pt>
                <c:pt idx="642">
                  <c:v>5605</c:v>
                </c:pt>
                <c:pt idx="643">
                  <c:v>5605</c:v>
                </c:pt>
                <c:pt idx="644">
                  <c:v>5606</c:v>
                </c:pt>
                <c:pt idx="645">
                  <c:v>5606</c:v>
                </c:pt>
                <c:pt idx="646">
                  <c:v>5606</c:v>
                </c:pt>
                <c:pt idx="647">
                  <c:v>5610</c:v>
                </c:pt>
                <c:pt idx="648">
                  <c:v>5618</c:v>
                </c:pt>
                <c:pt idx="649">
                  <c:v>5618</c:v>
                </c:pt>
                <c:pt idx="650">
                  <c:v>5618</c:v>
                </c:pt>
                <c:pt idx="651">
                  <c:v>5624</c:v>
                </c:pt>
                <c:pt idx="652">
                  <c:v>5648</c:v>
                </c:pt>
                <c:pt idx="653">
                  <c:v>5652</c:v>
                </c:pt>
                <c:pt idx="654">
                  <c:v>5652</c:v>
                </c:pt>
                <c:pt idx="655">
                  <c:v>5652</c:v>
                </c:pt>
                <c:pt idx="656">
                  <c:v>5668</c:v>
                </c:pt>
                <c:pt idx="657">
                  <c:v>5668</c:v>
                </c:pt>
                <c:pt idx="658">
                  <c:v>5668</c:v>
                </c:pt>
                <c:pt idx="659">
                  <c:v>5668</c:v>
                </c:pt>
                <c:pt idx="660">
                  <c:v>5680</c:v>
                </c:pt>
                <c:pt idx="661">
                  <c:v>5711</c:v>
                </c:pt>
                <c:pt idx="662">
                  <c:v>5711</c:v>
                </c:pt>
                <c:pt idx="663">
                  <c:v>5711</c:v>
                </c:pt>
                <c:pt idx="664">
                  <c:v>5714</c:v>
                </c:pt>
                <c:pt idx="665">
                  <c:v>5714</c:v>
                </c:pt>
                <c:pt idx="666">
                  <c:v>5752</c:v>
                </c:pt>
                <c:pt idx="667">
                  <c:v>5762</c:v>
                </c:pt>
                <c:pt idx="668">
                  <c:v>5762</c:v>
                </c:pt>
                <c:pt idx="669">
                  <c:v>5762</c:v>
                </c:pt>
                <c:pt idx="670">
                  <c:v>5762</c:v>
                </c:pt>
                <c:pt idx="671">
                  <c:v>5762</c:v>
                </c:pt>
                <c:pt idx="672">
                  <c:v>5762</c:v>
                </c:pt>
                <c:pt idx="673">
                  <c:v>5762</c:v>
                </c:pt>
                <c:pt idx="674">
                  <c:v>5762</c:v>
                </c:pt>
                <c:pt idx="675">
                  <c:v>5762</c:v>
                </c:pt>
                <c:pt idx="676">
                  <c:v>5762</c:v>
                </c:pt>
                <c:pt idx="677">
                  <c:v>5762</c:v>
                </c:pt>
                <c:pt idx="678">
                  <c:v>5762</c:v>
                </c:pt>
                <c:pt idx="679">
                  <c:v>5762</c:v>
                </c:pt>
                <c:pt idx="680">
                  <c:v>5770</c:v>
                </c:pt>
                <c:pt idx="681">
                  <c:v>5782</c:v>
                </c:pt>
                <c:pt idx="682">
                  <c:v>5782</c:v>
                </c:pt>
                <c:pt idx="683">
                  <c:v>5782</c:v>
                </c:pt>
                <c:pt idx="684">
                  <c:v>5782</c:v>
                </c:pt>
                <c:pt idx="685">
                  <c:v>5782</c:v>
                </c:pt>
                <c:pt idx="686">
                  <c:v>5782</c:v>
                </c:pt>
                <c:pt idx="687">
                  <c:v>5782</c:v>
                </c:pt>
                <c:pt idx="688">
                  <c:v>5782</c:v>
                </c:pt>
                <c:pt idx="689">
                  <c:v>5800</c:v>
                </c:pt>
                <c:pt idx="690">
                  <c:v>5800</c:v>
                </c:pt>
                <c:pt idx="691">
                  <c:v>5888</c:v>
                </c:pt>
                <c:pt idx="692">
                  <c:v>5888</c:v>
                </c:pt>
                <c:pt idx="693">
                  <c:v>5888</c:v>
                </c:pt>
                <c:pt idx="694">
                  <c:v>5888</c:v>
                </c:pt>
                <c:pt idx="695">
                  <c:v>5888</c:v>
                </c:pt>
                <c:pt idx="696">
                  <c:v>5896</c:v>
                </c:pt>
                <c:pt idx="697">
                  <c:v>5905</c:v>
                </c:pt>
                <c:pt idx="698">
                  <c:v>5905</c:v>
                </c:pt>
                <c:pt idx="699">
                  <c:v>5905</c:v>
                </c:pt>
                <c:pt idx="700">
                  <c:v>5905</c:v>
                </c:pt>
                <c:pt idx="701">
                  <c:v>5905</c:v>
                </c:pt>
                <c:pt idx="702">
                  <c:v>5905</c:v>
                </c:pt>
                <c:pt idx="703">
                  <c:v>5928</c:v>
                </c:pt>
                <c:pt idx="704">
                  <c:v>5928</c:v>
                </c:pt>
                <c:pt idx="705">
                  <c:v>6000</c:v>
                </c:pt>
                <c:pt idx="706">
                  <c:v>6000</c:v>
                </c:pt>
                <c:pt idx="707">
                  <c:v>6148</c:v>
                </c:pt>
                <c:pt idx="708">
                  <c:v>6178</c:v>
                </c:pt>
                <c:pt idx="709">
                  <c:v>6178</c:v>
                </c:pt>
                <c:pt idx="710">
                  <c:v>6178</c:v>
                </c:pt>
                <c:pt idx="711">
                  <c:v>6188</c:v>
                </c:pt>
                <c:pt idx="712">
                  <c:v>6200</c:v>
                </c:pt>
                <c:pt idx="713">
                  <c:v>6214</c:v>
                </c:pt>
                <c:pt idx="714">
                  <c:v>6214</c:v>
                </c:pt>
                <c:pt idx="715">
                  <c:v>6310</c:v>
                </c:pt>
                <c:pt idx="716">
                  <c:v>6332</c:v>
                </c:pt>
                <c:pt idx="717">
                  <c:v>6332</c:v>
                </c:pt>
                <c:pt idx="718">
                  <c:v>6332</c:v>
                </c:pt>
                <c:pt idx="719">
                  <c:v>6350</c:v>
                </c:pt>
                <c:pt idx="720">
                  <c:v>6350</c:v>
                </c:pt>
                <c:pt idx="721">
                  <c:v>6350</c:v>
                </c:pt>
                <c:pt idx="722">
                  <c:v>6350</c:v>
                </c:pt>
                <c:pt idx="723">
                  <c:v>6350</c:v>
                </c:pt>
                <c:pt idx="724">
                  <c:v>6350</c:v>
                </c:pt>
                <c:pt idx="725">
                  <c:v>6350</c:v>
                </c:pt>
                <c:pt idx="726">
                  <c:v>6350</c:v>
                </c:pt>
                <c:pt idx="727">
                  <c:v>6350</c:v>
                </c:pt>
                <c:pt idx="728">
                  <c:v>6350</c:v>
                </c:pt>
                <c:pt idx="729">
                  <c:v>6350</c:v>
                </c:pt>
                <c:pt idx="730">
                  <c:v>6350</c:v>
                </c:pt>
                <c:pt idx="731">
                  <c:v>6350</c:v>
                </c:pt>
                <c:pt idx="732">
                  <c:v>6350</c:v>
                </c:pt>
                <c:pt idx="733">
                  <c:v>6350</c:v>
                </c:pt>
                <c:pt idx="734">
                  <c:v>6350</c:v>
                </c:pt>
                <c:pt idx="735">
                  <c:v>6350</c:v>
                </c:pt>
                <c:pt idx="736">
                  <c:v>6402</c:v>
                </c:pt>
                <c:pt idx="737">
                  <c:v>6402</c:v>
                </c:pt>
                <c:pt idx="738">
                  <c:v>6402</c:v>
                </c:pt>
                <c:pt idx="739">
                  <c:v>6402</c:v>
                </c:pt>
                <c:pt idx="740">
                  <c:v>6402</c:v>
                </c:pt>
                <c:pt idx="741">
                  <c:v>6402</c:v>
                </c:pt>
                <c:pt idx="742">
                  <c:v>6402</c:v>
                </c:pt>
                <c:pt idx="743">
                  <c:v>6402</c:v>
                </c:pt>
                <c:pt idx="744">
                  <c:v>6402</c:v>
                </c:pt>
                <c:pt idx="745">
                  <c:v>6402</c:v>
                </c:pt>
                <c:pt idx="746">
                  <c:v>6418</c:v>
                </c:pt>
                <c:pt idx="747">
                  <c:v>6418</c:v>
                </c:pt>
                <c:pt idx="748">
                  <c:v>6418</c:v>
                </c:pt>
                <c:pt idx="749">
                  <c:v>6418</c:v>
                </c:pt>
                <c:pt idx="750">
                  <c:v>6420</c:v>
                </c:pt>
                <c:pt idx="751">
                  <c:v>6435</c:v>
                </c:pt>
                <c:pt idx="752">
                  <c:v>6435</c:v>
                </c:pt>
                <c:pt idx="753">
                  <c:v>6435</c:v>
                </c:pt>
                <c:pt idx="754">
                  <c:v>6435</c:v>
                </c:pt>
                <c:pt idx="755">
                  <c:v>6435</c:v>
                </c:pt>
                <c:pt idx="756">
                  <c:v>6435</c:v>
                </c:pt>
                <c:pt idx="757">
                  <c:v>6456</c:v>
                </c:pt>
                <c:pt idx="758">
                  <c:v>6456</c:v>
                </c:pt>
                <c:pt idx="759">
                  <c:v>6477</c:v>
                </c:pt>
                <c:pt idx="760">
                  <c:v>6478</c:v>
                </c:pt>
                <c:pt idx="761">
                  <c:v>6478</c:v>
                </c:pt>
                <c:pt idx="762">
                  <c:v>6492</c:v>
                </c:pt>
                <c:pt idx="763">
                  <c:v>6492</c:v>
                </c:pt>
                <c:pt idx="764">
                  <c:v>6492</c:v>
                </c:pt>
                <c:pt idx="765">
                  <c:v>6500</c:v>
                </c:pt>
                <c:pt idx="766">
                  <c:v>6500</c:v>
                </c:pt>
                <c:pt idx="767">
                  <c:v>6500</c:v>
                </c:pt>
                <c:pt idx="768">
                  <c:v>6500</c:v>
                </c:pt>
                <c:pt idx="769">
                  <c:v>6500</c:v>
                </c:pt>
                <c:pt idx="770">
                  <c:v>6500</c:v>
                </c:pt>
                <c:pt idx="771">
                  <c:v>6539</c:v>
                </c:pt>
                <c:pt idx="772">
                  <c:v>6539</c:v>
                </c:pt>
                <c:pt idx="773">
                  <c:v>6539</c:v>
                </c:pt>
                <c:pt idx="774">
                  <c:v>6539</c:v>
                </c:pt>
                <c:pt idx="775">
                  <c:v>6570</c:v>
                </c:pt>
                <c:pt idx="776">
                  <c:v>6570</c:v>
                </c:pt>
                <c:pt idx="777">
                  <c:v>6570</c:v>
                </c:pt>
                <c:pt idx="778">
                  <c:v>6570</c:v>
                </c:pt>
                <c:pt idx="779">
                  <c:v>6572</c:v>
                </c:pt>
                <c:pt idx="780">
                  <c:v>6572</c:v>
                </c:pt>
                <c:pt idx="781">
                  <c:v>6586</c:v>
                </c:pt>
                <c:pt idx="782">
                  <c:v>6586</c:v>
                </c:pt>
                <c:pt idx="783">
                  <c:v>6588</c:v>
                </c:pt>
                <c:pt idx="784">
                  <c:v>6588</c:v>
                </c:pt>
                <c:pt idx="785">
                  <c:v>6589</c:v>
                </c:pt>
                <c:pt idx="786">
                  <c:v>6589</c:v>
                </c:pt>
                <c:pt idx="787">
                  <c:v>6589</c:v>
                </c:pt>
                <c:pt idx="788">
                  <c:v>6589</c:v>
                </c:pt>
                <c:pt idx="789">
                  <c:v>6589</c:v>
                </c:pt>
                <c:pt idx="790">
                  <c:v>6612</c:v>
                </c:pt>
                <c:pt idx="791">
                  <c:v>6612</c:v>
                </c:pt>
                <c:pt idx="792">
                  <c:v>6622</c:v>
                </c:pt>
                <c:pt idx="793">
                  <c:v>6627</c:v>
                </c:pt>
                <c:pt idx="794">
                  <c:v>6627</c:v>
                </c:pt>
                <c:pt idx="795">
                  <c:v>6627</c:v>
                </c:pt>
                <c:pt idx="796">
                  <c:v>6627</c:v>
                </c:pt>
                <c:pt idx="797">
                  <c:v>6644</c:v>
                </c:pt>
                <c:pt idx="798">
                  <c:v>6655</c:v>
                </c:pt>
                <c:pt idx="799">
                  <c:v>6655</c:v>
                </c:pt>
                <c:pt idx="800">
                  <c:v>6655</c:v>
                </c:pt>
                <c:pt idx="801">
                  <c:v>6655</c:v>
                </c:pt>
                <c:pt idx="802">
                  <c:v>6655</c:v>
                </c:pt>
                <c:pt idx="803">
                  <c:v>6655</c:v>
                </c:pt>
                <c:pt idx="804">
                  <c:v>6661</c:v>
                </c:pt>
                <c:pt idx="805">
                  <c:v>6661</c:v>
                </c:pt>
                <c:pt idx="806">
                  <c:v>6724</c:v>
                </c:pt>
                <c:pt idx="807">
                  <c:v>6724</c:v>
                </c:pt>
                <c:pt idx="808">
                  <c:v>6724</c:v>
                </c:pt>
                <c:pt idx="809">
                  <c:v>6724</c:v>
                </c:pt>
                <c:pt idx="810">
                  <c:v>6724</c:v>
                </c:pt>
                <c:pt idx="811">
                  <c:v>6724</c:v>
                </c:pt>
                <c:pt idx="812">
                  <c:v>6724</c:v>
                </c:pt>
                <c:pt idx="813">
                  <c:v>6724</c:v>
                </c:pt>
                <c:pt idx="814">
                  <c:v>6724</c:v>
                </c:pt>
                <c:pt idx="815">
                  <c:v>6724</c:v>
                </c:pt>
                <c:pt idx="816">
                  <c:v>6730</c:v>
                </c:pt>
                <c:pt idx="817">
                  <c:v>6732</c:v>
                </c:pt>
                <c:pt idx="818">
                  <c:v>6732</c:v>
                </c:pt>
                <c:pt idx="819">
                  <c:v>6732</c:v>
                </c:pt>
                <c:pt idx="820">
                  <c:v>6732</c:v>
                </c:pt>
                <c:pt idx="821">
                  <c:v>6732</c:v>
                </c:pt>
                <c:pt idx="822">
                  <c:v>6732</c:v>
                </c:pt>
                <c:pt idx="823">
                  <c:v>6732</c:v>
                </c:pt>
                <c:pt idx="824">
                  <c:v>6732</c:v>
                </c:pt>
                <c:pt idx="825">
                  <c:v>6732</c:v>
                </c:pt>
                <c:pt idx="826">
                  <c:v>6732</c:v>
                </c:pt>
                <c:pt idx="827">
                  <c:v>6732</c:v>
                </c:pt>
                <c:pt idx="828">
                  <c:v>6750</c:v>
                </c:pt>
                <c:pt idx="829">
                  <c:v>6763</c:v>
                </c:pt>
                <c:pt idx="830">
                  <c:v>6763</c:v>
                </c:pt>
                <c:pt idx="831">
                  <c:v>6763</c:v>
                </c:pt>
                <c:pt idx="832">
                  <c:v>6763</c:v>
                </c:pt>
                <c:pt idx="833">
                  <c:v>6763</c:v>
                </c:pt>
                <c:pt idx="834">
                  <c:v>6845</c:v>
                </c:pt>
                <c:pt idx="835">
                  <c:v>6877</c:v>
                </c:pt>
                <c:pt idx="836">
                  <c:v>6882</c:v>
                </c:pt>
                <c:pt idx="837">
                  <c:v>6900</c:v>
                </c:pt>
                <c:pt idx="838">
                  <c:v>6900</c:v>
                </c:pt>
                <c:pt idx="839">
                  <c:v>6900</c:v>
                </c:pt>
                <c:pt idx="840">
                  <c:v>6921</c:v>
                </c:pt>
                <c:pt idx="841">
                  <c:v>6921</c:v>
                </c:pt>
                <c:pt idx="842">
                  <c:v>6966</c:v>
                </c:pt>
                <c:pt idx="843">
                  <c:v>6969</c:v>
                </c:pt>
                <c:pt idx="844">
                  <c:v>7000</c:v>
                </c:pt>
                <c:pt idx="845">
                  <c:v>7024</c:v>
                </c:pt>
                <c:pt idx="846">
                  <c:v>7024</c:v>
                </c:pt>
                <c:pt idx="847">
                  <c:v>7024</c:v>
                </c:pt>
                <c:pt idx="848">
                  <c:v>7024</c:v>
                </c:pt>
                <c:pt idx="849">
                  <c:v>7024</c:v>
                </c:pt>
                <c:pt idx="850">
                  <c:v>7024</c:v>
                </c:pt>
                <c:pt idx="851">
                  <c:v>7030</c:v>
                </c:pt>
                <c:pt idx="852">
                  <c:v>7030</c:v>
                </c:pt>
                <c:pt idx="853">
                  <c:v>7030</c:v>
                </c:pt>
                <c:pt idx="854">
                  <c:v>7030</c:v>
                </c:pt>
                <c:pt idx="855">
                  <c:v>7090</c:v>
                </c:pt>
                <c:pt idx="856">
                  <c:v>7090</c:v>
                </c:pt>
                <c:pt idx="857">
                  <c:v>7100</c:v>
                </c:pt>
                <c:pt idx="858">
                  <c:v>7100</c:v>
                </c:pt>
                <c:pt idx="859">
                  <c:v>7100</c:v>
                </c:pt>
                <c:pt idx="860">
                  <c:v>7154</c:v>
                </c:pt>
                <c:pt idx="861">
                  <c:v>7154</c:v>
                </c:pt>
                <c:pt idx="862">
                  <c:v>7226</c:v>
                </c:pt>
                <c:pt idx="863">
                  <c:v>7226</c:v>
                </c:pt>
                <c:pt idx="864">
                  <c:v>7226</c:v>
                </c:pt>
                <c:pt idx="865">
                  <c:v>7370</c:v>
                </c:pt>
                <c:pt idx="866">
                  <c:v>7370</c:v>
                </c:pt>
                <c:pt idx="867">
                  <c:v>7370</c:v>
                </c:pt>
                <c:pt idx="868">
                  <c:v>7370</c:v>
                </c:pt>
                <c:pt idx="869">
                  <c:v>7450</c:v>
                </c:pt>
                <c:pt idx="870">
                  <c:v>7450</c:v>
                </c:pt>
                <c:pt idx="871">
                  <c:v>7455</c:v>
                </c:pt>
                <c:pt idx="872">
                  <c:v>7455</c:v>
                </c:pt>
                <c:pt idx="873">
                  <c:v>7455</c:v>
                </c:pt>
                <c:pt idx="874">
                  <c:v>7455</c:v>
                </c:pt>
                <c:pt idx="875">
                  <c:v>7455</c:v>
                </c:pt>
                <c:pt idx="876">
                  <c:v>7471</c:v>
                </c:pt>
                <c:pt idx="877">
                  <c:v>7488</c:v>
                </c:pt>
                <c:pt idx="878">
                  <c:v>7500</c:v>
                </c:pt>
                <c:pt idx="879">
                  <c:v>7506</c:v>
                </c:pt>
                <c:pt idx="880">
                  <c:v>7506</c:v>
                </c:pt>
                <c:pt idx="881">
                  <c:v>7721</c:v>
                </c:pt>
                <c:pt idx="882">
                  <c:v>7747</c:v>
                </c:pt>
                <c:pt idx="883">
                  <c:v>7747</c:v>
                </c:pt>
                <c:pt idx="884">
                  <c:v>7747</c:v>
                </c:pt>
                <c:pt idx="885">
                  <c:v>7747</c:v>
                </c:pt>
                <c:pt idx="886">
                  <c:v>7943</c:v>
                </c:pt>
                <c:pt idx="887">
                  <c:v>7943</c:v>
                </c:pt>
                <c:pt idx="888">
                  <c:v>8000</c:v>
                </c:pt>
                <c:pt idx="889">
                  <c:v>8000</c:v>
                </c:pt>
                <c:pt idx="890">
                  <c:v>8000</c:v>
                </c:pt>
                <c:pt idx="891">
                  <c:v>8000</c:v>
                </c:pt>
                <c:pt idx="892">
                  <c:v>8000</c:v>
                </c:pt>
                <c:pt idx="893">
                  <c:v>8000</c:v>
                </c:pt>
                <c:pt idx="894">
                  <c:v>8034</c:v>
                </c:pt>
                <c:pt idx="895">
                  <c:v>8034</c:v>
                </c:pt>
                <c:pt idx="896">
                  <c:v>8034</c:v>
                </c:pt>
                <c:pt idx="897">
                  <c:v>8034</c:v>
                </c:pt>
                <c:pt idx="898">
                  <c:v>8034</c:v>
                </c:pt>
                <c:pt idx="899">
                  <c:v>8034</c:v>
                </c:pt>
                <c:pt idx="900">
                  <c:v>8034</c:v>
                </c:pt>
                <c:pt idx="901">
                  <c:v>8034</c:v>
                </c:pt>
                <c:pt idx="902">
                  <c:v>8063</c:v>
                </c:pt>
                <c:pt idx="903">
                  <c:v>8063</c:v>
                </c:pt>
                <c:pt idx="904">
                  <c:v>8063</c:v>
                </c:pt>
                <c:pt idx="905">
                  <c:v>8063</c:v>
                </c:pt>
                <c:pt idx="906">
                  <c:v>8063</c:v>
                </c:pt>
                <c:pt idx="907">
                  <c:v>8063</c:v>
                </c:pt>
                <c:pt idx="908">
                  <c:v>8063</c:v>
                </c:pt>
                <c:pt idx="909">
                  <c:v>8063</c:v>
                </c:pt>
                <c:pt idx="910">
                  <c:v>8063</c:v>
                </c:pt>
                <c:pt idx="911">
                  <c:v>8063</c:v>
                </c:pt>
                <c:pt idx="912">
                  <c:v>8069</c:v>
                </c:pt>
                <c:pt idx="913">
                  <c:v>8069</c:v>
                </c:pt>
                <c:pt idx="914">
                  <c:v>8073</c:v>
                </c:pt>
                <c:pt idx="915">
                  <c:v>8073</c:v>
                </c:pt>
                <c:pt idx="916">
                  <c:v>8073</c:v>
                </c:pt>
                <c:pt idx="917">
                  <c:v>8073</c:v>
                </c:pt>
                <c:pt idx="918">
                  <c:v>8073</c:v>
                </c:pt>
                <c:pt idx="919">
                  <c:v>8073</c:v>
                </c:pt>
                <c:pt idx="920">
                  <c:v>8084</c:v>
                </c:pt>
                <c:pt idx="921">
                  <c:v>8084</c:v>
                </c:pt>
                <c:pt idx="922">
                  <c:v>8086</c:v>
                </c:pt>
                <c:pt idx="923">
                  <c:v>8086</c:v>
                </c:pt>
                <c:pt idx="924">
                  <c:v>8100</c:v>
                </c:pt>
                <c:pt idx="925">
                  <c:v>8100</c:v>
                </c:pt>
                <c:pt idx="926">
                  <c:v>8100</c:v>
                </c:pt>
                <c:pt idx="927">
                  <c:v>8100</c:v>
                </c:pt>
                <c:pt idx="928">
                  <c:v>8102</c:v>
                </c:pt>
                <c:pt idx="929">
                  <c:v>8102</c:v>
                </c:pt>
                <c:pt idx="930">
                  <c:v>8110</c:v>
                </c:pt>
                <c:pt idx="931">
                  <c:v>8110</c:v>
                </c:pt>
                <c:pt idx="932">
                  <c:v>8110</c:v>
                </c:pt>
                <c:pt idx="933">
                  <c:v>8110</c:v>
                </c:pt>
                <c:pt idx="934">
                  <c:v>8112</c:v>
                </c:pt>
                <c:pt idx="935">
                  <c:v>8189</c:v>
                </c:pt>
                <c:pt idx="936">
                  <c:v>8204</c:v>
                </c:pt>
                <c:pt idx="937">
                  <c:v>8204</c:v>
                </c:pt>
                <c:pt idx="938">
                  <c:v>8204</c:v>
                </c:pt>
                <c:pt idx="939">
                  <c:v>8204</c:v>
                </c:pt>
                <c:pt idx="940">
                  <c:v>8204</c:v>
                </c:pt>
                <c:pt idx="941">
                  <c:v>8204</c:v>
                </c:pt>
                <c:pt idx="942">
                  <c:v>8204</c:v>
                </c:pt>
                <c:pt idx="943">
                  <c:v>8204</c:v>
                </c:pt>
                <c:pt idx="944">
                  <c:v>8208</c:v>
                </c:pt>
                <c:pt idx="945">
                  <c:v>8208</c:v>
                </c:pt>
                <c:pt idx="946">
                  <c:v>8208</c:v>
                </c:pt>
                <c:pt idx="947">
                  <c:v>8208</c:v>
                </c:pt>
                <c:pt idx="948">
                  <c:v>8212</c:v>
                </c:pt>
                <c:pt idx="949">
                  <c:v>8212</c:v>
                </c:pt>
                <c:pt idx="950">
                  <c:v>8212</c:v>
                </c:pt>
                <c:pt idx="951">
                  <c:v>8212</c:v>
                </c:pt>
                <c:pt idx="952">
                  <c:v>8212</c:v>
                </c:pt>
                <c:pt idx="953">
                  <c:v>8212</c:v>
                </c:pt>
                <c:pt idx="954">
                  <c:v>8212</c:v>
                </c:pt>
                <c:pt idx="955">
                  <c:v>8212</c:v>
                </c:pt>
                <c:pt idx="956">
                  <c:v>8238</c:v>
                </c:pt>
                <c:pt idx="957">
                  <c:v>8238</c:v>
                </c:pt>
                <c:pt idx="958">
                  <c:v>8240</c:v>
                </c:pt>
                <c:pt idx="959">
                  <c:v>8240</c:v>
                </c:pt>
                <c:pt idx="960">
                  <c:v>8241</c:v>
                </c:pt>
                <c:pt idx="961">
                  <c:v>8241</c:v>
                </c:pt>
                <c:pt idx="962">
                  <c:v>8241</c:v>
                </c:pt>
                <c:pt idx="963">
                  <c:v>8241</c:v>
                </c:pt>
                <c:pt idx="964">
                  <c:v>8379</c:v>
                </c:pt>
                <c:pt idx="965">
                  <c:v>8379</c:v>
                </c:pt>
                <c:pt idx="966">
                  <c:v>8379</c:v>
                </c:pt>
                <c:pt idx="967">
                  <c:v>8400</c:v>
                </c:pt>
                <c:pt idx="968">
                  <c:v>8400</c:v>
                </c:pt>
                <c:pt idx="969">
                  <c:v>8400</c:v>
                </c:pt>
                <c:pt idx="970">
                  <c:v>8400</c:v>
                </c:pt>
                <c:pt idx="971">
                  <c:v>8400</c:v>
                </c:pt>
                <c:pt idx="972">
                  <c:v>8400</c:v>
                </c:pt>
                <c:pt idx="973">
                  <c:v>8401</c:v>
                </c:pt>
                <c:pt idx="974">
                  <c:v>8401</c:v>
                </c:pt>
                <c:pt idx="975">
                  <c:v>8401</c:v>
                </c:pt>
                <c:pt idx="976">
                  <c:v>8401</c:v>
                </c:pt>
                <c:pt idx="977">
                  <c:v>8401</c:v>
                </c:pt>
                <c:pt idx="978">
                  <c:v>8411</c:v>
                </c:pt>
                <c:pt idx="979">
                  <c:v>8411</c:v>
                </c:pt>
                <c:pt idx="980">
                  <c:v>8411</c:v>
                </c:pt>
                <c:pt idx="981">
                  <c:v>8411</c:v>
                </c:pt>
                <c:pt idx="982">
                  <c:v>8440</c:v>
                </c:pt>
                <c:pt idx="983">
                  <c:v>8440</c:v>
                </c:pt>
                <c:pt idx="984">
                  <c:v>8450</c:v>
                </c:pt>
                <c:pt idx="985">
                  <c:v>8450</c:v>
                </c:pt>
                <c:pt idx="986">
                  <c:v>8452</c:v>
                </c:pt>
                <c:pt idx="987">
                  <c:v>8452</c:v>
                </c:pt>
                <c:pt idx="988">
                  <c:v>8452</c:v>
                </c:pt>
                <c:pt idx="989">
                  <c:v>8452</c:v>
                </c:pt>
                <c:pt idx="990">
                  <c:v>8452</c:v>
                </c:pt>
                <c:pt idx="991">
                  <c:v>8452</c:v>
                </c:pt>
                <c:pt idx="992">
                  <c:v>8452</c:v>
                </c:pt>
                <c:pt idx="993">
                  <c:v>8452</c:v>
                </c:pt>
                <c:pt idx="994">
                  <c:v>8452</c:v>
                </c:pt>
                <c:pt idx="995">
                  <c:v>8452</c:v>
                </c:pt>
                <c:pt idx="996">
                  <c:v>8452</c:v>
                </c:pt>
                <c:pt idx="997">
                  <c:v>8452</c:v>
                </c:pt>
                <c:pt idx="998">
                  <c:v>8452</c:v>
                </c:pt>
                <c:pt idx="999">
                  <c:v>8452</c:v>
                </c:pt>
                <c:pt idx="1000">
                  <c:v>8452</c:v>
                </c:pt>
                <c:pt idx="1001">
                  <c:v>8452</c:v>
                </c:pt>
                <c:pt idx="1002">
                  <c:v>8452</c:v>
                </c:pt>
                <c:pt idx="1003">
                  <c:v>8466</c:v>
                </c:pt>
                <c:pt idx="1004">
                  <c:v>8466</c:v>
                </c:pt>
                <c:pt idx="1005">
                  <c:v>8466</c:v>
                </c:pt>
                <c:pt idx="1006">
                  <c:v>8466</c:v>
                </c:pt>
                <c:pt idx="1007">
                  <c:v>8468</c:v>
                </c:pt>
                <c:pt idx="1008">
                  <c:v>8468</c:v>
                </c:pt>
                <c:pt idx="1009">
                  <c:v>8468</c:v>
                </c:pt>
                <c:pt idx="1010">
                  <c:v>8468</c:v>
                </c:pt>
                <c:pt idx="1011">
                  <c:v>8488</c:v>
                </c:pt>
                <c:pt idx="1012">
                  <c:v>8488</c:v>
                </c:pt>
                <c:pt idx="1013">
                  <c:v>8488</c:v>
                </c:pt>
                <c:pt idx="1014">
                  <c:v>8488</c:v>
                </c:pt>
                <c:pt idx="1015">
                  <c:v>8488</c:v>
                </c:pt>
                <c:pt idx="1016">
                  <c:v>8495</c:v>
                </c:pt>
                <c:pt idx="1017">
                  <c:v>8495</c:v>
                </c:pt>
                <c:pt idx="1018">
                  <c:v>8500</c:v>
                </c:pt>
                <c:pt idx="1019">
                  <c:v>8500</c:v>
                </c:pt>
                <c:pt idx="1020">
                  <c:v>8500</c:v>
                </c:pt>
                <c:pt idx="1021">
                  <c:v>8500</c:v>
                </c:pt>
                <c:pt idx="1022">
                  <c:v>8501</c:v>
                </c:pt>
                <c:pt idx="1023">
                  <c:v>8508</c:v>
                </c:pt>
                <c:pt idx="1024">
                  <c:v>8508</c:v>
                </c:pt>
                <c:pt idx="1025">
                  <c:v>8508</c:v>
                </c:pt>
                <c:pt idx="1026">
                  <c:v>8528</c:v>
                </c:pt>
                <c:pt idx="1027">
                  <c:v>8528</c:v>
                </c:pt>
                <c:pt idx="1028">
                  <c:v>8528</c:v>
                </c:pt>
                <c:pt idx="1029">
                  <c:v>8530</c:v>
                </c:pt>
                <c:pt idx="1030">
                  <c:v>8530</c:v>
                </c:pt>
                <c:pt idx="1031">
                  <c:v>8530</c:v>
                </c:pt>
                <c:pt idx="1032">
                  <c:v>8540</c:v>
                </c:pt>
                <c:pt idx="1033">
                  <c:v>8540</c:v>
                </c:pt>
                <c:pt idx="1034">
                  <c:v>8540</c:v>
                </c:pt>
                <c:pt idx="1035">
                  <c:v>8562</c:v>
                </c:pt>
                <c:pt idx="1036">
                  <c:v>8562</c:v>
                </c:pt>
                <c:pt idx="1037">
                  <c:v>8562</c:v>
                </c:pt>
                <c:pt idx="1038">
                  <c:v>8562</c:v>
                </c:pt>
                <c:pt idx="1039">
                  <c:v>8566</c:v>
                </c:pt>
                <c:pt idx="1040">
                  <c:v>8566</c:v>
                </c:pt>
                <c:pt idx="1041">
                  <c:v>8566</c:v>
                </c:pt>
                <c:pt idx="1042">
                  <c:v>8566</c:v>
                </c:pt>
                <c:pt idx="1043">
                  <c:v>8580</c:v>
                </c:pt>
                <c:pt idx="1044">
                  <c:v>8580</c:v>
                </c:pt>
                <c:pt idx="1045">
                  <c:v>8586</c:v>
                </c:pt>
                <c:pt idx="1046">
                  <c:v>8600</c:v>
                </c:pt>
                <c:pt idx="1047">
                  <c:v>8600</c:v>
                </c:pt>
                <c:pt idx="1048">
                  <c:v>8600</c:v>
                </c:pt>
                <c:pt idx="1049">
                  <c:v>8600</c:v>
                </c:pt>
                <c:pt idx="1050">
                  <c:v>8600</c:v>
                </c:pt>
                <c:pt idx="1051">
                  <c:v>8600</c:v>
                </c:pt>
                <c:pt idx="1052">
                  <c:v>8600</c:v>
                </c:pt>
                <c:pt idx="1053">
                  <c:v>8600</c:v>
                </c:pt>
                <c:pt idx="1054">
                  <c:v>8600</c:v>
                </c:pt>
                <c:pt idx="1055">
                  <c:v>8626</c:v>
                </c:pt>
                <c:pt idx="1056">
                  <c:v>8626</c:v>
                </c:pt>
                <c:pt idx="1057">
                  <c:v>8628</c:v>
                </c:pt>
                <c:pt idx="1058">
                  <c:v>8628</c:v>
                </c:pt>
                <c:pt idx="1059">
                  <c:v>8633</c:v>
                </c:pt>
                <c:pt idx="1060">
                  <c:v>8700</c:v>
                </c:pt>
                <c:pt idx="1061">
                  <c:v>8700</c:v>
                </c:pt>
                <c:pt idx="1062">
                  <c:v>8700</c:v>
                </c:pt>
                <c:pt idx="1063">
                  <c:v>8714</c:v>
                </c:pt>
                <c:pt idx="1064">
                  <c:v>8749</c:v>
                </c:pt>
                <c:pt idx="1065">
                  <c:v>8749</c:v>
                </c:pt>
                <c:pt idx="1066">
                  <c:v>8749</c:v>
                </c:pt>
                <c:pt idx="1067">
                  <c:v>8749</c:v>
                </c:pt>
                <c:pt idx="1068">
                  <c:v>8749</c:v>
                </c:pt>
                <c:pt idx="1069">
                  <c:v>8749</c:v>
                </c:pt>
                <c:pt idx="1070">
                  <c:v>8749</c:v>
                </c:pt>
                <c:pt idx="1071">
                  <c:v>8749</c:v>
                </c:pt>
                <c:pt idx="1072">
                  <c:v>8749</c:v>
                </c:pt>
                <c:pt idx="1073">
                  <c:v>8749</c:v>
                </c:pt>
                <c:pt idx="1074">
                  <c:v>8749</c:v>
                </c:pt>
                <c:pt idx="1075">
                  <c:v>8749</c:v>
                </c:pt>
                <c:pt idx="1076">
                  <c:v>8749</c:v>
                </c:pt>
                <c:pt idx="1077">
                  <c:v>8749</c:v>
                </c:pt>
                <c:pt idx="1078">
                  <c:v>8762</c:v>
                </c:pt>
                <c:pt idx="1079">
                  <c:v>8762</c:v>
                </c:pt>
                <c:pt idx="1080">
                  <c:v>8762</c:v>
                </c:pt>
                <c:pt idx="1081">
                  <c:v>8762</c:v>
                </c:pt>
                <c:pt idx="1082">
                  <c:v>8772</c:v>
                </c:pt>
                <c:pt idx="1083">
                  <c:v>8800</c:v>
                </c:pt>
                <c:pt idx="1084">
                  <c:v>8800</c:v>
                </c:pt>
                <c:pt idx="1085">
                  <c:v>8800</c:v>
                </c:pt>
                <c:pt idx="1086">
                  <c:v>8800</c:v>
                </c:pt>
                <c:pt idx="1087">
                  <c:v>8800</c:v>
                </c:pt>
                <c:pt idx="1088">
                  <c:v>8800</c:v>
                </c:pt>
                <c:pt idx="1089">
                  <c:v>8800</c:v>
                </c:pt>
                <c:pt idx="1090">
                  <c:v>8800</c:v>
                </c:pt>
                <c:pt idx="1091">
                  <c:v>8800</c:v>
                </c:pt>
                <c:pt idx="1092">
                  <c:v>8800</c:v>
                </c:pt>
                <c:pt idx="1093">
                  <c:v>8800</c:v>
                </c:pt>
                <c:pt idx="1094">
                  <c:v>8800</c:v>
                </c:pt>
                <c:pt idx="1095">
                  <c:v>8800</c:v>
                </c:pt>
                <c:pt idx="1096">
                  <c:v>8814</c:v>
                </c:pt>
                <c:pt idx="1097">
                  <c:v>8819</c:v>
                </c:pt>
                <c:pt idx="1098">
                  <c:v>8819</c:v>
                </c:pt>
                <c:pt idx="1099">
                  <c:v>8825</c:v>
                </c:pt>
                <c:pt idx="1100">
                  <c:v>8827</c:v>
                </c:pt>
                <c:pt idx="1101">
                  <c:v>8827</c:v>
                </c:pt>
                <c:pt idx="1102">
                  <c:v>8948</c:v>
                </c:pt>
                <c:pt idx="1103">
                  <c:v>8962</c:v>
                </c:pt>
                <c:pt idx="1104">
                  <c:v>9000</c:v>
                </c:pt>
                <c:pt idx="1105">
                  <c:v>9000</c:v>
                </c:pt>
                <c:pt idx="1106">
                  <c:v>9000</c:v>
                </c:pt>
                <c:pt idx="1107">
                  <c:v>9000</c:v>
                </c:pt>
                <c:pt idx="1108">
                  <c:v>9000</c:v>
                </c:pt>
                <c:pt idx="1109">
                  <c:v>9000</c:v>
                </c:pt>
                <c:pt idx="1110">
                  <c:v>9000</c:v>
                </c:pt>
                <c:pt idx="1111">
                  <c:v>9000</c:v>
                </c:pt>
                <c:pt idx="1112">
                  <c:v>9000</c:v>
                </c:pt>
                <c:pt idx="1113">
                  <c:v>9000</c:v>
                </c:pt>
                <c:pt idx="1114">
                  <c:v>9012</c:v>
                </c:pt>
                <c:pt idx="1115">
                  <c:v>9012</c:v>
                </c:pt>
                <c:pt idx="1116">
                  <c:v>9012</c:v>
                </c:pt>
                <c:pt idx="1117">
                  <c:v>9030</c:v>
                </c:pt>
                <c:pt idx="1118">
                  <c:v>9030</c:v>
                </c:pt>
                <c:pt idx="1119">
                  <c:v>9030</c:v>
                </c:pt>
                <c:pt idx="1120">
                  <c:v>9034</c:v>
                </c:pt>
                <c:pt idx="1121">
                  <c:v>9034</c:v>
                </c:pt>
                <c:pt idx="1122">
                  <c:v>9040</c:v>
                </c:pt>
                <c:pt idx="1123">
                  <c:v>9040</c:v>
                </c:pt>
                <c:pt idx="1124">
                  <c:v>9040</c:v>
                </c:pt>
                <c:pt idx="1125">
                  <c:v>9113</c:v>
                </c:pt>
                <c:pt idx="1126">
                  <c:v>9113</c:v>
                </c:pt>
                <c:pt idx="1127">
                  <c:v>9162</c:v>
                </c:pt>
                <c:pt idx="1128">
                  <c:v>9162</c:v>
                </c:pt>
                <c:pt idx="1129">
                  <c:v>9178</c:v>
                </c:pt>
                <c:pt idx="1130">
                  <c:v>9178</c:v>
                </c:pt>
                <c:pt idx="1131">
                  <c:v>9178</c:v>
                </c:pt>
                <c:pt idx="1132">
                  <c:v>9178</c:v>
                </c:pt>
                <c:pt idx="1133">
                  <c:v>9178</c:v>
                </c:pt>
                <c:pt idx="1134">
                  <c:v>9178</c:v>
                </c:pt>
                <c:pt idx="1135">
                  <c:v>9178</c:v>
                </c:pt>
                <c:pt idx="1136">
                  <c:v>9178</c:v>
                </c:pt>
                <c:pt idx="1137">
                  <c:v>9178</c:v>
                </c:pt>
                <c:pt idx="1138">
                  <c:v>9178</c:v>
                </c:pt>
                <c:pt idx="1139">
                  <c:v>9178</c:v>
                </c:pt>
                <c:pt idx="1140">
                  <c:v>9200</c:v>
                </c:pt>
                <c:pt idx="1141">
                  <c:v>9200</c:v>
                </c:pt>
                <c:pt idx="1142">
                  <c:v>9200</c:v>
                </c:pt>
                <c:pt idx="1143">
                  <c:v>9200</c:v>
                </c:pt>
                <c:pt idx="1144">
                  <c:v>9200</c:v>
                </c:pt>
                <c:pt idx="1145">
                  <c:v>9200</c:v>
                </c:pt>
                <c:pt idx="1146">
                  <c:v>9200</c:v>
                </c:pt>
                <c:pt idx="1147">
                  <c:v>9200</c:v>
                </c:pt>
                <c:pt idx="1148">
                  <c:v>9300</c:v>
                </c:pt>
                <c:pt idx="1149">
                  <c:v>9300</c:v>
                </c:pt>
                <c:pt idx="1150">
                  <c:v>9300</c:v>
                </c:pt>
                <c:pt idx="1151">
                  <c:v>9400</c:v>
                </c:pt>
                <c:pt idx="1152">
                  <c:v>9400</c:v>
                </c:pt>
                <c:pt idx="1153">
                  <c:v>9400</c:v>
                </c:pt>
                <c:pt idx="1154">
                  <c:v>9400</c:v>
                </c:pt>
                <c:pt idx="1155">
                  <c:v>9400</c:v>
                </c:pt>
                <c:pt idx="1156">
                  <c:v>9400</c:v>
                </c:pt>
                <c:pt idx="1157">
                  <c:v>9400</c:v>
                </c:pt>
                <c:pt idx="1158">
                  <c:v>9400</c:v>
                </c:pt>
                <c:pt idx="1159">
                  <c:v>9400</c:v>
                </c:pt>
                <c:pt idx="1160">
                  <c:v>9400</c:v>
                </c:pt>
                <c:pt idx="1161">
                  <c:v>9400</c:v>
                </c:pt>
                <c:pt idx="1162">
                  <c:v>9400</c:v>
                </c:pt>
                <c:pt idx="1163">
                  <c:v>9400</c:v>
                </c:pt>
                <c:pt idx="1164">
                  <c:v>9400</c:v>
                </c:pt>
                <c:pt idx="1165">
                  <c:v>9400</c:v>
                </c:pt>
                <c:pt idx="1166">
                  <c:v>9403</c:v>
                </c:pt>
                <c:pt idx="1167">
                  <c:v>9408</c:v>
                </c:pt>
                <c:pt idx="1168">
                  <c:v>9411</c:v>
                </c:pt>
                <c:pt idx="1169">
                  <c:v>9411</c:v>
                </c:pt>
                <c:pt idx="1170">
                  <c:v>9411</c:v>
                </c:pt>
                <c:pt idx="1171">
                  <c:v>9415</c:v>
                </c:pt>
                <c:pt idx="1172">
                  <c:v>9415</c:v>
                </c:pt>
                <c:pt idx="1173">
                  <c:v>9415</c:v>
                </c:pt>
                <c:pt idx="1174">
                  <c:v>9415</c:v>
                </c:pt>
                <c:pt idx="1175">
                  <c:v>9443</c:v>
                </c:pt>
                <c:pt idx="1176">
                  <c:v>9469</c:v>
                </c:pt>
                <c:pt idx="1177">
                  <c:v>9469</c:v>
                </c:pt>
                <c:pt idx="1178">
                  <c:v>9469</c:v>
                </c:pt>
                <c:pt idx="1179">
                  <c:v>9469</c:v>
                </c:pt>
                <c:pt idx="1180">
                  <c:v>9469</c:v>
                </c:pt>
                <c:pt idx="1181">
                  <c:v>9500</c:v>
                </c:pt>
                <c:pt idx="1182">
                  <c:v>9500</c:v>
                </c:pt>
                <c:pt idx="1183">
                  <c:v>9500</c:v>
                </c:pt>
                <c:pt idx="1184">
                  <c:v>9500</c:v>
                </c:pt>
                <c:pt idx="1185">
                  <c:v>9500</c:v>
                </c:pt>
                <c:pt idx="1186">
                  <c:v>9500</c:v>
                </c:pt>
                <c:pt idx="1187">
                  <c:v>9500</c:v>
                </c:pt>
                <c:pt idx="1188">
                  <c:v>9500</c:v>
                </c:pt>
                <c:pt idx="1189">
                  <c:v>9572</c:v>
                </c:pt>
                <c:pt idx="1190">
                  <c:v>9572</c:v>
                </c:pt>
                <c:pt idx="1191">
                  <c:v>9572</c:v>
                </c:pt>
                <c:pt idx="1192">
                  <c:v>9572</c:v>
                </c:pt>
                <c:pt idx="1193">
                  <c:v>9572</c:v>
                </c:pt>
                <c:pt idx="1194">
                  <c:v>9572</c:v>
                </c:pt>
                <c:pt idx="1195">
                  <c:v>9572</c:v>
                </c:pt>
                <c:pt idx="1196">
                  <c:v>9573</c:v>
                </c:pt>
                <c:pt idx="1197">
                  <c:v>9574</c:v>
                </c:pt>
                <c:pt idx="1198">
                  <c:v>9592</c:v>
                </c:pt>
                <c:pt idx="1199">
                  <c:v>9592</c:v>
                </c:pt>
                <c:pt idx="1200">
                  <c:v>9592</c:v>
                </c:pt>
                <c:pt idx="1201">
                  <c:v>9600</c:v>
                </c:pt>
                <c:pt idx="1202">
                  <c:v>9600</c:v>
                </c:pt>
                <c:pt idx="1203">
                  <c:v>9661</c:v>
                </c:pt>
                <c:pt idx="1204">
                  <c:v>9661</c:v>
                </c:pt>
                <c:pt idx="1205">
                  <c:v>9661</c:v>
                </c:pt>
                <c:pt idx="1206">
                  <c:v>9700</c:v>
                </c:pt>
                <c:pt idx="1207">
                  <c:v>9700</c:v>
                </c:pt>
                <c:pt idx="1208">
                  <c:v>9700</c:v>
                </c:pt>
                <c:pt idx="1209">
                  <c:v>9814</c:v>
                </c:pt>
                <c:pt idx="1210">
                  <c:v>9814</c:v>
                </c:pt>
                <c:pt idx="1211">
                  <c:v>9814</c:v>
                </c:pt>
                <c:pt idx="1212">
                  <c:v>9814</c:v>
                </c:pt>
                <c:pt idx="1213">
                  <c:v>9814</c:v>
                </c:pt>
                <c:pt idx="1214">
                  <c:v>9814</c:v>
                </c:pt>
                <c:pt idx="1215">
                  <c:v>9814</c:v>
                </c:pt>
                <c:pt idx="1216">
                  <c:v>9894</c:v>
                </c:pt>
                <c:pt idx="1217">
                  <c:v>9954</c:v>
                </c:pt>
                <c:pt idx="1218">
                  <c:v>9954</c:v>
                </c:pt>
                <c:pt idx="1219">
                  <c:v>9954</c:v>
                </c:pt>
                <c:pt idx="1220">
                  <c:v>9954</c:v>
                </c:pt>
                <c:pt idx="1221">
                  <c:v>9954</c:v>
                </c:pt>
                <c:pt idx="1222">
                  <c:v>9962</c:v>
                </c:pt>
                <c:pt idx="1223">
                  <c:v>9962</c:v>
                </c:pt>
                <c:pt idx="1224">
                  <c:v>9962</c:v>
                </c:pt>
                <c:pt idx="1225">
                  <c:v>9962</c:v>
                </c:pt>
                <c:pt idx="1226">
                  <c:v>10000</c:v>
                </c:pt>
                <c:pt idx="1227">
                  <c:v>10000</c:v>
                </c:pt>
                <c:pt idx="1228">
                  <c:v>10000</c:v>
                </c:pt>
                <c:pt idx="1229">
                  <c:v>10001</c:v>
                </c:pt>
                <c:pt idx="1230">
                  <c:v>10010</c:v>
                </c:pt>
                <c:pt idx="1231">
                  <c:v>10010</c:v>
                </c:pt>
                <c:pt idx="1232">
                  <c:v>10010</c:v>
                </c:pt>
                <c:pt idx="1233">
                  <c:v>10010</c:v>
                </c:pt>
                <c:pt idx="1234">
                  <c:v>10010</c:v>
                </c:pt>
                <c:pt idx="1235">
                  <c:v>10010</c:v>
                </c:pt>
                <c:pt idx="1236">
                  <c:v>10036</c:v>
                </c:pt>
                <c:pt idx="1237">
                  <c:v>10036</c:v>
                </c:pt>
                <c:pt idx="1238">
                  <c:v>10050</c:v>
                </c:pt>
                <c:pt idx="1239">
                  <c:v>10055</c:v>
                </c:pt>
                <c:pt idx="1240">
                  <c:v>10060</c:v>
                </c:pt>
                <c:pt idx="1241">
                  <c:v>10060</c:v>
                </c:pt>
                <c:pt idx="1242">
                  <c:v>10061</c:v>
                </c:pt>
                <c:pt idx="1243">
                  <c:v>10062</c:v>
                </c:pt>
                <c:pt idx="1244">
                  <c:v>10062</c:v>
                </c:pt>
                <c:pt idx="1245">
                  <c:v>10062</c:v>
                </c:pt>
                <c:pt idx="1246">
                  <c:v>10062</c:v>
                </c:pt>
                <c:pt idx="1247">
                  <c:v>10062</c:v>
                </c:pt>
                <c:pt idx="1248">
                  <c:v>10062</c:v>
                </c:pt>
                <c:pt idx="1249">
                  <c:v>10062</c:v>
                </c:pt>
                <c:pt idx="1250">
                  <c:v>10070</c:v>
                </c:pt>
                <c:pt idx="1251">
                  <c:v>10070</c:v>
                </c:pt>
                <c:pt idx="1252">
                  <c:v>10070</c:v>
                </c:pt>
                <c:pt idx="1253">
                  <c:v>10070</c:v>
                </c:pt>
                <c:pt idx="1254">
                  <c:v>10070</c:v>
                </c:pt>
                <c:pt idx="1255">
                  <c:v>10081</c:v>
                </c:pt>
                <c:pt idx="1256">
                  <c:v>10100</c:v>
                </c:pt>
                <c:pt idx="1257">
                  <c:v>10100</c:v>
                </c:pt>
                <c:pt idx="1258">
                  <c:v>10100</c:v>
                </c:pt>
                <c:pt idx="1259">
                  <c:v>10100</c:v>
                </c:pt>
                <c:pt idx="1260">
                  <c:v>10100</c:v>
                </c:pt>
                <c:pt idx="1261">
                  <c:v>10100</c:v>
                </c:pt>
                <c:pt idx="1262">
                  <c:v>10100</c:v>
                </c:pt>
                <c:pt idx="1263">
                  <c:v>10100</c:v>
                </c:pt>
                <c:pt idx="1264">
                  <c:v>10100</c:v>
                </c:pt>
                <c:pt idx="1265">
                  <c:v>10100</c:v>
                </c:pt>
                <c:pt idx="1266">
                  <c:v>10100</c:v>
                </c:pt>
                <c:pt idx="1267">
                  <c:v>10114</c:v>
                </c:pt>
                <c:pt idx="1268">
                  <c:v>10114</c:v>
                </c:pt>
                <c:pt idx="1269">
                  <c:v>10114</c:v>
                </c:pt>
                <c:pt idx="1270">
                  <c:v>10500</c:v>
                </c:pt>
                <c:pt idx="1271">
                  <c:v>10500</c:v>
                </c:pt>
                <c:pt idx="1272">
                  <c:v>10500</c:v>
                </c:pt>
                <c:pt idx="1273">
                  <c:v>10589</c:v>
                </c:pt>
                <c:pt idx="1274">
                  <c:v>10589</c:v>
                </c:pt>
                <c:pt idx="1275">
                  <c:v>10600</c:v>
                </c:pt>
                <c:pt idx="1276">
                  <c:v>10600</c:v>
                </c:pt>
                <c:pt idx="1277">
                  <c:v>10700</c:v>
                </c:pt>
                <c:pt idx="1278">
                  <c:v>10700</c:v>
                </c:pt>
                <c:pt idx="1279">
                  <c:v>10700</c:v>
                </c:pt>
                <c:pt idx="1280">
                  <c:v>10700</c:v>
                </c:pt>
                <c:pt idx="1281">
                  <c:v>10700</c:v>
                </c:pt>
                <c:pt idx="1282">
                  <c:v>10776</c:v>
                </c:pt>
                <c:pt idx="1283">
                  <c:v>10818</c:v>
                </c:pt>
                <c:pt idx="1284">
                  <c:v>10818</c:v>
                </c:pt>
                <c:pt idx="1285">
                  <c:v>10960</c:v>
                </c:pt>
                <c:pt idx="1286">
                  <c:v>10960</c:v>
                </c:pt>
                <c:pt idx="1287">
                  <c:v>11000</c:v>
                </c:pt>
                <c:pt idx="1288">
                  <c:v>11000</c:v>
                </c:pt>
                <c:pt idx="1289">
                  <c:v>11000</c:v>
                </c:pt>
                <c:pt idx="1290">
                  <c:v>11000</c:v>
                </c:pt>
                <c:pt idx="1291">
                  <c:v>11000</c:v>
                </c:pt>
                <c:pt idx="1292">
                  <c:v>11038</c:v>
                </c:pt>
                <c:pt idx="1293">
                  <c:v>11040</c:v>
                </c:pt>
                <c:pt idx="1294">
                  <c:v>11312</c:v>
                </c:pt>
                <c:pt idx="1295">
                  <c:v>11312</c:v>
                </c:pt>
                <c:pt idx="1296">
                  <c:v>11312</c:v>
                </c:pt>
                <c:pt idx="1297">
                  <c:v>11312</c:v>
                </c:pt>
                <c:pt idx="1298">
                  <c:v>11356</c:v>
                </c:pt>
                <c:pt idx="1299">
                  <c:v>11356</c:v>
                </c:pt>
                <c:pt idx="1300">
                  <c:v>11388</c:v>
                </c:pt>
                <c:pt idx="1301">
                  <c:v>11388</c:v>
                </c:pt>
                <c:pt idx="1302">
                  <c:v>11388</c:v>
                </c:pt>
                <c:pt idx="1303">
                  <c:v>11388</c:v>
                </c:pt>
                <c:pt idx="1304">
                  <c:v>11400</c:v>
                </c:pt>
                <c:pt idx="1305">
                  <c:v>11400</c:v>
                </c:pt>
                <c:pt idx="1306">
                  <c:v>11400</c:v>
                </c:pt>
                <c:pt idx="1307">
                  <c:v>11400</c:v>
                </c:pt>
                <c:pt idx="1308">
                  <c:v>11400</c:v>
                </c:pt>
                <c:pt idx="1309">
                  <c:v>11400</c:v>
                </c:pt>
                <c:pt idx="1310">
                  <c:v>11500</c:v>
                </c:pt>
                <c:pt idx="1311">
                  <c:v>11500</c:v>
                </c:pt>
                <c:pt idx="1312">
                  <c:v>12400</c:v>
                </c:pt>
                <c:pt idx="1313">
                  <c:v>12400</c:v>
                </c:pt>
                <c:pt idx="1314">
                  <c:v>12400</c:v>
                </c:pt>
                <c:pt idx="1315">
                  <c:v>12552</c:v>
                </c:pt>
                <c:pt idx="1316">
                  <c:v>12562</c:v>
                </c:pt>
                <c:pt idx="1317">
                  <c:v>12562</c:v>
                </c:pt>
                <c:pt idx="1318">
                  <c:v>12562</c:v>
                </c:pt>
                <c:pt idx="1319">
                  <c:v>13000</c:v>
                </c:pt>
                <c:pt idx="1320">
                  <c:v>13000</c:v>
                </c:pt>
                <c:pt idx="1321">
                  <c:v>13000</c:v>
                </c:pt>
                <c:pt idx="1322">
                  <c:v>13000</c:v>
                </c:pt>
                <c:pt idx="1323">
                  <c:v>13000</c:v>
                </c:pt>
                <c:pt idx="1324">
                  <c:v>13050</c:v>
                </c:pt>
                <c:pt idx="1325">
                  <c:v>13050</c:v>
                </c:pt>
                <c:pt idx="1326">
                  <c:v>13050</c:v>
                </c:pt>
                <c:pt idx="1327">
                  <c:v>13050</c:v>
                </c:pt>
                <c:pt idx="1328">
                  <c:v>13050</c:v>
                </c:pt>
                <c:pt idx="1329">
                  <c:v>13050</c:v>
                </c:pt>
                <c:pt idx="1330">
                  <c:v>13092</c:v>
                </c:pt>
                <c:pt idx="1331">
                  <c:v>13092</c:v>
                </c:pt>
                <c:pt idx="1332">
                  <c:v>13092</c:v>
                </c:pt>
                <c:pt idx="1333">
                  <c:v>13092</c:v>
                </c:pt>
                <c:pt idx="1334">
                  <c:v>13092</c:v>
                </c:pt>
                <c:pt idx="1335">
                  <c:v>13092</c:v>
                </c:pt>
                <c:pt idx="1336">
                  <c:v>13092</c:v>
                </c:pt>
                <c:pt idx="1337">
                  <c:v>13092</c:v>
                </c:pt>
                <c:pt idx="1338">
                  <c:v>13092</c:v>
                </c:pt>
                <c:pt idx="1339">
                  <c:v>13092</c:v>
                </c:pt>
                <c:pt idx="1340">
                  <c:v>13092</c:v>
                </c:pt>
                <c:pt idx="1341">
                  <c:v>13092</c:v>
                </c:pt>
                <c:pt idx="1342">
                  <c:v>13092</c:v>
                </c:pt>
                <c:pt idx="1343">
                  <c:v>13092</c:v>
                </c:pt>
                <c:pt idx="1344">
                  <c:v>13092</c:v>
                </c:pt>
                <c:pt idx="1345">
                  <c:v>13092</c:v>
                </c:pt>
                <c:pt idx="1346">
                  <c:v>13092</c:v>
                </c:pt>
                <c:pt idx="1347">
                  <c:v>13092</c:v>
                </c:pt>
                <c:pt idx="1348">
                  <c:v>13092</c:v>
                </c:pt>
                <c:pt idx="1349">
                  <c:v>13092</c:v>
                </c:pt>
                <c:pt idx="1350">
                  <c:v>13092</c:v>
                </c:pt>
                <c:pt idx="1351">
                  <c:v>13092</c:v>
                </c:pt>
                <c:pt idx="1352">
                  <c:v>13092</c:v>
                </c:pt>
                <c:pt idx="1353">
                  <c:v>13092</c:v>
                </c:pt>
                <c:pt idx="1354">
                  <c:v>13092</c:v>
                </c:pt>
                <c:pt idx="1355">
                  <c:v>13092</c:v>
                </c:pt>
                <c:pt idx="1356">
                  <c:v>13100</c:v>
                </c:pt>
                <c:pt idx="1357">
                  <c:v>13100</c:v>
                </c:pt>
                <c:pt idx="1358">
                  <c:v>13100</c:v>
                </c:pt>
                <c:pt idx="1359">
                  <c:v>13100</c:v>
                </c:pt>
                <c:pt idx="1360">
                  <c:v>13100</c:v>
                </c:pt>
                <c:pt idx="1361">
                  <c:v>13100</c:v>
                </c:pt>
                <c:pt idx="1362">
                  <c:v>13100</c:v>
                </c:pt>
                <c:pt idx="1363">
                  <c:v>13100</c:v>
                </c:pt>
                <c:pt idx="1364">
                  <c:v>13100</c:v>
                </c:pt>
                <c:pt idx="1365">
                  <c:v>13100</c:v>
                </c:pt>
                <c:pt idx="1366">
                  <c:v>13100</c:v>
                </c:pt>
                <c:pt idx="1367">
                  <c:v>13100</c:v>
                </c:pt>
                <c:pt idx="1368">
                  <c:v>13100</c:v>
                </c:pt>
                <c:pt idx="1369">
                  <c:v>13102</c:v>
                </c:pt>
                <c:pt idx="1370">
                  <c:v>13102</c:v>
                </c:pt>
                <c:pt idx="1371">
                  <c:v>13102</c:v>
                </c:pt>
                <c:pt idx="1372">
                  <c:v>13102</c:v>
                </c:pt>
                <c:pt idx="1373">
                  <c:v>13102</c:v>
                </c:pt>
                <c:pt idx="1374">
                  <c:v>13102</c:v>
                </c:pt>
                <c:pt idx="1375">
                  <c:v>13102</c:v>
                </c:pt>
                <c:pt idx="1376">
                  <c:v>13102</c:v>
                </c:pt>
                <c:pt idx="1377">
                  <c:v>13102</c:v>
                </c:pt>
                <c:pt idx="1378">
                  <c:v>13150</c:v>
                </c:pt>
                <c:pt idx="1379">
                  <c:v>13154</c:v>
                </c:pt>
                <c:pt idx="1380">
                  <c:v>13154</c:v>
                </c:pt>
                <c:pt idx="1381">
                  <c:v>13154</c:v>
                </c:pt>
                <c:pt idx="1382">
                  <c:v>13169</c:v>
                </c:pt>
                <c:pt idx="1383">
                  <c:v>13169</c:v>
                </c:pt>
                <c:pt idx="1384">
                  <c:v>13169</c:v>
                </c:pt>
                <c:pt idx="1385">
                  <c:v>13169</c:v>
                </c:pt>
                <c:pt idx="1386">
                  <c:v>13169</c:v>
                </c:pt>
                <c:pt idx="1387">
                  <c:v>13169</c:v>
                </c:pt>
                <c:pt idx="1388">
                  <c:v>13169</c:v>
                </c:pt>
                <c:pt idx="1389">
                  <c:v>13169</c:v>
                </c:pt>
                <c:pt idx="1390">
                  <c:v>13169</c:v>
                </c:pt>
                <c:pt idx="1391">
                  <c:v>13200</c:v>
                </c:pt>
                <c:pt idx="1392">
                  <c:v>13200</c:v>
                </c:pt>
                <c:pt idx="1393">
                  <c:v>13208</c:v>
                </c:pt>
                <c:pt idx="1394">
                  <c:v>13208</c:v>
                </c:pt>
                <c:pt idx="1395">
                  <c:v>13208</c:v>
                </c:pt>
                <c:pt idx="1396">
                  <c:v>13208</c:v>
                </c:pt>
                <c:pt idx="1397">
                  <c:v>13208</c:v>
                </c:pt>
                <c:pt idx="1398">
                  <c:v>13208</c:v>
                </c:pt>
                <c:pt idx="1399">
                  <c:v>13208</c:v>
                </c:pt>
                <c:pt idx="1400">
                  <c:v>13208</c:v>
                </c:pt>
                <c:pt idx="1401">
                  <c:v>13208</c:v>
                </c:pt>
                <c:pt idx="1402">
                  <c:v>13208</c:v>
                </c:pt>
                <c:pt idx="1403">
                  <c:v>13296</c:v>
                </c:pt>
                <c:pt idx="1404">
                  <c:v>13344</c:v>
                </c:pt>
                <c:pt idx="1405">
                  <c:v>13360</c:v>
                </c:pt>
                <c:pt idx="1406">
                  <c:v>13371</c:v>
                </c:pt>
                <c:pt idx="1407">
                  <c:v>13380</c:v>
                </c:pt>
                <c:pt idx="1408">
                  <c:v>13386</c:v>
                </c:pt>
                <c:pt idx="1409">
                  <c:v>13386</c:v>
                </c:pt>
                <c:pt idx="1410">
                  <c:v>13386</c:v>
                </c:pt>
                <c:pt idx="1411">
                  <c:v>13386</c:v>
                </c:pt>
                <c:pt idx="1412">
                  <c:v>13386</c:v>
                </c:pt>
                <c:pt idx="1413">
                  <c:v>13386</c:v>
                </c:pt>
                <c:pt idx="1414">
                  <c:v>13500</c:v>
                </c:pt>
                <c:pt idx="1415">
                  <c:v>13636</c:v>
                </c:pt>
                <c:pt idx="1416">
                  <c:v>13636</c:v>
                </c:pt>
                <c:pt idx="1417">
                  <c:v>13798</c:v>
                </c:pt>
                <c:pt idx="1418">
                  <c:v>13798</c:v>
                </c:pt>
                <c:pt idx="1419">
                  <c:v>13798</c:v>
                </c:pt>
                <c:pt idx="1420">
                  <c:v>13798</c:v>
                </c:pt>
                <c:pt idx="1421">
                  <c:v>13798</c:v>
                </c:pt>
                <c:pt idx="1422">
                  <c:v>13798</c:v>
                </c:pt>
                <c:pt idx="1423">
                  <c:v>13798</c:v>
                </c:pt>
                <c:pt idx="1424">
                  <c:v>13798</c:v>
                </c:pt>
                <c:pt idx="1425">
                  <c:v>13800</c:v>
                </c:pt>
                <c:pt idx="1426">
                  <c:v>13800</c:v>
                </c:pt>
                <c:pt idx="1427">
                  <c:v>13800</c:v>
                </c:pt>
                <c:pt idx="1428">
                  <c:v>13800</c:v>
                </c:pt>
                <c:pt idx="1429">
                  <c:v>13800</c:v>
                </c:pt>
                <c:pt idx="1430">
                  <c:v>13800</c:v>
                </c:pt>
                <c:pt idx="1431">
                  <c:v>13800</c:v>
                </c:pt>
                <c:pt idx="1432">
                  <c:v>13800</c:v>
                </c:pt>
                <c:pt idx="1433">
                  <c:v>13800</c:v>
                </c:pt>
                <c:pt idx="1434">
                  <c:v>13808</c:v>
                </c:pt>
                <c:pt idx="1435">
                  <c:v>13808</c:v>
                </c:pt>
                <c:pt idx="1436">
                  <c:v>13808</c:v>
                </c:pt>
                <c:pt idx="1437">
                  <c:v>13808</c:v>
                </c:pt>
                <c:pt idx="1438">
                  <c:v>13808</c:v>
                </c:pt>
                <c:pt idx="1439">
                  <c:v>13808</c:v>
                </c:pt>
                <c:pt idx="1440">
                  <c:v>13808</c:v>
                </c:pt>
                <c:pt idx="1441">
                  <c:v>13808</c:v>
                </c:pt>
                <c:pt idx="1442">
                  <c:v>13808</c:v>
                </c:pt>
                <c:pt idx="1443">
                  <c:v>13808</c:v>
                </c:pt>
                <c:pt idx="1444">
                  <c:v>13830</c:v>
                </c:pt>
                <c:pt idx="1445">
                  <c:v>13830</c:v>
                </c:pt>
                <c:pt idx="1446">
                  <c:v>13830</c:v>
                </c:pt>
                <c:pt idx="1447">
                  <c:v>13830</c:v>
                </c:pt>
                <c:pt idx="1448">
                  <c:v>13870</c:v>
                </c:pt>
                <c:pt idx="1449">
                  <c:v>13870</c:v>
                </c:pt>
                <c:pt idx="1450">
                  <c:v>13870</c:v>
                </c:pt>
                <c:pt idx="1451">
                  <c:v>13870</c:v>
                </c:pt>
                <c:pt idx="1452">
                  <c:v>13870</c:v>
                </c:pt>
                <c:pt idx="1453">
                  <c:v>13870</c:v>
                </c:pt>
                <c:pt idx="1454">
                  <c:v>13870</c:v>
                </c:pt>
                <c:pt idx="1455">
                  <c:v>13870</c:v>
                </c:pt>
                <c:pt idx="1456">
                  <c:v>13870</c:v>
                </c:pt>
                <c:pt idx="1457">
                  <c:v>13870</c:v>
                </c:pt>
                <c:pt idx="1458">
                  <c:v>13870</c:v>
                </c:pt>
                <c:pt idx="1459">
                  <c:v>13892</c:v>
                </c:pt>
                <c:pt idx="1460">
                  <c:v>13892</c:v>
                </c:pt>
                <c:pt idx="1461">
                  <c:v>13900</c:v>
                </c:pt>
                <c:pt idx="1462">
                  <c:v>14000</c:v>
                </c:pt>
                <c:pt idx="1463">
                  <c:v>14000</c:v>
                </c:pt>
                <c:pt idx="1464">
                  <c:v>14000</c:v>
                </c:pt>
                <c:pt idx="1465">
                  <c:v>14000</c:v>
                </c:pt>
                <c:pt idx="1466">
                  <c:v>14000</c:v>
                </c:pt>
                <c:pt idx="1467">
                  <c:v>14000</c:v>
                </c:pt>
                <c:pt idx="1468">
                  <c:v>14000</c:v>
                </c:pt>
                <c:pt idx="1469">
                  <c:v>14000</c:v>
                </c:pt>
                <c:pt idx="1470">
                  <c:v>14000</c:v>
                </c:pt>
                <c:pt idx="1471">
                  <c:v>14000</c:v>
                </c:pt>
                <c:pt idx="1472">
                  <c:v>14000</c:v>
                </c:pt>
                <c:pt idx="1473">
                  <c:v>14000</c:v>
                </c:pt>
                <c:pt idx="1474">
                  <c:v>14000</c:v>
                </c:pt>
                <c:pt idx="1475">
                  <c:v>14000</c:v>
                </c:pt>
                <c:pt idx="1476">
                  <c:v>14000</c:v>
                </c:pt>
                <c:pt idx="1477">
                  <c:v>14000</c:v>
                </c:pt>
                <c:pt idx="1478">
                  <c:v>14000</c:v>
                </c:pt>
                <c:pt idx="1479">
                  <c:v>14000</c:v>
                </c:pt>
                <c:pt idx="1480">
                  <c:v>14000</c:v>
                </c:pt>
                <c:pt idx="1481">
                  <c:v>14000</c:v>
                </c:pt>
                <c:pt idx="1482">
                  <c:v>14000</c:v>
                </c:pt>
                <c:pt idx="1483">
                  <c:v>14000</c:v>
                </c:pt>
                <c:pt idx="1484">
                  <c:v>14000</c:v>
                </c:pt>
                <c:pt idx="1485">
                  <c:v>14000</c:v>
                </c:pt>
                <c:pt idx="1486">
                  <c:v>14000</c:v>
                </c:pt>
                <c:pt idx="1487">
                  <c:v>14000</c:v>
                </c:pt>
                <c:pt idx="1488">
                  <c:v>14000</c:v>
                </c:pt>
                <c:pt idx="1489">
                  <c:v>14000</c:v>
                </c:pt>
                <c:pt idx="1490">
                  <c:v>14026</c:v>
                </c:pt>
                <c:pt idx="1491">
                  <c:v>14026</c:v>
                </c:pt>
                <c:pt idx="1492">
                  <c:v>14026</c:v>
                </c:pt>
                <c:pt idx="1493">
                  <c:v>14026</c:v>
                </c:pt>
                <c:pt idx="1494">
                  <c:v>14026</c:v>
                </c:pt>
                <c:pt idx="1495">
                  <c:v>14052</c:v>
                </c:pt>
                <c:pt idx="1496">
                  <c:v>14052</c:v>
                </c:pt>
                <c:pt idx="1497">
                  <c:v>14052</c:v>
                </c:pt>
                <c:pt idx="1498">
                  <c:v>14074</c:v>
                </c:pt>
                <c:pt idx="1499">
                  <c:v>14074</c:v>
                </c:pt>
                <c:pt idx="1500">
                  <c:v>14074</c:v>
                </c:pt>
                <c:pt idx="1501">
                  <c:v>14074</c:v>
                </c:pt>
                <c:pt idx="1502">
                  <c:v>14074</c:v>
                </c:pt>
                <c:pt idx="1503">
                  <c:v>14074</c:v>
                </c:pt>
                <c:pt idx="1504">
                  <c:v>14080</c:v>
                </c:pt>
                <c:pt idx="1505">
                  <c:v>14080</c:v>
                </c:pt>
                <c:pt idx="1506">
                  <c:v>14080</c:v>
                </c:pt>
                <c:pt idx="1507">
                  <c:v>14080</c:v>
                </c:pt>
                <c:pt idx="1508">
                  <c:v>14080</c:v>
                </c:pt>
                <c:pt idx="1509">
                  <c:v>14080</c:v>
                </c:pt>
                <c:pt idx="1510">
                  <c:v>14220</c:v>
                </c:pt>
                <c:pt idx="1511">
                  <c:v>14354</c:v>
                </c:pt>
                <c:pt idx="1512">
                  <c:v>14420</c:v>
                </c:pt>
                <c:pt idx="1513">
                  <c:v>14424</c:v>
                </c:pt>
                <c:pt idx="1514">
                  <c:v>14424</c:v>
                </c:pt>
                <c:pt idx="1515">
                  <c:v>14424</c:v>
                </c:pt>
                <c:pt idx="1516">
                  <c:v>14424</c:v>
                </c:pt>
                <c:pt idx="1517">
                  <c:v>14500</c:v>
                </c:pt>
                <c:pt idx="1518">
                  <c:v>14502</c:v>
                </c:pt>
                <c:pt idx="1519">
                  <c:v>14566</c:v>
                </c:pt>
                <c:pt idx="1520">
                  <c:v>14568</c:v>
                </c:pt>
                <c:pt idx="1521">
                  <c:v>14812</c:v>
                </c:pt>
                <c:pt idx="1522">
                  <c:v>14993</c:v>
                </c:pt>
                <c:pt idx="1523">
                  <c:v>14993</c:v>
                </c:pt>
                <c:pt idx="1524">
                  <c:v>14993</c:v>
                </c:pt>
                <c:pt idx="1525">
                  <c:v>14993</c:v>
                </c:pt>
                <c:pt idx="1526">
                  <c:v>14993</c:v>
                </c:pt>
                <c:pt idx="1527">
                  <c:v>14993</c:v>
                </c:pt>
                <c:pt idx="1528">
                  <c:v>14993</c:v>
                </c:pt>
                <c:pt idx="1529">
                  <c:v>14993</c:v>
                </c:pt>
                <c:pt idx="1530">
                  <c:v>14993</c:v>
                </c:pt>
                <c:pt idx="1531">
                  <c:v>15000</c:v>
                </c:pt>
                <c:pt idx="1532">
                  <c:v>15052</c:v>
                </c:pt>
                <c:pt idx="1533">
                  <c:v>15128</c:v>
                </c:pt>
                <c:pt idx="1534">
                  <c:v>15128</c:v>
                </c:pt>
                <c:pt idx="1535">
                  <c:v>15128</c:v>
                </c:pt>
                <c:pt idx="1536">
                  <c:v>15282</c:v>
                </c:pt>
                <c:pt idx="1537">
                  <c:v>15500</c:v>
                </c:pt>
                <c:pt idx="1538">
                  <c:v>15500</c:v>
                </c:pt>
                <c:pt idx="1539">
                  <c:v>15500</c:v>
                </c:pt>
                <c:pt idx="1540">
                  <c:v>15500</c:v>
                </c:pt>
                <c:pt idx="1541">
                  <c:v>15500</c:v>
                </c:pt>
                <c:pt idx="1542">
                  <c:v>15550</c:v>
                </c:pt>
                <c:pt idx="1543">
                  <c:v>15550</c:v>
                </c:pt>
                <c:pt idx="1544">
                  <c:v>15550</c:v>
                </c:pt>
                <c:pt idx="1545">
                  <c:v>15908</c:v>
                </c:pt>
                <c:pt idx="1546">
                  <c:v>15908</c:v>
                </c:pt>
                <c:pt idx="1547">
                  <c:v>15908</c:v>
                </c:pt>
                <c:pt idx="1548">
                  <c:v>15909</c:v>
                </c:pt>
                <c:pt idx="1549">
                  <c:v>16000</c:v>
                </c:pt>
                <c:pt idx="1550">
                  <c:v>16000</c:v>
                </c:pt>
                <c:pt idx="1551">
                  <c:v>16020</c:v>
                </c:pt>
                <c:pt idx="1552">
                  <c:v>16020</c:v>
                </c:pt>
                <c:pt idx="1553">
                  <c:v>16652</c:v>
                </c:pt>
                <c:pt idx="1554">
                  <c:v>16652</c:v>
                </c:pt>
                <c:pt idx="1555">
                  <c:v>16652</c:v>
                </c:pt>
                <c:pt idx="1556">
                  <c:v>16872</c:v>
                </c:pt>
                <c:pt idx="1557">
                  <c:v>16909</c:v>
                </c:pt>
                <c:pt idx="1558">
                  <c:v>17273</c:v>
                </c:pt>
                <c:pt idx="1559">
                  <c:v>17273</c:v>
                </c:pt>
                <c:pt idx="1560">
                  <c:v>17273</c:v>
                </c:pt>
                <c:pt idx="1561">
                  <c:v>17292</c:v>
                </c:pt>
                <c:pt idx="1562">
                  <c:v>17292</c:v>
                </c:pt>
                <c:pt idx="1563">
                  <c:v>17292</c:v>
                </c:pt>
                <c:pt idx="1564">
                  <c:v>17327</c:v>
                </c:pt>
                <c:pt idx="1565">
                  <c:v>17590</c:v>
                </c:pt>
                <c:pt idx="1566">
                  <c:v>17590</c:v>
                </c:pt>
                <c:pt idx="1567">
                  <c:v>17664</c:v>
                </c:pt>
                <c:pt idx="1568">
                  <c:v>17700</c:v>
                </c:pt>
                <c:pt idx="1569">
                  <c:v>17722</c:v>
                </c:pt>
                <c:pt idx="1570">
                  <c:v>17859</c:v>
                </c:pt>
                <c:pt idx="1571">
                  <c:v>17859</c:v>
                </c:pt>
                <c:pt idx="1572">
                  <c:v>18270</c:v>
                </c:pt>
                <c:pt idx="1573">
                  <c:v>18270</c:v>
                </c:pt>
                <c:pt idx="1574">
                  <c:v>18270</c:v>
                </c:pt>
                <c:pt idx="1575">
                  <c:v>18270</c:v>
                </c:pt>
                <c:pt idx="1576">
                  <c:v>18270</c:v>
                </c:pt>
                <c:pt idx="1577">
                  <c:v>18270</c:v>
                </c:pt>
                <c:pt idx="1578">
                  <c:v>18270</c:v>
                </c:pt>
                <c:pt idx="1579">
                  <c:v>18270</c:v>
                </c:pt>
                <c:pt idx="1580">
                  <c:v>18270</c:v>
                </c:pt>
                <c:pt idx="1581">
                  <c:v>18270</c:v>
                </c:pt>
                <c:pt idx="1582">
                  <c:v>18270</c:v>
                </c:pt>
                <c:pt idx="1583">
                  <c:v>18340</c:v>
                </c:pt>
                <c:pt idx="1584">
                  <c:v>18340</c:v>
                </c:pt>
                <c:pt idx="1585">
                  <c:v>18340</c:v>
                </c:pt>
                <c:pt idx="1586">
                  <c:v>18340</c:v>
                </c:pt>
                <c:pt idx="1587">
                  <c:v>18340</c:v>
                </c:pt>
                <c:pt idx="1588">
                  <c:v>18800</c:v>
                </c:pt>
                <c:pt idx="1589">
                  <c:v>18800</c:v>
                </c:pt>
                <c:pt idx="1590">
                  <c:v>18800</c:v>
                </c:pt>
                <c:pt idx="1591">
                  <c:v>18980</c:v>
                </c:pt>
                <c:pt idx="1592">
                  <c:v>18980</c:v>
                </c:pt>
                <c:pt idx="1593">
                  <c:v>19000</c:v>
                </c:pt>
                <c:pt idx="1594">
                  <c:v>19000</c:v>
                </c:pt>
                <c:pt idx="1595">
                  <c:v>19100</c:v>
                </c:pt>
                <c:pt idx="1596">
                  <c:v>19100</c:v>
                </c:pt>
                <c:pt idx="1597">
                  <c:v>19200</c:v>
                </c:pt>
                <c:pt idx="1598">
                  <c:v>19224</c:v>
                </c:pt>
                <c:pt idx="1599">
                  <c:v>19224</c:v>
                </c:pt>
                <c:pt idx="1600">
                  <c:v>19224</c:v>
                </c:pt>
                <c:pt idx="1601">
                  <c:v>19224</c:v>
                </c:pt>
                <c:pt idx="1602">
                  <c:v>19224</c:v>
                </c:pt>
                <c:pt idx="1603">
                  <c:v>19224</c:v>
                </c:pt>
                <c:pt idx="1604">
                  <c:v>19273</c:v>
                </c:pt>
                <c:pt idx="1605">
                  <c:v>19273</c:v>
                </c:pt>
                <c:pt idx="1606">
                  <c:v>19273</c:v>
                </c:pt>
                <c:pt idx="1607">
                  <c:v>19273</c:v>
                </c:pt>
                <c:pt idx="1608">
                  <c:v>19273</c:v>
                </c:pt>
                <c:pt idx="1609">
                  <c:v>19437</c:v>
                </c:pt>
                <c:pt idx="1610">
                  <c:v>19437</c:v>
                </c:pt>
                <c:pt idx="1611">
                  <c:v>19462</c:v>
                </c:pt>
                <c:pt idx="1612">
                  <c:v>19472</c:v>
                </c:pt>
                <c:pt idx="1613">
                  <c:v>19630</c:v>
                </c:pt>
                <c:pt idx="1614">
                  <c:v>19870</c:v>
                </c:pt>
                <c:pt idx="1615">
                  <c:v>19870</c:v>
                </c:pt>
                <c:pt idx="1616">
                  <c:v>19870</c:v>
                </c:pt>
                <c:pt idx="1617">
                  <c:v>20000</c:v>
                </c:pt>
                <c:pt idx="1618">
                  <c:v>20119</c:v>
                </c:pt>
                <c:pt idx="1619">
                  <c:v>20119</c:v>
                </c:pt>
                <c:pt idx="1620">
                  <c:v>20150</c:v>
                </c:pt>
                <c:pt idx="1621">
                  <c:v>20150</c:v>
                </c:pt>
                <c:pt idx="1622">
                  <c:v>20150</c:v>
                </c:pt>
                <c:pt idx="1623">
                  <c:v>20170</c:v>
                </c:pt>
                <c:pt idx="1624">
                  <c:v>20170</c:v>
                </c:pt>
                <c:pt idx="1625">
                  <c:v>20170</c:v>
                </c:pt>
                <c:pt idx="1626">
                  <c:v>20170</c:v>
                </c:pt>
                <c:pt idx="1627">
                  <c:v>20244</c:v>
                </c:pt>
                <c:pt idx="1628">
                  <c:v>20244</c:v>
                </c:pt>
                <c:pt idx="1629">
                  <c:v>20244</c:v>
                </c:pt>
                <c:pt idx="1630">
                  <c:v>20388</c:v>
                </c:pt>
                <c:pt idx="1631">
                  <c:v>20388</c:v>
                </c:pt>
                <c:pt idx="1632">
                  <c:v>20388</c:v>
                </c:pt>
                <c:pt idx="1633">
                  <c:v>20388</c:v>
                </c:pt>
                <c:pt idx="1634">
                  <c:v>20388</c:v>
                </c:pt>
                <c:pt idx="1635">
                  <c:v>20388</c:v>
                </c:pt>
                <c:pt idx="1636">
                  <c:v>20388</c:v>
                </c:pt>
                <c:pt idx="1637">
                  <c:v>20568</c:v>
                </c:pt>
                <c:pt idx="1638">
                  <c:v>20568</c:v>
                </c:pt>
                <c:pt idx="1639">
                  <c:v>20568</c:v>
                </c:pt>
                <c:pt idx="1640">
                  <c:v>20568</c:v>
                </c:pt>
                <c:pt idx="1641">
                  <c:v>20568</c:v>
                </c:pt>
                <c:pt idx="1642">
                  <c:v>20568</c:v>
                </c:pt>
                <c:pt idx="1643">
                  <c:v>20568</c:v>
                </c:pt>
                <c:pt idx="1644">
                  <c:v>20568</c:v>
                </c:pt>
                <c:pt idx="1645">
                  <c:v>20776</c:v>
                </c:pt>
                <c:pt idx="1646">
                  <c:v>20954</c:v>
                </c:pt>
                <c:pt idx="1647">
                  <c:v>20954</c:v>
                </c:pt>
                <c:pt idx="1648">
                  <c:v>21237</c:v>
                </c:pt>
                <c:pt idx="1649">
                  <c:v>21237</c:v>
                </c:pt>
                <c:pt idx="1650">
                  <c:v>22448</c:v>
                </c:pt>
                <c:pt idx="1651">
                  <c:v>23112</c:v>
                </c:pt>
                <c:pt idx="1652">
                  <c:v>23112</c:v>
                </c:pt>
                <c:pt idx="1653">
                  <c:v>23112</c:v>
                </c:pt>
                <c:pt idx="1654">
                  <c:v>23500</c:v>
                </c:pt>
                <c:pt idx="1655">
                  <c:v>23792</c:v>
                </c:pt>
                <c:pt idx="1656">
                  <c:v>23792</c:v>
                </c:pt>
                <c:pt idx="1657">
                  <c:v>23792</c:v>
                </c:pt>
                <c:pt idx="1658">
                  <c:v>23792</c:v>
                </c:pt>
                <c:pt idx="1659">
                  <c:v>23792</c:v>
                </c:pt>
                <c:pt idx="1660">
                  <c:v>23964</c:v>
                </c:pt>
                <c:pt idx="1661">
                  <c:v>23964</c:v>
                </c:pt>
                <c:pt idx="1662">
                  <c:v>23964</c:v>
                </c:pt>
                <c:pt idx="1663">
                  <c:v>23964</c:v>
                </c:pt>
                <c:pt idx="1664">
                  <c:v>23964</c:v>
                </c:pt>
                <c:pt idx="1665">
                  <c:v>23964</c:v>
                </c:pt>
                <c:pt idx="1666">
                  <c:v>23964</c:v>
                </c:pt>
              </c:numCache>
            </c:numRef>
          </c:xVal>
          <c:yVal>
            <c:numRef>
              <c:f>'Schätzung Schiff'!$D$31:$D$1697</c:f>
              <c:numCache>
                <c:formatCode>General</c:formatCode>
                <c:ptCount val="1667"/>
                <c:pt idx="0">
                  <c:v>11388</c:v>
                </c:pt>
                <c:pt idx="1">
                  <c:v>11433</c:v>
                </c:pt>
                <c:pt idx="2">
                  <c:v>21370</c:v>
                </c:pt>
                <c:pt idx="3">
                  <c:v>17230</c:v>
                </c:pt>
                <c:pt idx="4">
                  <c:v>21370</c:v>
                </c:pt>
                <c:pt idx="5">
                  <c:v>21370</c:v>
                </c:pt>
                <c:pt idx="6">
                  <c:v>21370</c:v>
                </c:pt>
                <c:pt idx="7">
                  <c:v>18779</c:v>
                </c:pt>
                <c:pt idx="8">
                  <c:v>23896</c:v>
                </c:pt>
                <c:pt idx="9">
                  <c:v>22308</c:v>
                </c:pt>
                <c:pt idx="10">
                  <c:v>22310</c:v>
                </c:pt>
                <c:pt idx="11">
                  <c:v>22248</c:v>
                </c:pt>
                <c:pt idx="12">
                  <c:v>23978</c:v>
                </c:pt>
                <c:pt idx="13">
                  <c:v>16450</c:v>
                </c:pt>
                <c:pt idx="14">
                  <c:v>19131</c:v>
                </c:pt>
                <c:pt idx="15">
                  <c:v>22749</c:v>
                </c:pt>
                <c:pt idx="16">
                  <c:v>22746</c:v>
                </c:pt>
                <c:pt idx="17">
                  <c:v>22967</c:v>
                </c:pt>
                <c:pt idx="18">
                  <c:v>23045</c:v>
                </c:pt>
                <c:pt idx="19">
                  <c:v>23027</c:v>
                </c:pt>
                <c:pt idx="20">
                  <c:v>22967</c:v>
                </c:pt>
                <c:pt idx="21">
                  <c:v>23732</c:v>
                </c:pt>
                <c:pt idx="22">
                  <c:v>23690</c:v>
                </c:pt>
                <c:pt idx="23">
                  <c:v>23295</c:v>
                </c:pt>
                <c:pt idx="24">
                  <c:v>23664</c:v>
                </c:pt>
                <c:pt idx="25">
                  <c:v>22300</c:v>
                </c:pt>
                <c:pt idx="26">
                  <c:v>22308</c:v>
                </c:pt>
                <c:pt idx="27">
                  <c:v>25900</c:v>
                </c:pt>
                <c:pt idx="28">
                  <c:v>28220</c:v>
                </c:pt>
                <c:pt idx="29">
                  <c:v>28187</c:v>
                </c:pt>
                <c:pt idx="30">
                  <c:v>28203</c:v>
                </c:pt>
                <c:pt idx="31">
                  <c:v>28179</c:v>
                </c:pt>
                <c:pt idx="32">
                  <c:v>28142</c:v>
                </c:pt>
                <c:pt idx="33">
                  <c:v>28123</c:v>
                </c:pt>
                <c:pt idx="34">
                  <c:v>28186</c:v>
                </c:pt>
                <c:pt idx="35">
                  <c:v>28156</c:v>
                </c:pt>
                <c:pt idx="36">
                  <c:v>28197</c:v>
                </c:pt>
                <c:pt idx="37">
                  <c:v>29098</c:v>
                </c:pt>
                <c:pt idx="38">
                  <c:v>26811</c:v>
                </c:pt>
                <c:pt idx="39">
                  <c:v>26000</c:v>
                </c:pt>
                <c:pt idx="40">
                  <c:v>24084</c:v>
                </c:pt>
                <c:pt idx="41">
                  <c:v>22263</c:v>
                </c:pt>
                <c:pt idx="42">
                  <c:v>22243</c:v>
                </c:pt>
                <c:pt idx="43">
                  <c:v>27131</c:v>
                </c:pt>
                <c:pt idx="44">
                  <c:v>22267</c:v>
                </c:pt>
                <c:pt idx="45">
                  <c:v>22254</c:v>
                </c:pt>
                <c:pt idx="46">
                  <c:v>29266</c:v>
                </c:pt>
                <c:pt idx="47">
                  <c:v>26337</c:v>
                </c:pt>
                <c:pt idx="48">
                  <c:v>24750</c:v>
                </c:pt>
                <c:pt idx="49">
                  <c:v>28520</c:v>
                </c:pt>
                <c:pt idx="50">
                  <c:v>27155</c:v>
                </c:pt>
                <c:pt idx="51">
                  <c:v>27244</c:v>
                </c:pt>
                <c:pt idx="52">
                  <c:v>31160</c:v>
                </c:pt>
                <c:pt idx="53">
                  <c:v>30258</c:v>
                </c:pt>
                <c:pt idx="54">
                  <c:v>30188</c:v>
                </c:pt>
                <c:pt idx="55">
                  <c:v>30173</c:v>
                </c:pt>
                <c:pt idx="56">
                  <c:v>30201</c:v>
                </c:pt>
                <c:pt idx="57">
                  <c:v>30095</c:v>
                </c:pt>
                <c:pt idx="58">
                  <c:v>30781</c:v>
                </c:pt>
                <c:pt idx="59">
                  <c:v>30259</c:v>
                </c:pt>
                <c:pt idx="60">
                  <c:v>30375</c:v>
                </c:pt>
                <c:pt idx="61">
                  <c:v>28370</c:v>
                </c:pt>
                <c:pt idx="62">
                  <c:v>31200</c:v>
                </c:pt>
                <c:pt idx="63">
                  <c:v>30573</c:v>
                </c:pt>
                <c:pt idx="64">
                  <c:v>28917</c:v>
                </c:pt>
                <c:pt idx="65">
                  <c:v>28879</c:v>
                </c:pt>
                <c:pt idx="66">
                  <c:v>28876</c:v>
                </c:pt>
                <c:pt idx="67">
                  <c:v>30029</c:v>
                </c:pt>
                <c:pt idx="68">
                  <c:v>30239</c:v>
                </c:pt>
                <c:pt idx="69">
                  <c:v>30554</c:v>
                </c:pt>
                <c:pt idx="70">
                  <c:v>30450</c:v>
                </c:pt>
                <c:pt idx="71">
                  <c:v>37400</c:v>
                </c:pt>
                <c:pt idx="72">
                  <c:v>30705</c:v>
                </c:pt>
                <c:pt idx="73">
                  <c:v>30781</c:v>
                </c:pt>
                <c:pt idx="74">
                  <c:v>30725</c:v>
                </c:pt>
                <c:pt idx="75">
                  <c:v>30804</c:v>
                </c:pt>
                <c:pt idx="76">
                  <c:v>30194</c:v>
                </c:pt>
                <c:pt idx="77">
                  <c:v>30194</c:v>
                </c:pt>
                <c:pt idx="78">
                  <c:v>36377</c:v>
                </c:pt>
                <c:pt idx="79">
                  <c:v>30450</c:v>
                </c:pt>
                <c:pt idx="80">
                  <c:v>30804</c:v>
                </c:pt>
                <c:pt idx="81">
                  <c:v>30804</c:v>
                </c:pt>
                <c:pt idx="82">
                  <c:v>32984</c:v>
                </c:pt>
                <c:pt idx="83">
                  <c:v>33659</c:v>
                </c:pt>
                <c:pt idx="84">
                  <c:v>30079</c:v>
                </c:pt>
                <c:pt idx="85">
                  <c:v>34330</c:v>
                </c:pt>
                <c:pt idx="86">
                  <c:v>44541</c:v>
                </c:pt>
                <c:pt idx="87">
                  <c:v>30714</c:v>
                </c:pt>
                <c:pt idx="88">
                  <c:v>33894</c:v>
                </c:pt>
                <c:pt idx="89">
                  <c:v>12454</c:v>
                </c:pt>
                <c:pt idx="90">
                  <c:v>33900</c:v>
                </c:pt>
                <c:pt idx="91">
                  <c:v>33899</c:v>
                </c:pt>
                <c:pt idx="92">
                  <c:v>33594</c:v>
                </c:pt>
                <c:pt idx="93">
                  <c:v>33796</c:v>
                </c:pt>
                <c:pt idx="94">
                  <c:v>33853</c:v>
                </c:pt>
                <c:pt idx="95">
                  <c:v>33850</c:v>
                </c:pt>
                <c:pt idx="96">
                  <c:v>33812</c:v>
                </c:pt>
                <c:pt idx="97">
                  <c:v>33914</c:v>
                </c:pt>
                <c:pt idx="98">
                  <c:v>33850</c:v>
                </c:pt>
                <c:pt idx="99">
                  <c:v>33742</c:v>
                </c:pt>
                <c:pt idx="100">
                  <c:v>33750</c:v>
                </c:pt>
                <c:pt idx="101">
                  <c:v>33781</c:v>
                </c:pt>
                <c:pt idx="102">
                  <c:v>33390</c:v>
                </c:pt>
                <c:pt idx="103">
                  <c:v>34973</c:v>
                </c:pt>
                <c:pt idx="104">
                  <c:v>33662</c:v>
                </c:pt>
                <c:pt idx="105">
                  <c:v>34350</c:v>
                </c:pt>
                <c:pt idx="106">
                  <c:v>34444</c:v>
                </c:pt>
                <c:pt idx="107">
                  <c:v>34409</c:v>
                </c:pt>
                <c:pt idx="108">
                  <c:v>34393</c:v>
                </c:pt>
                <c:pt idx="109">
                  <c:v>35586</c:v>
                </c:pt>
                <c:pt idx="110">
                  <c:v>34220</c:v>
                </c:pt>
                <c:pt idx="111">
                  <c:v>34191</c:v>
                </c:pt>
                <c:pt idx="112">
                  <c:v>32321</c:v>
                </c:pt>
                <c:pt idx="113">
                  <c:v>32299</c:v>
                </c:pt>
                <c:pt idx="114">
                  <c:v>33657</c:v>
                </c:pt>
                <c:pt idx="115">
                  <c:v>34654</c:v>
                </c:pt>
                <c:pt idx="116">
                  <c:v>33879</c:v>
                </c:pt>
                <c:pt idx="117">
                  <c:v>33771</c:v>
                </c:pt>
                <c:pt idx="118">
                  <c:v>33771</c:v>
                </c:pt>
                <c:pt idx="119">
                  <c:v>33819</c:v>
                </c:pt>
                <c:pt idx="120">
                  <c:v>34662</c:v>
                </c:pt>
                <c:pt idx="121">
                  <c:v>33460</c:v>
                </c:pt>
                <c:pt idx="122">
                  <c:v>33413</c:v>
                </c:pt>
                <c:pt idx="123">
                  <c:v>33460</c:v>
                </c:pt>
                <c:pt idx="124">
                  <c:v>33448</c:v>
                </c:pt>
                <c:pt idx="125">
                  <c:v>33460</c:v>
                </c:pt>
                <c:pt idx="126">
                  <c:v>33871</c:v>
                </c:pt>
                <c:pt idx="127">
                  <c:v>33100</c:v>
                </c:pt>
                <c:pt idx="128">
                  <c:v>33508</c:v>
                </c:pt>
                <c:pt idx="129">
                  <c:v>34567</c:v>
                </c:pt>
                <c:pt idx="130">
                  <c:v>34287</c:v>
                </c:pt>
                <c:pt idx="131">
                  <c:v>34282</c:v>
                </c:pt>
                <c:pt idx="132">
                  <c:v>34289</c:v>
                </c:pt>
                <c:pt idx="133">
                  <c:v>34263</c:v>
                </c:pt>
                <c:pt idx="134">
                  <c:v>34273</c:v>
                </c:pt>
                <c:pt idx="135">
                  <c:v>34295</c:v>
                </c:pt>
                <c:pt idx="136">
                  <c:v>34315</c:v>
                </c:pt>
                <c:pt idx="137">
                  <c:v>34251</c:v>
                </c:pt>
                <c:pt idx="138">
                  <c:v>34649</c:v>
                </c:pt>
                <c:pt idx="139">
                  <c:v>34248</c:v>
                </c:pt>
                <c:pt idx="140">
                  <c:v>34253</c:v>
                </c:pt>
                <c:pt idx="141">
                  <c:v>34643</c:v>
                </c:pt>
                <c:pt idx="142">
                  <c:v>33800</c:v>
                </c:pt>
                <c:pt idx="143">
                  <c:v>34677</c:v>
                </c:pt>
                <c:pt idx="144">
                  <c:v>34300</c:v>
                </c:pt>
                <c:pt idx="145">
                  <c:v>34314</c:v>
                </c:pt>
                <c:pt idx="146">
                  <c:v>34244</c:v>
                </c:pt>
                <c:pt idx="147">
                  <c:v>34629</c:v>
                </c:pt>
                <c:pt idx="148">
                  <c:v>34325</c:v>
                </c:pt>
                <c:pt idx="149">
                  <c:v>33450</c:v>
                </c:pt>
                <c:pt idx="150">
                  <c:v>34704</c:v>
                </c:pt>
                <c:pt idx="151">
                  <c:v>34396</c:v>
                </c:pt>
                <c:pt idx="152">
                  <c:v>34457</c:v>
                </c:pt>
                <c:pt idx="153">
                  <c:v>34638</c:v>
                </c:pt>
                <c:pt idx="154">
                  <c:v>41583</c:v>
                </c:pt>
                <c:pt idx="155">
                  <c:v>34622</c:v>
                </c:pt>
                <c:pt idx="156">
                  <c:v>39128</c:v>
                </c:pt>
                <c:pt idx="157">
                  <c:v>34578</c:v>
                </c:pt>
                <c:pt idx="158">
                  <c:v>45668</c:v>
                </c:pt>
                <c:pt idx="159">
                  <c:v>35977</c:v>
                </c:pt>
                <c:pt idx="160">
                  <c:v>38122</c:v>
                </c:pt>
                <c:pt idx="161">
                  <c:v>38080</c:v>
                </c:pt>
                <c:pt idx="162">
                  <c:v>38104</c:v>
                </c:pt>
                <c:pt idx="163">
                  <c:v>38117</c:v>
                </c:pt>
                <c:pt idx="164">
                  <c:v>30562</c:v>
                </c:pt>
                <c:pt idx="165">
                  <c:v>38700</c:v>
                </c:pt>
                <c:pt idx="166">
                  <c:v>37875</c:v>
                </c:pt>
                <c:pt idx="167">
                  <c:v>37894</c:v>
                </c:pt>
                <c:pt idx="168">
                  <c:v>39216</c:v>
                </c:pt>
                <c:pt idx="169">
                  <c:v>39350</c:v>
                </c:pt>
                <c:pt idx="170">
                  <c:v>38975</c:v>
                </c:pt>
                <c:pt idx="171">
                  <c:v>38636</c:v>
                </c:pt>
                <c:pt idx="172">
                  <c:v>38975</c:v>
                </c:pt>
                <c:pt idx="173">
                  <c:v>39000</c:v>
                </c:pt>
                <c:pt idx="174">
                  <c:v>37909</c:v>
                </c:pt>
                <c:pt idx="175">
                  <c:v>37883</c:v>
                </c:pt>
                <c:pt idx="176">
                  <c:v>37938</c:v>
                </c:pt>
                <c:pt idx="177">
                  <c:v>37934</c:v>
                </c:pt>
                <c:pt idx="178">
                  <c:v>37800</c:v>
                </c:pt>
                <c:pt idx="179">
                  <c:v>37800</c:v>
                </c:pt>
                <c:pt idx="180">
                  <c:v>35925</c:v>
                </c:pt>
                <c:pt idx="181">
                  <c:v>35555</c:v>
                </c:pt>
                <c:pt idx="182">
                  <c:v>35471</c:v>
                </c:pt>
                <c:pt idx="183">
                  <c:v>42513</c:v>
                </c:pt>
                <c:pt idx="184">
                  <c:v>34700</c:v>
                </c:pt>
                <c:pt idx="185">
                  <c:v>41411</c:v>
                </c:pt>
                <c:pt idx="186">
                  <c:v>41253</c:v>
                </c:pt>
                <c:pt idx="187">
                  <c:v>35814</c:v>
                </c:pt>
                <c:pt idx="188">
                  <c:v>35768</c:v>
                </c:pt>
                <c:pt idx="189">
                  <c:v>35653</c:v>
                </c:pt>
                <c:pt idx="190">
                  <c:v>37274</c:v>
                </c:pt>
                <c:pt idx="191">
                  <c:v>37125</c:v>
                </c:pt>
                <c:pt idx="192">
                  <c:v>39164</c:v>
                </c:pt>
                <c:pt idx="193">
                  <c:v>39267</c:v>
                </c:pt>
                <c:pt idx="194">
                  <c:v>35534</c:v>
                </c:pt>
                <c:pt idx="195">
                  <c:v>40881</c:v>
                </c:pt>
                <c:pt idx="196">
                  <c:v>40879</c:v>
                </c:pt>
                <c:pt idx="197">
                  <c:v>47272</c:v>
                </c:pt>
                <c:pt idx="198">
                  <c:v>39266</c:v>
                </c:pt>
                <c:pt idx="199">
                  <c:v>39374</c:v>
                </c:pt>
                <c:pt idx="200">
                  <c:v>39426</c:v>
                </c:pt>
                <c:pt idx="201">
                  <c:v>39316</c:v>
                </c:pt>
                <c:pt idx="202">
                  <c:v>39200</c:v>
                </c:pt>
                <c:pt idx="203">
                  <c:v>39200</c:v>
                </c:pt>
                <c:pt idx="204">
                  <c:v>39200</c:v>
                </c:pt>
                <c:pt idx="205">
                  <c:v>39200</c:v>
                </c:pt>
                <c:pt idx="206">
                  <c:v>39262</c:v>
                </c:pt>
                <c:pt idx="207">
                  <c:v>39356</c:v>
                </c:pt>
                <c:pt idx="208">
                  <c:v>39418</c:v>
                </c:pt>
                <c:pt idx="209">
                  <c:v>39345</c:v>
                </c:pt>
                <c:pt idx="210">
                  <c:v>39269</c:v>
                </c:pt>
                <c:pt idx="211">
                  <c:v>39420</c:v>
                </c:pt>
                <c:pt idx="212">
                  <c:v>39382</c:v>
                </c:pt>
                <c:pt idx="213">
                  <c:v>39418</c:v>
                </c:pt>
                <c:pt idx="214">
                  <c:v>39295</c:v>
                </c:pt>
                <c:pt idx="215">
                  <c:v>39446</c:v>
                </c:pt>
                <c:pt idx="216">
                  <c:v>39333</c:v>
                </c:pt>
                <c:pt idx="217">
                  <c:v>39200</c:v>
                </c:pt>
                <c:pt idx="218">
                  <c:v>39339</c:v>
                </c:pt>
                <c:pt idx="219">
                  <c:v>39418</c:v>
                </c:pt>
                <c:pt idx="220">
                  <c:v>39277</c:v>
                </c:pt>
                <c:pt idx="221">
                  <c:v>39383</c:v>
                </c:pt>
                <c:pt idx="222">
                  <c:v>39360</c:v>
                </c:pt>
                <c:pt idx="223">
                  <c:v>39200</c:v>
                </c:pt>
                <c:pt idx="224">
                  <c:v>35966</c:v>
                </c:pt>
                <c:pt idx="225">
                  <c:v>35097</c:v>
                </c:pt>
                <c:pt idx="226">
                  <c:v>34700</c:v>
                </c:pt>
                <c:pt idx="227">
                  <c:v>35391</c:v>
                </c:pt>
                <c:pt idx="228">
                  <c:v>38380</c:v>
                </c:pt>
                <c:pt idx="229">
                  <c:v>35097</c:v>
                </c:pt>
                <c:pt idx="230">
                  <c:v>35021</c:v>
                </c:pt>
                <c:pt idx="231">
                  <c:v>40117</c:v>
                </c:pt>
                <c:pt idx="232">
                  <c:v>43170</c:v>
                </c:pt>
                <c:pt idx="233">
                  <c:v>34670</c:v>
                </c:pt>
                <c:pt idx="234">
                  <c:v>44013</c:v>
                </c:pt>
                <c:pt idx="235">
                  <c:v>46975</c:v>
                </c:pt>
                <c:pt idx="236">
                  <c:v>46852</c:v>
                </c:pt>
                <c:pt idx="237">
                  <c:v>46600</c:v>
                </c:pt>
                <c:pt idx="238">
                  <c:v>47120</c:v>
                </c:pt>
                <c:pt idx="239">
                  <c:v>47120</c:v>
                </c:pt>
                <c:pt idx="240">
                  <c:v>45725</c:v>
                </c:pt>
                <c:pt idx="241">
                  <c:v>42976</c:v>
                </c:pt>
                <c:pt idx="242">
                  <c:v>41647</c:v>
                </c:pt>
                <c:pt idx="243">
                  <c:v>42211</c:v>
                </c:pt>
                <c:pt idx="244">
                  <c:v>42200</c:v>
                </c:pt>
                <c:pt idx="245">
                  <c:v>41802</c:v>
                </c:pt>
                <c:pt idx="246">
                  <c:v>41748</c:v>
                </c:pt>
                <c:pt idx="247">
                  <c:v>35886</c:v>
                </c:pt>
                <c:pt idx="248">
                  <c:v>43239</c:v>
                </c:pt>
                <c:pt idx="249">
                  <c:v>43177</c:v>
                </c:pt>
                <c:pt idx="250">
                  <c:v>42200</c:v>
                </c:pt>
                <c:pt idx="251">
                  <c:v>42213</c:v>
                </c:pt>
                <c:pt idx="252">
                  <c:v>40478</c:v>
                </c:pt>
                <c:pt idx="253">
                  <c:v>40478</c:v>
                </c:pt>
                <c:pt idx="254">
                  <c:v>40478</c:v>
                </c:pt>
                <c:pt idx="255">
                  <c:v>40478</c:v>
                </c:pt>
                <c:pt idx="256">
                  <c:v>40478</c:v>
                </c:pt>
                <c:pt idx="257">
                  <c:v>50855</c:v>
                </c:pt>
                <c:pt idx="258">
                  <c:v>51210</c:v>
                </c:pt>
                <c:pt idx="259">
                  <c:v>44239</c:v>
                </c:pt>
                <c:pt idx="260">
                  <c:v>44174</c:v>
                </c:pt>
                <c:pt idx="261">
                  <c:v>42966</c:v>
                </c:pt>
                <c:pt idx="262">
                  <c:v>44022</c:v>
                </c:pt>
                <c:pt idx="263">
                  <c:v>44052</c:v>
                </c:pt>
                <c:pt idx="264">
                  <c:v>42082</c:v>
                </c:pt>
                <c:pt idx="265">
                  <c:v>42566</c:v>
                </c:pt>
                <c:pt idx="266">
                  <c:v>44135</c:v>
                </c:pt>
                <c:pt idx="267">
                  <c:v>42614</c:v>
                </c:pt>
                <c:pt idx="268">
                  <c:v>43618</c:v>
                </c:pt>
                <c:pt idx="269">
                  <c:v>56902</c:v>
                </c:pt>
                <c:pt idx="270">
                  <c:v>42954</c:v>
                </c:pt>
                <c:pt idx="271">
                  <c:v>43604</c:v>
                </c:pt>
                <c:pt idx="272">
                  <c:v>46500</c:v>
                </c:pt>
                <c:pt idx="273">
                  <c:v>42454</c:v>
                </c:pt>
                <c:pt idx="274">
                  <c:v>45850</c:v>
                </c:pt>
                <c:pt idx="275">
                  <c:v>46850</c:v>
                </c:pt>
                <c:pt idx="276">
                  <c:v>45850</c:v>
                </c:pt>
                <c:pt idx="277">
                  <c:v>46350</c:v>
                </c:pt>
                <c:pt idx="278">
                  <c:v>40018</c:v>
                </c:pt>
                <c:pt idx="279">
                  <c:v>40125</c:v>
                </c:pt>
                <c:pt idx="280">
                  <c:v>40059</c:v>
                </c:pt>
                <c:pt idx="281">
                  <c:v>40102</c:v>
                </c:pt>
                <c:pt idx="282">
                  <c:v>44510</c:v>
                </c:pt>
                <c:pt idx="283">
                  <c:v>44510</c:v>
                </c:pt>
                <c:pt idx="284">
                  <c:v>46311</c:v>
                </c:pt>
                <c:pt idx="285">
                  <c:v>46309</c:v>
                </c:pt>
                <c:pt idx="286">
                  <c:v>45530</c:v>
                </c:pt>
                <c:pt idx="287">
                  <c:v>42074</c:v>
                </c:pt>
                <c:pt idx="288">
                  <c:v>41973</c:v>
                </c:pt>
                <c:pt idx="289">
                  <c:v>42102</c:v>
                </c:pt>
                <c:pt idx="290">
                  <c:v>42186</c:v>
                </c:pt>
                <c:pt idx="291">
                  <c:v>42183</c:v>
                </c:pt>
                <c:pt idx="292">
                  <c:v>42183</c:v>
                </c:pt>
                <c:pt idx="293">
                  <c:v>42121</c:v>
                </c:pt>
                <c:pt idx="294">
                  <c:v>42002</c:v>
                </c:pt>
                <c:pt idx="295">
                  <c:v>41964</c:v>
                </c:pt>
                <c:pt idx="296">
                  <c:v>41974</c:v>
                </c:pt>
                <c:pt idx="297">
                  <c:v>45000</c:v>
                </c:pt>
                <c:pt idx="298">
                  <c:v>46345</c:v>
                </c:pt>
                <c:pt idx="299">
                  <c:v>46321</c:v>
                </c:pt>
                <c:pt idx="300">
                  <c:v>42000</c:v>
                </c:pt>
                <c:pt idx="301">
                  <c:v>45240</c:v>
                </c:pt>
                <c:pt idx="302">
                  <c:v>45217</c:v>
                </c:pt>
                <c:pt idx="303">
                  <c:v>53139</c:v>
                </c:pt>
                <c:pt idx="304">
                  <c:v>53483</c:v>
                </c:pt>
                <c:pt idx="305">
                  <c:v>47000</c:v>
                </c:pt>
                <c:pt idx="306">
                  <c:v>46925</c:v>
                </c:pt>
                <c:pt idx="307">
                  <c:v>46956</c:v>
                </c:pt>
                <c:pt idx="308">
                  <c:v>47000</c:v>
                </c:pt>
                <c:pt idx="309">
                  <c:v>47267</c:v>
                </c:pt>
                <c:pt idx="310">
                  <c:v>53124</c:v>
                </c:pt>
                <c:pt idx="311">
                  <c:v>63400</c:v>
                </c:pt>
                <c:pt idx="312">
                  <c:v>63400</c:v>
                </c:pt>
                <c:pt idx="313">
                  <c:v>42000</c:v>
                </c:pt>
                <c:pt idx="314">
                  <c:v>51060</c:v>
                </c:pt>
                <c:pt idx="315">
                  <c:v>51087</c:v>
                </c:pt>
                <c:pt idx="316">
                  <c:v>51101</c:v>
                </c:pt>
                <c:pt idx="317">
                  <c:v>51087</c:v>
                </c:pt>
                <c:pt idx="318">
                  <c:v>53274</c:v>
                </c:pt>
                <c:pt idx="319">
                  <c:v>51059</c:v>
                </c:pt>
                <c:pt idx="320">
                  <c:v>52156</c:v>
                </c:pt>
                <c:pt idx="321">
                  <c:v>52023</c:v>
                </c:pt>
                <c:pt idx="322">
                  <c:v>49844</c:v>
                </c:pt>
                <c:pt idx="323">
                  <c:v>50004</c:v>
                </c:pt>
                <c:pt idx="324">
                  <c:v>49993</c:v>
                </c:pt>
                <c:pt idx="325">
                  <c:v>49844</c:v>
                </c:pt>
                <c:pt idx="326">
                  <c:v>59567</c:v>
                </c:pt>
                <c:pt idx="327">
                  <c:v>48304</c:v>
                </c:pt>
                <c:pt idx="328">
                  <c:v>50638</c:v>
                </c:pt>
                <c:pt idx="329">
                  <c:v>50532</c:v>
                </c:pt>
                <c:pt idx="330">
                  <c:v>50689</c:v>
                </c:pt>
                <c:pt idx="331">
                  <c:v>52161</c:v>
                </c:pt>
                <c:pt idx="332">
                  <c:v>52103</c:v>
                </c:pt>
                <c:pt idx="333">
                  <c:v>52101</c:v>
                </c:pt>
                <c:pt idx="334">
                  <c:v>52120</c:v>
                </c:pt>
                <c:pt idx="335">
                  <c:v>52056</c:v>
                </c:pt>
                <c:pt idx="336">
                  <c:v>55000</c:v>
                </c:pt>
                <c:pt idx="337">
                  <c:v>60640</c:v>
                </c:pt>
                <c:pt idx="338">
                  <c:v>67639</c:v>
                </c:pt>
                <c:pt idx="339">
                  <c:v>49238</c:v>
                </c:pt>
                <c:pt idx="340">
                  <c:v>48847</c:v>
                </c:pt>
                <c:pt idx="341">
                  <c:v>48874</c:v>
                </c:pt>
                <c:pt idx="342">
                  <c:v>50604</c:v>
                </c:pt>
                <c:pt idx="343">
                  <c:v>60350</c:v>
                </c:pt>
                <c:pt idx="344">
                  <c:v>62742</c:v>
                </c:pt>
                <c:pt idx="345">
                  <c:v>52248</c:v>
                </c:pt>
                <c:pt idx="346">
                  <c:v>52329</c:v>
                </c:pt>
                <c:pt idx="347">
                  <c:v>52683</c:v>
                </c:pt>
                <c:pt idx="348">
                  <c:v>51845</c:v>
                </c:pt>
                <c:pt idx="349">
                  <c:v>63200</c:v>
                </c:pt>
                <c:pt idx="350">
                  <c:v>63000</c:v>
                </c:pt>
                <c:pt idx="351">
                  <c:v>63150</c:v>
                </c:pt>
                <c:pt idx="352">
                  <c:v>62994</c:v>
                </c:pt>
                <c:pt idx="353">
                  <c:v>51870</c:v>
                </c:pt>
                <c:pt idx="354">
                  <c:v>56889</c:v>
                </c:pt>
                <c:pt idx="355">
                  <c:v>53328</c:v>
                </c:pt>
                <c:pt idx="356">
                  <c:v>53081</c:v>
                </c:pt>
                <c:pt idx="357">
                  <c:v>53410</c:v>
                </c:pt>
                <c:pt idx="358">
                  <c:v>53171</c:v>
                </c:pt>
                <c:pt idx="359">
                  <c:v>53462</c:v>
                </c:pt>
                <c:pt idx="360">
                  <c:v>54157</c:v>
                </c:pt>
                <c:pt idx="361">
                  <c:v>54157</c:v>
                </c:pt>
                <c:pt idx="362">
                  <c:v>54155</c:v>
                </c:pt>
                <c:pt idx="363">
                  <c:v>52786</c:v>
                </c:pt>
                <c:pt idx="364">
                  <c:v>52828</c:v>
                </c:pt>
                <c:pt idx="365">
                  <c:v>52806</c:v>
                </c:pt>
                <c:pt idx="366">
                  <c:v>52785</c:v>
                </c:pt>
                <c:pt idx="367">
                  <c:v>61454</c:v>
                </c:pt>
                <c:pt idx="368">
                  <c:v>60200</c:v>
                </c:pt>
                <c:pt idx="369">
                  <c:v>52788</c:v>
                </c:pt>
                <c:pt idx="370">
                  <c:v>52788</c:v>
                </c:pt>
                <c:pt idx="371">
                  <c:v>53890</c:v>
                </c:pt>
                <c:pt idx="372">
                  <c:v>50869</c:v>
                </c:pt>
                <c:pt idx="373">
                  <c:v>50500</c:v>
                </c:pt>
                <c:pt idx="374">
                  <c:v>50500</c:v>
                </c:pt>
                <c:pt idx="375">
                  <c:v>50300</c:v>
                </c:pt>
                <c:pt idx="376">
                  <c:v>55387</c:v>
                </c:pt>
                <c:pt idx="377">
                  <c:v>49857</c:v>
                </c:pt>
                <c:pt idx="378">
                  <c:v>50000</c:v>
                </c:pt>
                <c:pt idx="379">
                  <c:v>50000</c:v>
                </c:pt>
                <c:pt idx="380">
                  <c:v>50269</c:v>
                </c:pt>
                <c:pt idx="381">
                  <c:v>50278</c:v>
                </c:pt>
                <c:pt idx="382">
                  <c:v>50466</c:v>
                </c:pt>
                <c:pt idx="383">
                  <c:v>50525</c:v>
                </c:pt>
                <c:pt idx="384">
                  <c:v>50596</c:v>
                </c:pt>
                <c:pt idx="385">
                  <c:v>50629</c:v>
                </c:pt>
                <c:pt idx="386">
                  <c:v>50700</c:v>
                </c:pt>
                <c:pt idx="387">
                  <c:v>50638</c:v>
                </c:pt>
                <c:pt idx="388">
                  <c:v>50629</c:v>
                </c:pt>
                <c:pt idx="389">
                  <c:v>50739</c:v>
                </c:pt>
                <c:pt idx="390">
                  <c:v>50769</c:v>
                </c:pt>
                <c:pt idx="391">
                  <c:v>50629</c:v>
                </c:pt>
                <c:pt idx="392">
                  <c:v>50769</c:v>
                </c:pt>
                <c:pt idx="393">
                  <c:v>50497</c:v>
                </c:pt>
                <c:pt idx="394">
                  <c:v>50276</c:v>
                </c:pt>
                <c:pt idx="395">
                  <c:v>50591</c:v>
                </c:pt>
                <c:pt idx="396">
                  <c:v>52146</c:v>
                </c:pt>
                <c:pt idx="397">
                  <c:v>52214</c:v>
                </c:pt>
                <c:pt idx="398">
                  <c:v>52210</c:v>
                </c:pt>
                <c:pt idx="399">
                  <c:v>52216</c:v>
                </c:pt>
                <c:pt idx="400">
                  <c:v>52200</c:v>
                </c:pt>
                <c:pt idx="401">
                  <c:v>52279</c:v>
                </c:pt>
                <c:pt idx="402">
                  <c:v>52000</c:v>
                </c:pt>
                <c:pt idx="403">
                  <c:v>50608</c:v>
                </c:pt>
                <c:pt idx="404">
                  <c:v>50629</c:v>
                </c:pt>
                <c:pt idx="405">
                  <c:v>50532</c:v>
                </c:pt>
                <c:pt idx="406">
                  <c:v>50790</c:v>
                </c:pt>
                <c:pt idx="407">
                  <c:v>52249</c:v>
                </c:pt>
                <c:pt idx="408">
                  <c:v>51300</c:v>
                </c:pt>
                <c:pt idx="409">
                  <c:v>52146</c:v>
                </c:pt>
                <c:pt idx="410">
                  <c:v>50800</c:v>
                </c:pt>
                <c:pt idx="411">
                  <c:v>50700</c:v>
                </c:pt>
                <c:pt idx="412">
                  <c:v>50953</c:v>
                </c:pt>
                <c:pt idx="413">
                  <c:v>50789</c:v>
                </c:pt>
                <c:pt idx="414">
                  <c:v>50790</c:v>
                </c:pt>
                <c:pt idx="415">
                  <c:v>50869</c:v>
                </c:pt>
                <c:pt idx="416">
                  <c:v>50500</c:v>
                </c:pt>
                <c:pt idx="417">
                  <c:v>50790</c:v>
                </c:pt>
                <c:pt idx="418">
                  <c:v>50869</c:v>
                </c:pt>
                <c:pt idx="419">
                  <c:v>50869</c:v>
                </c:pt>
                <c:pt idx="420">
                  <c:v>50500</c:v>
                </c:pt>
                <c:pt idx="421">
                  <c:v>50790</c:v>
                </c:pt>
                <c:pt idx="422">
                  <c:v>50500</c:v>
                </c:pt>
                <c:pt idx="423">
                  <c:v>50813</c:v>
                </c:pt>
                <c:pt idx="424">
                  <c:v>50842</c:v>
                </c:pt>
                <c:pt idx="425">
                  <c:v>50689</c:v>
                </c:pt>
                <c:pt idx="426">
                  <c:v>50420</c:v>
                </c:pt>
                <c:pt idx="427">
                  <c:v>50244</c:v>
                </c:pt>
                <c:pt idx="428">
                  <c:v>50568</c:v>
                </c:pt>
                <c:pt idx="429">
                  <c:v>50547</c:v>
                </c:pt>
                <c:pt idx="430">
                  <c:v>50446</c:v>
                </c:pt>
                <c:pt idx="431">
                  <c:v>51699</c:v>
                </c:pt>
                <c:pt idx="432">
                  <c:v>51779</c:v>
                </c:pt>
                <c:pt idx="433">
                  <c:v>51745</c:v>
                </c:pt>
                <c:pt idx="434">
                  <c:v>51744</c:v>
                </c:pt>
                <c:pt idx="435">
                  <c:v>50353</c:v>
                </c:pt>
                <c:pt idx="436">
                  <c:v>59940</c:v>
                </c:pt>
                <c:pt idx="437">
                  <c:v>59840</c:v>
                </c:pt>
                <c:pt idx="438">
                  <c:v>53870</c:v>
                </c:pt>
                <c:pt idx="439">
                  <c:v>53663</c:v>
                </c:pt>
                <c:pt idx="440">
                  <c:v>53682</c:v>
                </c:pt>
                <c:pt idx="441">
                  <c:v>41899</c:v>
                </c:pt>
                <c:pt idx="442">
                  <c:v>52513</c:v>
                </c:pt>
                <c:pt idx="443">
                  <c:v>52408</c:v>
                </c:pt>
                <c:pt idx="444">
                  <c:v>51671</c:v>
                </c:pt>
                <c:pt idx="445">
                  <c:v>62994</c:v>
                </c:pt>
                <c:pt idx="446">
                  <c:v>52427</c:v>
                </c:pt>
                <c:pt idx="447">
                  <c:v>55301</c:v>
                </c:pt>
                <c:pt idx="448">
                  <c:v>51687</c:v>
                </c:pt>
                <c:pt idx="449">
                  <c:v>52427</c:v>
                </c:pt>
                <c:pt idx="450">
                  <c:v>52366</c:v>
                </c:pt>
                <c:pt idx="451">
                  <c:v>61468</c:v>
                </c:pt>
                <c:pt idx="452">
                  <c:v>53870</c:v>
                </c:pt>
                <c:pt idx="453">
                  <c:v>53874</c:v>
                </c:pt>
                <c:pt idx="454">
                  <c:v>62422</c:v>
                </c:pt>
                <c:pt idx="455">
                  <c:v>51400</c:v>
                </c:pt>
                <c:pt idx="456">
                  <c:v>58486</c:v>
                </c:pt>
                <c:pt idx="457">
                  <c:v>52513</c:v>
                </c:pt>
                <c:pt idx="458">
                  <c:v>52513</c:v>
                </c:pt>
                <c:pt idx="459">
                  <c:v>58724</c:v>
                </c:pt>
                <c:pt idx="460">
                  <c:v>54344</c:v>
                </c:pt>
                <c:pt idx="461">
                  <c:v>58213</c:v>
                </c:pt>
                <c:pt idx="462">
                  <c:v>58512</c:v>
                </c:pt>
                <c:pt idx="463">
                  <c:v>54384</c:v>
                </c:pt>
                <c:pt idx="464">
                  <c:v>50200</c:v>
                </c:pt>
                <c:pt idx="465">
                  <c:v>67615</c:v>
                </c:pt>
                <c:pt idx="466">
                  <c:v>67795</c:v>
                </c:pt>
                <c:pt idx="467">
                  <c:v>57790</c:v>
                </c:pt>
                <c:pt idx="468">
                  <c:v>57790</c:v>
                </c:pt>
                <c:pt idx="469">
                  <c:v>54325</c:v>
                </c:pt>
                <c:pt idx="470">
                  <c:v>47828</c:v>
                </c:pt>
                <c:pt idx="471">
                  <c:v>47840</c:v>
                </c:pt>
                <c:pt idx="472">
                  <c:v>47840</c:v>
                </c:pt>
                <c:pt idx="473">
                  <c:v>67727</c:v>
                </c:pt>
                <c:pt idx="474">
                  <c:v>60350</c:v>
                </c:pt>
                <c:pt idx="475">
                  <c:v>60639</c:v>
                </c:pt>
                <c:pt idx="476">
                  <c:v>60639</c:v>
                </c:pt>
                <c:pt idx="477">
                  <c:v>60639</c:v>
                </c:pt>
                <c:pt idx="478">
                  <c:v>60639</c:v>
                </c:pt>
                <c:pt idx="479">
                  <c:v>58287</c:v>
                </c:pt>
                <c:pt idx="480">
                  <c:v>61777</c:v>
                </c:pt>
                <c:pt idx="481">
                  <c:v>67164</c:v>
                </c:pt>
                <c:pt idx="482">
                  <c:v>63395</c:v>
                </c:pt>
                <c:pt idx="483">
                  <c:v>67678</c:v>
                </c:pt>
                <c:pt idx="484">
                  <c:v>53634</c:v>
                </c:pt>
                <c:pt idx="485">
                  <c:v>60348</c:v>
                </c:pt>
                <c:pt idx="486">
                  <c:v>60348</c:v>
                </c:pt>
                <c:pt idx="487">
                  <c:v>58200</c:v>
                </c:pt>
                <c:pt idx="488">
                  <c:v>58200</c:v>
                </c:pt>
                <c:pt idx="489">
                  <c:v>58200</c:v>
                </c:pt>
                <c:pt idx="490">
                  <c:v>58200</c:v>
                </c:pt>
                <c:pt idx="491">
                  <c:v>62007</c:v>
                </c:pt>
                <c:pt idx="492">
                  <c:v>63645</c:v>
                </c:pt>
                <c:pt idx="493">
                  <c:v>63537</c:v>
                </c:pt>
                <c:pt idx="494">
                  <c:v>58281</c:v>
                </c:pt>
                <c:pt idx="495">
                  <c:v>63439</c:v>
                </c:pt>
                <c:pt idx="496">
                  <c:v>63439</c:v>
                </c:pt>
                <c:pt idx="497">
                  <c:v>50554</c:v>
                </c:pt>
                <c:pt idx="498">
                  <c:v>50501</c:v>
                </c:pt>
                <c:pt idx="499">
                  <c:v>50489</c:v>
                </c:pt>
                <c:pt idx="500">
                  <c:v>59266</c:v>
                </c:pt>
                <c:pt idx="501">
                  <c:v>59346</c:v>
                </c:pt>
                <c:pt idx="502">
                  <c:v>66771</c:v>
                </c:pt>
                <c:pt idx="503">
                  <c:v>66577</c:v>
                </c:pt>
                <c:pt idx="504">
                  <c:v>66525</c:v>
                </c:pt>
                <c:pt idx="505">
                  <c:v>67686</c:v>
                </c:pt>
                <c:pt idx="506">
                  <c:v>53815</c:v>
                </c:pt>
                <c:pt idx="507">
                  <c:v>65815</c:v>
                </c:pt>
                <c:pt idx="508">
                  <c:v>61153</c:v>
                </c:pt>
                <c:pt idx="509">
                  <c:v>61986</c:v>
                </c:pt>
                <c:pt idx="510">
                  <c:v>57320</c:v>
                </c:pt>
                <c:pt idx="511">
                  <c:v>57320</c:v>
                </c:pt>
                <c:pt idx="512">
                  <c:v>57320</c:v>
                </c:pt>
                <c:pt idx="513">
                  <c:v>57320</c:v>
                </c:pt>
                <c:pt idx="514">
                  <c:v>63254</c:v>
                </c:pt>
                <c:pt idx="515">
                  <c:v>63439</c:v>
                </c:pt>
                <c:pt idx="516">
                  <c:v>63439</c:v>
                </c:pt>
                <c:pt idx="517">
                  <c:v>61489</c:v>
                </c:pt>
                <c:pt idx="518">
                  <c:v>63157</c:v>
                </c:pt>
                <c:pt idx="519">
                  <c:v>64220</c:v>
                </c:pt>
                <c:pt idx="520">
                  <c:v>65002</c:v>
                </c:pt>
                <c:pt idx="521">
                  <c:v>64983</c:v>
                </c:pt>
                <c:pt idx="522">
                  <c:v>65038</c:v>
                </c:pt>
                <c:pt idx="523">
                  <c:v>64989</c:v>
                </c:pt>
                <c:pt idx="524">
                  <c:v>63179</c:v>
                </c:pt>
                <c:pt idx="525">
                  <c:v>62953</c:v>
                </c:pt>
                <c:pt idx="526">
                  <c:v>60189</c:v>
                </c:pt>
                <c:pt idx="527">
                  <c:v>67310</c:v>
                </c:pt>
                <c:pt idx="528">
                  <c:v>67222</c:v>
                </c:pt>
                <c:pt idx="529">
                  <c:v>66818</c:v>
                </c:pt>
                <c:pt idx="530">
                  <c:v>66818</c:v>
                </c:pt>
                <c:pt idx="531">
                  <c:v>63428</c:v>
                </c:pt>
                <c:pt idx="532">
                  <c:v>63352</c:v>
                </c:pt>
                <c:pt idx="533">
                  <c:v>63505</c:v>
                </c:pt>
                <c:pt idx="534">
                  <c:v>63411</c:v>
                </c:pt>
                <c:pt idx="535">
                  <c:v>63377</c:v>
                </c:pt>
                <c:pt idx="536">
                  <c:v>63427</c:v>
                </c:pt>
                <c:pt idx="537">
                  <c:v>63638</c:v>
                </c:pt>
                <c:pt idx="538">
                  <c:v>63400</c:v>
                </c:pt>
                <c:pt idx="539">
                  <c:v>63300</c:v>
                </c:pt>
                <c:pt idx="540">
                  <c:v>67150</c:v>
                </c:pt>
                <c:pt idx="541">
                  <c:v>65919</c:v>
                </c:pt>
                <c:pt idx="542">
                  <c:v>65867</c:v>
                </c:pt>
                <c:pt idx="543">
                  <c:v>65950</c:v>
                </c:pt>
                <c:pt idx="544">
                  <c:v>65600</c:v>
                </c:pt>
                <c:pt idx="545">
                  <c:v>65935</c:v>
                </c:pt>
                <c:pt idx="546">
                  <c:v>65600</c:v>
                </c:pt>
                <c:pt idx="547">
                  <c:v>65981</c:v>
                </c:pt>
                <c:pt idx="548">
                  <c:v>66051</c:v>
                </c:pt>
                <c:pt idx="549">
                  <c:v>65883</c:v>
                </c:pt>
                <c:pt idx="550">
                  <c:v>66171</c:v>
                </c:pt>
                <c:pt idx="551">
                  <c:v>67145</c:v>
                </c:pt>
                <c:pt idx="552">
                  <c:v>59587</c:v>
                </c:pt>
                <c:pt idx="553">
                  <c:v>54437</c:v>
                </c:pt>
                <c:pt idx="554">
                  <c:v>66975</c:v>
                </c:pt>
                <c:pt idx="555">
                  <c:v>67145</c:v>
                </c:pt>
                <c:pt idx="556">
                  <c:v>67529</c:v>
                </c:pt>
                <c:pt idx="557">
                  <c:v>63384</c:v>
                </c:pt>
                <c:pt idx="558">
                  <c:v>64513</c:v>
                </c:pt>
                <c:pt idx="559">
                  <c:v>67601</c:v>
                </c:pt>
                <c:pt idx="560">
                  <c:v>67679</c:v>
                </c:pt>
                <c:pt idx="561">
                  <c:v>63163</c:v>
                </c:pt>
                <c:pt idx="562">
                  <c:v>63014</c:v>
                </c:pt>
                <c:pt idx="563">
                  <c:v>63007</c:v>
                </c:pt>
                <c:pt idx="564">
                  <c:v>66633</c:v>
                </c:pt>
                <c:pt idx="565">
                  <c:v>66821</c:v>
                </c:pt>
                <c:pt idx="566">
                  <c:v>66799</c:v>
                </c:pt>
                <c:pt idx="567">
                  <c:v>63010</c:v>
                </c:pt>
                <c:pt idx="568">
                  <c:v>67033</c:v>
                </c:pt>
                <c:pt idx="569">
                  <c:v>66694</c:v>
                </c:pt>
                <c:pt idx="570">
                  <c:v>65890</c:v>
                </c:pt>
                <c:pt idx="571">
                  <c:v>53911</c:v>
                </c:pt>
                <c:pt idx="572">
                  <c:v>67170</c:v>
                </c:pt>
                <c:pt idx="573">
                  <c:v>67170</c:v>
                </c:pt>
                <c:pt idx="574">
                  <c:v>67273</c:v>
                </c:pt>
                <c:pt idx="575">
                  <c:v>67247</c:v>
                </c:pt>
                <c:pt idx="576">
                  <c:v>67255</c:v>
                </c:pt>
                <c:pt idx="577">
                  <c:v>68120</c:v>
                </c:pt>
                <c:pt idx="578">
                  <c:v>68254</c:v>
                </c:pt>
                <c:pt idx="579">
                  <c:v>68209</c:v>
                </c:pt>
                <c:pt idx="580">
                  <c:v>68126</c:v>
                </c:pt>
                <c:pt idx="581">
                  <c:v>68599</c:v>
                </c:pt>
                <c:pt idx="582">
                  <c:v>68577</c:v>
                </c:pt>
                <c:pt idx="583">
                  <c:v>68178</c:v>
                </c:pt>
                <c:pt idx="584">
                  <c:v>68209</c:v>
                </c:pt>
                <c:pt idx="585">
                  <c:v>68042</c:v>
                </c:pt>
                <c:pt idx="586">
                  <c:v>68282</c:v>
                </c:pt>
                <c:pt idx="587">
                  <c:v>68168</c:v>
                </c:pt>
                <c:pt idx="588">
                  <c:v>68187</c:v>
                </c:pt>
                <c:pt idx="589">
                  <c:v>65930</c:v>
                </c:pt>
                <c:pt idx="590">
                  <c:v>63059</c:v>
                </c:pt>
                <c:pt idx="591">
                  <c:v>63069</c:v>
                </c:pt>
                <c:pt idx="592">
                  <c:v>68282</c:v>
                </c:pt>
                <c:pt idx="593">
                  <c:v>68579</c:v>
                </c:pt>
                <c:pt idx="594">
                  <c:v>63000</c:v>
                </c:pt>
                <c:pt idx="595">
                  <c:v>65550</c:v>
                </c:pt>
                <c:pt idx="596">
                  <c:v>65550</c:v>
                </c:pt>
                <c:pt idx="597">
                  <c:v>65710</c:v>
                </c:pt>
                <c:pt idx="598">
                  <c:v>64500</c:v>
                </c:pt>
                <c:pt idx="599">
                  <c:v>67741</c:v>
                </c:pt>
                <c:pt idx="600">
                  <c:v>67765</c:v>
                </c:pt>
                <c:pt idx="601">
                  <c:v>62386</c:v>
                </c:pt>
                <c:pt idx="602">
                  <c:v>67712</c:v>
                </c:pt>
                <c:pt idx="603">
                  <c:v>65165</c:v>
                </c:pt>
                <c:pt idx="604">
                  <c:v>67515</c:v>
                </c:pt>
                <c:pt idx="605">
                  <c:v>67500</c:v>
                </c:pt>
                <c:pt idx="606">
                  <c:v>52683</c:v>
                </c:pt>
                <c:pt idx="607">
                  <c:v>52600</c:v>
                </c:pt>
                <c:pt idx="608">
                  <c:v>67796</c:v>
                </c:pt>
                <c:pt idx="609">
                  <c:v>68228</c:v>
                </c:pt>
                <c:pt idx="610">
                  <c:v>67680</c:v>
                </c:pt>
                <c:pt idx="611">
                  <c:v>67797</c:v>
                </c:pt>
                <c:pt idx="612">
                  <c:v>68228</c:v>
                </c:pt>
                <c:pt idx="613">
                  <c:v>68228</c:v>
                </c:pt>
                <c:pt idx="614">
                  <c:v>68228</c:v>
                </c:pt>
                <c:pt idx="615">
                  <c:v>68228</c:v>
                </c:pt>
                <c:pt idx="616">
                  <c:v>74477</c:v>
                </c:pt>
                <c:pt idx="617">
                  <c:v>74456</c:v>
                </c:pt>
                <c:pt idx="618">
                  <c:v>74506</c:v>
                </c:pt>
                <c:pt idx="619">
                  <c:v>74375</c:v>
                </c:pt>
                <c:pt idx="620">
                  <c:v>73800</c:v>
                </c:pt>
                <c:pt idx="621">
                  <c:v>68363</c:v>
                </c:pt>
                <c:pt idx="622">
                  <c:v>67955</c:v>
                </c:pt>
                <c:pt idx="623">
                  <c:v>68379</c:v>
                </c:pt>
                <c:pt idx="624">
                  <c:v>68122</c:v>
                </c:pt>
                <c:pt idx="625">
                  <c:v>68122</c:v>
                </c:pt>
                <c:pt idx="626">
                  <c:v>68086</c:v>
                </c:pt>
                <c:pt idx="627">
                  <c:v>71256</c:v>
                </c:pt>
                <c:pt idx="628">
                  <c:v>64963</c:v>
                </c:pt>
                <c:pt idx="629">
                  <c:v>64730</c:v>
                </c:pt>
                <c:pt idx="630">
                  <c:v>65066</c:v>
                </c:pt>
                <c:pt idx="631">
                  <c:v>65005</c:v>
                </c:pt>
                <c:pt idx="632">
                  <c:v>71256</c:v>
                </c:pt>
                <c:pt idx="633">
                  <c:v>64887</c:v>
                </c:pt>
                <c:pt idx="634">
                  <c:v>68228</c:v>
                </c:pt>
                <c:pt idx="635">
                  <c:v>67170</c:v>
                </c:pt>
                <c:pt idx="636">
                  <c:v>67197</c:v>
                </c:pt>
                <c:pt idx="637">
                  <c:v>67164</c:v>
                </c:pt>
                <c:pt idx="638">
                  <c:v>67270</c:v>
                </c:pt>
                <c:pt idx="639">
                  <c:v>72044</c:v>
                </c:pt>
                <c:pt idx="640">
                  <c:v>71416</c:v>
                </c:pt>
                <c:pt idx="641">
                  <c:v>71339</c:v>
                </c:pt>
                <c:pt idx="642">
                  <c:v>70590</c:v>
                </c:pt>
                <c:pt idx="643">
                  <c:v>71416</c:v>
                </c:pt>
                <c:pt idx="644">
                  <c:v>72037</c:v>
                </c:pt>
                <c:pt idx="645">
                  <c:v>72064</c:v>
                </c:pt>
                <c:pt idx="646">
                  <c:v>71949</c:v>
                </c:pt>
                <c:pt idx="647">
                  <c:v>71359</c:v>
                </c:pt>
                <c:pt idx="648">
                  <c:v>68790</c:v>
                </c:pt>
                <c:pt idx="649">
                  <c:v>68824</c:v>
                </c:pt>
                <c:pt idx="650">
                  <c:v>68819</c:v>
                </c:pt>
                <c:pt idx="651">
                  <c:v>71309</c:v>
                </c:pt>
                <c:pt idx="652">
                  <c:v>85250</c:v>
                </c:pt>
                <c:pt idx="653">
                  <c:v>63216</c:v>
                </c:pt>
                <c:pt idx="654">
                  <c:v>63216</c:v>
                </c:pt>
                <c:pt idx="655">
                  <c:v>63216</c:v>
                </c:pt>
                <c:pt idx="656">
                  <c:v>66452</c:v>
                </c:pt>
                <c:pt idx="657">
                  <c:v>69303</c:v>
                </c:pt>
                <c:pt idx="658">
                  <c:v>69423</c:v>
                </c:pt>
                <c:pt idx="659">
                  <c:v>69225</c:v>
                </c:pt>
                <c:pt idx="660">
                  <c:v>68250</c:v>
                </c:pt>
                <c:pt idx="661">
                  <c:v>68363</c:v>
                </c:pt>
                <c:pt idx="662">
                  <c:v>68363</c:v>
                </c:pt>
                <c:pt idx="663">
                  <c:v>68363</c:v>
                </c:pt>
                <c:pt idx="664">
                  <c:v>67278</c:v>
                </c:pt>
                <c:pt idx="665">
                  <c:v>67286</c:v>
                </c:pt>
                <c:pt idx="666">
                  <c:v>68263</c:v>
                </c:pt>
                <c:pt idx="667">
                  <c:v>73235</c:v>
                </c:pt>
                <c:pt idx="668">
                  <c:v>68196</c:v>
                </c:pt>
                <c:pt idx="669">
                  <c:v>67557</c:v>
                </c:pt>
                <c:pt idx="670">
                  <c:v>67580</c:v>
                </c:pt>
                <c:pt idx="671">
                  <c:v>67935</c:v>
                </c:pt>
                <c:pt idx="672">
                  <c:v>67564</c:v>
                </c:pt>
                <c:pt idx="673">
                  <c:v>67591</c:v>
                </c:pt>
                <c:pt idx="674">
                  <c:v>67566</c:v>
                </c:pt>
                <c:pt idx="675">
                  <c:v>68196</c:v>
                </c:pt>
                <c:pt idx="676">
                  <c:v>67737</c:v>
                </c:pt>
                <c:pt idx="677">
                  <c:v>67660</c:v>
                </c:pt>
                <c:pt idx="678">
                  <c:v>67644</c:v>
                </c:pt>
                <c:pt idx="679">
                  <c:v>67584</c:v>
                </c:pt>
                <c:pt idx="680">
                  <c:v>73355</c:v>
                </c:pt>
                <c:pt idx="681">
                  <c:v>73235</c:v>
                </c:pt>
                <c:pt idx="682">
                  <c:v>73235</c:v>
                </c:pt>
                <c:pt idx="683">
                  <c:v>73235</c:v>
                </c:pt>
                <c:pt idx="684">
                  <c:v>73235</c:v>
                </c:pt>
                <c:pt idx="685">
                  <c:v>73235</c:v>
                </c:pt>
                <c:pt idx="686">
                  <c:v>73235</c:v>
                </c:pt>
                <c:pt idx="687">
                  <c:v>73235</c:v>
                </c:pt>
                <c:pt idx="688">
                  <c:v>72900</c:v>
                </c:pt>
                <c:pt idx="689">
                  <c:v>72900</c:v>
                </c:pt>
                <c:pt idx="690">
                  <c:v>73262</c:v>
                </c:pt>
                <c:pt idx="691">
                  <c:v>66940</c:v>
                </c:pt>
                <c:pt idx="692">
                  <c:v>66940</c:v>
                </c:pt>
                <c:pt idx="693">
                  <c:v>66940</c:v>
                </c:pt>
                <c:pt idx="694">
                  <c:v>66940</c:v>
                </c:pt>
                <c:pt idx="695">
                  <c:v>66940</c:v>
                </c:pt>
                <c:pt idx="696">
                  <c:v>67170</c:v>
                </c:pt>
                <c:pt idx="697">
                  <c:v>80115</c:v>
                </c:pt>
                <c:pt idx="698">
                  <c:v>80226</c:v>
                </c:pt>
                <c:pt idx="699">
                  <c:v>80899</c:v>
                </c:pt>
                <c:pt idx="700">
                  <c:v>80455</c:v>
                </c:pt>
                <c:pt idx="701">
                  <c:v>80293</c:v>
                </c:pt>
                <c:pt idx="702">
                  <c:v>80226</c:v>
                </c:pt>
                <c:pt idx="703">
                  <c:v>67009</c:v>
                </c:pt>
                <c:pt idx="704">
                  <c:v>67009</c:v>
                </c:pt>
                <c:pt idx="705">
                  <c:v>84900</c:v>
                </c:pt>
                <c:pt idx="706">
                  <c:v>84900</c:v>
                </c:pt>
                <c:pt idx="707">
                  <c:v>62080</c:v>
                </c:pt>
                <c:pt idx="708">
                  <c:v>77900</c:v>
                </c:pt>
                <c:pt idx="709">
                  <c:v>77950</c:v>
                </c:pt>
                <c:pt idx="710">
                  <c:v>77950</c:v>
                </c:pt>
                <c:pt idx="711">
                  <c:v>84704</c:v>
                </c:pt>
                <c:pt idx="712">
                  <c:v>78243</c:v>
                </c:pt>
                <c:pt idx="713">
                  <c:v>81819</c:v>
                </c:pt>
                <c:pt idx="714">
                  <c:v>81819</c:v>
                </c:pt>
                <c:pt idx="715">
                  <c:v>72807</c:v>
                </c:pt>
                <c:pt idx="716">
                  <c:v>75873</c:v>
                </c:pt>
                <c:pt idx="717">
                  <c:v>75898</c:v>
                </c:pt>
                <c:pt idx="718">
                  <c:v>75898</c:v>
                </c:pt>
                <c:pt idx="719">
                  <c:v>72807</c:v>
                </c:pt>
                <c:pt idx="720">
                  <c:v>72912</c:v>
                </c:pt>
                <c:pt idx="721">
                  <c:v>72912</c:v>
                </c:pt>
                <c:pt idx="722">
                  <c:v>72912</c:v>
                </c:pt>
                <c:pt idx="723">
                  <c:v>72912</c:v>
                </c:pt>
                <c:pt idx="724">
                  <c:v>72912</c:v>
                </c:pt>
                <c:pt idx="725">
                  <c:v>72982</c:v>
                </c:pt>
                <c:pt idx="726">
                  <c:v>71987</c:v>
                </c:pt>
                <c:pt idx="727">
                  <c:v>77665</c:v>
                </c:pt>
                <c:pt idx="728">
                  <c:v>73063</c:v>
                </c:pt>
                <c:pt idx="729">
                  <c:v>72968</c:v>
                </c:pt>
                <c:pt idx="730">
                  <c:v>72982</c:v>
                </c:pt>
                <c:pt idx="731">
                  <c:v>72912</c:v>
                </c:pt>
                <c:pt idx="732">
                  <c:v>72890</c:v>
                </c:pt>
                <c:pt idx="733">
                  <c:v>72890</c:v>
                </c:pt>
                <c:pt idx="734">
                  <c:v>72370</c:v>
                </c:pt>
                <c:pt idx="735">
                  <c:v>72982</c:v>
                </c:pt>
                <c:pt idx="736">
                  <c:v>85250</c:v>
                </c:pt>
                <c:pt idx="737">
                  <c:v>74453</c:v>
                </c:pt>
                <c:pt idx="738">
                  <c:v>85801</c:v>
                </c:pt>
                <c:pt idx="739">
                  <c:v>85806</c:v>
                </c:pt>
                <c:pt idx="740">
                  <c:v>85250</c:v>
                </c:pt>
                <c:pt idx="741">
                  <c:v>85824</c:v>
                </c:pt>
                <c:pt idx="742">
                  <c:v>85797</c:v>
                </c:pt>
                <c:pt idx="743">
                  <c:v>85680</c:v>
                </c:pt>
                <c:pt idx="744">
                  <c:v>74453</c:v>
                </c:pt>
                <c:pt idx="745">
                  <c:v>74453</c:v>
                </c:pt>
                <c:pt idx="746">
                  <c:v>84900</c:v>
                </c:pt>
                <c:pt idx="747">
                  <c:v>90456</c:v>
                </c:pt>
                <c:pt idx="748">
                  <c:v>84900</c:v>
                </c:pt>
                <c:pt idx="749">
                  <c:v>84900</c:v>
                </c:pt>
                <c:pt idx="750">
                  <c:v>81574</c:v>
                </c:pt>
                <c:pt idx="751">
                  <c:v>85614</c:v>
                </c:pt>
                <c:pt idx="752">
                  <c:v>85517</c:v>
                </c:pt>
                <c:pt idx="753">
                  <c:v>85436</c:v>
                </c:pt>
                <c:pt idx="754">
                  <c:v>85437</c:v>
                </c:pt>
                <c:pt idx="755">
                  <c:v>85463</c:v>
                </c:pt>
                <c:pt idx="756">
                  <c:v>85517</c:v>
                </c:pt>
                <c:pt idx="757">
                  <c:v>79501</c:v>
                </c:pt>
                <c:pt idx="758">
                  <c:v>79559</c:v>
                </c:pt>
                <c:pt idx="759">
                  <c:v>85450</c:v>
                </c:pt>
                <c:pt idx="760">
                  <c:v>84676</c:v>
                </c:pt>
                <c:pt idx="761">
                  <c:v>84897</c:v>
                </c:pt>
                <c:pt idx="762">
                  <c:v>81171</c:v>
                </c:pt>
                <c:pt idx="763">
                  <c:v>81171</c:v>
                </c:pt>
                <c:pt idx="764">
                  <c:v>81171</c:v>
                </c:pt>
                <c:pt idx="765">
                  <c:v>90443</c:v>
                </c:pt>
                <c:pt idx="766">
                  <c:v>85408</c:v>
                </c:pt>
                <c:pt idx="767">
                  <c:v>85446</c:v>
                </c:pt>
                <c:pt idx="768">
                  <c:v>85523</c:v>
                </c:pt>
                <c:pt idx="769">
                  <c:v>85626</c:v>
                </c:pt>
                <c:pt idx="770">
                  <c:v>83200</c:v>
                </c:pt>
                <c:pt idx="771">
                  <c:v>81236</c:v>
                </c:pt>
                <c:pt idx="772">
                  <c:v>81247</c:v>
                </c:pt>
                <c:pt idx="773">
                  <c:v>81099</c:v>
                </c:pt>
                <c:pt idx="774">
                  <c:v>81250</c:v>
                </c:pt>
                <c:pt idx="775">
                  <c:v>83294</c:v>
                </c:pt>
                <c:pt idx="776">
                  <c:v>83264</c:v>
                </c:pt>
                <c:pt idx="777">
                  <c:v>83318</c:v>
                </c:pt>
                <c:pt idx="778">
                  <c:v>83317</c:v>
                </c:pt>
                <c:pt idx="779">
                  <c:v>82200</c:v>
                </c:pt>
                <c:pt idx="780">
                  <c:v>83200</c:v>
                </c:pt>
                <c:pt idx="781">
                  <c:v>80270</c:v>
                </c:pt>
                <c:pt idx="782">
                  <c:v>80270</c:v>
                </c:pt>
                <c:pt idx="783">
                  <c:v>84153</c:v>
                </c:pt>
                <c:pt idx="784">
                  <c:v>84660</c:v>
                </c:pt>
                <c:pt idx="785">
                  <c:v>81002</c:v>
                </c:pt>
                <c:pt idx="786">
                  <c:v>81002</c:v>
                </c:pt>
                <c:pt idx="787">
                  <c:v>81002</c:v>
                </c:pt>
                <c:pt idx="788">
                  <c:v>79870</c:v>
                </c:pt>
                <c:pt idx="789">
                  <c:v>81145</c:v>
                </c:pt>
                <c:pt idx="790">
                  <c:v>80547</c:v>
                </c:pt>
                <c:pt idx="791">
                  <c:v>80550</c:v>
                </c:pt>
                <c:pt idx="792">
                  <c:v>80578</c:v>
                </c:pt>
                <c:pt idx="793">
                  <c:v>80250</c:v>
                </c:pt>
                <c:pt idx="794">
                  <c:v>77946</c:v>
                </c:pt>
                <c:pt idx="795">
                  <c:v>77941</c:v>
                </c:pt>
                <c:pt idx="796">
                  <c:v>80238</c:v>
                </c:pt>
                <c:pt idx="797">
                  <c:v>81142</c:v>
                </c:pt>
                <c:pt idx="798">
                  <c:v>80855</c:v>
                </c:pt>
                <c:pt idx="799">
                  <c:v>80811</c:v>
                </c:pt>
                <c:pt idx="800">
                  <c:v>85855</c:v>
                </c:pt>
                <c:pt idx="801">
                  <c:v>80855</c:v>
                </c:pt>
                <c:pt idx="802">
                  <c:v>80855</c:v>
                </c:pt>
                <c:pt idx="803">
                  <c:v>80855</c:v>
                </c:pt>
                <c:pt idx="804">
                  <c:v>80227</c:v>
                </c:pt>
                <c:pt idx="805">
                  <c:v>80282</c:v>
                </c:pt>
                <c:pt idx="806">
                  <c:v>79423</c:v>
                </c:pt>
                <c:pt idx="807">
                  <c:v>79417</c:v>
                </c:pt>
                <c:pt idx="808">
                  <c:v>79443</c:v>
                </c:pt>
                <c:pt idx="809">
                  <c:v>78830</c:v>
                </c:pt>
                <c:pt idx="810">
                  <c:v>78830</c:v>
                </c:pt>
                <c:pt idx="811">
                  <c:v>79312</c:v>
                </c:pt>
                <c:pt idx="812">
                  <c:v>78830</c:v>
                </c:pt>
                <c:pt idx="813">
                  <c:v>78830</c:v>
                </c:pt>
                <c:pt idx="814">
                  <c:v>78830</c:v>
                </c:pt>
                <c:pt idx="815">
                  <c:v>78830</c:v>
                </c:pt>
                <c:pt idx="816">
                  <c:v>85250</c:v>
                </c:pt>
                <c:pt idx="817">
                  <c:v>85810</c:v>
                </c:pt>
                <c:pt idx="818">
                  <c:v>85400</c:v>
                </c:pt>
                <c:pt idx="819">
                  <c:v>85891</c:v>
                </c:pt>
                <c:pt idx="820">
                  <c:v>85823</c:v>
                </c:pt>
                <c:pt idx="821">
                  <c:v>85832</c:v>
                </c:pt>
                <c:pt idx="822">
                  <c:v>85890</c:v>
                </c:pt>
                <c:pt idx="823">
                  <c:v>85928</c:v>
                </c:pt>
                <c:pt idx="824">
                  <c:v>85882</c:v>
                </c:pt>
                <c:pt idx="825">
                  <c:v>85927</c:v>
                </c:pt>
                <c:pt idx="826">
                  <c:v>85810</c:v>
                </c:pt>
                <c:pt idx="827">
                  <c:v>85844</c:v>
                </c:pt>
                <c:pt idx="828">
                  <c:v>75590</c:v>
                </c:pt>
                <c:pt idx="829">
                  <c:v>80108</c:v>
                </c:pt>
                <c:pt idx="830">
                  <c:v>80102</c:v>
                </c:pt>
                <c:pt idx="831">
                  <c:v>80102</c:v>
                </c:pt>
                <c:pt idx="832">
                  <c:v>85250</c:v>
                </c:pt>
                <c:pt idx="833">
                  <c:v>80102</c:v>
                </c:pt>
                <c:pt idx="834">
                  <c:v>80087</c:v>
                </c:pt>
                <c:pt idx="835">
                  <c:v>79275</c:v>
                </c:pt>
                <c:pt idx="836">
                  <c:v>79294</c:v>
                </c:pt>
                <c:pt idx="837">
                  <c:v>80295</c:v>
                </c:pt>
                <c:pt idx="838">
                  <c:v>80229</c:v>
                </c:pt>
                <c:pt idx="839">
                  <c:v>80274</c:v>
                </c:pt>
                <c:pt idx="840">
                  <c:v>85517</c:v>
                </c:pt>
                <c:pt idx="841">
                  <c:v>79030</c:v>
                </c:pt>
                <c:pt idx="842">
                  <c:v>85622</c:v>
                </c:pt>
                <c:pt idx="843">
                  <c:v>85622</c:v>
                </c:pt>
                <c:pt idx="844">
                  <c:v>115993</c:v>
                </c:pt>
                <c:pt idx="845">
                  <c:v>78618</c:v>
                </c:pt>
                <c:pt idx="846">
                  <c:v>78733</c:v>
                </c:pt>
                <c:pt idx="847">
                  <c:v>78664</c:v>
                </c:pt>
                <c:pt idx="848">
                  <c:v>78715</c:v>
                </c:pt>
                <c:pt idx="849">
                  <c:v>78612</c:v>
                </c:pt>
                <c:pt idx="850">
                  <c:v>78661</c:v>
                </c:pt>
                <c:pt idx="851">
                  <c:v>78693</c:v>
                </c:pt>
                <c:pt idx="852">
                  <c:v>78636</c:v>
                </c:pt>
                <c:pt idx="853">
                  <c:v>78716</c:v>
                </c:pt>
                <c:pt idx="854">
                  <c:v>78796</c:v>
                </c:pt>
                <c:pt idx="855">
                  <c:v>93603</c:v>
                </c:pt>
                <c:pt idx="856">
                  <c:v>93404</c:v>
                </c:pt>
                <c:pt idx="857">
                  <c:v>93592</c:v>
                </c:pt>
                <c:pt idx="858">
                  <c:v>93424</c:v>
                </c:pt>
                <c:pt idx="859">
                  <c:v>93591</c:v>
                </c:pt>
                <c:pt idx="860">
                  <c:v>93552</c:v>
                </c:pt>
                <c:pt idx="861">
                  <c:v>93398</c:v>
                </c:pt>
                <c:pt idx="862">
                  <c:v>104750</c:v>
                </c:pt>
                <c:pt idx="863">
                  <c:v>104600</c:v>
                </c:pt>
                <c:pt idx="864">
                  <c:v>104696</c:v>
                </c:pt>
                <c:pt idx="865">
                  <c:v>109000</c:v>
                </c:pt>
                <c:pt idx="866">
                  <c:v>109000</c:v>
                </c:pt>
                <c:pt idx="867">
                  <c:v>109000</c:v>
                </c:pt>
                <c:pt idx="868">
                  <c:v>109000</c:v>
                </c:pt>
                <c:pt idx="869">
                  <c:v>106043</c:v>
                </c:pt>
                <c:pt idx="870">
                  <c:v>106043</c:v>
                </c:pt>
                <c:pt idx="871">
                  <c:v>93570</c:v>
                </c:pt>
                <c:pt idx="872">
                  <c:v>93638</c:v>
                </c:pt>
                <c:pt idx="873">
                  <c:v>93545</c:v>
                </c:pt>
                <c:pt idx="874">
                  <c:v>93572</c:v>
                </c:pt>
                <c:pt idx="875">
                  <c:v>93542</c:v>
                </c:pt>
                <c:pt idx="876">
                  <c:v>92964</c:v>
                </c:pt>
                <c:pt idx="877">
                  <c:v>93728</c:v>
                </c:pt>
                <c:pt idx="878">
                  <c:v>93572</c:v>
                </c:pt>
                <c:pt idx="879">
                  <c:v>100006</c:v>
                </c:pt>
                <c:pt idx="880">
                  <c:v>100016</c:v>
                </c:pt>
                <c:pt idx="881">
                  <c:v>103607</c:v>
                </c:pt>
                <c:pt idx="882">
                  <c:v>101906</c:v>
                </c:pt>
                <c:pt idx="883">
                  <c:v>101661</c:v>
                </c:pt>
                <c:pt idx="884">
                  <c:v>101898</c:v>
                </c:pt>
                <c:pt idx="885">
                  <c:v>101874</c:v>
                </c:pt>
                <c:pt idx="886">
                  <c:v>103717</c:v>
                </c:pt>
                <c:pt idx="887">
                  <c:v>103773</c:v>
                </c:pt>
                <c:pt idx="888">
                  <c:v>104620</c:v>
                </c:pt>
                <c:pt idx="889">
                  <c:v>104367</c:v>
                </c:pt>
                <c:pt idx="890">
                  <c:v>94649</c:v>
                </c:pt>
                <c:pt idx="891">
                  <c:v>94526</c:v>
                </c:pt>
                <c:pt idx="892">
                  <c:v>94600</c:v>
                </c:pt>
                <c:pt idx="893">
                  <c:v>94661</c:v>
                </c:pt>
                <c:pt idx="894">
                  <c:v>105034</c:v>
                </c:pt>
                <c:pt idx="895">
                  <c:v>105014</c:v>
                </c:pt>
                <c:pt idx="896">
                  <c:v>105082</c:v>
                </c:pt>
                <c:pt idx="897">
                  <c:v>104954</c:v>
                </c:pt>
                <c:pt idx="898">
                  <c:v>105008</c:v>
                </c:pt>
                <c:pt idx="899">
                  <c:v>104850</c:v>
                </c:pt>
                <c:pt idx="900">
                  <c:v>105084</c:v>
                </c:pt>
                <c:pt idx="901">
                  <c:v>105101</c:v>
                </c:pt>
                <c:pt idx="902">
                  <c:v>99600</c:v>
                </c:pt>
                <c:pt idx="903">
                  <c:v>99602</c:v>
                </c:pt>
                <c:pt idx="904">
                  <c:v>99618</c:v>
                </c:pt>
                <c:pt idx="905">
                  <c:v>99500</c:v>
                </c:pt>
                <c:pt idx="906">
                  <c:v>99600</c:v>
                </c:pt>
                <c:pt idx="907">
                  <c:v>99522</c:v>
                </c:pt>
                <c:pt idx="908">
                  <c:v>99518</c:v>
                </c:pt>
                <c:pt idx="909">
                  <c:v>99678</c:v>
                </c:pt>
                <c:pt idx="910">
                  <c:v>99631</c:v>
                </c:pt>
                <c:pt idx="911">
                  <c:v>99508</c:v>
                </c:pt>
                <c:pt idx="912">
                  <c:v>99500</c:v>
                </c:pt>
                <c:pt idx="913">
                  <c:v>99635</c:v>
                </c:pt>
                <c:pt idx="914">
                  <c:v>101007</c:v>
                </c:pt>
                <c:pt idx="915">
                  <c:v>101007</c:v>
                </c:pt>
                <c:pt idx="916">
                  <c:v>100936</c:v>
                </c:pt>
                <c:pt idx="917">
                  <c:v>100909</c:v>
                </c:pt>
                <c:pt idx="918">
                  <c:v>100883</c:v>
                </c:pt>
                <c:pt idx="919">
                  <c:v>100863</c:v>
                </c:pt>
                <c:pt idx="920">
                  <c:v>100887</c:v>
                </c:pt>
                <c:pt idx="921">
                  <c:v>100902</c:v>
                </c:pt>
                <c:pt idx="922">
                  <c:v>107329</c:v>
                </c:pt>
                <c:pt idx="923">
                  <c:v>107266</c:v>
                </c:pt>
                <c:pt idx="924">
                  <c:v>107404</c:v>
                </c:pt>
                <c:pt idx="925">
                  <c:v>90649</c:v>
                </c:pt>
                <c:pt idx="926">
                  <c:v>90678</c:v>
                </c:pt>
                <c:pt idx="927">
                  <c:v>103284</c:v>
                </c:pt>
                <c:pt idx="928">
                  <c:v>90466</c:v>
                </c:pt>
                <c:pt idx="929">
                  <c:v>90466</c:v>
                </c:pt>
                <c:pt idx="930">
                  <c:v>90630</c:v>
                </c:pt>
                <c:pt idx="931">
                  <c:v>90613</c:v>
                </c:pt>
                <c:pt idx="932">
                  <c:v>90613</c:v>
                </c:pt>
                <c:pt idx="933">
                  <c:v>90634</c:v>
                </c:pt>
                <c:pt idx="934">
                  <c:v>107266</c:v>
                </c:pt>
                <c:pt idx="935">
                  <c:v>101847</c:v>
                </c:pt>
                <c:pt idx="936">
                  <c:v>101570</c:v>
                </c:pt>
                <c:pt idx="937">
                  <c:v>101491</c:v>
                </c:pt>
                <c:pt idx="938">
                  <c:v>101532</c:v>
                </c:pt>
                <c:pt idx="939">
                  <c:v>100680</c:v>
                </c:pt>
                <c:pt idx="940">
                  <c:v>101496</c:v>
                </c:pt>
                <c:pt idx="941">
                  <c:v>100680</c:v>
                </c:pt>
                <c:pt idx="942">
                  <c:v>101477</c:v>
                </c:pt>
                <c:pt idx="943">
                  <c:v>102761</c:v>
                </c:pt>
                <c:pt idx="944">
                  <c:v>101500</c:v>
                </c:pt>
                <c:pt idx="945">
                  <c:v>101597</c:v>
                </c:pt>
                <c:pt idx="946">
                  <c:v>101411</c:v>
                </c:pt>
                <c:pt idx="947">
                  <c:v>101597</c:v>
                </c:pt>
                <c:pt idx="948">
                  <c:v>99214</c:v>
                </c:pt>
                <c:pt idx="949">
                  <c:v>99214</c:v>
                </c:pt>
                <c:pt idx="950">
                  <c:v>99214</c:v>
                </c:pt>
                <c:pt idx="951">
                  <c:v>98849</c:v>
                </c:pt>
                <c:pt idx="952">
                  <c:v>98847</c:v>
                </c:pt>
                <c:pt idx="953">
                  <c:v>99214</c:v>
                </c:pt>
                <c:pt idx="954">
                  <c:v>98849</c:v>
                </c:pt>
                <c:pt idx="955">
                  <c:v>99214</c:v>
                </c:pt>
                <c:pt idx="956">
                  <c:v>102759</c:v>
                </c:pt>
                <c:pt idx="957">
                  <c:v>102756</c:v>
                </c:pt>
                <c:pt idx="958">
                  <c:v>85000</c:v>
                </c:pt>
                <c:pt idx="959">
                  <c:v>103600</c:v>
                </c:pt>
                <c:pt idx="960">
                  <c:v>103614</c:v>
                </c:pt>
                <c:pt idx="961">
                  <c:v>103614</c:v>
                </c:pt>
                <c:pt idx="962">
                  <c:v>103614</c:v>
                </c:pt>
                <c:pt idx="963">
                  <c:v>103614</c:v>
                </c:pt>
                <c:pt idx="964">
                  <c:v>102311</c:v>
                </c:pt>
                <c:pt idx="965">
                  <c:v>102367</c:v>
                </c:pt>
                <c:pt idx="966">
                  <c:v>91427</c:v>
                </c:pt>
                <c:pt idx="967">
                  <c:v>108804</c:v>
                </c:pt>
                <c:pt idx="968">
                  <c:v>108448</c:v>
                </c:pt>
                <c:pt idx="969">
                  <c:v>108351</c:v>
                </c:pt>
                <c:pt idx="970">
                  <c:v>107915</c:v>
                </c:pt>
                <c:pt idx="971">
                  <c:v>108677</c:v>
                </c:pt>
                <c:pt idx="972">
                  <c:v>108770</c:v>
                </c:pt>
                <c:pt idx="973">
                  <c:v>108251</c:v>
                </c:pt>
                <c:pt idx="974">
                  <c:v>108180</c:v>
                </c:pt>
                <c:pt idx="975">
                  <c:v>108212</c:v>
                </c:pt>
                <c:pt idx="976">
                  <c:v>107898</c:v>
                </c:pt>
                <c:pt idx="977">
                  <c:v>107964</c:v>
                </c:pt>
                <c:pt idx="978">
                  <c:v>108828</c:v>
                </c:pt>
                <c:pt idx="979">
                  <c:v>108106</c:v>
                </c:pt>
                <c:pt idx="980">
                  <c:v>108731</c:v>
                </c:pt>
                <c:pt idx="981">
                  <c:v>108180</c:v>
                </c:pt>
                <c:pt idx="982">
                  <c:v>108574</c:v>
                </c:pt>
                <c:pt idx="983">
                  <c:v>91158</c:v>
                </c:pt>
                <c:pt idx="984">
                  <c:v>97499</c:v>
                </c:pt>
                <c:pt idx="985">
                  <c:v>97535</c:v>
                </c:pt>
                <c:pt idx="986">
                  <c:v>105000</c:v>
                </c:pt>
                <c:pt idx="987">
                  <c:v>104408</c:v>
                </c:pt>
                <c:pt idx="988">
                  <c:v>104409</c:v>
                </c:pt>
                <c:pt idx="989">
                  <c:v>105000</c:v>
                </c:pt>
                <c:pt idx="990">
                  <c:v>104409</c:v>
                </c:pt>
                <c:pt idx="991">
                  <c:v>105000</c:v>
                </c:pt>
                <c:pt idx="992">
                  <c:v>105000</c:v>
                </c:pt>
                <c:pt idx="993">
                  <c:v>105000</c:v>
                </c:pt>
                <c:pt idx="994">
                  <c:v>104409</c:v>
                </c:pt>
                <c:pt idx="995">
                  <c:v>105000</c:v>
                </c:pt>
                <c:pt idx="996">
                  <c:v>105000</c:v>
                </c:pt>
                <c:pt idx="997">
                  <c:v>105000</c:v>
                </c:pt>
                <c:pt idx="998">
                  <c:v>105000</c:v>
                </c:pt>
                <c:pt idx="999">
                  <c:v>105000</c:v>
                </c:pt>
                <c:pt idx="1000">
                  <c:v>105000</c:v>
                </c:pt>
                <c:pt idx="1001">
                  <c:v>105000</c:v>
                </c:pt>
                <c:pt idx="1002">
                  <c:v>105000</c:v>
                </c:pt>
                <c:pt idx="1003">
                  <c:v>97552</c:v>
                </c:pt>
                <c:pt idx="1004">
                  <c:v>97536</c:v>
                </c:pt>
                <c:pt idx="1005">
                  <c:v>97552</c:v>
                </c:pt>
                <c:pt idx="1006">
                  <c:v>97550</c:v>
                </c:pt>
                <c:pt idx="1007">
                  <c:v>101612</c:v>
                </c:pt>
                <c:pt idx="1008">
                  <c:v>101612</c:v>
                </c:pt>
                <c:pt idx="1009">
                  <c:v>101612</c:v>
                </c:pt>
                <c:pt idx="1010">
                  <c:v>101810</c:v>
                </c:pt>
                <c:pt idx="1011">
                  <c:v>101779</c:v>
                </c:pt>
                <c:pt idx="1012">
                  <c:v>101810</c:v>
                </c:pt>
                <c:pt idx="1013">
                  <c:v>101500</c:v>
                </c:pt>
                <c:pt idx="1014">
                  <c:v>101818</c:v>
                </c:pt>
                <c:pt idx="1015">
                  <c:v>101612</c:v>
                </c:pt>
                <c:pt idx="1016">
                  <c:v>101000</c:v>
                </c:pt>
                <c:pt idx="1017">
                  <c:v>83400</c:v>
                </c:pt>
                <c:pt idx="1018">
                  <c:v>101200</c:v>
                </c:pt>
                <c:pt idx="1019">
                  <c:v>83700</c:v>
                </c:pt>
                <c:pt idx="1020">
                  <c:v>101200</c:v>
                </c:pt>
                <c:pt idx="1021">
                  <c:v>103235</c:v>
                </c:pt>
                <c:pt idx="1022">
                  <c:v>102800</c:v>
                </c:pt>
                <c:pt idx="1023">
                  <c:v>105000</c:v>
                </c:pt>
                <c:pt idx="1024">
                  <c:v>104409</c:v>
                </c:pt>
                <c:pt idx="1025">
                  <c:v>105000</c:v>
                </c:pt>
                <c:pt idx="1026">
                  <c:v>101000</c:v>
                </c:pt>
                <c:pt idx="1027">
                  <c:v>102460</c:v>
                </c:pt>
                <c:pt idx="1028">
                  <c:v>102396</c:v>
                </c:pt>
                <c:pt idx="1029">
                  <c:v>102418</c:v>
                </c:pt>
                <c:pt idx="1030">
                  <c:v>102379</c:v>
                </c:pt>
                <c:pt idx="1031">
                  <c:v>102453</c:v>
                </c:pt>
                <c:pt idx="1032">
                  <c:v>90600</c:v>
                </c:pt>
                <c:pt idx="1033">
                  <c:v>90388</c:v>
                </c:pt>
                <c:pt idx="1034">
                  <c:v>90414</c:v>
                </c:pt>
                <c:pt idx="1035">
                  <c:v>99086</c:v>
                </c:pt>
                <c:pt idx="1036">
                  <c:v>95810</c:v>
                </c:pt>
                <c:pt idx="1037">
                  <c:v>95810</c:v>
                </c:pt>
                <c:pt idx="1038">
                  <c:v>98968</c:v>
                </c:pt>
                <c:pt idx="1039">
                  <c:v>99123</c:v>
                </c:pt>
                <c:pt idx="1040">
                  <c:v>99052</c:v>
                </c:pt>
                <c:pt idx="1041">
                  <c:v>98967</c:v>
                </c:pt>
                <c:pt idx="1042">
                  <c:v>99043</c:v>
                </c:pt>
                <c:pt idx="1043">
                  <c:v>102250</c:v>
                </c:pt>
                <c:pt idx="1044">
                  <c:v>103845</c:v>
                </c:pt>
                <c:pt idx="1045">
                  <c:v>101310</c:v>
                </c:pt>
                <c:pt idx="1046">
                  <c:v>83400</c:v>
                </c:pt>
                <c:pt idx="1047">
                  <c:v>116058</c:v>
                </c:pt>
                <c:pt idx="1048">
                  <c:v>102455</c:v>
                </c:pt>
                <c:pt idx="1049">
                  <c:v>99500</c:v>
                </c:pt>
                <c:pt idx="1050">
                  <c:v>102148</c:v>
                </c:pt>
                <c:pt idx="1051">
                  <c:v>102148</c:v>
                </c:pt>
                <c:pt idx="1052">
                  <c:v>89870</c:v>
                </c:pt>
                <c:pt idx="1053">
                  <c:v>101310</c:v>
                </c:pt>
                <c:pt idx="1054">
                  <c:v>101310</c:v>
                </c:pt>
                <c:pt idx="1055">
                  <c:v>103000</c:v>
                </c:pt>
                <c:pt idx="1056">
                  <c:v>90532</c:v>
                </c:pt>
                <c:pt idx="1057">
                  <c:v>99563</c:v>
                </c:pt>
                <c:pt idx="1058">
                  <c:v>99563</c:v>
                </c:pt>
                <c:pt idx="1059">
                  <c:v>101383</c:v>
                </c:pt>
                <c:pt idx="1060">
                  <c:v>99792</c:v>
                </c:pt>
                <c:pt idx="1061">
                  <c:v>115356</c:v>
                </c:pt>
                <c:pt idx="1062">
                  <c:v>115181</c:v>
                </c:pt>
                <c:pt idx="1063">
                  <c:v>115414</c:v>
                </c:pt>
                <c:pt idx="1064">
                  <c:v>103567</c:v>
                </c:pt>
                <c:pt idx="1065">
                  <c:v>84300</c:v>
                </c:pt>
                <c:pt idx="1066">
                  <c:v>103691</c:v>
                </c:pt>
                <c:pt idx="1067">
                  <c:v>103800</c:v>
                </c:pt>
                <c:pt idx="1068">
                  <c:v>84300</c:v>
                </c:pt>
                <c:pt idx="1069">
                  <c:v>103800</c:v>
                </c:pt>
                <c:pt idx="1070">
                  <c:v>103538</c:v>
                </c:pt>
                <c:pt idx="1071">
                  <c:v>103800</c:v>
                </c:pt>
                <c:pt idx="1072">
                  <c:v>84300</c:v>
                </c:pt>
                <c:pt idx="1073">
                  <c:v>103681</c:v>
                </c:pt>
                <c:pt idx="1074">
                  <c:v>103600</c:v>
                </c:pt>
                <c:pt idx="1075">
                  <c:v>84300</c:v>
                </c:pt>
                <c:pt idx="1076">
                  <c:v>103631</c:v>
                </c:pt>
                <c:pt idx="1077">
                  <c:v>103648</c:v>
                </c:pt>
                <c:pt idx="1078">
                  <c:v>112000</c:v>
                </c:pt>
                <c:pt idx="1079">
                  <c:v>112516</c:v>
                </c:pt>
                <c:pt idx="1080">
                  <c:v>112000</c:v>
                </c:pt>
                <c:pt idx="1081">
                  <c:v>112516</c:v>
                </c:pt>
                <c:pt idx="1082">
                  <c:v>110805</c:v>
                </c:pt>
                <c:pt idx="1083">
                  <c:v>100400</c:v>
                </c:pt>
                <c:pt idx="1084">
                  <c:v>105000</c:v>
                </c:pt>
                <c:pt idx="1085">
                  <c:v>104580</c:v>
                </c:pt>
                <c:pt idx="1086">
                  <c:v>104357</c:v>
                </c:pt>
                <c:pt idx="1087">
                  <c:v>104372</c:v>
                </c:pt>
                <c:pt idx="1088">
                  <c:v>110617</c:v>
                </c:pt>
                <c:pt idx="1089">
                  <c:v>110800</c:v>
                </c:pt>
                <c:pt idx="1090">
                  <c:v>109619</c:v>
                </c:pt>
                <c:pt idx="1091">
                  <c:v>110852</c:v>
                </c:pt>
                <c:pt idx="1092">
                  <c:v>109581</c:v>
                </c:pt>
                <c:pt idx="1093">
                  <c:v>109576</c:v>
                </c:pt>
                <c:pt idx="1094">
                  <c:v>109542</c:v>
                </c:pt>
                <c:pt idx="1095">
                  <c:v>110039</c:v>
                </c:pt>
                <c:pt idx="1096">
                  <c:v>108622</c:v>
                </c:pt>
                <c:pt idx="1097">
                  <c:v>109832</c:v>
                </c:pt>
                <c:pt idx="1098">
                  <c:v>109587</c:v>
                </c:pt>
                <c:pt idx="1099">
                  <c:v>101279</c:v>
                </c:pt>
                <c:pt idx="1100">
                  <c:v>110000</c:v>
                </c:pt>
                <c:pt idx="1101">
                  <c:v>110544</c:v>
                </c:pt>
                <c:pt idx="1102">
                  <c:v>111800</c:v>
                </c:pt>
                <c:pt idx="1103">
                  <c:v>112516</c:v>
                </c:pt>
                <c:pt idx="1104">
                  <c:v>113227</c:v>
                </c:pt>
                <c:pt idx="1105">
                  <c:v>113073</c:v>
                </c:pt>
                <c:pt idx="1106">
                  <c:v>113173</c:v>
                </c:pt>
                <c:pt idx="1107">
                  <c:v>116079</c:v>
                </c:pt>
                <c:pt idx="1108">
                  <c:v>110271</c:v>
                </c:pt>
                <c:pt idx="1109">
                  <c:v>110972</c:v>
                </c:pt>
                <c:pt idx="1110">
                  <c:v>112233</c:v>
                </c:pt>
                <c:pt idx="1111">
                  <c:v>112231</c:v>
                </c:pt>
                <c:pt idx="1112">
                  <c:v>112171</c:v>
                </c:pt>
                <c:pt idx="1113">
                  <c:v>111029</c:v>
                </c:pt>
                <c:pt idx="1114">
                  <c:v>103310</c:v>
                </c:pt>
                <c:pt idx="1115">
                  <c:v>103207</c:v>
                </c:pt>
                <c:pt idx="1116">
                  <c:v>103260</c:v>
                </c:pt>
                <c:pt idx="1117">
                  <c:v>110401</c:v>
                </c:pt>
                <c:pt idx="1118">
                  <c:v>110228</c:v>
                </c:pt>
                <c:pt idx="1119">
                  <c:v>110295</c:v>
                </c:pt>
                <c:pt idx="1120">
                  <c:v>112171</c:v>
                </c:pt>
                <c:pt idx="1121">
                  <c:v>112171</c:v>
                </c:pt>
                <c:pt idx="1122">
                  <c:v>111650</c:v>
                </c:pt>
                <c:pt idx="1123">
                  <c:v>99563</c:v>
                </c:pt>
                <c:pt idx="1124">
                  <c:v>99563</c:v>
                </c:pt>
                <c:pt idx="1125">
                  <c:v>108461</c:v>
                </c:pt>
                <c:pt idx="1126">
                  <c:v>108637</c:v>
                </c:pt>
                <c:pt idx="1127">
                  <c:v>115145</c:v>
                </c:pt>
                <c:pt idx="1128">
                  <c:v>115145</c:v>
                </c:pt>
                <c:pt idx="1129">
                  <c:v>112063</c:v>
                </c:pt>
                <c:pt idx="1130">
                  <c:v>116932</c:v>
                </c:pt>
                <c:pt idx="1131">
                  <c:v>109835</c:v>
                </c:pt>
                <c:pt idx="1132">
                  <c:v>110800</c:v>
                </c:pt>
                <c:pt idx="1133">
                  <c:v>110697</c:v>
                </c:pt>
                <c:pt idx="1134">
                  <c:v>117205</c:v>
                </c:pt>
                <c:pt idx="1135">
                  <c:v>117063</c:v>
                </c:pt>
                <c:pt idx="1136">
                  <c:v>112053</c:v>
                </c:pt>
                <c:pt idx="1137">
                  <c:v>110634</c:v>
                </c:pt>
                <c:pt idx="1138">
                  <c:v>111894</c:v>
                </c:pt>
                <c:pt idx="1139">
                  <c:v>110623</c:v>
                </c:pt>
                <c:pt idx="1140">
                  <c:v>112580</c:v>
                </c:pt>
                <c:pt idx="1141">
                  <c:v>115019</c:v>
                </c:pt>
                <c:pt idx="1142">
                  <c:v>115024</c:v>
                </c:pt>
                <c:pt idx="1143">
                  <c:v>108577</c:v>
                </c:pt>
                <c:pt idx="1144">
                  <c:v>108615</c:v>
                </c:pt>
                <c:pt idx="1145">
                  <c:v>115026</c:v>
                </c:pt>
                <c:pt idx="1146">
                  <c:v>113800</c:v>
                </c:pt>
                <c:pt idx="1147">
                  <c:v>110838</c:v>
                </c:pt>
                <c:pt idx="1148">
                  <c:v>110501</c:v>
                </c:pt>
                <c:pt idx="1149">
                  <c:v>99500</c:v>
                </c:pt>
                <c:pt idx="1150">
                  <c:v>99500</c:v>
                </c:pt>
                <c:pt idx="1151">
                  <c:v>110200</c:v>
                </c:pt>
                <c:pt idx="1152">
                  <c:v>113800</c:v>
                </c:pt>
                <c:pt idx="1153">
                  <c:v>111290</c:v>
                </c:pt>
                <c:pt idx="1154">
                  <c:v>111189</c:v>
                </c:pt>
                <c:pt idx="1155">
                  <c:v>112230</c:v>
                </c:pt>
                <c:pt idx="1156">
                  <c:v>111000</c:v>
                </c:pt>
                <c:pt idx="1157">
                  <c:v>111862</c:v>
                </c:pt>
                <c:pt idx="1158">
                  <c:v>112434</c:v>
                </c:pt>
                <c:pt idx="1159">
                  <c:v>110442</c:v>
                </c:pt>
                <c:pt idx="1160">
                  <c:v>110800</c:v>
                </c:pt>
                <c:pt idx="1161">
                  <c:v>110699</c:v>
                </c:pt>
                <c:pt idx="1162">
                  <c:v>110103</c:v>
                </c:pt>
                <c:pt idx="1163">
                  <c:v>110412</c:v>
                </c:pt>
                <c:pt idx="1164">
                  <c:v>109802</c:v>
                </c:pt>
                <c:pt idx="1165">
                  <c:v>110697</c:v>
                </c:pt>
                <c:pt idx="1166">
                  <c:v>112359</c:v>
                </c:pt>
                <c:pt idx="1167">
                  <c:v>111000</c:v>
                </c:pt>
                <c:pt idx="1168">
                  <c:v>110000</c:v>
                </c:pt>
                <c:pt idx="1169">
                  <c:v>110829</c:v>
                </c:pt>
                <c:pt idx="1170">
                  <c:v>109520</c:v>
                </c:pt>
                <c:pt idx="1171">
                  <c:v>108000</c:v>
                </c:pt>
                <c:pt idx="1172">
                  <c:v>113964</c:v>
                </c:pt>
                <c:pt idx="1173">
                  <c:v>113909</c:v>
                </c:pt>
                <c:pt idx="1174">
                  <c:v>114004</c:v>
                </c:pt>
                <c:pt idx="1175">
                  <c:v>111614</c:v>
                </c:pt>
                <c:pt idx="1176">
                  <c:v>107504</c:v>
                </c:pt>
                <c:pt idx="1177">
                  <c:v>107277</c:v>
                </c:pt>
                <c:pt idx="1178">
                  <c:v>107483</c:v>
                </c:pt>
                <c:pt idx="1179">
                  <c:v>107492</c:v>
                </c:pt>
                <c:pt idx="1180">
                  <c:v>107498</c:v>
                </c:pt>
                <c:pt idx="1181">
                  <c:v>115700</c:v>
                </c:pt>
                <c:pt idx="1182">
                  <c:v>115700</c:v>
                </c:pt>
                <c:pt idx="1183">
                  <c:v>115700</c:v>
                </c:pt>
                <c:pt idx="1184">
                  <c:v>115700</c:v>
                </c:pt>
                <c:pt idx="1185">
                  <c:v>115700</c:v>
                </c:pt>
                <c:pt idx="1186">
                  <c:v>115993</c:v>
                </c:pt>
                <c:pt idx="1187">
                  <c:v>115700</c:v>
                </c:pt>
                <c:pt idx="1188">
                  <c:v>115993</c:v>
                </c:pt>
                <c:pt idx="1189">
                  <c:v>111737</c:v>
                </c:pt>
                <c:pt idx="1190">
                  <c:v>111737</c:v>
                </c:pt>
                <c:pt idx="1191">
                  <c:v>111737</c:v>
                </c:pt>
                <c:pt idx="1192">
                  <c:v>111737</c:v>
                </c:pt>
                <c:pt idx="1193">
                  <c:v>111571</c:v>
                </c:pt>
                <c:pt idx="1194">
                  <c:v>111746</c:v>
                </c:pt>
                <c:pt idx="1195">
                  <c:v>111889</c:v>
                </c:pt>
                <c:pt idx="1196">
                  <c:v>111737</c:v>
                </c:pt>
                <c:pt idx="1197">
                  <c:v>117737</c:v>
                </c:pt>
                <c:pt idx="1198">
                  <c:v>97000</c:v>
                </c:pt>
                <c:pt idx="1199">
                  <c:v>97000</c:v>
                </c:pt>
                <c:pt idx="1200">
                  <c:v>99500</c:v>
                </c:pt>
                <c:pt idx="1201">
                  <c:v>124426</c:v>
                </c:pt>
                <c:pt idx="1202">
                  <c:v>106000</c:v>
                </c:pt>
                <c:pt idx="1203">
                  <c:v>120934</c:v>
                </c:pt>
                <c:pt idx="1204">
                  <c:v>120944</c:v>
                </c:pt>
                <c:pt idx="1205">
                  <c:v>120853</c:v>
                </c:pt>
                <c:pt idx="1206">
                  <c:v>116100</c:v>
                </c:pt>
                <c:pt idx="1207">
                  <c:v>115993</c:v>
                </c:pt>
                <c:pt idx="1208">
                  <c:v>115993</c:v>
                </c:pt>
                <c:pt idx="1209">
                  <c:v>124500</c:v>
                </c:pt>
                <c:pt idx="1210">
                  <c:v>124500</c:v>
                </c:pt>
                <c:pt idx="1211">
                  <c:v>124500</c:v>
                </c:pt>
                <c:pt idx="1212">
                  <c:v>124500</c:v>
                </c:pt>
                <c:pt idx="1213">
                  <c:v>124500</c:v>
                </c:pt>
                <c:pt idx="1214">
                  <c:v>124458</c:v>
                </c:pt>
                <c:pt idx="1215">
                  <c:v>124500</c:v>
                </c:pt>
                <c:pt idx="1216">
                  <c:v>110525</c:v>
                </c:pt>
                <c:pt idx="1217">
                  <c:v>117000</c:v>
                </c:pt>
                <c:pt idx="1218">
                  <c:v>117000</c:v>
                </c:pt>
                <c:pt idx="1219">
                  <c:v>118712</c:v>
                </c:pt>
                <c:pt idx="1220">
                  <c:v>117000</c:v>
                </c:pt>
                <c:pt idx="1221">
                  <c:v>118000</c:v>
                </c:pt>
                <c:pt idx="1222">
                  <c:v>117176</c:v>
                </c:pt>
                <c:pt idx="1223">
                  <c:v>117172</c:v>
                </c:pt>
                <c:pt idx="1224">
                  <c:v>120500</c:v>
                </c:pt>
                <c:pt idx="1225">
                  <c:v>120500</c:v>
                </c:pt>
                <c:pt idx="1226">
                  <c:v>117158</c:v>
                </c:pt>
                <c:pt idx="1227">
                  <c:v>119106</c:v>
                </c:pt>
                <c:pt idx="1228">
                  <c:v>119137</c:v>
                </c:pt>
                <c:pt idx="1229">
                  <c:v>111414</c:v>
                </c:pt>
                <c:pt idx="1230">
                  <c:v>119324</c:v>
                </c:pt>
                <c:pt idx="1231">
                  <c:v>115231</c:v>
                </c:pt>
                <c:pt idx="1232">
                  <c:v>115000</c:v>
                </c:pt>
                <c:pt idx="1233">
                  <c:v>111500</c:v>
                </c:pt>
                <c:pt idx="1234">
                  <c:v>115000</c:v>
                </c:pt>
                <c:pt idx="1235">
                  <c:v>115177</c:v>
                </c:pt>
                <c:pt idx="1236">
                  <c:v>121800</c:v>
                </c:pt>
                <c:pt idx="1237">
                  <c:v>121800</c:v>
                </c:pt>
                <c:pt idx="1238">
                  <c:v>109950</c:v>
                </c:pt>
                <c:pt idx="1239">
                  <c:v>124092</c:v>
                </c:pt>
                <c:pt idx="1240">
                  <c:v>109968</c:v>
                </c:pt>
                <c:pt idx="1241">
                  <c:v>109968</c:v>
                </c:pt>
                <c:pt idx="1242">
                  <c:v>110338</c:v>
                </c:pt>
                <c:pt idx="1243">
                  <c:v>111385</c:v>
                </c:pt>
                <c:pt idx="1244">
                  <c:v>111315</c:v>
                </c:pt>
                <c:pt idx="1245">
                  <c:v>111499</c:v>
                </c:pt>
                <c:pt idx="1246">
                  <c:v>116400</c:v>
                </c:pt>
                <c:pt idx="1247">
                  <c:v>116294</c:v>
                </c:pt>
                <c:pt idx="1248">
                  <c:v>116440</c:v>
                </c:pt>
                <c:pt idx="1249">
                  <c:v>116499</c:v>
                </c:pt>
                <c:pt idx="1250">
                  <c:v>122000</c:v>
                </c:pt>
                <c:pt idx="1251">
                  <c:v>113735</c:v>
                </c:pt>
                <c:pt idx="1252">
                  <c:v>120000</c:v>
                </c:pt>
                <c:pt idx="1253">
                  <c:v>122000</c:v>
                </c:pt>
                <c:pt idx="1254">
                  <c:v>131358</c:v>
                </c:pt>
                <c:pt idx="1255">
                  <c:v>124092</c:v>
                </c:pt>
                <c:pt idx="1256">
                  <c:v>119000</c:v>
                </c:pt>
                <c:pt idx="1257">
                  <c:v>118000</c:v>
                </c:pt>
                <c:pt idx="1258">
                  <c:v>118000</c:v>
                </c:pt>
                <c:pt idx="1259">
                  <c:v>119510</c:v>
                </c:pt>
                <c:pt idx="1260">
                  <c:v>119359</c:v>
                </c:pt>
                <c:pt idx="1261">
                  <c:v>119368</c:v>
                </c:pt>
                <c:pt idx="1262">
                  <c:v>115260</c:v>
                </c:pt>
                <c:pt idx="1263">
                  <c:v>115159</c:v>
                </c:pt>
                <c:pt idx="1264">
                  <c:v>115304</c:v>
                </c:pt>
                <c:pt idx="1265">
                  <c:v>115318</c:v>
                </c:pt>
                <c:pt idx="1266">
                  <c:v>115086</c:v>
                </c:pt>
                <c:pt idx="1267">
                  <c:v>121960</c:v>
                </c:pt>
                <c:pt idx="1268">
                  <c:v>121960</c:v>
                </c:pt>
                <c:pt idx="1269">
                  <c:v>121960</c:v>
                </c:pt>
                <c:pt idx="1270">
                  <c:v>124500</c:v>
                </c:pt>
                <c:pt idx="1271">
                  <c:v>124426</c:v>
                </c:pt>
                <c:pt idx="1272">
                  <c:v>120000</c:v>
                </c:pt>
                <c:pt idx="1273">
                  <c:v>120000</c:v>
                </c:pt>
                <c:pt idx="1274">
                  <c:v>120000</c:v>
                </c:pt>
                <c:pt idx="1275">
                  <c:v>123101</c:v>
                </c:pt>
                <c:pt idx="1276">
                  <c:v>123205</c:v>
                </c:pt>
                <c:pt idx="1277">
                  <c:v>131400</c:v>
                </c:pt>
                <c:pt idx="1278">
                  <c:v>131400</c:v>
                </c:pt>
                <c:pt idx="1279">
                  <c:v>131400</c:v>
                </c:pt>
                <c:pt idx="1280">
                  <c:v>128760</c:v>
                </c:pt>
                <c:pt idx="1281">
                  <c:v>131400</c:v>
                </c:pt>
                <c:pt idx="1282">
                  <c:v>120500</c:v>
                </c:pt>
                <c:pt idx="1283">
                  <c:v>123490</c:v>
                </c:pt>
                <c:pt idx="1284">
                  <c:v>52240</c:v>
                </c:pt>
                <c:pt idx="1285">
                  <c:v>131830</c:v>
                </c:pt>
                <c:pt idx="1286">
                  <c:v>131831</c:v>
                </c:pt>
                <c:pt idx="1287">
                  <c:v>133000</c:v>
                </c:pt>
                <c:pt idx="1288">
                  <c:v>133000</c:v>
                </c:pt>
                <c:pt idx="1289">
                  <c:v>133000</c:v>
                </c:pt>
                <c:pt idx="1290">
                  <c:v>110000</c:v>
                </c:pt>
                <c:pt idx="1291">
                  <c:v>133000</c:v>
                </c:pt>
                <c:pt idx="1292">
                  <c:v>131938</c:v>
                </c:pt>
                <c:pt idx="1293">
                  <c:v>131831</c:v>
                </c:pt>
                <c:pt idx="1294">
                  <c:v>131356</c:v>
                </c:pt>
                <c:pt idx="1295">
                  <c:v>131489</c:v>
                </c:pt>
                <c:pt idx="1296">
                  <c:v>131463</c:v>
                </c:pt>
                <c:pt idx="1297">
                  <c:v>130804</c:v>
                </c:pt>
                <c:pt idx="1298">
                  <c:v>131260</c:v>
                </c:pt>
                <c:pt idx="1299">
                  <c:v>128000</c:v>
                </c:pt>
                <c:pt idx="1300">
                  <c:v>94060</c:v>
                </c:pt>
                <c:pt idx="1301">
                  <c:v>128550</c:v>
                </c:pt>
                <c:pt idx="1302">
                  <c:v>128550</c:v>
                </c:pt>
                <c:pt idx="1303">
                  <c:v>128550</c:v>
                </c:pt>
                <c:pt idx="1304">
                  <c:v>128760</c:v>
                </c:pt>
                <c:pt idx="1305">
                  <c:v>130000</c:v>
                </c:pt>
                <c:pt idx="1306">
                  <c:v>128760</c:v>
                </c:pt>
                <c:pt idx="1307">
                  <c:v>128760</c:v>
                </c:pt>
                <c:pt idx="1308">
                  <c:v>128760</c:v>
                </c:pt>
                <c:pt idx="1309">
                  <c:v>128550</c:v>
                </c:pt>
                <c:pt idx="1310">
                  <c:v>128688</c:v>
                </c:pt>
                <c:pt idx="1311">
                  <c:v>122400</c:v>
                </c:pt>
                <c:pt idx="1312">
                  <c:v>139419</c:v>
                </c:pt>
                <c:pt idx="1313">
                  <c:v>139439</c:v>
                </c:pt>
                <c:pt idx="1314">
                  <c:v>142500</c:v>
                </c:pt>
                <c:pt idx="1315">
                  <c:v>146093</c:v>
                </c:pt>
                <c:pt idx="1316">
                  <c:v>142500</c:v>
                </c:pt>
                <c:pt idx="1317">
                  <c:v>146000</c:v>
                </c:pt>
                <c:pt idx="1318">
                  <c:v>146148</c:v>
                </c:pt>
                <c:pt idx="1319">
                  <c:v>139500</c:v>
                </c:pt>
                <c:pt idx="1320">
                  <c:v>139500</c:v>
                </c:pt>
                <c:pt idx="1321">
                  <c:v>142500</c:v>
                </c:pt>
                <c:pt idx="1322">
                  <c:v>142500</c:v>
                </c:pt>
                <c:pt idx="1323">
                  <c:v>165300</c:v>
                </c:pt>
                <c:pt idx="1324">
                  <c:v>152700</c:v>
                </c:pt>
                <c:pt idx="1325">
                  <c:v>154494</c:v>
                </c:pt>
                <c:pt idx="1326">
                  <c:v>165300</c:v>
                </c:pt>
                <c:pt idx="1327">
                  <c:v>152700</c:v>
                </c:pt>
                <c:pt idx="1328">
                  <c:v>154664</c:v>
                </c:pt>
                <c:pt idx="1329">
                  <c:v>154185</c:v>
                </c:pt>
                <c:pt idx="1330">
                  <c:v>141820</c:v>
                </c:pt>
                <c:pt idx="1331">
                  <c:v>140700</c:v>
                </c:pt>
                <c:pt idx="1332">
                  <c:v>140609</c:v>
                </c:pt>
                <c:pt idx="1333">
                  <c:v>140542</c:v>
                </c:pt>
                <c:pt idx="1334">
                  <c:v>141716</c:v>
                </c:pt>
                <c:pt idx="1335">
                  <c:v>141820</c:v>
                </c:pt>
                <c:pt idx="1336">
                  <c:v>141649</c:v>
                </c:pt>
                <c:pt idx="1337">
                  <c:v>141820</c:v>
                </c:pt>
                <c:pt idx="1338">
                  <c:v>113900</c:v>
                </c:pt>
                <c:pt idx="1339">
                  <c:v>113900</c:v>
                </c:pt>
                <c:pt idx="1340">
                  <c:v>141550</c:v>
                </c:pt>
                <c:pt idx="1341">
                  <c:v>141550</c:v>
                </c:pt>
                <c:pt idx="1342">
                  <c:v>141550</c:v>
                </c:pt>
                <c:pt idx="1343">
                  <c:v>141550</c:v>
                </c:pt>
                <c:pt idx="1344">
                  <c:v>140565</c:v>
                </c:pt>
                <c:pt idx="1345">
                  <c:v>142500</c:v>
                </c:pt>
                <c:pt idx="1346">
                  <c:v>141649</c:v>
                </c:pt>
                <c:pt idx="1347">
                  <c:v>142105</c:v>
                </c:pt>
                <c:pt idx="1348">
                  <c:v>142105</c:v>
                </c:pt>
                <c:pt idx="1349">
                  <c:v>141820</c:v>
                </c:pt>
                <c:pt idx="1350">
                  <c:v>141000</c:v>
                </c:pt>
                <c:pt idx="1351">
                  <c:v>142105</c:v>
                </c:pt>
                <c:pt idx="1352">
                  <c:v>140991</c:v>
                </c:pt>
                <c:pt idx="1353">
                  <c:v>113900</c:v>
                </c:pt>
                <c:pt idx="1354">
                  <c:v>140900</c:v>
                </c:pt>
                <c:pt idx="1355">
                  <c:v>140700</c:v>
                </c:pt>
                <c:pt idx="1356">
                  <c:v>145274</c:v>
                </c:pt>
                <c:pt idx="1357">
                  <c:v>145237</c:v>
                </c:pt>
                <c:pt idx="1358">
                  <c:v>145528</c:v>
                </c:pt>
                <c:pt idx="1359">
                  <c:v>152700</c:v>
                </c:pt>
                <c:pt idx="1360">
                  <c:v>145000</c:v>
                </c:pt>
                <c:pt idx="1361">
                  <c:v>140530</c:v>
                </c:pt>
                <c:pt idx="1362">
                  <c:v>142105</c:v>
                </c:pt>
                <c:pt idx="1363">
                  <c:v>142105</c:v>
                </c:pt>
                <c:pt idx="1364">
                  <c:v>142105</c:v>
                </c:pt>
                <c:pt idx="1365">
                  <c:v>145000</c:v>
                </c:pt>
                <c:pt idx="1366">
                  <c:v>148642</c:v>
                </c:pt>
                <c:pt idx="1367">
                  <c:v>148542</c:v>
                </c:pt>
                <c:pt idx="1368">
                  <c:v>148549</c:v>
                </c:pt>
                <c:pt idx="1369">
                  <c:v>140900</c:v>
                </c:pt>
                <c:pt idx="1370">
                  <c:v>140973</c:v>
                </c:pt>
                <c:pt idx="1371">
                  <c:v>140900</c:v>
                </c:pt>
                <c:pt idx="1372">
                  <c:v>140900</c:v>
                </c:pt>
                <c:pt idx="1373">
                  <c:v>126048</c:v>
                </c:pt>
                <c:pt idx="1374">
                  <c:v>141184</c:v>
                </c:pt>
                <c:pt idx="1375">
                  <c:v>140900</c:v>
                </c:pt>
                <c:pt idx="1376">
                  <c:v>140900</c:v>
                </c:pt>
                <c:pt idx="1377">
                  <c:v>140973</c:v>
                </c:pt>
                <c:pt idx="1378">
                  <c:v>152700</c:v>
                </c:pt>
                <c:pt idx="1379">
                  <c:v>145979</c:v>
                </c:pt>
                <c:pt idx="1380">
                  <c:v>146000</c:v>
                </c:pt>
                <c:pt idx="1381">
                  <c:v>146000</c:v>
                </c:pt>
                <c:pt idx="1382">
                  <c:v>142000</c:v>
                </c:pt>
                <c:pt idx="1383">
                  <c:v>142100</c:v>
                </c:pt>
                <c:pt idx="1384">
                  <c:v>142000</c:v>
                </c:pt>
                <c:pt idx="1385">
                  <c:v>142018</c:v>
                </c:pt>
                <c:pt idx="1386">
                  <c:v>140000</c:v>
                </c:pt>
                <c:pt idx="1387">
                  <c:v>142000</c:v>
                </c:pt>
                <c:pt idx="1388">
                  <c:v>142000</c:v>
                </c:pt>
                <c:pt idx="1389">
                  <c:v>142000</c:v>
                </c:pt>
                <c:pt idx="1390">
                  <c:v>142295</c:v>
                </c:pt>
                <c:pt idx="1391">
                  <c:v>140000</c:v>
                </c:pt>
                <c:pt idx="1392">
                  <c:v>165478</c:v>
                </c:pt>
                <c:pt idx="1393">
                  <c:v>143521</c:v>
                </c:pt>
                <c:pt idx="1394">
                  <c:v>144000</c:v>
                </c:pt>
                <c:pt idx="1395">
                  <c:v>144342</c:v>
                </c:pt>
                <c:pt idx="1396">
                  <c:v>144342</c:v>
                </c:pt>
                <c:pt idx="1397">
                  <c:v>144000</c:v>
                </c:pt>
                <c:pt idx="1398">
                  <c:v>144000</c:v>
                </c:pt>
                <c:pt idx="1399">
                  <c:v>144000</c:v>
                </c:pt>
                <c:pt idx="1400">
                  <c:v>144000</c:v>
                </c:pt>
                <c:pt idx="1401">
                  <c:v>144321</c:v>
                </c:pt>
                <c:pt idx="1402">
                  <c:v>144000</c:v>
                </c:pt>
                <c:pt idx="1403">
                  <c:v>145451</c:v>
                </c:pt>
                <c:pt idx="1404">
                  <c:v>157000</c:v>
                </c:pt>
                <c:pt idx="1405">
                  <c:v>157000</c:v>
                </c:pt>
                <c:pt idx="1406">
                  <c:v>146161</c:v>
                </c:pt>
                <c:pt idx="1407">
                  <c:v>152860</c:v>
                </c:pt>
                <c:pt idx="1408">
                  <c:v>156618</c:v>
                </c:pt>
                <c:pt idx="1409">
                  <c:v>160000</c:v>
                </c:pt>
                <c:pt idx="1410">
                  <c:v>156610</c:v>
                </c:pt>
                <c:pt idx="1411">
                  <c:v>156600</c:v>
                </c:pt>
                <c:pt idx="1412">
                  <c:v>156600</c:v>
                </c:pt>
                <c:pt idx="1413">
                  <c:v>156600</c:v>
                </c:pt>
                <c:pt idx="1414">
                  <c:v>145000</c:v>
                </c:pt>
                <c:pt idx="1415">
                  <c:v>153500</c:v>
                </c:pt>
                <c:pt idx="1416">
                  <c:v>153500</c:v>
                </c:pt>
                <c:pt idx="1417">
                  <c:v>162867</c:v>
                </c:pt>
                <c:pt idx="1418">
                  <c:v>156300</c:v>
                </c:pt>
                <c:pt idx="1419">
                  <c:v>165300</c:v>
                </c:pt>
                <c:pt idx="1420">
                  <c:v>156097</c:v>
                </c:pt>
                <c:pt idx="1421">
                  <c:v>156082</c:v>
                </c:pt>
                <c:pt idx="1422">
                  <c:v>155438</c:v>
                </c:pt>
                <c:pt idx="1423">
                  <c:v>165300</c:v>
                </c:pt>
                <c:pt idx="1424">
                  <c:v>165691</c:v>
                </c:pt>
                <c:pt idx="1425">
                  <c:v>145534</c:v>
                </c:pt>
                <c:pt idx="1426">
                  <c:v>145000</c:v>
                </c:pt>
                <c:pt idx="1427">
                  <c:v>150000</c:v>
                </c:pt>
                <c:pt idx="1428">
                  <c:v>145557</c:v>
                </c:pt>
                <c:pt idx="1429">
                  <c:v>122625</c:v>
                </c:pt>
                <c:pt idx="1430">
                  <c:v>146214</c:v>
                </c:pt>
                <c:pt idx="1431">
                  <c:v>146073</c:v>
                </c:pt>
                <c:pt idx="1432">
                  <c:v>122625</c:v>
                </c:pt>
                <c:pt idx="1433">
                  <c:v>145784</c:v>
                </c:pt>
                <c:pt idx="1434">
                  <c:v>152344</c:v>
                </c:pt>
                <c:pt idx="1435">
                  <c:v>152200</c:v>
                </c:pt>
                <c:pt idx="1436">
                  <c:v>152200</c:v>
                </c:pt>
                <c:pt idx="1437">
                  <c:v>152200</c:v>
                </c:pt>
                <c:pt idx="1438">
                  <c:v>152210</c:v>
                </c:pt>
                <c:pt idx="1439">
                  <c:v>152000</c:v>
                </c:pt>
                <c:pt idx="1440">
                  <c:v>152200</c:v>
                </c:pt>
                <c:pt idx="1441">
                  <c:v>152000</c:v>
                </c:pt>
                <c:pt idx="1442">
                  <c:v>152344</c:v>
                </c:pt>
                <c:pt idx="1443">
                  <c:v>152000</c:v>
                </c:pt>
                <c:pt idx="1444">
                  <c:v>108000</c:v>
                </c:pt>
                <c:pt idx="1445">
                  <c:v>156800</c:v>
                </c:pt>
                <c:pt idx="1446">
                  <c:v>108000</c:v>
                </c:pt>
                <c:pt idx="1447">
                  <c:v>157000</c:v>
                </c:pt>
                <c:pt idx="1448">
                  <c:v>155000</c:v>
                </c:pt>
                <c:pt idx="1449">
                  <c:v>150000</c:v>
                </c:pt>
                <c:pt idx="1450">
                  <c:v>145500</c:v>
                </c:pt>
                <c:pt idx="1451">
                  <c:v>147021</c:v>
                </c:pt>
                <c:pt idx="1452">
                  <c:v>147500</c:v>
                </c:pt>
                <c:pt idx="1453">
                  <c:v>144735</c:v>
                </c:pt>
                <c:pt idx="1454">
                  <c:v>147500</c:v>
                </c:pt>
                <c:pt idx="1455">
                  <c:v>147500</c:v>
                </c:pt>
                <c:pt idx="1456">
                  <c:v>146722</c:v>
                </c:pt>
                <c:pt idx="1457">
                  <c:v>147500</c:v>
                </c:pt>
                <c:pt idx="1458">
                  <c:v>147500</c:v>
                </c:pt>
                <c:pt idx="1459">
                  <c:v>150100</c:v>
                </c:pt>
                <c:pt idx="1460">
                  <c:v>150100</c:v>
                </c:pt>
                <c:pt idx="1461">
                  <c:v>147404</c:v>
                </c:pt>
                <c:pt idx="1462">
                  <c:v>150100</c:v>
                </c:pt>
                <c:pt idx="1463">
                  <c:v>150100</c:v>
                </c:pt>
                <c:pt idx="1464">
                  <c:v>150100</c:v>
                </c:pt>
                <c:pt idx="1465">
                  <c:v>150100</c:v>
                </c:pt>
                <c:pt idx="1466">
                  <c:v>150100</c:v>
                </c:pt>
                <c:pt idx="1467">
                  <c:v>165300</c:v>
                </c:pt>
                <c:pt idx="1468">
                  <c:v>146778</c:v>
                </c:pt>
                <c:pt idx="1469">
                  <c:v>165300</c:v>
                </c:pt>
                <c:pt idx="1470">
                  <c:v>165181</c:v>
                </c:pt>
                <c:pt idx="1471">
                  <c:v>165960</c:v>
                </c:pt>
                <c:pt idx="1472">
                  <c:v>152600</c:v>
                </c:pt>
                <c:pt idx="1473">
                  <c:v>166093</c:v>
                </c:pt>
                <c:pt idx="1474">
                  <c:v>155438</c:v>
                </c:pt>
                <c:pt idx="1475">
                  <c:v>166041</c:v>
                </c:pt>
                <c:pt idx="1476">
                  <c:v>165900</c:v>
                </c:pt>
                <c:pt idx="1477">
                  <c:v>165300</c:v>
                </c:pt>
                <c:pt idx="1478">
                  <c:v>145000</c:v>
                </c:pt>
                <c:pt idx="1479">
                  <c:v>165887</c:v>
                </c:pt>
                <c:pt idx="1480">
                  <c:v>165300</c:v>
                </c:pt>
                <c:pt idx="1481">
                  <c:v>139335</c:v>
                </c:pt>
                <c:pt idx="1482">
                  <c:v>139335</c:v>
                </c:pt>
                <c:pt idx="1483">
                  <c:v>139500</c:v>
                </c:pt>
                <c:pt idx="1484">
                  <c:v>144285</c:v>
                </c:pt>
                <c:pt idx="1485">
                  <c:v>139335</c:v>
                </c:pt>
                <c:pt idx="1486">
                  <c:v>155000</c:v>
                </c:pt>
                <c:pt idx="1487">
                  <c:v>146074</c:v>
                </c:pt>
                <c:pt idx="1488">
                  <c:v>145077</c:v>
                </c:pt>
                <c:pt idx="1489">
                  <c:v>146749</c:v>
                </c:pt>
                <c:pt idx="1490">
                  <c:v>138611</c:v>
                </c:pt>
                <c:pt idx="1491">
                  <c:v>139335</c:v>
                </c:pt>
                <c:pt idx="1492">
                  <c:v>139335</c:v>
                </c:pt>
                <c:pt idx="1493">
                  <c:v>155000</c:v>
                </c:pt>
                <c:pt idx="1494">
                  <c:v>155000</c:v>
                </c:pt>
                <c:pt idx="1495">
                  <c:v>160000</c:v>
                </c:pt>
                <c:pt idx="1496">
                  <c:v>139500</c:v>
                </c:pt>
                <c:pt idx="1497">
                  <c:v>160000</c:v>
                </c:pt>
                <c:pt idx="1498">
                  <c:v>165300</c:v>
                </c:pt>
                <c:pt idx="1499">
                  <c:v>155470</c:v>
                </c:pt>
                <c:pt idx="1500">
                  <c:v>155374</c:v>
                </c:pt>
                <c:pt idx="1501">
                  <c:v>165300</c:v>
                </c:pt>
                <c:pt idx="1502">
                  <c:v>165300</c:v>
                </c:pt>
                <c:pt idx="1503">
                  <c:v>155628</c:v>
                </c:pt>
                <c:pt idx="1504">
                  <c:v>145559</c:v>
                </c:pt>
                <c:pt idx="1505">
                  <c:v>144943</c:v>
                </c:pt>
                <c:pt idx="1506">
                  <c:v>145000</c:v>
                </c:pt>
                <c:pt idx="1507">
                  <c:v>122625</c:v>
                </c:pt>
                <c:pt idx="1508">
                  <c:v>122625</c:v>
                </c:pt>
                <c:pt idx="1509">
                  <c:v>122625</c:v>
                </c:pt>
                <c:pt idx="1510">
                  <c:v>147500</c:v>
                </c:pt>
                <c:pt idx="1511">
                  <c:v>153520</c:v>
                </c:pt>
                <c:pt idx="1512">
                  <c:v>145500</c:v>
                </c:pt>
                <c:pt idx="1513">
                  <c:v>153500</c:v>
                </c:pt>
                <c:pt idx="1514">
                  <c:v>153500</c:v>
                </c:pt>
                <c:pt idx="1515">
                  <c:v>151200</c:v>
                </c:pt>
                <c:pt idx="1516">
                  <c:v>153500</c:v>
                </c:pt>
                <c:pt idx="1517">
                  <c:v>149000</c:v>
                </c:pt>
                <c:pt idx="1518">
                  <c:v>139500</c:v>
                </c:pt>
                <c:pt idx="1519">
                  <c:v>153500</c:v>
                </c:pt>
                <c:pt idx="1520">
                  <c:v>153811</c:v>
                </c:pt>
                <c:pt idx="1521">
                  <c:v>156920</c:v>
                </c:pt>
                <c:pt idx="1522">
                  <c:v>140000</c:v>
                </c:pt>
                <c:pt idx="1523">
                  <c:v>149360</c:v>
                </c:pt>
                <c:pt idx="1524">
                  <c:v>140000</c:v>
                </c:pt>
                <c:pt idx="1525">
                  <c:v>140000</c:v>
                </c:pt>
                <c:pt idx="1526">
                  <c:v>150000</c:v>
                </c:pt>
                <c:pt idx="1527">
                  <c:v>134300</c:v>
                </c:pt>
                <c:pt idx="1528">
                  <c:v>150000</c:v>
                </c:pt>
                <c:pt idx="1529">
                  <c:v>150000</c:v>
                </c:pt>
                <c:pt idx="1530">
                  <c:v>149360</c:v>
                </c:pt>
                <c:pt idx="1531">
                  <c:v>149360</c:v>
                </c:pt>
                <c:pt idx="1532">
                  <c:v>157076</c:v>
                </c:pt>
                <c:pt idx="1533">
                  <c:v>156983</c:v>
                </c:pt>
                <c:pt idx="1534">
                  <c:v>147966</c:v>
                </c:pt>
                <c:pt idx="1535">
                  <c:v>147966</c:v>
                </c:pt>
                <c:pt idx="1536">
                  <c:v>162051</c:v>
                </c:pt>
                <c:pt idx="1537">
                  <c:v>158200</c:v>
                </c:pt>
                <c:pt idx="1538">
                  <c:v>158200</c:v>
                </c:pt>
                <c:pt idx="1539">
                  <c:v>158200</c:v>
                </c:pt>
                <c:pt idx="1540">
                  <c:v>168100</c:v>
                </c:pt>
                <c:pt idx="1541">
                  <c:v>174000</c:v>
                </c:pt>
                <c:pt idx="1542">
                  <c:v>158200</c:v>
                </c:pt>
                <c:pt idx="1543">
                  <c:v>158200</c:v>
                </c:pt>
                <c:pt idx="1544">
                  <c:v>158200</c:v>
                </c:pt>
                <c:pt idx="1545">
                  <c:v>136800</c:v>
                </c:pt>
                <c:pt idx="1546">
                  <c:v>186765</c:v>
                </c:pt>
                <c:pt idx="1547">
                  <c:v>186650</c:v>
                </c:pt>
                <c:pt idx="1548">
                  <c:v>200148</c:v>
                </c:pt>
                <c:pt idx="1549">
                  <c:v>186470</c:v>
                </c:pt>
                <c:pt idx="1550">
                  <c:v>186529</c:v>
                </c:pt>
                <c:pt idx="1551">
                  <c:v>186500</c:v>
                </c:pt>
                <c:pt idx="1552">
                  <c:v>187626</c:v>
                </c:pt>
                <c:pt idx="1553">
                  <c:v>186541</c:v>
                </c:pt>
                <c:pt idx="1554">
                  <c:v>186650</c:v>
                </c:pt>
                <c:pt idx="1555">
                  <c:v>186700</c:v>
                </c:pt>
                <c:pt idx="1556">
                  <c:v>184700</c:v>
                </c:pt>
                <c:pt idx="1557">
                  <c:v>197708</c:v>
                </c:pt>
                <c:pt idx="1558">
                  <c:v>195000</c:v>
                </c:pt>
                <c:pt idx="1559">
                  <c:v>183680</c:v>
                </c:pt>
                <c:pt idx="1560">
                  <c:v>190000</c:v>
                </c:pt>
                <c:pt idx="1561">
                  <c:v>150166</c:v>
                </c:pt>
                <c:pt idx="1562">
                  <c:v>177380</c:v>
                </c:pt>
                <c:pt idx="1563">
                  <c:v>177380</c:v>
                </c:pt>
                <c:pt idx="1564">
                  <c:v>198000</c:v>
                </c:pt>
                <c:pt idx="1565">
                  <c:v>202036</c:v>
                </c:pt>
                <c:pt idx="1566">
                  <c:v>196000</c:v>
                </c:pt>
                <c:pt idx="1567">
                  <c:v>200148</c:v>
                </c:pt>
                <c:pt idx="1568">
                  <c:v>186000</c:v>
                </c:pt>
                <c:pt idx="1569">
                  <c:v>185000</c:v>
                </c:pt>
                <c:pt idx="1570">
                  <c:v>185000</c:v>
                </c:pt>
                <c:pt idx="1571">
                  <c:v>185000</c:v>
                </c:pt>
                <c:pt idx="1572">
                  <c:v>194394</c:v>
                </c:pt>
                <c:pt idx="1573">
                  <c:v>194153</c:v>
                </c:pt>
                <c:pt idx="1574">
                  <c:v>194897</c:v>
                </c:pt>
                <c:pt idx="1575">
                  <c:v>194433</c:v>
                </c:pt>
                <c:pt idx="1576">
                  <c:v>194327</c:v>
                </c:pt>
                <c:pt idx="1577">
                  <c:v>195059</c:v>
                </c:pt>
                <c:pt idx="1578">
                  <c:v>194252</c:v>
                </c:pt>
                <c:pt idx="1579">
                  <c:v>194284</c:v>
                </c:pt>
                <c:pt idx="1580">
                  <c:v>194829</c:v>
                </c:pt>
                <c:pt idx="1581">
                  <c:v>194679</c:v>
                </c:pt>
                <c:pt idx="1582">
                  <c:v>194790</c:v>
                </c:pt>
                <c:pt idx="1583">
                  <c:v>195118</c:v>
                </c:pt>
                <c:pt idx="1584">
                  <c:v>195071</c:v>
                </c:pt>
                <c:pt idx="1585">
                  <c:v>196000</c:v>
                </c:pt>
                <c:pt idx="1586">
                  <c:v>194532</c:v>
                </c:pt>
                <c:pt idx="1587">
                  <c:v>194915</c:v>
                </c:pt>
                <c:pt idx="1588">
                  <c:v>194000</c:v>
                </c:pt>
                <c:pt idx="1589">
                  <c:v>199744</c:v>
                </c:pt>
                <c:pt idx="1590">
                  <c:v>194000</c:v>
                </c:pt>
                <c:pt idx="1591">
                  <c:v>184000</c:v>
                </c:pt>
                <c:pt idx="1592">
                  <c:v>184000</c:v>
                </c:pt>
                <c:pt idx="1593">
                  <c:v>184320</c:v>
                </c:pt>
                <c:pt idx="1594">
                  <c:v>199273</c:v>
                </c:pt>
                <c:pt idx="1595">
                  <c:v>184000</c:v>
                </c:pt>
                <c:pt idx="1596">
                  <c:v>184320</c:v>
                </c:pt>
                <c:pt idx="1597">
                  <c:v>196000</c:v>
                </c:pt>
                <c:pt idx="1598">
                  <c:v>199000</c:v>
                </c:pt>
                <c:pt idx="1599">
                  <c:v>200148</c:v>
                </c:pt>
                <c:pt idx="1600">
                  <c:v>199272</c:v>
                </c:pt>
                <c:pt idx="1601">
                  <c:v>199273</c:v>
                </c:pt>
                <c:pt idx="1602">
                  <c:v>199272</c:v>
                </c:pt>
                <c:pt idx="1603">
                  <c:v>197362</c:v>
                </c:pt>
                <c:pt idx="1604">
                  <c:v>192000</c:v>
                </c:pt>
                <c:pt idx="1605">
                  <c:v>197500</c:v>
                </c:pt>
                <c:pt idx="1606">
                  <c:v>197500</c:v>
                </c:pt>
                <c:pt idx="1607">
                  <c:v>18400</c:v>
                </c:pt>
                <c:pt idx="1608">
                  <c:v>197500</c:v>
                </c:pt>
                <c:pt idx="1609">
                  <c:v>200100</c:v>
                </c:pt>
                <c:pt idx="1610">
                  <c:v>198700</c:v>
                </c:pt>
                <c:pt idx="1611">
                  <c:v>201792</c:v>
                </c:pt>
                <c:pt idx="1612">
                  <c:v>193489</c:v>
                </c:pt>
                <c:pt idx="1613">
                  <c:v>190326</c:v>
                </c:pt>
                <c:pt idx="1614">
                  <c:v>199744</c:v>
                </c:pt>
                <c:pt idx="1615">
                  <c:v>199744</c:v>
                </c:pt>
                <c:pt idx="1616">
                  <c:v>199744</c:v>
                </c:pt>
                <c:pt idx="1617">
                  <c:v>201827</c:v>
                </c:pt>
                <c:pt idx="1618">
                  <c:v>198000</c:v>
                </c:pt>
                <c:pt idx="1619">
                  <c:v>201800</c:v>
                </c:pt>
                <c:pt idx="1620">
                  <c:v>218000</c:v>
                </c:pt>
                <c:pt idx="1621">
                  <c:v>189766</c:v>
                </c:pt>
                <c:pt idx="1622">
                  <c:v>197500</c:v>
                </c:pt>
                <c:pt idx="1623">
                  <c:v>197500</c:v>
                </c:pt>
                <c:pt idx="1624">
                  <c:v>197106</c:v>
                </c:pt>
                <c:pt idx="1625">
                  <c:v>192672</c:v>
                </c:pt>
                <c:pt idx="1626">
                  <c:v>193200</c:v>
                </c:pt>
                <c:pt idx="1627">
                  <c:v>218000</c:v>
                </c:pt>
                <c:pt idx="1628">
                  <c:v>218000</c:v>
                </c:pt>
                <c:pt idx="1629">
                  <c:v>218000</c:v>
                </c:pt>
                <c:pt idx="1630">
                  <c:v>199700</c:v>
                </c:pt>
                <c:pt idx="1631">
                  <c:v>218000</c:v>
                </c:pt>
                <c:pt idx="1632">
                  <c:v>218000</c:v>
                </c:pt>
                <c:pt idx="1633">
                  <c:v>200000</c:v>
                </c:pt>
                <c:pt idx="1634">
                  <c:v>218000</c:v>
                </c:pt>
                <c:pt idx="1635">
                  <c:v>218000</c:v>
                </c:pt>
                <c:pt idx="1636">
                  <c:v>218000</c:v>
                </c:pt>
                <c:pt idx="1637">
                  <c:v>190300</c:v>
                </c:pt>
                <c:pt idx="1638">
                  <c:v>190000</c:v>
                </c:pt>
                <c:pt idx="1639">
                  <c:v>190300</c:v>
                </c:pt>
                <c:pt idx="1640">
                  <c:v>190300</c:v>
                </c:pt>
                <c:pt idx="1641">
                  <c:v>190300</c:v>
                </c:pt>
                <c:pt idx="1642">
                  <c:v>210019</c:v>
                </c:pt>
                <c:pt idx="1643">
                  <c:v>190300</c:v>
                </c:pt>
                <c:pt idx="1644">
                  <c:v>190000</c:v>
                </c:pt>
                <c:pt idx="1645">
                  <c:v>202684</c:v>
                </c:pt>
                <c:pt idx="1646">
                  <c:v>199855</c:v>
                </c:pt>
                <c:pt idx="1647">
                  <c:v>202684</c:v>
                </c:pt>
                <c:pt idx="1648">
                  <c:v>198000</c:v>
                </c:pt>
                <c:pt idx="1649">
                  <c:v>19800</c:v>
                </c:pt>
                <c:pt idx="1650">
                  <c:v>216900</c:v>
                </c:pt>
                <c:pt idx="1651">
                  <c:v>216000</c:v>
                </c:pt>
                <c:pt idx="1652">
                  <c:v>216900</c:v>
                </c:pt>
                <c:pt idx="1653">
                  <c:v>216900</c:v>
                </c:pt>
                <c:pt idx="1654">
                  <c:v>216900</c:v>
                </c:pt>
                <c:pt idx="1655">
                  <c:v>236000</c:v>
                </c:pt>
                <c:pt idx="1656">
                  <c:v>229093</c:v>
                </c:pt>
                <c:pt idx="1657">
                  <c:v>229039</c:v>
                </c:pt>
                <c:pt idx="1658">
                  <c:v>229039</c:v>
                </c:pt>
                <c:pt idx="1659">
                  <c:v>236792</c:v>
                </c:pt>
                <c:pt idx="1660">
                  <c:v>232606</c:v>
                </c:pt>
                <c:pt idx="1661">
                  <c:v>232606</c:v>
                </c:pt>
                <c:pt idx="1662">
                  <c:v>232000</c:v>
                </c:pt>
                <c:pt idx="1663">
                  <c:v>232606</c:v>
                </c:pt>
                <c:pt idx="1664">
                  <c:v>232000</c:v>
                </c:pt>
                <c:pt idx="1665">
                  <c:v>232606</c:v>
                </c:pt>
                <c:pt idx="1666">
                  <c:v>232000</c:v>
                </c:pt>
              </c:numCache>
            </c:numRef>
          </c:yVal>
          <c:smooth val="0"/>
          <c:extLst>
            <c:ext xmlns:c16="http://schemas.microsoft.com/office/drawing/2014/chart" uri="{C3380CC4-5D6E-409C-BE32-E72D297353CC}">
              <c16:uniqueId val="{00000001-9285-41CC-9BA6-184BE986DF65}"/>
            </c:ext>
          </c:extLst>
        </c:ser>
        <c:dLbls>
          <c:showLegendKey val="0"/>
          <c:showVal val="0"/>
          <c:showCatName val="0"/>
          <c:showSerName val="0"/>
          <c:showPercent val="0"/>
          <c:showBubbleSize val="0"/>
        </c:dLbls>
        <c:axId val="418084776"/>
        <c:axId val="418088384"/>
      </c:scatterChart>
      <c:scatterChart>
        <c:scatterStyle val="lineMarker"/>
        <c:varyColors val="0"/>
        <c:ser>
          <c:idx val="0"/>
          <c:order val="0"/>
          <c:tx>
            <c:strRef>
              <c:f>'Schätzung Schiff'!$F$30</c:f>
              <c:strCache>
                <c:ptCount val="1"/>
                <c:pt idx="0">
                  <c:v>Länge</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4"/>
            <c:dispRSqr val="0"/>
            <c:dispEq val="1"/>
            <c:trendlineLbl>
              <c:layout>
                <c:manualLayout>
                  <c:x val="-1.5456474190726158E-2"/>
                  <c:y val="-5.1126786235053949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'Schätzung Schiff'!$E$31:$E$1697</c:f>
              <c:numCache>
                <c:formatCode>General</c:formatCode>
                <c:ptCount val="1667"/>
                <c:pt idx="0">
                  <c:v>868</c:v>
                </c:pt>
                <c:pt idx="1">
                  <c:v>868</c:v>
                </c:pt>
                <c:pt idx="2">
                  <c:v>1254</c:v>
                </c:pt>
                <c:pt idx="3">
                  <c:v>1338</c:v>
                </c:pt>
                <c:pt idx="4">
                  <c:v>1438</c:v>
                </c:pt>
                <c:pt idx="5">
                  <c:v>1438</c:v>
                </c:pt>
                <c:pt idx="6">
                  <c:v>1438</c:v>
                </c:pt>
                <c:pt idx="7">
                  <c:v>1658</c:v>
                </c:pt>
                <c:pt idx="8">
                  <c:v>1674</c:v>
                </c:pt>
                <c:pt idx="9">
                  <c:v>1678</c:v>
                </c:pt>
                <c:pt idx="10">
                  <c:v>1678</c:v>
                </c:pt>
                <c:pt idx="11">
                  <c:v>1678</c:v>
                </c:pt>
                <c:pt idx="12">
                  <c:v>1698</c:v>
                </c:pt>
                <c:pt idx="13">
                  <c:v>1712</c:v>
                </c:pt>
                <c:pt idx="14">
                  <c:v>1716</c:v>
                </c:pt>
                <c:pt idx="15">
                  <c:v>1728</c:v>
                </c:pt>
                <c:pt idx="16">
                  <c:v>1728</c:v>
                </c:pt>
                <c:pt idx="17">
                  <c:v>1730</c:v>
                </c:pt>
                <c:pt idx="18">
                  <c:v>1730</c:v>
                </c:pt>
                <c:pt idx="19">
                  <c:v>1730</c:v>
                </c:pt>
                <c:pt idx="20">
                  <c:v>1730</c:v>
                </c:pt>
                <c:pt idx="21">
                  <c:v>1732</c:v>
                </c:pt>
                <c:pt idx="22">
                  <c:v>1732</c:v>
                </c:pt>
                <c:pt idx="23">
                  <c:v>1740</c:v>
                </c:pt>
                <c:pt idx="24">
                  <c:v>1740</c:v>
                </c:pt>
                <c:pt idx="25">
                  <c:v>1768</c:v>
                </c:pt>
                <c:pt idx="26">
                  <c:v>1768</c:v>
                </c:pt>
                <c:pt idx="27">
                  <c:v>1795</c:v>
                </c:pt>
                <c:pt idx="28">
                  <c:v>1819</c:v>
                </c:pt>
                <c:pt idx="29">
                  <c:v>1819</c:v>
                </c:pt>
                <c:pt idx="30">
                  <c:v>1819</c:v>
                </c:pt>
                <c:pt idx="31">
                  <c:v>1819</c:v>
                </c:pt>
                <c:pt idx="32">
                  <c:v>1819</c:v>
                </c:pt>
                <c:pt idx="33">
                  <c:v>1819</c:v>
                </c:pt>
                <c:pt idx="34">
                  <c:v>1819</c:v>
                </c:pt>
                <c:pt idx="35">
                  <c:v>1819</c:v>
                </c:pt>
                <c:pt idx="36">
                  <c:v>1819</c:v>
                </c:pt>
                <c:pt idx="37">
                  <c:v>1835</c:v>
                </c:pt>
                <c:pt idx="38">
                  <c:v>1845</c:v>
                </c:pt>
                <c:pt idx="39">
                  <c:v>1849</c:v>
                </c:pt>
                <c:pt idx="40">
                  <c:v>1850</c:v>
                </c:pt>
                <c:pt idx="41">
                  <c:v>1852</c:v>
                </c:pt>
                <c:pt idx="42">
                  <c:v>1853</c:v>
                </c:pt>
                <c:pt idx="43">
                  <c:v>1853</c:v>
                </c:pt>
                <c:pt idx="44">
                  <c:v>1853</c:v>
                </c:pt>
                <c:pt idx="45">
                  <c:v>1875</c:v>
                </c:pt>
                <c:pt idx="46">
                  <c:v>1876</c:v>
                </c:pt>
                <c:pt idx="47">
                  <c:v>1900</c:v>
                </c:pt>
                <c:pt idx="48">
                  <c:v>1924</c:v>
                </c:pt>
                <c:pt idx="49">
                  <c:v>1970</c:v>
                </c:pt>
                <c:pt idx="50">
                  <c:v>2007</c:v>
                </c:pt>
                <c:pt idx="51">
                  <c:v>2007</c:v>
                </c:pt>
                <c:pt idx="52">
                  <c:v>2017</c:v>
                </c:pt>
                <c:pt idx="53">
                  <c:v>2048</c:v>
                </c:pt>
                <c:pt idx="54">
                  <c:v>2061</c:v>
                </c:pt>
                <c:pt idx="55">
                  <c:v>2061</c:v>
                </c:pt>
                <c:pt idx="56">
                  <c:v>2061</c:v>
                </c:pt>
                <c:pt idx="57">
                  <c:v>2061</c:v>
                </c:pt>
                <c:pt idx="58">
                  <c:v>2065</c:v>
                </c:pt>
                <c:pt idx="59">
                  <c:v>2072</c:v>
                </c:pt>
                <c:pt idx="60">
                  <c:v>2078</c:v>
                </c:pt>
                <c:pt idx="61">
                  <c:v>2109</c:v>
                </c:pt>
                <c:pt idx="62">
                  <c:v>2122</c:v>
                </c:pt>
                <c:pt idx="63">
                  <c:v>2127</c:v>
                </c:pt>
                <c:pt idx="64">
                  <c:v>2135</c:v>
                </c:pt>
                <c:pt idx="65">
                  <c:v>2135</c:v>
                </c:pt>
                <c:pt idx="66">
                  <c:v>2135</c:v>
                </c:pt>
                <c:pt idx="67">
                  <c:v>2169</c:v>
                </c:pt>
                <c:pt idx="68">
                  <c:v>2200</c:v>
                </c:pt>
                <c:pt idx="69">
                  <c:v>2205</c:v>
                </c:pt>
                <c:pt idx="70">
                  <c:v>2207</c:v>
                </c:pt>
                <c:pt idx="71">
                  <c:v>2208</c:v>
                </c:pt>
                <c:pt idx="72">
                  <c:v>2225</c:v>
                </c:pt>
                <c:pt idx="73">
                  <c:v>2226</c:v>
                </c:pt>
                <c:pt idx="74">
                  <c:v>2226</c:v>
                </c:pt>
                <c:pt idx="75">
                  <c:v>2226</c:v>
                </c:pt>
                <c:pt idx="76">
                  <c:v>2226</c:v>
                </c:pt>
                <c:pt idx="77">
                  <c:v>2240</c:v>
                </c:pt>
                <c:pt idx="78">
                  <c:v>2245</c:v>
                </c:pt>
                <c:pt idx="79">
                  <c:v>2260</c:v>
                </c:pt>
                <c:pt idx="80">
                  <c:v>2260</c:v>
                </c:pt>
                <c:pt idx="81">
                  <c:v>2260</c:v>
                </c:pt>
                <c:pt idx="82">
                  <c:v>2303</c:v>
                </c:pt>
                <c:pt idx="83">
                  <c:v>2330</c:v>
                </c:pt>
                <c:pt idx="84">
                  <c:v>2339</c:v>
                </c:pt>
                <c:pt idx="85">
                  <c:v>2400</c:v>
                </c:pt>
                <c:pt idx="86">
                  <c:v>2440</c:v>
                </c:pt>
                <c:pt idx="87">
                  <c:v>2450</c:v>
                </c:pt>
                <c:pt idx="88">
                  <c:v>2452</c:v>
                </c:pt>
                <c:pt idx="89">
                  <c:v>2452</c:v>
                </c:pt>
                <c:pt idx="90">
                  <c:v>2470</c:v>
                </c:pt>
                <c:pt idx="91">
                  <c:v>2470</c:v>
                </c:pt>
                <c:pt idx="92">
                  <c:v>2474</c:v>
                </c:pt>
                <c:pt idx="93">
                  <c:v>2474</c:v>
                </c:pt>
                <c:pt idx="94">
                  <c:v>2478</c:v>
                </c:pt>
                <c:pt idx="95">
                  <c:v>2478</c:v>
                </c:pt>
                <c:pt idx="96">
                  <c:v>2478</c:v>
                </c:pt>
                <c:pt idx="97">
                  <c:v>2478</c:v>
                </c:pt>
                <c:pt idx="98">
                  <c:v>2478</c:v>
                </c:pt>
                <c:pt idx="99">
                  <c:v>2478</c:v>
                </c:pt>
                <c:pt idx="100">
                  <c:v>2478</c:v>
                </c:pt>
                <c:pt idx="101">
                  <c:v>2478</c:v>
                </c:pt>
                <c:pt idx="102">
                  <c:v>2478</c:v>
                </c:pt>
                <c:pt idx="103">
                  <c:v>2478</c:v>
                </c:pt>
                <c:pt idx="104">
                  <c:v>2483</c:v>
                </c:pt>
                <c:pt idx="105">
                  <c:v>2487</c:v>
                </c:pt>
                <c:pt idx="106">
                  <c:v>2490</c:v>
                </c:pt>
                <c:pt idx="107">
                  <c:v>2490</c:v>
                </c:pt>
                <c:pt idx="108">
                  <c:v>2490</c:v>
                </c:pt>
                <c:pt idx="109">
                  <c:v>2500</c:v>
                </c:pt>
                <c:pt idx="110">
                  <c:v>2500</c:v>
                </c:pt>
                <c:pt idx="111">
                  <c:v>2504</c:v>
                </c:pt>
                <c:pt idx="112">
                  <c:v>2506</c:v>
                </c:pt>
                <c:pt idx="113">
                  <c:v>2506</c:v>
                </c:pt>
                <c:pt idx="114">
                  <c:v>2524</c:v>
                </c:pt>
                <c:pt idx="115">
                  <c:v>2530</c:v>
                </c:pt>
                <c:pt idx="116">
                  <c:v>2532</c:v>
                </c:pt>
                <c:pt idx="117">
                  <c:v>2532</c:v>
                </c:pt>
                <c:pt idx="118">
                  <c:v>2532</c:v>
                </c:pt>
                <c:pt idx="119">
                  <c:v>2546</c:v>
                </c:pt>
                <c:pt idx="120">
                  <c:v>2550</c:v>
                </c:pt>
                <c:pt idx="121">
                  <c:v>2550</c:v>
                </c:pt>
                <c:pt idx="122">
                  <c:v>2550</c:v>
                </c:pt>
                <c:pt idx="123">
                  <c:v>2550</c:v>
                </c:pt>
                <c:pt idx="124">
                  <c:v>2550</c:v>
                </c:pt>
                <c:pt idx="125">
                  <c:v>2550</c:v>
                </c:pt>
                <c:pt idx="126">
                  <c:v>2550</c:v>
                </c:pt>
                <c:pt idx="127">
                  <c:v>2553</c:v>
                </c:pt>
                <c:pt idx="128">
                  <c:v>2553</c:v>
                </c:pt>
                <c:pt idx="129">
                  <c:v>2556</c:v>
                </c:pt>
                <c:pt idx="130">
                  <c:v>2556</c:v>
                </c:pt>
                <c:pt idx="131">
                  <c:v>2556</c:v>
                </c:pt>
                <c:pt idx="132">
                  <c:v>2556</c:v>
                </c:pt>
                <c:pt idx="133">
                  <c:v>2556</c:v>
                </c:pt>
                <c:pt idx="134">
                  <c:v>2556</c:v>
                </c:pt>
                <c:pt idx="135">
                  <c:v>2556</c:v>
                </c:pt>
                <c:pt idx="136">
                  <c:v>2556</c:v>
                </c:pt>
                <c:pt idx="137">
                  <c:v>2556</c:v>
                </c:pt>
                <c:pt idx="138">
                  <c:v>2556</c:v>
                </c:pt>
                <c:pt idx="139">
                  <c:v>2556</c:v>
                </c:pt>
                <c:pt idx="140">
                  <c:v>2556</c:v>
                </c:pt>
                <c:pt idx="141">
                  <c:v>2556</c:v>
                </c:pt>
                <c:pt idx="142">
                  <c:v>2556</c:v>
                </c:pt>
                <c:pt idx="143">
                  <c:v>2556</c:v>
                </c:pt>
                <c:pt idx="144">
                  <c:v>2556</c:v>
                </c:pt>
                <c:pt idx="145">
                  <c:v>2556</c:v>
                </c:pt>
                <c:pt idx="146">
                  <c:v>2556</c:v>
                </c:pt>
                <c:pt idx="147">
                  <c:v>2566</c:v>
                </c:pt>
                <c:pt idx="148">
                  <c:v>2578</c:v>
                </c:pt>
                <c:pt idx="149">
                  <c:v>2592</c:v>
                </c:pt>
                <c:pt idx="150">
                  <c:v>2600</c:v>
                </c:pt>
                <c:pt idx="151">
                  <c:v>2600</c:v>
                </c:pt>
                <c:pt idx="152">
                  <c:v>2600</c:v>
                </c:pt>
                <c:pt idx="153">
                  <c:v>2602</c:v>
                </c:pt>
                <c:pt idx="154">
                  <c:v>2604</c:v>
                </c:pt>
                <c:pt idx="155">
                  <c:v>2622</c:v>
                </c:pt>
                <c:pt idx="156">
                  <c:v>2660</c:v>
                </c:pt>
                <c:pt idx="157">
                  <c:v>2664</c:v>
                </c:pt>
                <c:pt idx="158">
                  <c:v>2680</c:v>
                </c:pt>
                <c:pt idx="159">
                  <c:v>2681</c:v>
                </c:pt>
                <c:pt idx="160">
                  <c:v>2700</c:v>
                </c:pt>
                <c:pt idx="161">
                  <c:v>2702</c:v>
                </c:pt>
                <c:pt idx="162">
                  <c:v>2702</c:v>
                </c:pt>
                <c:pt idx="163">
                  <c:v>2702</c:v>
                </c:pt>
                <c:pt idx="164">
                  <c:v>2710</c:v>
                </c:pt>
                <c:pt idx="165">
                  <c:v>2714</c:v>
                </c:pt>
                <c:pt idx="166">
                  <c:v>2724</c:v>
                </c:pt>
                <c:pt idx="167">
                  <c:v>2724</c:v>
                </c:pt>
                <c:pt idx="168">
                  <c:v>2732</c:v>
                </c:pt>
                <c:pt idx="169">
                  <c:v>2732</c:v>
                </c:pt>
                <c:pt idx="170">
                  <c:v>2732</c:v>
                </c:pt>
                <c:pt idx="171">
                  <c:v>2732</c:v>
                </c:pt>
                <c:pt idx="172">
                  <c:v>2732</c:v>
                </c:pt>
                <c:pt idx="173">
                  <c:v>2732</c:v>
                </c:pt>
                <c:pt idx="174">
                  <c:v>2741</c:v>
                </c:pt>
                <c:pt idx="175">
                  <c:v>2742</c:v>
                </c:pt>
                <c:pt idx="176">
                  <c:v>2742</c:v>
                </c:pt>
                <c:pt idx="177">
                  <c:v>2742</c:v>
                </c:pt>
                <c:pt idx="178">
                  <c:v>2742</c:v>
                </c:pt>
                <c:pt idx="179">
                  <c:v>2742</c:v>
                </c:pt>
                <c:pt idx="180">
                  <c:v>2747</c:v>
                </c:pt>
                <c:pt idx="181">
                  <c:v>2750</c:v>
                </c:pt>
                <c:pt idx="182">
                  <c:v>2750</c:v>
                </c:pt>
                <c:pt idx="183">
                  <c:v>2750</c:v>
                </c:pt>
                <c:pt idx="184">
                  <c:v>2750</c:v>
                </c:pt>
                <c:pt idx="185">
                  <c:v>2758</c:v>
                </c:pt>
                <c:pt idx="186">
                  <c:v>2758</c:v>
                </c:pt>
                <c:pt idx="187">
                  <c:v>2764</c:v>
                </c:pt>
                <c:pt idx="188">
                  <c:v>2764</c:v>
                </c:pt>
                <c:pt idx="189">
                  <c:v>2764</c:v>
                </c:pt>
                <c:pt idx="190">
                  <c:v>2785</c:v>
                </c:pt>
                <c:pt idx="191">
                  <c:v>2785</c:v>
                </c:pt>
                <c:pt idx="192">
                  <c:v>2790</c:v>
                </c:pt>
                <c:pt idx="193">
                  <c:v>2790</c:v>
                </c:pt>
                <c:pt idx="194">
                  <c:v>2797</c:v>
                </c:pt>
                <c:pt idx="195">
                  <c:v>2808</c:v>
                </c:pt>
                <c:pt idx="196">
                  <c:v>2808</c:v>
                </c:pt>
                <c:pt idx="197">
                  <c:v>2809</c:v>
                </c:pt>
                <c:pt idx="198">
                  <c:v>2824</c:v>
                </c:pt>
                <c:pt idx="199">
                  <c:v>2824</c:v>
                </c:pt>
                <c:pt idx="200">
                  <c:v>2824</c:v>
                </c:pt>
                <c:pt idx="201">
                  <c:v>2824</c:v>
                </c:pt>
                <c:pt idx="202">
                  <c:v>2824</c:v>
                </c:pt>
                <c:pt idx="203">
                  <c:v>2824</c:v>
                </c:pt>
                <c:pt idx="204">
                  <c:v>2824</c:v>
                </c:pt>
                <c:pt idx="205">
                  <c:v>2824</c:v>
                </c:pt>
                <c:pt idx="206">
                  <c:v>2824</c:v>
                </c:pt>
                <c:pt idx="207">
                  <c:v>2824</c:v>
                </c:pt>
                <c:pt idx="208">
                  <c:v>2824</c:v>
                </c:pt>
                <c:pt idx="209">
                  <c:v>2824</c:v>
                </c:pt>
                <c:pt idx="210">
                  <c:v>2824</c:v>
                </c:pt>
                <c:pt idx="211">
                  <c:v>2824</c:v>
                </c:pt>
                <c:pt idx="212">
                  <c:v>2824</c:v>
                </c:pt>
                <c:pt idx="213">
                  <c:v>2824</c:v>
                </c:pt>
                <c:pt idx="214">
                  <c:v>2824</c:v>
                </c:pt>
                <c:pt idx="215">
                  <c:v>2824</c:v>
                </c:pt>
                <c:pt idx="216">
                  <c:v>2824</c:v>
                </c:pt>
                <c:pt idx="217">
                  <c:v>2824</c:v>
                </c:pt>
                <c:pt idx="218">
                  <c:v>2824</c:v>
                </c:pt>
                <c:pt idx="219">
                  <c:v>2824</c:v>
                </c:pt>
                <c:pt idx="220">
                  <c:v>2824</c:v>
                </c:pt>
                <c:pt idx="221">
                  <c:v>2824</c:v>
                </c:pt>
                <c:pt idx="222">
                  <c:v>2824</c:v>
                </c:pt>
                <c:pt idx="223">
                  <c:v>2824</c:v>
                </c:pt>
                <c:pt idx="224">
                  <c:v>2825</c:v>
                </c:pt>
                <c:pt idx="225">
                  <c:v>2840</c:v>
                </c:pt>
                <c:pt idx="226">
                  <c:v>2872</c:v>
                </c:pt>
                <c:pt idx="227">
                  <c:v>2872</c:v>
                </c:pt>
                <c:pt idx="228">
                  <c:v>2890</c:v>
                </c:pt>
                <c:pt idx="229">
                  <c:v>2900</c:v>
                </c:pt>
                <c:pt idx="230">
                  <c:v>2908</c:v>
                </c:pt>
                <c:pt idx="231">
                  <c:v>2908</c:v>
                </c:pt>
                <c:pt idx="232">
                  <c:v>2932</c:v>
                </c:pt>
                <c:pt idx="233">
                  <c:v>2959</c:v>
                </c:pt>
                <c:pt idx="234">
                  <c:v>2986</c:v>
                </c:pt>
                <c:pt idx="235">
                  <c:v>3005</c:v>
                </c:pt>
                <c:pt idx="236">
                  <c:v>3005</c:v>
                </c:pt>
                <c:pt idx="237">
                  <c:v>3005</c:v>
                </c:pt>
                <c:pt idx="238">
                  <c:v>3005</c:v>
                </c:pt>
                <c:pt idx="239">
                  <c:v>3005</c:v>
                </c:pt>
                <c:pt idx="240">
                  <c:v>3029</c:v>
                </c:pt>
                <c:pt idx="241">
                  <c:v>3032</c:v>
                </c:pt>
                <c:pt idx="242">
                  <c:v>3091</c:v>
                </c:pt>
                <c:pt idx="243">
                  <c:v>3091</c:v>
                </c:pt>
                <c:pt idx="244">
                  <c:v>3091</c:v>
                </c:pt>
                <c:pt idx="245">
                  <c:v>3091</c:v>
                </c:pt>
                <c:pt idx="246">
                  <c:v>3091</c:v>
                </c:pt>
                <c:pt idx="247">
                  <c:v>3100</c:v>
                </c:pt>
                <c:pt idx="248">
                  <c:v>3100</c:v>
                </c:pt>
                <c:pt idx="249">
                  <c:v>3100</c:v>
                </c:pt>
                <c:pt idx="250">
                  <c:v>3100</c:v>
                </c:pt>
                <c:pt idx="251">
                  <c:v>3108</c:v>
                </c:pt>
                <c:pt idx="252">
                  <c:v>3237</c:v>
                </c:pt>
                <c:pt idx="253">
                  <c:v>3237</c:v>
                </c:pt>
                <c:pt idx="254">
                  <c:v>3237</c:v>
                </c:pt>
                <c:pt idx="255">
                  <c:v>3237</c:v>
                </c:pt>
                <c:pt idx="256">
                  <c:v>3237</c:v>
                </c:pt>
                <c:pt idx="257">
                  <c:v>3300</c:v>
                </c:pt>
                <c:pt idx="258">
                  <c:v>3300</c:v>
                </c:pt>
                <c:pt idx="259">
                  <c:v>3388</c:v>
                </c:pt>
                <c:pt idx="260">
                  <c:v>3398</c:v>
                </c:pt>
                <c:pt idx="261">
                  <c:v>3398</c:v>
                </c:pt>
                <c:pt idx="262">
                  <c:v>3398</c:v>
                </c:pt>
                <c:pt idx="263">
                  <c:v>3400</c:v>
                </c:pt>
                <c:pt idx="264">
                  <c:v>3400</c:v>
                </c:pt>
                <c:pt idx="265">
                  <c:v>3400</c:v>
                </c:pt>
                <c:pt idx="266">
                  <c:v>3400</c:v>
                </c:pt>
                <c:pt idx="267">
                  <c:v>3414</c:v>
                </c:pt>
                <c:pt idx="268">
                  <c:v>3424</c:v>
                </c:pt>
                <c:pt idx="269">
                  <c:v>3424</c:v>
                </c:pt>
                <c:pt idx="270">
                  <c:v>3424</c:v>
                </c:pt>
                <c:pt idx="271">
                  <c:v>3424</c:v>
                </c:pt>
                <c:pt idx="272">
                  <c:v>3426</c:v>
                </c:pt>
                <c:pt idx="273">
                  <c:v>3426</c:v>
                </c:pt>
                <c:pt idx="274">
                  <c:v>3429</c:v>
                </c:pt>
                <c:pt idx="275">
                  <c:v>3429</c:v>
                </c:pt>
                <c:pt idx="276">
                  <c:v>3429</c:v>
                </c:pt>
                <c:pt idx="277">
                  <c:v>3429</c:v>
                </c:pt>
                <c:pt idx="278">
                  <c:v>3430</c:v>
                </c:pt>
                <c:pt idx="279">
                  <c:v>3430</c:v>
                </c:pt>
                <c:pt idx="280">
                  <c:v>3430</c:v>
                </c:pt>
                <c:pt idx="281">
                  <c:v>3430</c:v>
                </c:pt>
                <c:pt idx="282">
                  <c:v>3469</c:v>
                </c:pt>
                <c:pt idx="283">
                  <c:v>3469</c:v>
                </c:pt>
                <c:pt idx="284">
                  <c:v>3500</c:v>
                </c:pt>
                <c:pt idx="285">
                  <c:v>3500</c:v>
                </c:pt>
                <c:pt idx="286">
                  <c:v>3510</c:v>
                </c:pt>
                <c:pt idx="287">
                  <c:v>3534</c:v>
                </c:pt>
                <c:pt idx="288">
                  <c:v>3534</c:v>
                </c:pt>
                <c:pt idx="289">
                  <c:v>3534</c:v>
                </c:pt>
                <c:pt idx="290">
                  <c:v>3534</c:v>
                </c:pt>
                <c:pt idx="291">
                  <c:v>3534</c:v>
                </c:pt>
                <c:pt idx="292">
                  <c:v>3534</c:v>
                </c:pt>
                <c:pt idx="293">
                  <c:v>3534</c:v>
                </c:pt>
                <c:pt idx="294">
                  <c:v>3534</c:v>
                </c:pt>
                <c:pt idx="295">
                  <c:v>3534</c:v>
                </c:pt>
                <c:pt idx="296">
                  <c:v>3534</c:v>
                </c:pt>
                <c:pt idx="297">
                  <c:v>3586</c:v>
                </c:pt>
                <c:pt idx="298">
                  <c:v>3586</c:v>
                </c:pt>
                <c:pt idx="299">
                  <c:v>3586</c:v>
                </c:pt>
                <c:pt idx="300">
                  <c:v>3600</c:v>
                </c:pt>
                <c:pt idx="301">
                  <c:v>3606</c:v>
                </c:pt>
                <c:pt idx="302">
                  <c:v>3607</c:v>
                </c:pt>
                <c:pt idx="303">
                  <c:v>3630</c:v>
                </c:pt>
                <c:pt idx="304">
                  <c:v>3630</c:v>
                </c:pt>
                <c:pt idx="305">
                  <c:v>3635</c:v>
                </c:pt>
                <c:pt idx="306">
                  <c:v>3635</c:v>
                </c:pt>
                <c:pt idx="307">
                  <c:v>3646</c:v>
                </c:pt>
                <c:pt idx="308">
                  <c:v>3646</c:v>
                </c:pt>
                <c:pt idx="309">
                  <c:v>3649</c:v>
                </c:pt>
                <c:pt idx="310">
                  <c:v>3660</c:v>
                </c:pt>
                <c:pt idx="311">
                  <c:v>3700</c:v>
                </c:pt>
                <c:pt idx="312">
                  <c:v>3700</c:v>
                </c:pt>
                <c:pt idx="313">
                  <c:v>3700</c:v>
                </c:pt>
                <c:pt idx="314">
                  <c:v>3739</c:v>
                </c:pt>
                <c:pt idx="315">
                  <c:v>3739</c:v>
                </c:pt>
                <c:pt idx="316">
                  <c:v>3739</c:v>
                </c:pt>
                <c:pt idx="317">
                  <c:v>3739</c:v>
                </c:pt>
                <c:pt idx="318">
                  <c:v>3753</c:v>
                </c:pt>
                <c:pt idx="319">
                  <c:v>3800</c:v>
                </c:pt>
                <c:pt idx="320">
                  <c:v>3800</c:v>
                </c:pt>
                <c:pt idx="321">
                  <c:v>3800</c:v>
                </c:pt>
                <c:pt idx="322">
                  <c:v>3802</c:v>
                </c:pt>
                <c:pt idx="323">
                  <c:v>3802</c:v>
                </c:pt>
                <c:pt idx="324">
                  <c:v>3802</c:v>
                </c:pt>
                <c:pt idx="325">
                  <c:v>3802</c:v>
                </c:pt>
                <c:pt idx="326">
                  <c:v>3808</c:v>
                </c:pt>
                <c:pt idx="327">
                  <c:v>3842</c:v>
                </c:pt>
                <c:pt idx="328">
                  <c:v>3853</c:v>
                </c:pt>
                <c:pt idx="329">
                  <c:v>3853</c:v>
                </c:pt>
                <c:pt idx="330">
                  <c:v>3853</c:v>
                </c:pt>
                <c:pt idx="331">
                  <c:v>3868</c:v>
                </c:pt>
                <c:pt idx="332">
                  <c:v>3868</c:v>
                </c:pt>
                <c:pt idx="333">
                  <c:v>3884</c:v>
                </c:pt>
                <c:pt idx="334">
                  <c:v>3884</c:v>
                </c:pt>
                <c:pt idx="335">
                  <c:v>3884</c:v>
                </c:pt>
                <c:pt idx="336">
                  <c:v>3884</c:v>
                </c:pt>
                <c:pt idx="337">
                  <c:v>3937</c:v>
                </c:pt>
                <c:pt idx="338">
                  <c:v>3937</c:v>
                </c:pt>
                <c:pt idx="339">
                  <c:v>3961</c:v>
                </c:pt>
                <c:pt idx="340">
                  <c:v>3963</c:v>
                </c:pt>
                <c:pt idx="341">
                  <c:v>3963</c:v>
                </c:pt>
                <c:pt idx="342">
                  <c:v>4000</c:v>
                </c:pt>
                <c:pt idx="343">
                  <c:v>4000</c:v>
                </c:pt>
                <c:pt idx="344">
                  <c:v>4024</c:v>
                </c:pt>
                <c:pt idx="345">
                  <c:v>4038</c:v>
                </c:pt>
                <c:pt idx="346">
                  <c:v>4038</c:v>
                </c:pt>
                <c:pt idx="347">
                  <c:v>4043</c:v>
                </c:pt>
                <c:pt idx="348">
                  <c:v>4043</c:v>
                </c:pt>
                <c:pt idx="349">
                  <c:v>4045</c:v>
                </c:pt>
                <c:pt idx="350">
                  <c:v>4045</c:v>
                </c:pt>
                <c:pt idx="351">
                  <c:v>4045</c:v>
                </c:pt>
                <c:pt idx="352">
                  <c:v>4045</c:v>
                </c:pt>
                <c:pt idx="353">
                  <c:v>4050</c:v>
                </c:pt>
                <c:pt idx="354">
                  <c:v>4056</c:v>
                </c:pt>
                <c:pt idx="355">
                  <c:v>4112</c:v>
                </c:pt>
                <c:pt idx="356">
                  <c:v>4112</c:v>
                </c:pt>
                <c:pt idx="357">
                  <c:v>4112</c:v>
                </c:pt>
                <c:pt idx="358">
                  <c:v>4112</c:v>
                </c:pt>
                <c:pt idx="359">
                  <c:v>4112</c:v>
                </c:pt>
                <c:pt idx="360">
                  <c:v>4115</c:v>
                </c:pt>
                <c:pt idx="361">
                  <c:v>4115</c:v>
                </c:pt>
                <c:pt idx="362">
                  <c:v>4115</c:v>
                </c:pt>
                <c:pt idx="363">
                  <c:v>4132</c:v>
                </c:pt>
                <c:pt idx="364">
                  <c:v>4132</c:v>
                </c:pt>
                <c:pt idx="365">
                  <c:v>4132</c:v>
                </c:pt>
                <c:pt idx="366">
                  <c:v>4132</c:v>
                </c:pt>
                <c:pt idx="367">
                  <c:v>4154</c:v>
                </c:pt>
                <c:pt idx="368">
                  <c:v>4158</c:v>
                </c:pt>
                <c:pt idx="369">
                  <c:v>4173</c:v>
                </c:pt>
                <c:pt idx="370">
                  <c:v>4178</c:v>
                </c:pt>
                <c:pt idx="371">
                  <c:v>4196</c:v>
                </c:pt>
                <c:pt idx="372">
                  <c:v>4248</c:v>
                </c:pt>
                <c:pt idx="373">
                  <c:v>4248</c:v>
                </c:pt>
                <c:pt idx="374">
                  <c:v>4248</c:v>
                </c:pt>
                <c:pt idx="375">
                  <c:v>4250</c:v>
                </c:pt>
                <c:pt idx="376">
                  <c:v>4250</c:v>
                </c:pt>
                <c:pt idx="377">
                  <c:v>4250</c:v>
                </c:pt>
                <c:pt idx="378">
                  <c:v>4250</c:v>
                </c:pt>
                <c:pt idx="379">
                  <c:v>4250</c:v>
                </c:pt>
                <c:pt idx="380">
                  <c:v>4250</c:v>
                </c:pt>
                <c:pt idx="381">
                  <c:v>4250</c:v>
                </c:pt>
                <c:pt idx="382">
                  <c:v>4250</c:v>
                </c:pt>
                <c:pt idx="383">
                  <c:v>4250</c:v>
                </c:pt>
                <c:pt idx="384">
                  <c:v>4250</c:v>
                </c:pt>
                <c:pt idx="385">
                  <c:v>4250</c:v>
                </c:pt>
                <c:pt idx="386">
                  <c:v>4250</c:v>
                </c:pt>
                <c:pt idx="387">
                  <c:v>4250</c:v>
                </c:pt>
                <c:pt idx="388">
                  <c:v>4250</c:v>
                </c:pt>
                <c:pt idx="389">
                  <c:v>4250</c:v>
                </c:pt>
                <c:pt idx="390">
                  <c:v>4250</c:v>
                </c:pt>
                <c:pt idx="391">
                  <c:v>4250</c:v>
                </c:pt>
                <c:pt idx="392">
                  <c:v>4250</c:v>
                </c:pt>
                <c:pt idx="393">
                  <c:v>4250</c:v>
                </c:pt>
                <c:pt idx="394">
                  <c:v>4250</c:v>
                </c:pt>
                <c:pt idx="395">
                  <c:v>4250</c:v>
                </c:pt>
                <c:pt idx="396">
                  <c:v>4250</c:v>
                </c:pt>
                <c:pt idx="397">
                  <c:v>4250</c:v>
                </c:pt>
                <c:pt idx="398">
                  <c:v>4250</c:v>
                </c:pt>
                <c:pt idx="399">
                  <c:v>4250</c:v>
                </c:pt>
                <c:pt idx="400">
                  <c:v>4250</c:v>
                </c:pt>
                <c:pt idx="401">
                  <c:v>4250</c:v>
                </c:pt>
                <c:pt idx="402">
                  <c:v>4250</c:v>
                </c:pt>
                <c:pt idx="403">
                  <c:v>4250</c:v>
                </c:pt>
                <c:pt idx="404">
                  <c:v>4250</c:v>
                </c:pt>
                <c:pt idx="405">
                  <c:v>4250</c:v>
                </c:pt>
                <c:pt idx="406">
                  <c:v>4252</c:v>
                </c:pt>
                <c:pt idx="407">
                  <c:v>4252</c:v>
                </c:pt>
                <c:pt idx="408">
                  <c:v>4252</c:v>
                </c:pt>
                <c:pt idx="409">
                  <c:v>4252</c:v>
                </c:pt>
                <c:pt idx="410">
                  <c:v>4253</c:v>
                </c:pt>
                <c:pt idx="411">
                  <c:v>4253</c:v>
                </c:pt>
                <c:pt idx="412">
                  <c:v>4253</c:v>
                </c:pt>
                <c:pt idx="413">
                  <c:v>4253</c:v>
                </c:pt>
                <c:pt idx="414">
                  <c:v>4253</c:v>
                </c:pt>
                <c:pt idx="415">
                  <c:v>4253</c:v>
                </c:pt>
                <c:pt idx="416">
                  <c:v>4253</c:v>
                </c:pt>
                <c:pt idx="417">
                  <c:v>4253</c:v>
                </c:pt>
                <c:pt idx="418">
                  <c:v>4253</c:v>
                </c:pt>
                <c:pt idx="419">
                  <c:v>4253</c:v>
                </c:pt>
                <c:pt idx="420">
                  <c:v>4253</c:v>
                </c:pt>
                <c:pt idx="421">
                  <c:v>4253</c:v>
                </c:pt>
                <c:pt idx="422">
                  <c:v>4253</c:v>
                </c:pt>
                <c:pt idx="423">
                  <c:v>4253</c:v>
                </c:pt>
                <c:pt idx="424">
                  <c:v>4253</c:v>
                </c:pt>
                <c:pt idx="425">
                  <c:v>4253</c:v>
                </c:pt>
                <c:pt idx="426">
                  <c:v>4254</c:v>
                </c:pt>
                <c:pt idx="427">
                  <c:v>4254</c:v>
                </c:pt>
                <c:pt idx="428">
                  <c:v>4254</c:v>
                </c:pt>
                <c:pt idx="429">
                  <c:v>4254</c:v>
                </c:pt>
                <c:pt idx="430">
                  <c:v>4254</c:v>
                </c:pt>
                <c:pt idx="431">
                  <c:v>4255</c:v>
                </c:pt>
                <c:pt idx="432">
                  <c:v>4255</c:v>
                </c:pt>
                <c:pt idx="433">
                  <c:v>4255</c:v>
                </c:pt>
                <c:pt idx="434">
                  <c:v>4255</c:v>
                </c:pt>
                <c:pt idx="435">
                  <c:v>4256</c:v>
                </c:pt>
                <c:pt idx="436">
                  <c:v>4292</c:v>
                </c:pt>
                <c:pt idx="437">
                  <c:v>4292</c:v>
                </c:pt>
                <c:pt idx="438">
                  <c:v>4294</c:v>
                </c:pt>
                <c:pt idx="439">
                  <c:v>4298</c:v>
                </c:pt>
                <c:pt idx="440">
                  <c:v>4298</c:v>
                </c:pt>
                <c:pt idx="441">
                  <c:v>4298</c:v>
                </c:pt>
                <c:pt idx="442">
                  <c:v>4300</c:v>
                </c:pt>
                <c:pt idx="443">
                  <c:v>4300</c:v>
                </c:pt>
                <c:pt idx="444">
                  <c:v>4300</c:v>
                </c:pt>
                <c:pt idx="445">
                  <c:v>4300</c:v>
                </c:pt>
                <c:pt idx="446">
                  <c:v>4300</c:v>
                </c:pt>
                <c:pt idx="447">
                  <c:v>4300</c:v>
                </c:pt>
                <c:pt idx="448">
                  <c:v>4300</c:v>
                </c:pt>
                <c:pt idx="449">
                  <c:v>4308</c:v>
                </c:pt>
                <c:pt idx="450">
                  <c:v>4308</c:v>
                </c:pt>
                <c:pt idx="451">
                  <c:v>4315</c:v>
                </c:pt>
                <c:pt idx="452">
                  <c:v>4319</c:v>
                </c:pt>
                <c:pt idx="453">
                  <c:v>4319</c:v>
                </c:pt>
                <c:pt idx="454">
                  <c:v>4322</c:v>
                </c:pt>
                <c:pt idx="455">
                  <c:v>4330</c:v>
                </c:pt>
                <c:pt idx="456">
                  <c:v>4350</c:v>
                </c:pt>
                <c:pt idx="457">
                  <c:v>4360</c:v>
                </c:pt>
                <c:pt idx="458">
                  <c:v>4360</c:v>
                </c:pt>
                <c:pt idx="459">
                  <c:v>4367</c:v>
                </c:pt>
                <c:pt idx="460">
                  <c:v>4380</c:v>
                </c:pt>
                <c:pt idx="461">
                  <c:v>4389</c:v>
                </c:pt>
                <c:pt idx="462">
                  <c:v>4389</c:v>
                </c:pt>
                <c:pt idx="463">
                  <c:v>4400</c:v>
                </c:pt>
                <c:pt idx="464">
                  <c:v>4400</c:v>
                </c:pt>
                <c:pt idx="465">
                  <c:v>4400</c:v>
                </c:pt>
                <c:pt idx="466">
                  <c:v>4400</c:v>
                </c:pt>
                <c:pt idx="467">
                  <c:v>4400</c:v>
                </c:pt>
                <c:pt idx="468">
                  <c:v>4400</c:v>
                </c:pt>
                <c:pt idx="469">
                  <c:v>4400</c:v>
                </c:pt>
                <c:pt idx="470">
                  <c:v>4402</c:v>
                </c:pt>
                <c:pt idx="471">
                  <c:v>4402</c:v>
                </c:pt>
                <c:pt idx="472">
                  <c:v>4402</c:v>
                </c:pt>
                <c:pt idx="473">
                  <c:v>4409</c:v>
                </c:pt>
                <c:pt idx="474">
                  <c:v>4437</c:v>
                </c:pt>
                <c:pt idx="475">
                  <c:v>4437</c:v>
                </c:pt>
                <c:pt idx="476">
                  <c:v>4437</c:v>
                </c:pt>
                <c:pt idx="477">
                  <c:v>4437</c:v>
                </c:pt>
                <c:pt idx="478">
                  <c:v>4437</c:v>
                </c:pt>
                <c:pt idx="479">
                  <c:v>4444</c:v>
                </c:pt>
                <c:pt idx="480">
                  <c:v>4469</c:v>
                </c:pt>
                <c:pt idx="481">
                  <c:v>4492</c:v>
                </c:pt>
                <c:pt idx="482">
                  <c:v>4500</c:v>
                </c:pt>
                <c:pt idx="483">
                  <c:v>4500</c:v>
                </c:pt>
                <c:pt idx="484">
                  <c:v>4504</c:v>
                </c:pt>
                <c:pt idx="485">
                  <c:v>4507</c:v>
                </c:pt>
                <c:pt idx="486">
                  <c:v>4507</c:v>
                </c:pt>
                <c:pt idx="487">
                  <c:v>4520</c:v>
                </c:pt>
                <c:pt idx="488">
                  <c:v>4520</c:v>
                </c:pt>
                <c:pt idx="489">
                  <c:v>4520</c:v>
                </c:pt>
                <c:pt idx="490">
                  <c:v>4520</c:v>
                </c:pt>
                <c:pt idx="491">
                  <c:v>4544</c:v>
                </c:pt>
                <c:pt idx="492">
                  <c:v>4545</c:v>
                </c:pt>
                <c:pt idx="493">
                  <c:v>4545</c:v>
                </c:pt>
                <c:pt idx="494">
                  <c:v>4546</c:v>
                </c:pt>
                <c:pt idx="495">
                  <c:v>4571</c:v>
                </c:pt>
                <c:pt idx="496">
                  <c:v>4571</c:v>
                </c:pt>
                <c:pt idx="497">
                  <c:v>4578</c:v>
                </c:pt>
                <c:pt idx="498">
                  <c:v>4578</c:v>
                </c:pt>
                <c:pt idx="499">
                  <c:v>4578</c:v>
                </c:pt>
                <c:pt idx="500">
                  <c:v>4600</c:v>
                </c:pt>
                <c:pt idx="501">
                  <c:v>4600</c:v>
                </c:pt>
                <c:pt idx="502">
                  <c:v>4612</c:v>
                </c:pt>
                <c:pt idx="503">
                  <c:v>4612</c:v>
                </c:pt>
                <c:pt idx="504">
                  <c:v>4616</c:v>
                </c:pt>
                <c:pt idx="505">
                  <c:v>4639</c:v>
                </c:pt>
                <c:pt idx="506">
                  <c:v>4639</c:v>
                </c:pt>
                <c:pt idx="507">
                  <c:v>4639</c:v>
                </c:pt>
                <c:pt idx="508">
                  <c:v>4651</c:v>
                </c:pt>
                <c:pt idx="509">
                  <c:v>4658</c:v>
                </c:pt>
                <c:pt idx="510">
                  <c:v>4662</c:v>
                </c:pt>
                <c:pt idx="511">
                  <c:v>4662</c:v>
                </c:pt>
                <c:pt idx="512">
                  <c:v>4662</c:v>
                </c:pt>
                <c:pt idx="513">
                  <c:v>4662</c:v>
                </c:pt>
                <c:pt idx="514">
                  <c:v>4700</c:v>
                </c:pt>
                <c:pt idx="515">
                  <c:v>4700</c:v>
                </c:pt>
                <c:pt idx="516">
                  <c:v>4700</c:v>
                </c:pt>
                <c:pt idx="517">
                  <c:v>4706</c:v>
                </c:pt>
                <c:pt idx="518">
                  <c:v>4728</c:v>
                </c:pt>
                <c:pt idx="519">
                  <c:v>4728</c:v>
                </c:pt>
                <c:pt idx="520">
                  <c:v>4738</c:v>
                </c:pt>
                <c:pt idx="521">
                  <c:v>4738</c:v>
                </c:pt>
                <c:pt idx="522">
                  <c:v>4738</c:v>
                </c:pt>
                <c:pt idx="523">
                  <c:v>4738</c:v>
                </c:pt>
                <c:pt idx="524">
                  <c:v>4743</c:v>
                </c:pt>
                <c:pt idx="525">
                  <c:v>4803</c:v>
                </c:pt>
                <c:pt idx="526">
                  <c:v>4814</c:v>
                </c:pt>
                <c:pt idx="527">
                  <c:v>4839</c:v>
                </c:pt>
                <c:pt idx="528">
                  <c:v>4839</c:v>
                </c:pt>
                <c:pt idx="529">
                  <c:v>4843</c:v>
                </c:pt>
                <c:pt idx="530">
                  <c:v>4846</c:v>
                </c:pt>
                <c:pt idx="531">
                  <c:v>4860</c:v>
                </c:pt>
                <c:pt idx="532">
                  <c:v>4860</c:v>
                </c:pt>
                <c:pt idx="533">
                  <c:v>4860</c:v>
                </c:pt>
                <c:pt idx="534">
                  <c:v>4860</c:v>
                </c:pt>
                <c:pt idx="535">
                  <c:v>4860</c:v>
                </c:pt>
                <c:pt idx="536">
                  <c:v>4860</c:v>
                </c:pt>
                <c:pt idx="537">
                  <c:v>4870</c:v>
                </c:pt>
                <c:pt idx="538">
                  <c:v>4872</c:v>
                </c:pt>
                <c:pt idx="539">
                  <c:v>4872</c:v>
                </c:pt>
                <c:pt idx="540">
                  <c:v>4884</c:v>
                </c:pt>
                <c:pt idx="541">
                  <c:v>4888</c:v>
                </c:pt>
                <c:pt idx="542">
                  <c:v>4888</c:v>
                </c:pt>
                <c:pt idx="543">
                  <c:v>4888</c:v>
                </c:pt>
                <c:pt idx="544">
                  <c:v>4888</c:v>
                </c:pt>
                <c:pt idx="545">
                  <c:v>4888</c:v>
                </c:pt>
                <c:pt idx="546">
                  <c:v>4888</c:v>
                </c:pt>
                <c:pt idx="547">
                  <c:v>4888</c:v>
                </c:pt>
                <c:pt idx="548">
                  <c:v>4888</c:v>
                </c:pt>
                <c:pt idx="549">
                  <c:v>4888</c:v>
                </c:pt>
                <c:pt idx="550">
                  <c:v>4888</c:v>
                </c:pt>
                <c:pt idx="551">
                  <c:v>4890</c:v>
                </c:pt>
                <c:pt idx="552">
                  <c:v>4890</c:v>
                </c:pt>
                <c:pt idx="553">
                  <c:v>4890</c:v>
                </c:pt>
                <c:pt idx="554">
                  <c:v>4890</c:v>
                </c:pt>
                <c:pt idx="555">
                  <c:v>4890</c:v>
                </c:pt>
                <c:pt idx="556">
                  <c:v>4900</c:v>
                </c:pt>
                <c:pt idx="557">
                  <c:v>4922</c:v>
                </c:pt>
                <c:pt idx="558">
                  <c:v>4922</c:v>
                </c:pt>
                <c:pt idx="559">
                  <c:v>4943</c:v>
                </c:pt>
                <c:pt idx="560">
                  <c:v>4944</c:v>
                </c:pt>
                <c:pt idx="561">
                  <c:v>4953</c:v>
                </c:pt>
                <c:pt idx="562">
                  <c:v>4953</c:v>
                </c:pt>
                <c:pt idx="563">
                  <c:v>4975</c:v>
                </c:pt>
                <c:pt idx="564">
                  <c:v>5015</c:v>
                </c:pt>
                <c:pt idx="565">
                  <c:v>5018</c:v>
                </c:pt>
                <c:pt idx="566">
                  <c:v>5018</c:v>
                </c:pt>
                <c:pt idx="567">
                  <c:v>5023</c:v>
                </c:pt>
                <c:pt idx="568">
                  <c:v>5029</c:v>
                </c:pt>
                <c:pt idx="569">
                  <c:v>5040</c:v>
                </c:pt>
                <c:pt idx="570">
                  <c:v>5041</c:v>
                </c:pt>
                <c:pt idx="571">
                  <c:v>5041</c:v>
                </c:pt>
                <c:pt idx="572">
                  <c:v>5041</c:v>
                </c:pt>
                <c:pt idx="573">
                  <c:v>5041</c:v>
                </c:pt>
                <c:pt idx="574">
                  <c:v>5042</c:v>
                </c:pt>
                <c:pt idx="575">
                  <c:v>5042</c:v>
                </c:pt>
                <c:pt idx="576">
                  <c:v>5042</c:v>
                </c:pt>
                <c:pt idx="577">
                  <c:v>5050</c:v>
                </c:pt>
                <c:pt idx="578">
                  <c:v>5050</c:v>
                </c:pt>
                <c:pt idx="579">
                  <c:v>5050</c:v>
                </c:pt>
                <c:pt idx="580">
                  <c:v>5050</c:v>
                </c:pt>
                <c:pt idx="581">
                  <c:v>5059</c:v>
                </c:pt>
                <c:pt idx="582">
                  <c:v>5059</c:v>
                </c:pt>
                <c:pt idx="583">
                  <c:v>5059</c:v>
                </c:pt>
                <c:pt idx="584">
                  <c:v>5059</c:v>
                </c:pt>
                <c:pt idx="585">
                  <c:v>5060</c:v>
                </c:pt>
                <c:pt idx="586">
                  <c:v>5060</c:v>
                </c:pt>
                <c:pt idx="587">
                  <c:v>5060</c:v>
                </c:pt>
                <c:pt idx="588">
                  <c:v>5060</c:v>
                </c:pt>
                <c:pt idx="589">
                  <c:v>5078</c:v>
                </c:pt>
                <c:pt idx="590">
                  <c:v>5086</c:v>
                </c:pt>
                <c:pt idx="591">
                  <c:v>5086</c:v>
                </c:pt>
                <c:pt idx="592">
                  <c:v>5089</c:v>
                </c:pt>
                <c:pt idx="593">
                  <c:v>5100</c:v>
                </c:pt>
                <c:pt idx="594">
                  <c:v>5100</c:v>
                </c:pt>
                <c:pt idx="595">
                  <c:v>5294</c:v>
                </c:pt>
                <c:pt idx="596">
                  <c:v>5294</c:v>
                </c:pt>
                <c:pt idx="597">
                  <c:v>5303</c:v>
                </c:pt>
                <c:pt idx="598">
                  <c:v>5303</c:v>
                </c:pt>
                <c:pt idx="599">
                  <c:v>5344</c:v>
                </c:pt>
                <c:pt idx="600">
                  <c:v>5344</c:v>
                </c:pt>
                <c:pt idx="601">
                  <c:v>5364</c:v>
                </c:pt>
                <c:pt idx="602">
                  <c:v>5418</c:v>
                </c:pt>
                <c:pt idx="603">
                  <c:v>5466</c:v>
                </c:pt>
                <c:pt idx="604">
                  <c:v>5468</c:v>
                </c:pt>
                <c:pt idx="605">
                  <c:v>5510</c:v>
                </c:pt>
                <c:pt idx="606">
                  <c:v>5512</c:v>
                </c:pt>
                <c:pt idx="607">
                  <c:v>5512</c:v>
                </c:pt>
                <c:pt idx="608">
                  <c:v>5514</c:v>
                </c:pt>
                <c:pt idx="609">
                  <c:v>5527</c:v>
                </c:pt>
                <c:pt idx="610">
                  <c:v>5527</c:v>
                </c:pt>
                <c:pt idx="611">
                  <c:v>5527</c:v>
                </c:pt>
                <c:pt idx="612">
                  <c:v>5527</c:v>
                </c:pt>
                <c:pt idx="613">
                  <c:v>5527</c:v>
                </c:pt>
                <c:pt idx="614">
                  <c:v>5527</c:v>
                </c:pt>
                <c:pt idx="615">
                  <c:v>5527</c:v>
                </c:pt>
                <c:pt idx="616">
                  <c:v>5550</c:v>
                </c:pt>
                <c:pt idx="617">
                  <c:v>5550</c:v>
                </c:pt>
                <c:pt idx="618">
                  <c:v>5550</c:v>
                </c:pt>
                <c:pt idx="619">
                  <c:v>5550</c:v>
                </c:pt>
                <c:pt idx="620">
                  <c:v>5550</c:v>
                </c:pt>
                <c:pt idx="621">
                  <c:v>5551</c:v>
                </c:pt>
                <c:pt idx="622">
                  <c:v>5551</c:v>
                </c:pt>
                <c:pt idx="623">
                  <c:v>5551</c:v>
                </c:pt>
                <c:pt idx="624">
                  <c:v>5551</c:v>
                </c:pt>
                <c:pt idx="625">
                  <c:v>5551</c:v>
                </c:pt>
                <c:pt idx="626">
                  <c:v>5551</c:v>
                </c:pt>
                <c:pt idx="627">
                  <c:v>5552</c:v>
                </c:pt>
                <c:pt idx="628">
                  <c:v>5552</c:v>
                </c:pt>
                <c:pt idx="629">
                  <c:v>5552</c:v>
                </c:pt>
                <c:pt idx="630">
                  <c:v>5552</c:v>
                </c:pt>
                <c:pt idx="631">
                  <c:v>5560</c:v>
                </c:pt>
                <c:pt idx="632">
                  <c:v>5568</c:v>
                </c:pt>
                <c:pt idx="633">
                  <c:v>5568</c:v>
                </c:pt>
                <c:pt idx="634">
                  <c:v>5572</c:v>
                </c:pt>
                <c:pt idx="635">
                  <c:v>5576</c:v>
                </c:pt>
                <c:pt idx="636">
                  <c:v>5576</c:v>
                </c:pt>
                <c:pt idx="637">
                  <c:v>5576</c:v>
                </c:pt>
                <c:pt idx="638">
                  <c:v>5576</c:v>
                </c:pt>
                <c:pt idx="639">
                  <c:v>5599</c:v>
                </c:pt>
                <c:pt idx="640">
                  <c:v>5605</c:v>
                </c:pt>
                <c:pt idx="641">
                  <c:v>5605</c:v>
                </c:pt>
                <c:pt idx="642">
                  <c:v>5605</c:v>
                </c:pt>
                <c:pt idx="643">
                  <c:v>5605</c:v>
                </c:pt>
                <c:pt idx="644">
                  <c:v>5606</c:v>
                </c:pt>
                <c:pt idx="645">
                  <c:v>5606</c:v>
                </c:pt>
                <c:pt idx="646">
                  <c:v>5606</c:v>
                </c:pt>
                <c:pt idx="647">
                  <c:v>5610</c:v>
                </c:pt>
                <c:pt idx="648">
                  <c:v>5618</c:v>
                </c:pt>
                <c:pt idx="649">
                  <c:v>5618</c:v>
                </c:pt>
                <c:pt idx="650">
                  <c:v>5618</c:v>
                </c:pt>
                <c:pt idx="651">
                  <c:v>5624</c:v>
                </c:pt>
                <c:pt idx="652">
                  <c:v>5648</c:v>
                </c:pt>
                <c:pt idx="653">
                  <c:v>5652</c:v>
                </c:pt>
                <c:pt idx="654">
                  <c:v>5652</c:v>
                </c:pt>
                <c:pt idx="655">
                  <c:v>5652</c:v>
                </c:pt>
                <c:pt idx="656">
                  <c:v>5668</c:v>
                </c:pt>
                <c:pt idx="657">
                  <c:v>5668</c:v>
                </c:pt>
                <c:pt idx="658">
                  <c:v>5668</c:v>
                </c:pt>
                <c:pt idx="659">
                  <c:v>5668</c:v>
                </c:pt>
                <c:pt idx="660">
                  <c:v>5680</c:v>
                </c:pt>
                <c:pt idx="661">
                  <c:v>5711</c:v>
                </c:pt>
                <c:pt idx="662">
                  <c:v>5711</c:v>
                </c:pt>
                <c:pt idx="663">
                  <c:v>5711</c:v>
                </c:pt>
                <c:pt idx="664">
                  <c:v>5714</c:v>
                </c:pt>
                <c:pt idx="665">
                  <c:v>5714</c:v>
                </c:pt>
                <c:pt idx="666">
                  <c:v>5752</c:v>
                </c:pt>
                <c:pt idx="667">
                  <c:v>5762</c:v>
                </c:pt>
                <c:pt idx="668">
                  <c:v>5762</c:v>
                </c:pt>
                <c:pt idx="669">
                  <c:v>5762</c:v>
                </c:pt>
                <c:pt idx="670">
                  <c:v>5762</c:v>
                </c:pt>
                <c:pt idx="671">
                  <c:v>5762</c:v>
                </c:pt>
                <c:pt idx="672">
                  <c:v>5762</c:v>
                </c:pt>
                <c:pt idx="673">
                  <c:v>5762</c:v>
                </c:pt>
                <c:pt idx="674">
                  <c:v>5762</c:v>
                </c:pt>
                <c:pt idx="675">
                  <c:v>5762</c:v>
                </c:pt>
                <c:pt idx="676">
                  <c:v>5762</c:v>
                </c:pt>
                <c:pt idx="677">
                  <c:v>5762</c:v>
                </c:pt>
                <c:pt idx="678">
                  <c:v>5762</c:v>
                </c:pt>
                <c:pt idx="679">
                  <c:v>5762</c:v>
                </c:pt>
                <c:pt idx="680">
                  <c:v>5770</c:v>
                </c:pt>
                <c:pt idx="681">
                  <c:v>5782</c:v>
                </c:pt>
                <c:pt idx="682">
                  <c:v>5782</c:v>
                </c:pt>
                <c:pt idx="683">
                  <c:v>5782</c:v>
                </c:pt>
                <c:pt idx="684">
                  <c:v>5782</c:v>
                </c:pt>
                <c:pt idx="685">
                  <c:v>5782</c:v>
                </c:pt>
                <c:pt idx="686">
                  <c:v>5782</c:v>
                </c:pt>
                <c:pt idx="687">
                  <c:v>5782</c:v>
                </c:pt>
                <c:pt idx="688">
                  <c:v>5782</c:v>
                </c:pt>
                <c:pt idx="689">
                  <c:v>5800</c:v>
                </c:pt>
                <c:pt idx="690">
                  <c:v>5800</c:v>
                </c:pt>
                <c:pt idx="691">
                  <c:v>5888</c:v>
                </c:pt>
                <c:pt idx="692">
                  <c:v>5888</c:v>
                </c:pt>
                <c:pt idx="693">
                  <c:v>5888</c:v>
                </c:pt>
                <c:pt idx="694">
                  <c:v>5888</c:v>
                </c:pt>
                <c:pt idx="695">
                  <c:v>5888</c:v>
                </c:pt>
                <c:pt idx="696">
                  <c:v>5896</c:v>
                </c:pt>
                <c:pt idx="697">
                  <c:v>5905</c:v>
                </c:pt>
                <c:pt idx="698">
                  <c:v>5905</c:v>
                </c:pt>
                <c:pt idx="699">
                  <c:v>5905</c:v>
                </c:pt>
                <c:pt idx="700">
                  <c:v>5905</c:v>
                </c:pt>
                <c:pt idx="701">
                  <c:v>5905</c:v>
                </c:pt>
                <c:pt idx="702">
                  <c:v>5905</c:v>
                </c:pt>
                <c:pt idx="703">
                  <c:v>5928</c:v>
                </c:pt>
                <c:pt idx="704">
                  <c:v>5928</c:v>
                </c:pt>
                <c:pt idx="705">
                  <c:v>6000</c:v>
                </c:pt>
                <c:pt idx="706">
                  <c:v>6000</c:v>
                </c:pt>
                <c:pt idx="707">
                  <c:v>6148</c:v>
                </c:pt>
                <c:pt idx="708">
                  <c:v>6178</c:v>
                </c:pt>
                <c:pt idx="709">
                  <c:v>6178</c:v>
                </c:pt>
                <c:pt idx="710">
                  <c:v>6178</c:v>
                </c:pt>
                <c:pt idx="711">
                  <c:v>6188</c:v>
                </c:pt>
                <c:pt idx="712">
                  <c:v>6200</c:v>
                </c:pt>
                <c:pt idx="713">
                  <c:v>6214</c:v>
                </c:pt>
                <c:pt idx="714">
                  <c:v>6214</c:v>
                </c:pt>
                <c:pt idx="715">
                  <c:v>6310</c:v>
                </c:pt>
                <c:pt idx="716">
                  <c:v>6332</c:v>
                </c:pt>
                <c:pt idx="717">
                  <c:v>6332</c:v>
                </c:pt>
                <c:pt idx="718">
                  <c:v>6332</c:v>
                </c:pt>
                <c:pt idx="719">
                  <c:v>6350</c:v>
                </c:pt>
                <c:pt idx="720">
                  <c:v>6350</c:v>
                </c:pt>
                <c:pt idx="721">
                  <c:v>6350</c:v>
                </c:pt>
                <c:pt idx="722">
                  <c:v>6350</c:v>
                </c:pt>
                <c:pt idx="723">
                  <c:v>6350</c:v>
                </c:pt>
                <c:pt idx="724">
                  <c:v>6350</c:v>
                </c:pt>
                <c:pt idx="725">
                  <c:v>6350</c:v>
                </c:pt>
                <c:pt idx="726">
                  <c:v>6350</c:v>
                </c:pt>
                <c:pt idx="727">
                  <c:v>6350</c:v>
                </c:pt>
                <c:pt idx="728">
                  <c:v>6350</c:v>
                </c:pt>
                <c:pt idx="729">
                  <c:v>6350</c:v>
                </c:pt>
                <c:pt idx="730">
                  <c:v>6350</c:v>
                </c:pt>
                <c:pt idx="731">
                  <c:v>6350</c:v>
                </c:pt>
                <c:pt idx="732">
                  <c:v>6350</c:v>
                </c:pt>
                <c:pt idx="733">
                  <c:v>6350</c:v>
                </c:pt>
                <c:pt idx="734">
                  <c:v>6350</c:v>
                </c:pt>
                <c:pt idx="735">
                  <c:v>6350</c:v>
                </c:pt>
                <c:pt idx="736">
                  <c:v>6402</c:v>
                </c:pt>
                <c:pt idx="737">
                  <c:v>6402</c:v>
                </c:pt>
                <c:pt idx="738">
                  <c:v>6402</c:v>
                </c:pt>
                <c:pt idx="739">
                  <c:v>6402</c:v>
                </c:pt>
                <c:pt idx="740">
                  <c:v>6402</c:v>
                </c:pt>
                <c:pt idx="741">
                  <c:v>6402</c:v>
                </c:pt>
                <c:pt idx="742">
                  <c:v>6402</c:v>
                </c:pt>
                <c:pt idx="743">
                  <c:v>6402</c:v>
                </c:pt>
                <c:pt idx="744">
                  <c:v>6402</c:v>
                </c:pt>
                <c:pt idx="745">
                  <c:v>6402</c:v>
                </c:pt>
                <c:pt idx="746">
                  <c:v>6418</c:v>
                </c:pt>
                <c:pt idx="747">
                  <c:v>6418</c:v>
                </c:pt>
                <c:pt idx="748">
                  <c:v>6418</c:v>
                </c:pt>
                <c:pt idx="749">
                  <c:v>6418</c:v>
                </c:pt>
                <c:pt idx="750">
                  <c:v>6420</c:v>
                </c:pt>
                <c:pt idx="751">
                  <c:v>6435</c:v>
                </c:pt>
                <c:pt idx="752">
                  <c:v>6435</c:v>
                </c:pt>
                <c:pt idx="753">
                  <c:v>6435</c:v>
                </c:pt>
                <c:pt idx="754">
                  <c:v>6435</c:v>
                </c:pt>
                <c:pt idx="755">
                  <c:v>6435</c:v>
                </c:pt>
                <c:pt idx="756">
                  <c:v>6435</c:v>
                </c:pt>
                <c:pt idx="757">
                  <c:v>6456</c:v>
                </c:pt>
                <c:pt idx="758">
                  <c:v>6456</c:v>
                </c:pt>
                <c:pt idx="759">
                  <c:v>6477</c:v>
                </c:pt>
                <c:pt idx="760">
                  <c:v>6478</c:v>
                </c:pt>
                <c:pt idx="761">
                  <c:v>6478</c:v>
                </c:pt>
                <c:pt idx="762">
                  <c:v>6492</c:v>
                </c:pt>
                <c:pt idx="763">
                  <c:v>6492</c:v>
                </c:pt>
                <c:pt idx="764">
                  <c:v>6492</c:v>
                </c:pt>
                <c:pt idx="765">
                  <c:v>6500</c:v>
                </c:pt>
                <c:pt idx="766">
                  <c:v>6500</c:v>
                </c:pt>
                <c:pt idx="767">
                  <c:v>6500</c:v>
                </c:pt>
                <c:pt idx="768">
                  <c:v>6500</c:v>
                </c:pt>
                <c:pt idx="769">
                  <c:v>6500</c:v>
                </c:pt>
                <c:pt idx="770">
                  <c:v>6500</c:v>
                </c:pt>
                <c:pt idx="771">
                  <c:v>6539</c:v>
                </c:pt>
                <c:pt idx="772">
                  <c:v>6539</c:v>
                </c:pt>
                <c:pt idx="773">
                  <c:v>6539</c:v>
                </c:pt>
                <c:pt idx="774">
                  <c:v>6539</c:v>
                </c:pt>
                <c:pt idx="775">
                  <c:v>6570</c:v>
                </c:pt>
                <c:pt idx="776">
                  <c:v>6570</c:v>
                </c:pt>
                <c:pt idx="777">
                  <c:v>6570</c:v>
                </c:pt>
                <c:pt idx="778">
                  <c:v>6570</c:v>
                </c:pt>
                <c:pt idx="779">
                  <c:v>6572</c:v>
                </c:pt>
                <c:pt idx="780">
                  <c:v>6572</c:v>
                </c:pt>
                <c:pt idx="781">
                  <c:v>6586</c:v>
                </c:pt>
                <c:pt idx="782">
                  <c:v>6586</c:v>
                </c:pt>
                <c:pt idx="783">
                  <c:v>6588</c:v>
                </c:pt>
                <c:pt idx="784">
                  <c:v>6588</c:v>
                </c:pt>
                <c:pt idx="785">
                  <c:v>6589</c:v>
                </c:pt>
                <c:pt idx="786">
                  <c:v>6589</c:v>
                </c:pt>
                <c:pt idx="787">
                  <c:v>6589</c:v>
                </c:pt>
                <c:pt idx="788">
                  <c:v>6589</c:v>
                </c:pt>
                <c:pt idx="789">
                  <c:v>6589</c:v>
                </c:pt>
                <c:pt idx="790">
                  <c:v>6612</c:v>
                </c:pt>
                <c:pt idx="791">
                  <c:v>6612</c:v>
                </c:pt>
                <c:pt idx="792">
                  <c:v>6622</c:v>
                </c:pt>
                <c:pt idx="793">
                  <c:v>6627</c:v>
                </c:pt>
                <c:pt idx="794">
                  <c:v>6627</c:v>
                </c:pt>
                <c:pt idx="795">
                  <c:v>6627</c:v>
                </c:pt>
                <c:pt idx="796">
                  <c:v>6627</c:v>
                </c:pt>
                <c:pt idx="797">
                  <c:v>6644</c:v>
                </c:pt>
                <c:pt idx="798">
                  <c:v>6655</c:v>
                </c:pt>
                <c:pt idx="799">
                  <c:v>6655</c:v>
                </c:pt>
                <c:pt idx="800">
                  <c:v>6655</c:v>
                </c:pt>
                <c:pt idx="801">
                  <c:v>6655</c:v>
                </c:pt>
                <c:pt idx="802">
                  <c:v>6655</c:v>
                </c:pt>
                <c:pt idx="803">
                  <c:v>6655</c:v>
                </c:pt>
                <c:pt idx="804">
                  <c:v>6661</c:v>
                </c:pt>
                <c:pt idx="805">
                  <c:v>6661</c:v>
                </c:pt>
                <c:pt idx="806">
                  <c:v>6724</c:v>
                </c:pt>
                <c:pt idx="807">
                  <c:v>6724</c:v>
                </c:pt>
                <c:pt idx="808">
                  <c:v>6724</c:v>
                </c:pt>
                <c:pt idx="809">
                  <c:v>6724</c:v>
                </c:pt>
                <c:pt idx="810">
                  <c:v>6724</c:v>
                </c:pt>
                <c:pt idx="811">
                  <c:v>6724</c:v>
                </c:pt>
                <c:pt idx="812">
                  <c:v>6724</c:v>
                </c:pt>
                <c:pt idx="813">
                  <c:v>6724</c:v>
                </c:pt>
                <c:pt idx="814">
                  <c:v>6724</c:v>
                </c:pt>
                <c:pt idx="815">
                  <c:v>6724</c:v>
                </c:pt>
                <c:pt idx="816">
                  <c:v>6730</c:v>
                </c:pt>
                <c:pt idx="817">
                  <c:v>6732</c:v>
                </c:pt>
                <c:pt idx="818">
                  <c:v>6732</c:v>
                </c:pt>
                <c:pt idx="819">
                  <c:v>6732</c:v>
                </c:pt>
                <c:pt idx="820">
                  <c:v>6732</c:v>
                </c:pt>
                <c:pt idx="821">
                  <c:v>6732</c:v>
                </c:pt>
                <c:pt idx="822">
                  <c:v>6732</c:v>
                </c:pt>
                <c:pt idx="823">
                  <c:v>6732</c:v>
                </c:pt>
                <c:pt idx="824">
                  <c:v>6732</c:v>
                </c:pt>
                <c:pt idx="825">
                  <c:v>6732</c:v>
                </c:pt>
                <c:pt idx="826">
                  <c:v>6732</c:v>
                </c:pt>
                <c:pt idx="827">
                  <c:v>6732</c:v>
                </c:pt>
                <c:pt idx="828">
                  <c:v>6750</c:v>
                </c:pt>
                <c:pt idx="829">
                  <c:v>6763</c:v>
                </c:pt>
                <c:pt idx="830">
                  <c:v>6763</c:v>
                </c:pt>
                <c:pt idx="831">
                  <c:v>6763</c:v>
                </c:pt>
                <c:pt idx="832">
                  <c:v>6763</c:v>
                </c:pt>
                <c:pt idx="833">
                  <c:v>6763</c:v>
                </c:pt>
                <c:pt idx="834">
                  <c:v>6845</c:v>
                </c:pt>
                <c:pt idx="835">
                  <c:v>6877</c:v>
                </c:pt>
                <c:pt idx="836">
                  <c:v>6882</c:v>
                </c:pt>
                <c:pt idx="837">
                  <c:v>6900</c:v>
                </c:pt>
                <c:pt idx="838">
                  <c:v>6900</c:v>
                </c:pt>
                <c:pt idx="839">
                  <c:v>6900</c:v>
                </c:pt>
                <c:pt idx="840">
                  <c:v>6921</c:v>
                </c:pt>
                <c:pt idx="841">
                  <c:v>6921</c:v>
                </c:pt>
                <c:pt idx="842">
                  <c:v>6966</c:v>
                </c:pt>
                <c:pt idx="843">
                  <c:v>6969</c:v>
                </c:pt>
                <c:pt idx="844">
                  <c:v>7000</c:v>
                </c:pt>
                <c:pt idx="845">
                  <c:v>7024</c:v>
                </c:pt>
                <c:pt idx="846">
                  <c:v>7024</c:v>
                </c:pt>
                <c:pt idx="847">
                  <c:v>7024</c:v>
                </c:pt>
                <c:pt idx="848">
                  <c:v>7024</c:v>
                </c:pt>
                <c:pt idx="849">
                  <c:v>7024</c:v>
                </c:pt>
                <c:pt idx="850">
                  <c:v>7024</c:v>
                </c:pt>
                <c:pt idx="851">
                  <c:v>7030</c:v>
                </c:pt>
                <c:pt idx="852">
                  <c:v>7030</c:v>
                </c:pt>
                <c:pt idx="853">
                  <c:v>7030</c:v>
                </c:pt>
                <c:pt idx="854">
                  <c:v>7030</c:v>
                </c:pt>
                <c:pt idx="855">
                  <c:v>7090</c:v>
                </c:pt>
                <c:pt idx="856">
                  <c:v>7090</c:v>
                </c:pt>
                <c:pt idx="857">
                  <c:v>7100</c:v>
                </c:pt>
                <c:pt idx="858">
                  <c:v>7100</c:v>
                </c:pt>
                <c:pt idx="859">
                  <c:v>7100</c:v>
                </c:pt>
                <c:pt idx="860">
                  <c:v>7154</c:v>
                </c:pt>
                <c:pt idx="861">
                  <c:v>7154</c:v>
                </c:pt>
                <c:pt idx="862">
                  <c:v>7226</c:v>
                </c:pt>
                <c:pt idx="863">
                  <c:v>7226</c:v>
                </c:pt>
                <c:pt idx="864">
                  <c:v>7226</c:v>
                </c:pt>
                <c:pt idx="865">
                  <c:v>7370</c:v>
                </c:pt>
                <c:pt idx="866">
                  <c:v>7370</c:v>
                </c:pt>
                <c:pt idx="867">
                  <c:v>7370</c:v>
                </c:pt>
                <c:pt idx="868">
                  <c:v>7370</c:v>
                </c:pt>
                <c:pt idx="869">
                  <c:v>7450</c:v>
                </c:pt>
                <c:pt idx="870">
                  <c:v>7450</c:v>
                </c:pt>
                <c:pt idx="871">
                  <c:v>7455</c:v>
                </c:pt>
                <c:pt idx="872">
                  <c:v>7455</c:v>
                </c:pt>
                <c:pt idx="873">
                  <c:v>7455</c:v>
                </c:pt>
                <c:pt idx="874">
                  <c:v>7455</c:v>
                </c:pt>
                <c:pt idx="875">
                  <c:v>7455</c:v>
                </c:pt>
                <c:pt idx="876">
                  <c:v>7471</c:v>
                </c:pt>
                <c:pt idx="877">
                  <c:v>7488</c:v>
                </c:pt>
                <c:pt idx="878">
                  <c:v>7500</c:v>
                </c:pt>
                <c:pt idx="879">
                  <c:v>7506</c:v>
                </c:pt>
                <c:pt idx="880">
                  <c:v>7506</c:v>
                </c:pt>
                <c:pt idx="881">
                  <c:v>7721</c:v>
                </c:pt>
                <c:pt idx="882">
                  <c:v>7747</c:v>
                </c:pt>
                <c:pt idx="883">
                  <c:v>7747</c:v>
                </c:pt>
                <c:pt idx="884">
                  <c:v>7747</c:v>
                </c:pt>
                <c:pt idx="885">
                  <c:v>7747</c:v>
                </c:pt>
                <c:pt idx="886">
                  <c:v>7943</c:v>
                </c:pt>
                <c:pt idx="887">
                  <c:v>7943</c:v>
                </c:pt>
                <c:pt idx="888">
                  <c:v>8000</c:v>
                </c:pt>
                <c:pt idx="889">
                  <c:v>8000</c:v>
                </c:pt>
                <c:pt idx="890">
                  <c:v>8000</c:v>
                </c:pt>
                <c:pt idx="891">
                  <c:v>8000</c:v>
                </c:pt>
                <c:pt idx="892">
                  <c:v>8000</c:v>
                </c:pt>
                <c:pt idx="893">
                  <c:v>8000</c:v>
                </c:pt>
                <c:pt idx="894">
                  <c:v>8034</c:v>
                </c:pt>
                <c:pt idx="895">
                  <c:v>8034</c:v>
                </c:pt>
                <c:pt idx="896">
                  <c:v>8034</c:v>
                </c:pt>
                <c:pt idx="897">
                  <c:v>8034</c:v>
                </c:pt>
                <c:pt idx="898">
                  <c:v>8034</c:v>
                </c:pt>
                <c:pt idx="899">
                  <c:v>8034</c:v>
                </c:pt>
                <c:pt idx="900">
                  <c:v>8034</c:v>
                </c:pt>
                <c:pt idx="901">
                  <c:v>8034</c:v>
                </c:pt>
                <c:pt idx="902">
                  <c:v>8063</c:v>
                </c:pt>
                <c:pt idx="903">
                  <c:v>8063</c:v>
                </c:pt>
                <c:pt idx="904">
                  <c:v>8063</c:v>
                </c:pt>
                <c:pt idx="905">
                  <c:v>8063</c:v>
                </c:pt>
                <c:pt idx="906">
                  <c:v>8063</c:v>
                </c:pt>
                <c:pt idx="907">
                  <c:v>8063</c:v>
                </c:pt>
                <c:pt idx="908">
                  <c:v>8063</c:v>
                </c:pt>
                <c:pt idx="909">
                  <c:v>8063</c:v>
                </c:pt>
                <c:pt idx="910">
                  <c:v>8063</c:v>
                </c:pt>
                <c:pt idx="911">
                  <c:v>8063</c:v>
                </c:pt>
                <c:pt idx="912">
                  <c:v>8069</c:v>
                </c:pt>
                <c:pt idx="913">
                  <c:v>8069</c:v>
                </c:pt>
                <c:pt idx="914">
                  <c:v>8073</c:v>
                </c:pt>
                <c:pt idx="915">
                  <c:v>8073</c:v>
                </c:pt>
                <c:pt idx="916">
                  <c:v>8073</c:v>
                </c:pt>
                <c:pt idx="917">
                  <c:v>8073</c:v>
                </c:pt>
                <c:pt idx="918">
                  <c:v>8073</c:v>
                </c:pt>
                <c:pt idx="919">
                  <c:v>8073</c:v>
                </c:pt>
                <c:pt idx="920">
                  <c:v>8084</c:v>
                </c:pt>
                <c:pt idx="921">
                  <c:v>8084</c:v>
                </c:pt>
                <c:pt idx="922">
                  <c:v>8086</c:v>
                </c:pt>
                <c:pt idx="923">
                  <c:v>8086</c:v>
                </c:pt>
                <c:pt idx="924">
                  <c:v>8100</c:v>
                </c:pt>
                <c:pt idx="925">
                  <c:v>8100</c:v>
                </c:pt>
                <c:pt idx="926">
                  <c:v>8100</c:v>
                </c:pt>
                <c:pt idx="927">
                  <c:v>8100</c:v>
                </c:pt>
                <c:pt idx="928">
                  <c:v>8102</c:v>
                </c:pt>
                <c:pt idx="929">
                  <c:v>8102</c:v>
                </c:pt>
                <c:pt idx="930">
                  <c:v>8110</c:v>
                </c:pt>
                <c:pt idx="931">
                  <c:v>8110</c:v>
                </c:pt>
                <c:pt idx="932">
                  <c:v>8110</c:v>
                </c:pt>
                <c:pt idx="933">
                  <c:v>8110</c:v>
                </c:pt>
                <c:pt idx="934">
                  <c:v>8112</c:v>
                </c:pt>
                <c:pt idx="935">
                  <c:v>8189</c:v>
                </c:pt>
                <c:pt idx="936">
                  <c:v>8204</c:v>
                </c:pt>
                <c:pt idx="937">
                  <c:v>8204</c:v>
                </c:pt>
                <c:pt idx="938">
                  <c:v>8204</c:v>
                </c:pt>
                <c:pt idx="939">
                  <c:v>8204</c:v>
                </c:pt>
                <c:pt idx="940">
                  <c:v>8204</c:v>
                </c:pt>
                <c:pt idx="941">
                  <c:v>8204</c:v>
                </c:pt>
                <c:pt idx="942">
                  <c:v>8204</c:v>
                </c:pt>
                <c:pt idx="943">
                  <c:v>8204</c:v>
                </c:pt>
                <c:pt idx="944">
                  <c:v>8208</c:v>
                </c:pt>
                <c:pt idx="945">
                  <c:v>8208</c:v>
                </c:pt>
                <c:pt idx="946">
                  <c:v>8208</c:v>
                </c:pt>
                <c:pt idx="947">
                  <c:v>8208</c:v>
                </c:pt>
                <c:pt idx="948">
                  <c:v>8212</c:v>
                </c:pt>
                <c:pt idx="949">
                  <c:v>8212</c:v>
                </c:pt>
                <c:pt idx="950">
                  <c:v>8212</c:v>
                </c:pt>
                <c:pt idx="951">
                  <c:v>8212</c:v>
                </c:pt>
                <c:pt idx="952">
                  <c:v>8212</c:v>
                </c:pt>
                <c:pt idx="953">
                  <c:v>8212</c:v>
                </c:pt>
                <c:pt idx="954">
                  <c:v>8212</c:v>
                </c:pt>
                <c:pt idx="955">
                  <c:v>8212</c:v>
                </c:pt>
                <c:pt idx="956">
                  <c:v>8238</c:v>
                </c:pt>
                <c:pt idx="957">
                  <c:v>8238</c:v>
                </c:pt>
                <c:pt idx="958">
                  <c:v>8240</c:v>
                </c:pt>
                <c:pt idx="959">
                  <c:v>8240</c:v>
                </c:pt>
                <c:pt idx="960">
                  <c:v>8241</c:v>
                </c:pt>
                <c:pt idx="961">
                  <c:v>8241</c:v>
                </c:pt>
                <c:pt idx="962">
                  <c:v>8241</c:v>
                </c:pt>
                <c:pt idx="963">
                  <c:v>8241</c:v>
                </c:pt>
                <c:pt idx="964">
                  <c:v>8379</c:v>
                </c:pt>
                <c:pt idx="965">
                  <c:v>8379</c:v>
                </c:pt>
                <c:pt idx="966">
                  <c:v>8379</c:v>
                </c:pt>
                <c:pt idx="967">
                  <c:v>8400</c:v>
                </c:pt>
                <c:pt idx="968">
                  <c:v>8400</c:v>
                </c:pt>
                <c:pt idx="969">
                  <c:v>8400</c:v>
                </c:pt>
                <c:pt idx="970">
                  <c:v>8400</c:v>
                </c:pt>
                <c:pt idx="971">
                  <c:v>8400</c:v>
                </c:pt>
                <c:pt idx="972">
                  <c:v>8400</c:v>
                </c:pt>
                <c:pt idx="973">
                  <c:v>8401</c:v>
                </c:pt>
                <c:pt idx="974">
                  <c:v>8401</c:v>
                </c:pt>
                <c:pt idx="975">
                  <c:v>8401</c:v>
                </c:pt>
                <c:pt idx="976">
                  <c:v>8401</c:v>
                </c:pt>
                <c:pt idx="977">
                  <c:v>8401</c:v>
                </c:pt>
                <c:pt idx="978">
                  <c:v>8411</c:v>
                </c:pt>
                <c:pt idx="979">
                  <c:v>8411</c:v>
                </c:pt>
                <c:pt idx="980">
                  <c:v>8411</c:v>
                </c:pt>
                <c:pt idx="981">
                  <c:v>8411</c:v>
                </c:pt>
                <c:pt idx="982">
                  <c:v>8440</c:v>
                </c:pt>
                <c:pt idx="983">
                  <c:v>8440</c:v>
                </c:pt>
                <c:pt idx="984">
                  <c:v>8450</c:v>
                </c:pt>
                <c:pt idx="985">
                  <c:v>8450</c:v>
                </c:pt>
                <c:pt idx="986">
                  <c:v>8452</c:v>
                </c:pt>
                <c:pt idx="987">
                  <c:v>8452</c:v>
                </c:pt>
                <c:pt idx="988">
                  <c:v>8452</c:v>
                </c:pt>
                <c:pt idx="989">
                  <c:v>8452</c:v>
                </c:pt>
                <c:pt idx="990">
                  <c:v>8452</c:v>
                </c:pt>
                <c:pt idx="991">
                  <c:v>8452</c:v>
                </c:pt>
                <c:pt idx="992">
                  <c:v>8452</c:v>
                </c:pt>
                <c:pt idx="993">
                  <c:v>8452</c:v>
                </c:pt>
                <c:pt idx="994">
                  <c:v>8452</c:v>
                </c:pt>
                <c:pt idx="995">
                  <c:v>8452</c:v>
                </c:pt>
                <c:pt idx="996">
                  <c:v>8452</c:v>
                </c:pt>
                <c:pt idx="997">
                  <c:v>8452</c:v>
                </c:pt>
                <c:pt idx="998">
                  <c:v>8452</c:v>
                </c:pt>
                <c:pt idx="999">
                  <c:v>8452</c:v>
                </c:pt>
                <c:pt idx="1000">
                  <c:v>8452</c:v>
                </c:pt>
                <c:pt idx="1001">
                  <c:v>8452</c:v>
                </c:pt>
                <c:pt idx="1002">
                  <c:v>8452</c:v>
                </c:pt>
                <c:pt idx="1003">
                  <c:v>8466</c:v>
                </c:pt>
                <c:pt idx="1004">
                  <c:v>8466</c:v>
                </c:pt>
                <c:pt idx="1005">
                  <c:v>8466</c:v>
                </c:pt>
                <c:pt idx="1006">
                  <c:v>8466</c:v>
                </c:pt>
                <c:pt idx="1007">
                  <c:v>8468</c:v>
                </c:pt>
                <c:pt idx="1008">
                  <c:v>8468</c:v>
                </c:pt>
                <c:pt idx="1009">
                  <c:v>8468</c:v>
                </c:pt>
                <c:pt idx="1010">
                  <c:v>8468</c:v>
                </c:pt>
                <c:pt idx="1011">
                  <c:v>8488</c:v>
                </c:pt>
                <c:pt idx="1012">
                  <c:v>8488</c:v>
                </c:pt>
                <c:pt idx="1013">
                  <c:v>8488</c:v>
                </c:pt>
                <c:pt idx="1014">
                  <c:v>8488</c:v>
                </c:pt>
                <c:pt idx="1015">
                  <c:v>8488</c:v>
                </c:pt>
                <c:pt idx="1016">
                  <c:v>8495</c:v>
                </c:pt>
                <c:pt idx="1017">
                  <c:v>8495</c:v>
                </c:pt>
                <c:pt idx="1018">
                  <c:v>8500</c:v>
                </c:pt>
                <c:pt idx="1019">
                  <c:v>8500</c:v>
                </c:pt>
                <c:pt idx="1020">
                  <c:v>8500</c:v>
                </c:pt>
                <c:pt idx="1021">
                  <c:v>8500</c:v>
                </c:pt>
                <c:pt idx="1022">
                  <c:v>8501</c:v>
                </c:pt>
                <c:pt idx="1023">
                  <c:v>8508</c:v>
                </c:pt>
                <c:pt idx="1024">
                  <c:v>8508</c:v>
                </c:pt>
                <c:pt idx="1025">
                  <c:v>8508</c:v>
                </c:pt>
                <c:pt idx="1026">
                  <c:v>8528</c:v>
                </c:pt>
                <c:pt idx="1027">
                  <c:v>8528</c:v>
                </c:pt>
                <c:pt idx="1028">
                  <c:v>8528</c:v>
                </c:pt>
                <c:pt idx="1029">
                  <c:v>8530</c:v>
                </c:pt>
                <c:pt idx="1030">
                  <c:v>8530</c:v>
                </c:pt>
                <c:pt idx="1031">
                  <c:v>8530</c:v>
                </c:pt>
                <c:pt idx="1032">
                  <c:v>8540</c:v>
                </c:pt>
                <c:pt idx="1033">
                  <c:v>8540</c:v>
                </c:pt>
                <c:pt idx="1034">
                  <c:v>8540</c:v>
                </c:pt>
                <c:pt idx="1035">
                  <c:v>8562</c:v>
                </c:pt>
                <c:pt idx="1036">
                  <c:v>8562</c:v>
                </c:pt>
                <c:pt idx="1037">
                  <c:v>8562</c:v>
                </c:pt>
                <c:pt idx="1038">
                  <c:v>8562</c:v>
                </c:pt>
                <c:pt idx="1039">
                  <c:v>8566</c:v>
                </c:pt>
                <c:pt idx="1040">
                  <c:v>8566</c:v>
                </c:pt>
                <c:pt idx="1041">
                  <c:v>8566</c:v>
                </c:pt>
                <c:pt idx="1042">
                  <c:v>8566</c:v>
                </c:pt>
                <c:pt idx="1043">
                  <c:v>8580</c:v>
                </c:pt>
                <c:pt idx="1044">
                  <c:v>8580</c:v>
                </c:pt>
                <c:pt idx="1045">
                  <c:v>8586</c:v>
                </c:pt>
                <c:pt idx="1046">
                  <c:v>8600</c:v>
                </c:pt>
                <c:pt idx="1047">
                  <c:v>8600</c:v>
                </c:pt>
                <c:pt idx="1048">
                  <c:v>8600</c:v>
                </c:pt>
                <c:pt idx="1049">
                  <c:v>8600</c:v>
                </c:pt>
                <c:pt idx="1050">
                  <c:v>8600</c:v>
                </c:pt>
                <c:pt idx="1051">
                  <c:v>8600</c:v>
                </c:pt>
                <c:pt idx="1052">
                  <c:v>8600</c:v>
                </c:pt>
                <c:pt idx="1053">
                  <c:v>8600</c:v>
                </c:pt>
                <c:pt idx="1054">
                  <c:v>8600</c:v>
                </c:pt>
                <c:pt idx="1055">
                  <c:v>8626</c:v>
                </c:pt>
                <c:pt idx="1056">
                  <c:v>8626</c:v>
                </c:pt>
                <c:pt idx="1057">
                  <c:v>8628</c:v>
                </c:pt>
                <c:pt idx="1058">
                  <c:v>8628</c:v>
                </c:pt>
                <c:pt idx="1059">
                  <c:v>8633</c:v>
                </c:pt>
                <c:pt idx="1060">
                  <c:v>8700</c:v>
                </c:pt>
                <c:pt idx="1061">
                  <c:v>8700</c:v>
                </c:pt>
                <c:pt idx="1062">
                  <c:v>8700</c:v>
                </c:pt>
                <c:pt idx="1063">
                  <c:v>8714</c:v>
                </c:pt>
                <c:pt idx="1064">
                  <c:v>8749</c:v>
                </c:pt>
                <c:pt idx="1065">
                  <c:v>8749</c:v>
                </c:pt>
                <c:pt idx="1066">
                  <c:v>8749</c:v>
                </c:pt>
                <c:pt idx="1067">
                  <c:v>8749</c:v>
                </c:pt>
                <c:pt idx="1068">
                  <c:v>8749</c:v>
                </c:pt>
                <c:pt idx="1069">
                  <c:v>8749</c:v>
                </c:pt>
                <c:pt idx="1070">
                  <c:v>8749</c:v>
                </c:pt>
                <c:pt idx="1071">
                  <c:v>8749</c:v>
                </c:pt>
                <c:pt idx="1072">
                  <c:v>8749</c:v>
                </c:pt>
                <c:pt idx="1073">
                  <c:v>8749</c:v>
                </c:pt>
                <c:pt idx="1074">
                  <c:v>8749</c:v>
                </c:pt>
                <c:pt idx="1075">
                  <c:v>8749</c:v>
                </c:pt>
                <c:pt idx="1076">
                  <c:v>8749</c:v>
                </c:pt>
                <c:pt idx="1077">
                  <c:v>8749</c:v>
                </c:pt>
                <c:pt idx="1078">
                  <c:v>8762</c:v>
                </c:pt>
                <c:pt idx="1079">
                  <c:v>8762</c:v>
                </c:pt>
                <c:pt idx="1080">
                  <c:v>8762</c:v>
                </c:pt>
                <c:pt idx="1081">
                  <c:v>8762</c:v>
                </c:pt>
                <c:pt idx="1082">
                  <c:v>8772</c:v>
                </c:pt>
                <c:pt idx="1083">
                  <c:v>8800</c:v>
                </c:pt>
                <c:pt idx="1084">
                  <c:v>8800</c:v>
                </c:pt>
                <c:pt idx="1085">
                  <c:v>8800</c:v>
                </c:pt>
                <c:pt idx="1086">
                  <c:v>8800</c:v>
                </c:pt>
                <c:pt idx="1087">
                  <c:v>8800</c:v>
                </c:pt>
                <c:pt idx="1088">
                  <c:v>8800</c:v>
                </c:pt>
                <c:pt idx="1089">
                  <c:v>8800</c:v>
                </c:pt>
                <c:pt idx="1090">
                  <c:v>8800</c:v>
                </c:pt>
                <c:pt idx="1091">
                  <c:v>8800</c:v>
                </c:pt>
                <c:pt idx="1092">
                  <c:v>8800</c:v>
                </c:pt>
                <c:pt idx="1093">
                  <c:v>8800</c:v>
                </c:pt>
                <c:pt idx="1094">
                  <c:v>8800</c:v>
                </c:pt>
                <c:pt idx="1095">
                  <c:v>8800</c:v>
                </c:pt>
                <c:pt idx="1096">
                  <c:v>8814</c:v>
                </c:pt>
                <c:pt idx="1097">
                  <c:v>8819</c:v>
                </c:pt>
                <c:pt idx="1098">
                  <c:v>8819</c:v>
                </c:pt>
                <c:pt idx="1099">
                  <c:v>8825</c:v>
                </c:pt>
                <c:pt idx="1100">
                  <c:v>8827</c:v>
                </c:pt>
                <c:pt idx="1101">
                  <c:v>8827</c:v>
                </c:pt>
                <c:pt idx="1102">
                  <c:v>8948</c:v>
                </c:pt>
                <c:pt idx="1103">
                  <c:v>8962</c:v>
                </c:pt>
                <c:pt idx="1104">
                  <c:v>9000</c:v>
                </c:pt>
                <c:pt idx="1105">
                  <c:v>9000</c:v>
                </c:pt>
                <c:pt idx="1106">
                  <c:v>9000</c:v>
                </c:pt>
                <c:pt idx="1107">
                  <c:v>9000</c:v>
                </c:pt>
                <c:pt idx="1108">
                  <c:v>9000</c:v>
                </c:pt>
                <c:pt idx="1109">
                  <c:v>9000</c:v>
                </c:pt>
                <c:pt idx="1110">
                  <c:v>9000</c:v>
                </c:pt>
                <c:pt idx="1111">
                  <c:v>9000</c:v>
                </c:pt>
                <c:pt idx="1112">
                  <c:v>9000</c:v>
                </c:pt>
                <c:pt idx="1113">
                  <c:v>9000</c:v>
                </c:pt>
                <c:pt idx="1114">
                  <c:v>9012</c:v>
                </c:pt>
                <c:pt idx="1115">
                  <c:v>9012</c:v>
                </c:pt>
                <c:pt idx="1116">
                  <c:v>9012</c:v>
                </c:pt>
                <c:pt idx="1117">
                  <c:v>9030</c:v>
                </c:pt>
                <c:pt idx="1118">
                  <c:v>9030</c:v>
                </c:pt>
                <c:pt idx="1119">
                  <c:v>9030</c:v>
                </c:pt>
                <c:pt idx="1120">
                  <c:v>9034</c:v>
                </c:pt>
                <c:pt idx="1121">
                  <c:v>9034</c:v>
                </c:pt>
                <c:pt idx="1122">
                  <c:v>9040</c:v>
                </c:pt>
                <c:pt idx="1123">
                  <c:v>9040</c:v>
                </c:pt>
                <c:pt idx="1124">
                  <c:v>9040</c:v>
                </c:pt>
                <c:pt idx="1125">
                  <c:v>9113</c:v>
                </c:pt>
                <c:pt idx="1126">
                  <c:v>9113</c:v>
                </c:pt>
                <c:pt idx="1127">
                  <c:v>9162</c:v>
                </c:pt>
                <c:pt idx="1128">
                  <c:v>9162</c:v>
                </c:pt>
                <c:pt idx="1129">
                  <c:v>9178</c:v>
                </c:pt>
                <c:pt idx="1130">
                  <c:v>9178</c:v>
                </c:pt>
                <c:pt idx="1131">
                  <c:v>9178</c:v>
                </c:pt>
                <c:pt idx="1132">
                  <c:v>9178</c:v>
                </c:pt>
                <c:pt idx="1133">
                  <c:v>9178</c:v>
                </c:pt>
                <c:pt idx="1134">
                  <c:v>9178</c:v>
                </c:pt>
                <c:pt idx="1135">
                  <c:v>9178</c:v>
                </c:pt>
                <c:pt idx="1136">
                  <c:v>9178</c:v>
                </c:pt>
                <c:pt idx="1137">
                  <c:v>9178</c:v>
                </c:pt>
                <c:pt idx="1138">
                  <c:v>9178</c:v>
                </c:pt>
                <c:pt idx="1139">
                  <c:v>9178</c:v>
                </c:pt>
                <c:pt idx="1140">
                  <c:v>9200</c:v>
                </c:pt>
                <c:pt idx="1141">
                  <c:v>9200</c:v>
                </c:pt>
                <c:pt idx="1142">
                  <c:v>9200</c:v>
                </c:pt>
                <c:pt idx="1143">
                  <c:v>9200</c:v>
                </c:pt>
                <c:pt idx="1144">
                  <c:v>9200</c:v>
                </c:pt>
                <c:pt idx="1145">
                  <c:v>9200</c:v>
                </c:pt>
                <c:pt idx="1146">
                  <c:v>9200</c:v>
                </c:pt>
                <c:pt idx="1147">
                  <c:v>9200</c:v>
                </c:pt>
                <c:pt idx="1148">
                  <c:v>9300</c:v>
                </c:pt>
                <c:pt idx="1149">
                  <c:v>9300</c:v>
                </c:pt>
                <c:pt idx="1150">
                  <c:v>9300</c:v>
                </c:pt>
                <c:pt idx="1151">
                  <c:v>9400</c:v>
                </c:pt>
                <c:pt idx="1152">
                  <c:v>9400</c:v>
                </c:pt>
                <c:pt idx="1153">
                  <c:v>9400</c:v>
                </c:pt>
                <c:pt idx="1154">
                  <c:v>9400</c:v>
                </c:pt>
                <c:pt idx="1155">
                  <c:v>9400</c:v>
                </c:pt>
                <c:pt idx="1156">
                  <c:v>9400</c:v>
                </c:pt>
                <c:pt idx="1157">
                  <c:v>9400</c:v>
                </c:pt>
                <c:pt idx="1158">
                  <c:v>9400</c:v>
                </c:pt>
                <c:pt idx="1159">
                  <c:v>9400</c:v>
                </c:pt>
                <c:pt idx="1160">
                  <c:v>9400</c:v>
                </c:pt>
                <c:pt idx="1161">
                  <c:v>9400</c:v>
                </c:pt>
                <c:pt idx="1162">
                  <c:v>9400</c:v>
                </c:pt>
                <c:pt idx="1163">
                  <c:v>9400</c:v>
                </c:pt>
                <c:pt idx="1164">
                  <c:v>9400</c:v>
                </c:pt>
                <c:pt idx="1165">
                  <c:v>9400</c:v>
                </c:pt>
                <c:pt idx="1166">
                  <c:v>9403</c:v>
                </c:pt>
                <c:pt idx="1167">
                  <c:v>9408</c:v>
                </c:pt>
                <c:pt idx="1168">
                  <c:v>9411</c:v>
                </c:pt>
                <c:pt idx="1169">
                  <c:v>9411</c:v>
                </c:pt>
                <c:pt idx="1170">
                  <c:v>9411</c:v>
                </c:pt>
                <c:pt idx="1171">
                  <c:v>9415</c:v>
                </c:pt>
                <c:pt idx="1172">
                  <c:v>9415</c:v>
                </c:pt>
                <c:pt idx="1173">
                  <c:v>9415</c:v>
                </c:pt>
                <c:pt idx="1174">
                  <c:v>9415</c:v>
                </c:pt>
                <c:pt idx="1175">
                  <c:v>9443</c:v>
                </c:pt>
                <c:pt idx="1176">
                  <c:v>9469</c:v>
                </c:pt>
                <c:pt idx="1177">
                  <c:v>9469</c:v>
                </c:pt>
                <c:pt idx="1178">
                  <c:v>9469</c:v>
                </c:pt>
                <c:pt idx="1179">
                  <c:v>9469</c:v>
                </c:pt>
                <c:pt idx="1180">
                  <c:v>9469</c:v>
                </c:pt>
                <c:pt idx="1181">
                  <c:v>9500</c:v>
                </c:pt>
                <c:pt idx="1182">
                  <c:v>9500</c:v>
                </c:pt>
                <c:pt idx="1183">
                  <c:v>9500</c:v>
                </c:pt>
                <c:pt idx="1184">
                  <c:v>9500</c:v>
                </c:pt>
                <c:pt idx="1185">
                  <c:v>9500</c:v>
                </c:pt>
                <c:pt idx="1186">
                  <c:v>9500</c:v>
                </c:pt>
                <c:pt idx="1187">
                  <c:v>9500</c:v>
                </c:pt>
                <c:pt idx="1188">
                  <c:v>9500</c:v>
                </c:pt>
                <c:pt idx="1189">
                  <c:v>9572</c:v>
                </c:pt>
                <c:pt idx="1190">
                  <c:v>9572</c:v>
                </c:pt>
                <c:pt idx="1191">
                  <c:v>9572</c:v>
                </c:pt>
                <c:pt idx="1192">
                  <c:v>9572</c:v>
                </c:pt>
                <c:pt idx="1193">
                  <c:v>9572</c:v>
                </c:pt>
                <c:pt idx="1194">
                  <c:v>9572</c:v>
                </c:pt>
                <c:pt idx="1195">
                  <c:v>9572</c:v>
                </c:pt>
                <c:pt idx="1196">
                  <c:v>9573</c:v>
                </c:pt>
                <c:pt idx="1197">
                  <c:v>9574</c:v>
                </c:pt>
                <c:pt idx="1198">
                  <c:v>9592</c:v>
                </c:pt>
                <c:pt idx="1199">
                  <c:v>9592</c:v>
                </c:pt>
                <c:pt idx="1200">
                  <c:v>9592</c:v>
                </c:pt>
                <c:pt idx="1201">
                  <c:v>9600</c:v>
                </c:pt>
                <c:pt idx="1202">
                  <c:v>9600</c:v>
                </c:pt>
                <c:pt idx="1203">
                  <c:v>9661</c:v>
                </c:pt>
                <c:pt idx="1204">
                  <c:v>9661</c:v>
                </c:pt>
                <c:pt idx="1205">
                  <c:v>9661</c:v>
                </c:pt>
                <c:pt idx="1206">
                  <c:v>9700</c:v>
                </c:pt>
                <c:pt idx="1207">
                  <c:v>9700</c:v>
                </c:pt>
                <c:pt idx="1208">
                  <c:v>9700</c:v>
                </c:pt>
                <c:pt idx="1209">
                  <c:v>9814</c:v>
                </c:pt>
                <c:pt idx="1210">
                  <c:v>9814</c:v>
                </c:pt>
                <c:pt idx="1211">
                  <c:v>9814</c:v>
                </c:pt>
                <c:pt idx="1212">
                  <c:v>9814</c:v>
                </c:pt>
                <c:pt idx="1213">
                  <c:v>9814</c:v>
                </c:pt>
                <c:pt idx="1214">
                  <c:v>9814</c:v>
                </c:pt>
                <c:pt idx="1215">
                  <c:v>9814</c:v>
                </c:pt>
                <c:pt idx="1216">
                  <c:v>9894</c:v>
                </c:pt>
                <c:pt idx="1217">
                  <c:v>9954</c:v>
                </c:pt>
                <c:pt idx="1218">
                  <c:v>9954</c:v>
                </c:pt>
                <c:pt idx="1219">
                  <c:v>9954</c:v>
                </c:pt>
                <c:pt idx="1220">
                  <c:v>9954</c:v>
                </c:pt>
                <c:pt idx="1221">
                  <c:v>9954</c:v>
                </c:pt>
                <c:pt idx="1222">
                  <c:v>9962</c:v>
                </c:pt>
                <c:pt idx="1223">
                  <c:v>9962</c:v>
                </c:pt>
                <c:pt idx="1224">
                  <c:v>9962</c:v>
                </c:pt>
                <c:pt idx="1225">
                  <c:v>9962</c:v>
                </c:pt>
                <c:pt idx="1226">
                  <c:v>10000</c:v>
                </c:pt>
                <c:pt idx="1227">
                  <c:v>10000</c:v>
                </c:pt>
                <c:pt idx="1228">
                  <c:v>10000</c:v>
                </c:pt>
                <c:pt idx="1229">
                  <c:v>10001</c:v>
                </c:pt>
                <c:pt idx="1230">
                  <c:v>10010</c:v>
                </c:pt>
                <c:pt idx="1231">
                  <c:v>10010</c:v>
                </c:pt>
                <c:pt idx="1232">
                  <c:v>10010</c:v>
                </c:pt>
                <c:pt idx="1233">
                  <c:v>10010</c:v>
                </c:pt>
                <c:pt idx="1234">
                  <c:v>10010</c:v>
                </c:pt>
                <c:pt idx="1235">
                  <c:v>10010</c:v>
                </c:pt>
                <c:pt idx="1236">
                  <c:v>10036</c:v>
                </c:pt>
                <c:pt idx="1237">
                  <c:v>10036</c:v>
                </c:pt>
                <c:pt idx="1238">
                  <c:v>10050</c:v>
                </c:pt>
                <c:pt idx="1239">
                  <c:v>10055</c:v>
                </c:pt>
                <c:pt idx="1240">
                  <c:v>10060</c:v>
                </c:pt>
                <c:pt idx="1241">
                  <c:v>10060</c:v>
                </c:pt>
                <c:pt idx="1242">
                  <c:v>10061</c:v>
                </c:pt>
                <c:pt idx="1243">
                  <c:v>10062</c:v>
                </c:pt>
                <c:pt idx="1244">
                  <c:v>10062</c:v>
                </c:pt>
                <c:pt idx="1245">
                  <c:v>10062</c:v>
                </c:pt>
                <c:pt idx="1246">
                  <c:v>10062</c:v>
                </c:pt>
                <c:pt idx="1247">
                  <c:v>10062</c:v>
                </c:pt>
                <c:pt idx="1248">
                  <c:v>10062</c:v>
                </c:pt>
                <c:pt idx="1249">
                  <c:v>10062</c:v>
                </c:pt>
                <c:pt idx="1250">
                  <c:v>10070</c:v>
                </c:pt>
                <c:pt idx="1251">
                  <c:v>10070</c:v>
                </c:pt>
                <c:pt idx="1252">
                  <c:v>10070</c:v>
                </c:pt>
                <c:pt idx="1253">
                  <c:v>10070</c:v>
                </c:pt>
                <c:pt idx="1254">
                  <c:v>10070</c:v>
                </c:pt>
                <c:pt idx="1255">
                  <c:v>10081</c:v>
                </c:pt>
                <c:pt idx="1256">
                  <c:v>10100</c:v>
                </c:pt>
                <c:pt idx="1257">
                  <c:v>10100</c:v>
                </c:pt>
                <c:pt idx="1258">
                  <c:v>10100</c:v>
                </c:pt>
                <c:pt idx="1259">
                  <c:v>10100</c:v>
                </c:pt>
                <c:pt idx="1260">
                  <c:v>10100</c:v>
                </c:pt>
                <c:pt idx="1261">
                  <c:v>10100</c:v>
                </c:pt>
                <c:pt idx="1262">
                  <c:v>10100</c:v>
                </c:pt>
                <c:pt idx="1263">
                  <c:v>10100</c:v>
                </c:pt>
                <c:pt idx="1264">
                  <c:v>10100</c:v>
                </c:pt>
                <c:pt idx="1265">
                  <c:v>10100</c:v>
                </c:pt>
                <c:pt idx="1266">
                  <c:v>10100</c:v>
                </c:pt>
                <c:pt idx="1267">
                  <c:v>10114</c:v>
                </c:pt>
                <c:pt idx="1268">
                  <c:v>10114</c:v>
                </c:pt>
                <c:pt idx="1269">
                  <c:v>10114</c:v>
                </c:pt>
                <c:pt idx="1270">
                  <c:v>10500</c:v>
                </c:pt>
                <c:pt idx="1271">
                  <c:v>10500</c:v>
                </c:pt>
                <c:pt idx="1272">
                  <c:v>10500</c:v>
                </c:pt>
                <c:pt idx="1273">
                  <c:v>10589</c:v>
                </c:pt>
                <c:pt idx="1274">
                  <c:v>10589</c:v>
                </c:pt>
                <c:pt idx="1275">
                  <c:v>10600</c:v>
                </c:pt>
                <c:pt idx="1276">
                  <c:v>10600</c:v>
                </c:pt>
                <c:pt idx="1277">
                  <c:v>10700</c:v>
                </c:pt>
                <c:pt idx="1278">
                  <c:v>10700</c:v>
                </c:pt>
                <c:pt idx="1279">
                  <c:v>10700</c:v>
                </c:pt>
                <c:pt idx="1280">
                  <c:v>10700</c:v>
                </c:pt>
                <c:pt idx="1281">
                  <c:v>10700</c:v>
                </c:pt>
                <c:pt idx="1282">
                  <c:v>10776</c:v>
                </c:pt>
                <c:pt idx="1283">
                  <c:v>10818</c:v>
                </c:pt>
                <c:pt idx="1284">
                  <c:v>10818</c:v>
                </c:pt>
                <c:pt idx="1285">
                  <c:v>10960</c:v>
                </c:pt>
                <c:pt idx="1286">
                  <c:v>10960</c:v>
                </c:pt>
                <c:pt idx="1287">
                  <c:v>11000</c:v>
                </c:pt>
                <c:pt idx="1288">
                  <c:v>11000</c:v>
                </c:pt>
                <c:pt idx="1289">
                  <c:v>11000</c:v>
                </c:pt>
                <c:pt idx="1290">
                  <c:v>11000</c:v>
                </c:pt>
                <c:pt idx="1291">
                  <c:v>11000</c:v>
                </c:pt>
                <c:pt idx="1292">
                  <c:v>11038</c:v>
                </c:pt>
                <c:pt idx="1293">
                  <c:v>11040</c:v>
                </c:pt>
                <c:pt idx="1294">
                  <c:v>11312</c:v>
                </c:pt>
                <c:pt idx="1295">
                  <c:v>11312</c:v>
                </c:pt>
                <c:pt idx="1296">
                  <c:v>11312</c:v>
                </c:pt>
                <c:pt idx="1297">
                  <c:v>11312</c:v>
                </c:pt>
                <c:pt idx="1298">
                  <c:v>11356</c:v>
                </c:pt>
                <c:pt idx="1299">
                  <c:v>11356</c:v>
                </c:pt>
                <c:pt idx="1300">
                  <c:v>11388</c:v>
                </c:pt>
                <c:pt idx="1301">
                  <c:v>11388</c:v>
                </c:pt>
                <c:pt idx="1302">
                  <c:v>11388</c:v>
                </c:pt>
                <c:pt idx="1303">
                  <c:v>11388</c:v>
                </c:pt>
                <c:pt idx="1304">
                  <c:v>11400</c:v>
                </c:pt>
                <c:pt idx="1305">
                  <c:v>11400</c:v>
                </c:pt>
                <c:pt idx="1306">
                  <c:v>11400</c:v>
                </c:pt>
                <c:pt idx="1307">
                  <c:v>11400</c:v>
                </c:pt>
                <c:pt idx="1308">
                  <c:v>11400</c:v>
                </c:pt>
                <c:pt idx="1309">
                  <c:v>11400</c:v>
                </c:pt>
                <c:pt idx="1310">
                  <c:v>11500</c:v>
                </c:pt>
                <c:pt idx="1311">
                  <c:v>11500</c:v>
                </c:pt>
                <c:pt idx="1312">
                  <c:v>12400</c:v>
                </c:pt>
                <c:pt idx="1313">
                  <c:v>12400</c:v>
                </c:pt>
                <c:pt idx="1314">
                  <c:v>12400</c:v>
                </c:pt>
                <c:pt idx="1315">
                  <c:v>12552</c:v>
                </c:pt>
                <c:pt idx="1316">
                  <c:v>12562</c:v>
                </c:pt>
                <c:pt idx="1317">
                  <c:v>12562</c:v>
                </c:pt>
                <c:pt idx="1318">
                  <c:v>12562</c:v>
                </c:pt>
                <c:pt idx="1319">
                  <c:v>13000</c:v>
                </c:pt>
                <c:pt idx="1320">
                  <c:v>13000</c:v>
                </c:pt>
                <c:pt idx="1321">
                  <c:v>13000</c:v>
                </c:pt>
                <c:pt idx="1322">
                  <c:v>13000</c:v>
                </c:pt>
                <c:pt idx="1323">
                  <c:v>13000</c:v>
                </c:pt>
                <c:pt idx="1324">
                  <c:v>13050</c:v>
                </c:pt>
                <c:pt idx="1325">
                  <c:v>13050</c:v>
                </c:pt>
                <c:pt idx="1326">
                  <c:v>13050</c:v>
                </c:pt>
                <c:pt idx="1327">
                  <c:v>13050</c:v>
                </c:pt>
                <c:pt idx="1328">
                  <c:v>13050</c:v>
                </c:pt>
                <c:pt idx="1329">
                  <c:v>13050</c:v>
                </c:pt>
                <c:pt idx="1330">
                  <c:v>13092</c:v>
                </c:pt>
                <c:pt idx="1331">
                  <c:v>13092</c:v>
                </c:pt>
                <c:pt idx="1332">
                  <c:v>13092</c:v>
                </c:pt>
                <c:pt idx="1333">
                  <c:v>13092</c:v>
                </c:pt>
                <c:pt idx="1334">
                  <c:v>13092</c:v>
                </c:pt>
                <c:pt idx="1335">
                  <c:v>13092</c:v>
                </c:pt>
                <c:pt idx="1336">
                  <c:v>13092</c:v>
                </c:pt>
                <c:pt idx="1337">
                  <c:v>13092</c:v>
                </c:pt>
                <c:pt idx="1338">
                  <c:v>13092</c:v>
                </c:pt>
                <c:pt idx="1339">
                  <c:v>13092</c:v>
                </c:pt>
                <c:pt idx="1340">
                  <c:v>13092</c:v>
                </c:pt>
                <c:pt idx="1341">
                  <c:v>13092</c:v>
                </c:pt>
                <c:pt idx="1342">
                  <c:v>13092</c:v>
                </c:pt>
                <c:pt idx="1343">
                  <c:v>13092</c:v>
                </c:pt>
                <c:pt idx="1344">
                  <c:v>13092</c:v>
                </c:pt>
                <c:pt idx="1345">
                  <c:v>13092</c:v>
                </c:pt>
                <c:pt idx="1346">
                  <c:v>13092</c:v>
                </c:pt>
                <c:pt idx="1347">
                  <c:v>13092</c:v>
                </c:pt>
                <c:pt idx="1348">
                  <c:v>13092</c:v>
                </c:pt>
                <c:pt idx="1349">
                  <c:v>13092</c:v>
                </c:pt>
                <c:pt idx="1350">
                  <c:v>13092</c:v>
                </c:pt>
                <c:pt idx="1351">
                  <c:v>13092</c:v>
                </c:pt>
                <c:pt idx="1352">
                  <c:v>13092</c:v>
                </c:pt>
                <c:pt idx="1353">
                  <c:v>13092</c:v>
                </c:pt>
                <c:pt idx="1354">
                  <c:v>13092</c:v>
                </c:pt>
                <c:pt idx="1355">
                  <c:v>13092</c:v>
                </c:pt>
                <c:pt idx="1356">
                  <c:v>13100</c:v>
                </c:pt>
                <c:pt idx="1357">
                  <c:v>13100</c:v>
                </c:pt>
                <c:pt idx="1358">
                  <c:v>13100</c:v>
                </c:pt>
                <c:pt idx="1359">
                  <c:v>13100</c:v>
                </c:pt>
                <c:pt idx="1360">
                  <c:v>13100</c:v>
                </c:pt>
                <c:pt idx="1361">
                  <c:v>13100</c:v>
                </c:pt>
                <c:pt idx="1362">
                  <c:v>13100</c:v>
                </c:pt>
                <c:pt idx="1363">
                  <c:v>13100</c:v>
                </c:pt>
                <c:pt idx="1364">
                  <c:v>13100</c:v>
                </c:pt>
                <c:pt idx="1365">
                  <c:v>13100</c:v>
                </c:pt>
                <c:pt idx="1366">
                  <c:v>13100</c:v>
                </c:pt>
                <c:pt idx="1367">
                  <c:v>13100</c:v>
                </c:pt>
                <c:pt idx="1368">
                  <c:v>13100</c:v>
                </c:pt>
                <c:pt idx="1369">
                  <c:v>13102</c:v>
                </c:pt>
                <c:pt idx="1370">
                  <c:v>13102</c:v>
                </c:pt>
                <c:pt idx="1371">
                  <c:v>13102</c:v>
                </c:pt>
                <c:pt idx="1372">
                  <c:v>13102</c:v>
                </c:pt>
                <c:pt idx="1373">
                  <c:v>13102</c:v>
                </c:pt>
                <c:pt idx="1374">
                  <c:v>13102</c:v>
                </c:pt>
                <c:pt idx="1375">
                  <c:v>13102</c:v>
                </c:pt>
                <c:pt idx="1376">
                  <c:v>13102</c:v>
                </c:pt>
                <c:pt idx="1377">
                  <c:v>13102</c:v>
                </c:pt>
                <c:pt idx="1378">
                  <c:v>13150</c:v>
                </c:pt>
                <c:pt idx="1379">
                  <c:v>13154</c:v>
                </c:pt>
                <c:pt idx="1380">
                  <c:v>13154</c:v>
                </c:pt>
                <c:pt idx="1381">
                  <c:v>13154</c:v>
                </c:pt>
                <c:pt idx="1382">
                  <c:v>13169</c:v>
                </c:pt>
                <c:pt idx="1383">
                  <c:v>13169</c:v>
                </c:pt>
                <c:pt idx="1384">
                  <c:v>13169</c:v>
                </c:pt>
                <c:pt idx="1385">
                  <c:v>13169</c:v>
                </c:pt>
                <c:pt idx="1386">
                  <c:v>13169</c:v>
                </c:pt>
                <c:pt idx="1387">
                  <c:v>13169</c:v>
                </c:pt>
                <c:pt idx="1388">
                  <c:v>13169</c:v>
                </c:pt>
                <c:pt idx="1389">
                  <c:v>13169</c:v>
                </c:pt>
                <c:pt idx="1390">
                  <c:v>13169</c:v>
                </c:pt>
                <c:pt idx="1391">
                  <c:v>13200</c:v>
                </c:pt>
                <c:pt idx="1392">
                  <c:v>13200</c:v>
                </c:pt>
                <c:pt idx="1393">
                  <c:v>13208</c:v>
                </c:pt>
                <c:pt idx="1394">
                  <c:v>13208</c:v>
                </c:pt>
                <c:pt idx="1395">
                  <c:v>13208</c:v>
                </c:pt>
                <c:pt idx="1396">
                  <c:v>13208</c:v>
                </c:pt>
                <c:pt idx="1397">
                  <c:v>13208</c:v>
                </c:pt>
                <c:pt idx="1398">
                  <c:v>13208</c:v>
                </c:pt>
                <c:pt idx="1399">
                  <c:v>13208</c:v>
                </c:pt>
                <c:pt idx="1400">
                  <c:v>13208</c:v>
                </c:pt>
                <c:pt idx="1401">
                  <c:v>13208</c:v>
                </c:pt>
                <c:pt idx="1402">
                  <c:v>13208</c:v>
                </c:pt>
                <c:pt idx="1403">
                  <c:v>13296</c:v>
                </c:pt>
                <c:pt idx="1404">
                  <c:v>13344</c:v>
                </c:pt>
                <c:pt idx="1405">
                  <c:v>13360</c:v>
                </c:pt>
                <c:pt idx="1406">
                  <c:v>13371</c:v>
                </c:pt>
                <c:pt idx="1407">
                  <c:v>13380</c:v>
                </c:pt>
                <c:pt idx="1408">
                  <c:v>13386</c:v>
                </c:pt>
                <c:pt idx="1409">
                  <c:v>13386</c:v>
                </c:pt>
                <c:pt idx="1410">
                  <c:v>13386</c:v>
                </c:pt>
                <c:pt idx="1411">
                  <c:v>13386</c:v>
                </c:pt>
                <c:pt idx="1412">
                  <c:v>13386</c:v>
                </c:pt>
                <c:pt idx="1413">
                  <c:v>13386</c:v>
                </c:pt>
                <c:pt idx="1414">
                  <c:v>13500</c:v>
                </c:pt>
                <c:pt idx="1415">
                  <c:v>13636</c:v>
                </c:pt>
                <c:pt idx="1416">
                  <c:v>13636</c:v>
                </c:pt>
                <c:pt idx="1417">
                  <c:v>13798</c:v>
                </c:pt>
                <c:pt idx="1418">
                  <c:v>13798</c:v>
                </c:pt>
                <c:pt idx="1419">
                  <c:v>13798</c:v>
                </c:pt>
                <c:pt idx="1420">
                  <c:v>13798</c:v>
                </c:pt>
                <c:pt idx="1421">
                  <c:v>13798</c:v>
                </c:pt>
                <c:pt idx="1422">
                  <c:v>13798</c:v>
                </c:pt>
                <c:pt idx="1423">
                  <c:v>13798</c:v>
                </c:pt>
                <c:pt idx="1424">
                  <c:v>13798</c:v>
                </c:pt>
                <c:pt idx="1425">
                  <c:v>13800</c:v>
                </c:pt>
                <c:pt idx="1426">
                  <c:v>13800</c:v>
                </c:pt>
                <c:pt idx="1427">
                  <c:v>13800</c:v>
                </c:pt>
                <c:pt idx="1428">
                  <c:v>13800</c:v>
                </c:pt>
                <c:pt idx="1429">
                  <c:v>13800</c:v>
                </c:pt>
                <c:pt idx="1430">
                  <c:v>13800</c:v>
                </c:pt>
                <c:pt idx="1431">
                  <c:v>13800</c:v>
                </c:pt>
                <c:pt idx="1432">
                  <c:v>13800</c:v>
                </c:pt>
                <c:pt idx="1433">
                  <c:v>13800</c:v>
                </c:pt>
                <c:pt idx="1434">
                  <c:v>13808</c:v>
                </c:pt>
                <c:pt idx="1435">
                  <c:v>13808</c:v>
                </c:pt>
                <c:pt idx="1436">
                  <c:v>13808</c:v>
                </c:pt>
                <c:pt idx="1437">
                  <c:v>13808</c:v>
                </c:pt>
                <c:pt idx="1438">
                  <c:v>13808</c:v>
                </c:pt>
                <c:pt idx="1439">
                  <c:v>13808</c:v>
                </c:pt>
                <c:pt idx="1440">
                  <c:v>13808</c:v>
                </c:pt>
                <c:pt idx="1441">
                  <c:v>13808</c:v>
                </c:pt>
                <c:pt idx="1442">
                  <c:v>13808</c:v>
                </c:pt>
                <c:pt idx="1443">
                  <c:v>13808</c:v>
                </c:pt>
                <c:pt idx="1444">
                  <c:v>13830</c:v>
                </c:pt>
                <c:pt idx="1445">
                  <c:v>13830</c:v>
                </c:pt>
                <c:pt idx="1446">
                  <c:v>13830</c:v>
                </c:pt>
                <c:pt idx="1447">
                  <c:v>13830</c:v>
                </c:pt>
                <c:pt idx="1448">
                  <c:v>13870</c:v>
                </c:pt>
                <c:pt idx="1449">
                  <c:v>13870</c:v>
                </c:pt>
                <c:pt idx="1450">
                  <c:v>13870</c:v>
                </c:pt>
                <c:pt idx="1451">
                  <c:v>13870</c:v>
                </c:pt>
                <c:pt idx="1452">
                  <c:v>13870</c:v>
                </c:pt>
                <c:pt idx="1453">
                  <c:v>13870</c:v>
                </c:pt>
                <c:pt idx="1454">
                  <c:v>13870</c:v>
                </c:pt>
                <c:pt idx="1455">
                  <c:v>13870</c:v>
                </c:pt>
                <c:pt idx="1456">
                  <c:v>13870</c:v>
                </c:pt>
                <c:pt idx="1457">
                  <c:v>13870</c:v>
                </c:pt>
                <c:pt idx="1458">
                  <c:v>13870</c:v>
                </c:pt>
                <c:pt idx="1459">
                  <c:v>13892</c:v>
                </c:pt>
                <c:pt idx="1460">
                  <c:v>13892</c:v>
                </c:pt>
                <c:pt idx="1461">
                  <c:v>13900</c:v>
                </c:pt>
                <c:pt idx="1462">
                  <c:v>14000</c:v>
                </c:pt>
                <c:pt idx="1463">
                  <c:v>14000</c:v>
                </c:pt>
                <c:pt idx="1464">
                  <c:v>14000</c:v>
                </c:pt>
                <c:pt idx="1465">
                  <c:v>14000</c:v>
                </c:pt>
                <c:pt idx="1466">
                  <c:v>14000</c:v>
                </c:pt>
                <c:pt idx="1467">
                  <c:v>14000</c:v>
                </c:pt>
                <c:pt idx="1468">
                  <c:v>14000</c:v>
                </c:pt>
                <c:pt idx="1469">
                  <c:v>14000</c:v>
                </c:pt>
                <c:pt idx="1470">
                  <c:v>14000</c:v>
                </c:pt>
                <c:pt idx="1471">
                  <c:v>14000</c:v>
                </c:pt>
                <c:pt idx="1472">
                  <c:v>14000</c:v>
                </c:pt>
                <c:pt idx="1473">
                  <c:v>14000</c:v>
                </c:pt>
                <c:pt idx="1474">
                  <c:v>14000</c:v>
                </c:pt>
                <c:pt idx="1475">
                  <c:v>14000</c:v>
                </c:pt>
                <c:pt idx="1476">
                  <c:v>14000</c:v>
                </c:pt>
                <c:pt idx="1477">
                  <c:v>14000</c:v>
                </c:pt>
                <c:pt idx="1478">
                  <c:v>14000</c:v>
                </c:pt>
                <c:pt idx="1479">
                  <c:v>14000</c:v>
                </c:pt>
                <c:pt idx="1480">
                  <c:v>14000</c:v>
                </c:pt>
                <c:pt idx="1481">
                  <c:v>14000</c:v>
                </c:pt>
                <c:pt idx="1482">
                  <c:v>14000</c:v>
                </c:pt>
                <c:pt idx="1483">
                  <c:v>14000</c:v>
                </c:pt>
                <c:pt idx="1484">
                  <c:v>14000</c:v>
                </c:pt>
                <c:pt idx="1485">
                  <c:v>14000</c:v>
                </c:pt>
                <c:pt idx="1486">
                  <c:v>14000</c:v>
                </c:pt>
                <c:pt idx="1487">
                  <c:v>14000</c:v>
                </c:pt>
                <c:pt idx="1488">
                  <c:v>14000</c:v>
                </c:pt>
                <c:pt idx="1489">
                  <c:v>14000</c:v>
                </c:pt>
                <c:pt idx="1490">
                  <c:v>14026</c:v>
                </c:pt>
                <c:pt idx="1491">
                  <c:v>14026</c:v>
                </c:pt>
                <c:pt idx="1492">
                  <c:v>14026</c:v>
                </c:pt>
                <c:pt idx="1493">
                  <c:v>14026</c:v>
                </c:pt>
                <c:pt idx="1494">
                  <c:v>14026</c:v>
                </c:pt>
                <c:pt idx="1495">
                  <c:v>14052</c:v>
                </c:pt>
                <c:pt idx="1496">
                  <c:v>14052</c:v>
                </c:pt>
                <c:pt idx="1497">
                  <c:v>14052</c:v>
                </c:pt>
                <c:pt idx="1498">
                  <c:v>14074</c:v>
                </c:pt>
                <c:pt idx="1499">
                  <c:v>14074</c:v>
                </c:pt>
                <c:pt idx="1500">
                  <c:v>14074</c:v>
                </c:pt>
                <c:pt idx="1501">
                  <c:v>14074</c:v>
                </c:pt>
                <c:pt idx="1502">
                  <c:v>14074</c:v>
                </c:pt>
                <c:pt idx="1503">
                  <c:v>14074</c:v>
                </c:pt>
                <c:pt idx="1504">
                  <c:v>14080</c:v>
                </c:pt>
                <c:pt idx="1505">
                  <c:v>14080</c:v>
                </c:pt>
                <c:pt idx="1506">
                  <c:v>14080</c:v>
                </c:pt>
                <c:pt idx="1507">
                  <c:v>14080</c:v>
                </c:pt>
                <c:pt idx="1508">
                  <c:v>14080</c:v>
                </c:pt>
                <c:pt idx="1509">
                  <c:v>14080</c:v>
                </c:pt>
                <c:pt idx="1510">
                  <c:v>14220</c:v>
                </c:pt>
                <c:pt idx="1511">
                  <c:v>14354</c:v>
                </c:pt>
                <c:pt idx="1512">
                  <c:v>14420</c:v>
                </c:pt>
                <c:pt idx="1513">
                  <c:v>14424</c:v>
                </c:pt>
                <c:pt idx="1514">
                  <c:v>14424</c:v>
                </c:pt>
                <c:pt idx="1515">
                  <c:v>14424</c:v>
                </c:pt>
                <c:pt idx="1516">
                  <c:v>14424</c:v>
                </c:pt>
                <c:pt idx="1517">
                  <c:v>14500</c:v>
                </c:pt>
                <c:pt idx="1518">
                  <c:v>14502</c:v>
                </c:pt>
                <c:pt idx="1519">
                  <c:v>14566</c:v>
                </c:pt>
                <c:pt idx="1520">
                  <c:v>14568</c:v>
                </c:pt>
                <c:pt idx="1521">
                  <c:v>14812</c:v>
                </c:pt>
                <c:pt idx="1522">
                  <c:v>14993</c:v>
                </c:pt>
                <c:pt idx="1523">
                  <c:v>14993</c:v>
                </c:pt>
                <c:pt idx="1524">
                  <c:v>14993</c:v>
                </c:pt>
                <c:pt idx="1525">
                  <c:v>14993</c:v>
                </c:pt>
                <c:pt idx="1526">
                  <c:v>14993</c:v>
                </c:pt>
                <c:pt idx="1527">
                  <c:v>14993</c:v>
                </c:pt>
                <c:pt idx="1528">
                  <c:v>14993</c:v>
                </c:pt>
                <c:pt idx="1529">
                  <c:v>14993</c:v>
                </c:pt>
                <c:pt idx="1530">
                  <c:v>14993</c:v>
                </c:pt>
                <c:pt idx="1531">
                  <c:v>15000</c:v>
                </c:pt>
                <c:pt idx="1532">
                  <c:v>15052</c:v>
                </c:pt>
                <c:pt idx="1533">
                  <c:v>15128</c:v>
                </c:pt>
                <c:pt idx="1534">
                  <c:v>15128</c:v>
                </c:pt>
                <c:pt idx="1535">
                  <c:v>15128</c:v>
                </c:pt>
                <c:pt idx="1536">
                  <c:v>15282</c:v>
                </c:pt>
                <c:pt idx="1537">
                  <c:v>15500</c:v>
                </c:pt>
                <c:pt idx="1538">
                  <c:v>15500</c:v>
                </c:pt>
                <c:pt idx="1539">
                  <c:v>15500</c:v>
                </c:pt>
                <c:pt idx="1540">
                  <c:v>15500</c:v>
                </c:pt>
                <c:pt idx="1541">
                  <c:v>15500</c:v>
                </c:pt>
                <c:pt idx="1542">
                  <c:v>15550</c:v>
                </c:pt>
                <c:pt idx="1543">
                  <c:v>15550</c:v>
                </c:pt>
                <c:pt idx="1544">
                  <c:v>15550</c:v>
                </c:pt>
                <c:pt idx="1545">
                  <c:v>15908</c:v>
                </c:pt>
                <c:pt idx="1546">
                  <c:v>15908</c:v>
                </c:pt>
                <c:pt idx="1547">
                  <c:v>15908</c:v>
                </c:pt>
                <c:pt idx="1548">
                  <c:v>15909</c:v>
                </c:pt>
                <c:pt idx="1549">
                  <c:v>16000</c:v>
                </c:pt>
                <c:pt idx="1550">
                  <c:v>16000</c:v>
                </c:pt>
                <c:pt idx="1551">
                  <c:v>16020</c:v>
                </c:pt>
                <c:pt idx="1552">
                  <c:v>16020</c:v>
                </c:pt>
                <c:pt idx="1553">
                  <c:v>16652</c:v>
                </c:pt>
                <c:pt idx="1554">
                  <c:v>16652</c:v>
                </c:pt>
                <c:pt idx="1555">
                  <c:v>16652</c:v>
                </c:pt>
                <c:pt idx="1556">
                  <c:v>16872</c:v>
                </c:pt>
                <c:pt idx="1557">
                  <c:v>16909</c:v>
                </c:pt>
                <c:pt idx="1558">
                  <c:v>17273</c:v>
                </c:pt>
                <c:pt idx="1559">
                  <c:v>17273</c:v>
                </c:pt>
                <c:pt idx="1560">
                  <c:v>17273</c:v>
                </c:pt>
                <c:pt idx="1561">
                  <c:v>17292</c:v>
                </c:pt>
                <c:pt idx="1562">
                  <c:v>17292</c:v>
                </c:pt>
                <c:pt idx="1563">
                  <c:v>17292</c:v>
                </c:pt>
                <c:pt idx="1564">
                  <c:v>17327</c:v>
                </c:pt>
                <c:pt idx="1565">
                  <c:v>17590</c:v>
                </c:pt>
                <c:pt idx="1566">
                  <c:v>17590</c:v>
                </c:pt>
                <c:pt idx="1567">
                  <c:v>17664</c:v>
                </c:pt>
                <c:pt idx="1568">
                  <c:v>17700</c:v>
                </c:pt>
                <c:pt idx="1569">
                  <c:v>17722</c:v>
                </c:pt>
                <c:pt idx="1570">
                  <c:v>17859</c:v>
                </c:pt>
                <c:pt idx="1571">
                  <c:v>17859</c:v>
                </c:pt>
                <c:pt idx="1572">
                  <c:v>18270</c:v>
                </c:pt>
                <c:pt idx="1573">
                  <c:v>18270</c:v>
                </c:pt>
                <c:pt idx="1574">
                  <c:v>18270</c:v>
                </c:pt>
                <c:pt idx="1575">
                  <c:v>18270</c:v>
                </c:pt>
                <c:pt idx="1576">
                  <c:v>18270</c:v>
                </c:pt>
                <c:pt idx="1577">
                  <c:v>18270</c:v>
                </c:pt>
                <c:pt idx="1578">
                  <c:v>18270</c:v>
                </c:pt>
                <c:pt idx="1579">
                  <c:v>18270</c:v>
                </c:pt>
                <c:pt idx="1580">
                  <c:v>18270</c:v>
                </c:pt>
                <c:pt idx="1581">
                  <c:v>18270</c:v>
                </c:pt>
                <c:pt idx="1582">
                  <c:v>18270</c:v>
                </c:pt>
                <c:pt idx="1583">
                  <c:v>18340</c:v>
                </c:pt>
                <c:pt idx="1584">
                  <c:v>18340</c:v>
                </c:pt>
                <c:pt idx="1585">
                  <c:v>18340</c:v>
                </c:pt>
                <c:pt idx="1586">
                  <c:v>18340</c:v>
                </c:pt>
                <c:pt idx="1587">
                  <c:v>18340</c:v>
                </c:pt>
                <c:pt idx="1588">
                  <c:v>18800</c:v>
                </c:pt>
                <c:pt idx="1589">
                  <c:v>18800</c:v>
                </c:pt>
                <c:pt idx="1590">
                  <c:v>18800</c:v>
                </c:pt>
                <c:pt idx="1591">
                  <c:v>18980</c:v>
                </c:pt>
                <c:pt idx="1592">
                  <c:v>18980</c:v>
                </c:pt>
                <c:pt idx="1593">
                  <c:v>19000</c:v>
                </c:pt>
                <c:pt idx="1594">
                  <c:v>19000</c:v>
                </c:pt>
                <c:pt idx="1595">
                  <c:v>19100</c:v>
                </c:pt>
                <c:pt idx="1596">
                  <c:v>19100</c:v>
                </c:pt>
                <c:pt idx="1597">
                  <c:v>19200</c:v>
                </c:pt>
                <c:pt idx="1598">
                  <c:v>19224</c:v>
                </c:pt>
                <c:pt idx="1599">
                  <c:v>19224</c:v>
                </c:pt>
                <c:pt idx="1600">
                  <c:v>19224</c:v>
                </c:pt>
                <c:pt idx="1601">
                  <c:v>19224</c:v>
                </c:pt>
                <c:pt idx="1602">
                  <c:v>19224</c:v>
                </c:pt>
                <c:pt idx="1603">
                  <c:v>19224</c:v>
                </c:pt>
                <c:pt idx="1604">
                  <c:v>19273</c:v>
                </c:pt>
                <c:pt idx="1605">
                  <c:v>19273</c:v>
                </c:pt>
                <c:pt idx="1606">
                  <c:v>19273</c:v>
                </c:pt>
                <c:pt idx="1607">
                  <c:v>19273</c:v>
                </c:pt>
                <c:pt idx="1608">
                  <c:v>19273</c:v>
                </c:pt>
                <c:pt idx="1609">
                  <c:v>19437</c:v>
                </c:pt>
                <c:pt idx="1610">
                  <c:v>19437</c:v>
                </c:pt>
                <c:pt idx="1611">
                  <c:v>19462</c:v>
                </c:pt>
                <c:pt idx="1612">
                  <c:v>19472</c:v>
                </c:pt>
                <c:pt idx="1613">
                  <c:v>19630</c:v>
                </c:pt>
                <c:pt idx="1614">
                  <c:v>19870</c:v>
                </c:pt>
                <c:pt idx="1615">
                  <c:v>19870</c:v>
                </c:pt>
                <c:pt idx="1616">
                  <c:v>19870</c:v>
                </c:pt>
                <c:pt idx="1617">
                  <c:v>20000</c:v>
                </c:pt>
                <c:pt idx="1618">
                  <c:v>20119</c:v>
                </c:pt>
                <c:pt idx="1619">
                  <c:v>20119</c:v>
                </c:pt>
                <c:pt idx="1620">
                  <c:v>20150</c:v>
                </c:pt>
                <c:pt idx="1621">
                  <c:v>20150</c:v>
                </c:pt>
                <c:pt idx="1622">
                  <c:v>20150</c:v>
                </c:pt>
                <c:pt idx="1623">
                  <c:v>20170</c:v>
                </c:pt>
                <c:pt idx="1624">
                  <c:v>20170</c:v>
                </c:pt>
                <c:pt idx="1625">
                  <c:v>20170</c:v>
                </c:pt>
                <c:pt idx="1626">
                  <c:v>20170</c:v>
                </c:pt>
                <c:pt idx="1627">
                  <c:v>20244</c:v>
                </c:pt>
                <c:pt idx="1628">
                  <c:v>20244</c:v>
                </c:pt>
                <c:pt idx="1629">
                  <c:v>20244</c:v>
                </c:pt>
                <c:pt idx="1630">
                  <c:v>20388</c:v>
                </c:pt>
                <c:pt idx="1631">
                  <c:v>20388</c:v>
                </c:pt>
                <c:pt idx="1632">
                  <c:v>20388</c:v>
                </c:pt>
                <c:pt idx="1633">
                  <c:v>20388</c:v>
                </c:pt>
                <c:pt idx="1634">
                  <c:v>20388</c:v>
                </c:pt>
                <c:pt idx="1635">
                  <c:v>20388</c:v>
                </c:pt>
                <c:pt idx="1636">
                  <c:v>20388</c:v>
                </c:pt>
                <c:pt idx="1637">
                  <c:v>20568</c:v>
                </c:pt>
                <c:pt idx="1638">
                  <c:v>20568</c:v>
                </c:pt>
                <c:pt idx="1639">
                  <c:v>20568</c:v>
                </c:pt>
                <c:pt idx="1640">
                  <c:v>20568</c:v>
                </c:pt>
                <c:pt idx="1641">
                  <c:v>20568</c:v>
                </c:pt>
                <c:pt idx="1642">
                  <c:v>20568</c:v>
                </c:pt>
                <c:pt idx="1643">
                  <c:v>20568</c:v>
                </c:pt>
                <c:pt idx="1644">
                  <c:v>20568</c:v>
                </c:pt>
                <c:pt idx="1645">
                  <c:v>20776</c:v>
                </c:pt>
                <c:pt idx="1646">
                  <c:v>20954</c:v>
                </c:pt>
                <c:pt idx="1647">
                  <c:v>20954</c:v>
                </c:pt>
                <c:pt idx="1648">
                  <c:v>21237</c:v>
                </c:pt>
                <c:pt idx="1649">
                  <c:v>21237</c:v>
                </c:pt>
                <c:pt idx="1650">
                  <c:v>22448</c:v>
                </c:pt>
                <c:pt idx="1651">
                  <c:v>23112</c:v>
                </c:pt>
                <c:pt idx="1652">
                  <c:v>23112</c:v>
                </c:pt>
                <c:pt idx="1653">
                  <c:v>23112</c:v>
                </c:pt>
                <c:pt idx="1654">
                  <c:v>23500</c:v>
                </c:pt>
                <c:pt idx="1655">
                  <c:v>23792</c:v>
                </c:pt>
                <c:pt idx="1656">
                  <c:v>23792</c:v>
                </c:pt>
                <c:pt idx="1657">
                  <c:v>23792</c:v>
                </c:pt>
                <c:pt idx="1658">
                  <c:v>23792</c:v>
                </c:pt>
                <c:pt idx="1659">
                  <c:v>23792</c:v>
                </c:pt>
                <c:pt idx="1660">
                  <c:v>23964</c:v>
                </c:pt>
                <c:pt idx="1661">
                  <c:v>23964</c:v>
                </c:pt>
                <c:pt idx="1662">
                  <c:v>23964</c:v>
                </c:pt>
                <c:pt idx="1663">
                  <c:v>23964</c:v>
                </c:pt>
                <c:pt idx="1664">
                  <c:v>23964</c:v>
                </c:pt>
                <c:pt idx="1665">
                  <c:v>23964</c:v>
                </c:pt>
                <c:pt idx="1666">
                  <c:v>23964</c:v>
                </c:pt>
              </c:numCache>
            </c:numRef>
          </c:xVal>
          <c:yVal>
            <c:numRef>
              <c:f>'Schätzung Schiff'!$F$31:$F$1697</c:f>
              <c:numCache>
                <c:formatCode>General</c:formatCode>
                <c:ptCount val="1667"/>
                <c:pt idx="0">
                  <c:v>134.44</c:v>
                </c:pt>
                <c:pt idx="1">
                  <c:v>134.44</c:v>
                </c:pt>
                <c:pt idx="2">
                  <c:v>203.06</c:v>
                </c:pt>
                <c:pt idx="3">
                  <c:v>161.31</c:v>
                </c:pt>
                <c:pt idx="4">
                  <c:v>203.06</c:v>
                </c:pt>
                <c:pt idx="5">
                  <c:v>203.06</c:v>
                </c:pt>
                <c:pt idx="6">
                  <c:v>203.06</c:v>
                </c:pt>
                <c:pt idx="7">
                  <c:v>215.98</c:v>
                </c:pt>
                <c:pt idx="8">
                  <c:v>182</c:v>
                </c:pt>
                <c:pt idx="9">
                  <c:v>178.57</c:v>
                </c:pt>
                <c:pt idx="10">
                  <c:v>178.57</c:v>
                </c:pt>
                <c:pt idx="11">
                  <c:v>178.57</c:v>
                </c:pt>
                <c:pt idx="12">
                  <c:v>182.52</c:v>
                </c:pt>
                <c:pt idx="13">
                  <c:v>176</c:v>
                </c:pt>
                <c:pt idx="14">
                  <c:v>189</c:v>
                </c:pt>
                <c:pt idx="15">
                  <c:v>183.98</c:v>
                </c:pt>
                <c:pt idx="16">
                  <c:v>183</c:v>
                </c:pt>
                <c:pt idx="17">
                  <c:v>183.98</c:v>
                </c:pt>
                <c:pt idx="18">
                  <c:v>184.1</c:v>
                </c:pt>
                <c:pt idx="19">
                  <c:v>184.1</c:v>
                </c:pt>
                <c:pt idx="20">
                  <c:v>184.7</c:v>
                </c:pt>
                <c:pt idx="21">
                  <c:v>176.84</c:v>
                </c:pt>
                <c:pt idx="22">
                  <c:v>176</c:v>
                </c:pt>
                <c:pt idx="23">
                  <c:v>175.56</c:v>
                </c:pt>
                <c:pt idx="24">
                  <c:v>176.88</c:v>
                </c:pt>
                <c:pt idx="25">
                  <c:v>178.57</c:v>
                </c:pt>
                <c:pt idx="26">
                  <c:v>178.57</c:v>
                </c:pt>
                <c:pt idx="27">
                  <c:v>179</c:v>
                </c:pt>
                <c:pt idx="28">
                  <c:v>186</c:v>
                </c:pt>
                <c:pt idx="29">
                  <c:v>186.36</c:v>
                </c:pt>
                <c:pt idx="30">
                  <c:v>186</c:v>
                </c:pt>
                <c:pt idx="31">
                  <c:v>186</c:v>
                </c:pt>
                <c:pt idx="32">
                  <c:v>186.37</c:v>
                </c:pt>
                <c:pt idx="33">
                  <c:v>186</c:v>
                </c:pt>
                <c:pt idx="34">
                  <c:v>186.34</c:v>
                </c:pt>
                <c:pt idx="35">
                  <c:v>186.34</c:v>
                </c:pt>
                <c:pt idx="36">
                  <c:v>186.33</c:v>
                </c:pt>
                <c:pt idx="37">
                  <c:v>194.06</c:v>
                </c:pt>
                <c:pt idx="38">
                  <c:v>182.85</c:v>
                </c:pt>
                <c:pt idx="39">
                  <c:v>182.84</c:v>
                </c:pt>
                <c:pt idx="40">
                  <c:v>196.83</c:v>
                </c:pt>
                <c:pt idx="41">
                  <c:v>178.57</c:v>
                </c:pt>
                <c:pt idx="42">
                  <c:v>178.57</c:v>
                </c:pt>
                <c:pt idx="43">
                  <c:v>190.98</c:v>
                </c:pt>
                <c:pt idx="44">
                  <c:v>179</c:v>
                </c:pt>
                <c:pt idx="45">
                  <c:v>178.57</c:v>
                </c:pt>
                <c:pt idx="46">
                  <c:v>193.9</c:v>
                </c:pt>
                <c:pt idx="47">
                  <c:v>178.09</c:v>
                </c:pt>
                <c:pt idx="48">
                  <c:v>177.5</c:v>
                </c:pt>
                <c:pt idx="49">
                  <c:v>189.49</c:v>
                </c:pt>
                <c:pt idx="50">
                  <c:v>190.94</c:v>
                </c:pt>
                <c:pt idx="51">
                  <c:v>191.07</c:v>
                </c:pt>
                <c:pt idx="52">
                  <c:v>202</c:v>
                </c:pt>
                <c:pt idx="53">
                  <c:v>188.05</c:v>
                </c:pt>
                <c:pt idx="54">
                  <c:v>181</c:v>
                </c:pt>
                <c:pt idx="55">
                  <c:v>182.03</c:v>
                </c:pt>
                <c:pt idx="56">
                  <c:v>182</c:v>
                </c:pt>
                <c:pt idx="57">
                  <c:v>182</c:v>
                </c:pt>
                <c:pt idx="58">
                  <c:v>195.3</c:v>
                </c:pt>
                <c:pt idx="59">
                  <c:v>188</c:v>
                </c:pt>
                <c:pt idx="60">
                  <c:v>188.02</c:v>
                </c:pt>
                <c:pt idx="61">
                  <c:v>205.72</c:v>
                </c:pt>
                <c:pt idx="62">
                  <c:v>204</c:v>
                </c:pt>
                <c:pt idx="63">
                  <c:v>204.42</c:v>
                </c:pt>
                <c:pt idx="64">
                  <c:v>193.9</c:v>
                </c:pt>
                <c:pt idx="65">
                  <c:v>193.9</c:v>
                </c:pt>
                <c:pt idx="66">
                  <c:v>193.9</c:v>
                </c:pt>
                <c:pt idx="67">
                  <c:v>183.2</c:v>
                </c:pt>
                <c:pt idx="68">
                  <c:v>187</c:v>
                </c:pt>
                <c:pt idx="69">
                  <c:v>195</c:v>
                </c:pt>
                <c:pt idx="70">
                  <c:v>195.6</c:v>
                </c:pt>
                <c:pt idx="71">
                  <c:v>199.97</c:v>
                </c:pt>
                <c:pt idx="72">
                  <c:v>195.6</c:v>
                </c:pt>
                <c:pt idx="73">
                  <c:v>195.6</c:v>
                </c:pt>
                <c:pt idx="74">
                  <c:v>195.6</c:v>
                </c:pt>
                <c:pt idx="75">
                  <c:v>197.2</c:v>
                </c:pt>
                <c:pt idx="76">
                  <c:v>198.6</c:v>
                </c:pt>
                <c:pt idx="77">
                  <c:v>198.6</c:v>
                </c:pt>
                <c:pt idx="78">
                  <c:v>225.16</c:v>
                </c:pt>
                <c:pt idx="79">
                  <c:v>197.7</c:v>
                </c:pt>
                <c:pt idx="80">
                  <c:v>197.7</c:v>
                </c:pt>
                <c:pt idx="81">
                  <c:v>197.7</c:v>
                </c:pt>
                <c:pt idx="82">
                  <c:v>200.05</c:v>
                </c:pt>
                <c:pt idx="83">
                  <c:v>216.21</c:v>
                </c:pt>
                <c:pt idx="84">
                  <c:v>189</c:v>
                </c:pt>
                <c:pt idx="85">
                  <c:v>216.13</c:v>
                </c:pt>
                <c:pt idx="86">
                  <c:v>240.7</c:v>
                </c:pt>
                <c:pt idx="87">
                  <c:v>221.72</c:v>
                </c:pt>
                <c:pt idx="88">
                  <c:v>199.95</c:v>
                </c:pt>
                <c:pt idx="89">
                  <c:v>200.02</c:v>
                </c:pt>
                <c:pt idx="90">
                  <c:v>207.4</c:v>
                </c:pt>
                <c:pt idx="91">
                  <c:v>207.3</c:v>
                </c:pt>
                <c:pt idx="92">
                  <c:v>207.39</c:v>
                </c:pt>
                <c:pt idx="93">
                  <c:v>207.4</c:v>
                </c:pt>
                <c:pt idx="94">
                  <c:v>207.4</c:v>
                </c:pt>
                <c:pt idx="95">
                  <c:v>207.4</c:v>
                </c:pt>
                <c:pt idx="96">
                  <c:v>207.4</c:v>
                </c:pt>
                <c:pt idx="97">
                  <c:v>207.4</c:v>
                </c:pt>
                <c:pt idx="98">
                  <c:v>207.4</c:v>
                </c:pt>
                <c:pt idx="99">
                  <c:v>207.53</c:v>
                </c:pt>
                <c:pt idx="100">
                  <c:v>207.4</c:v>
                </c:pt>
                <c:pt idx="101">
                  <c:v>207.4</c:v>
                </c:pt>
                <c:pt idx="102">
                  <c:v>207.4</c:v>
                </c:pt>
                <c:pt idx="103">
                  <c:v>210.45</c:v>
                </c:pt>
                <c:pt idx="104">
                  <c:v>199.93</c:v>
                </c:pt>
                <c:pt idx="105">
                  <c:v>195</c:v>
                </c:pt>
                <c:pt idx="106">
                  <c:v>211.85</c:v>
                </c:pt>
                <c:pt idx="107">
                  <c:v>211.85</c:v>
                </c:pt>
                <c:pt idx="108">
                  <c:v>212.2</c:v>
                </c:pt>
                <c:pt idx="109">
                  <c:v>190</c:v>
                </c:pt>
                <c:pt idx="110">
                  <c:v>208.97</c:v>
                </c:pt>
                <c:pt idx="111">
                  <c:v>208.93</c:v>
                </c:pt>
                <c:pt idx="112">
                  <c:v>207.2</c:v>
                </c:pt>
                <c:pt idx="113">
                  <c:v>207</c:v>
                </c:pt>
                <c:pt idx="114">
                  <c:v>208.31</c:v>
                </c:pt>
                <c:pt idx="115">
                  <c:v>210.07</c:v>
                </c:pt>
                <c:pt idx="116">
                  <c:v>208.3</c:v>
                </c:pt>
                <c:pt idx="117">
                  <c:v>210</c:v>
                </c:pt>
                <c:pt idx="118">
                  <c:v>210</c:v>
                </c:pt>
                <c:pt idx="119">
                  <c:v>207.37</c:v>
                </c:pt>
                <c:pt idx="120">
                  <c:v>210</c:v>
                </c:pt>
                <c:pt idx="121">
                  <c:v>210</c:v>
                </c:pt>
                <c:pt idx="122">
                  <c:v>210.09</c:v>
                </c:pt>
                <c:pt idx="123">
                  <c:v>210.08</c:v>
                </c:pt>
                <c:pt idx="124">
                  <c:v>210.09</c:v>
                </c:pt>
                <c:pt idx="125">
                  <c:v>210</c:v>
                </c:pt>
                <c:pt idx="126">
                  <c:v>210</c:v>
                </c:pt>
                <c:pt idx="127">
                  <c:v>199.93</c:v>
                </c:pt>
                <c:pt idx="128">
                  <c:v>199.93</c:v>
                </c:pt>
                <c:pt idx="129">
                  <c:v>210.05</c:v>
                </c:pt>
                <c:pt idx="130">
                  <c:v>210.07</c:v>
                </c:pt>
                <c:pt idx="131">
                  <c:v>210.08</c:v>
                </c:pt>
                <c:pt idx="132">
                  <c:v>210.06</c:v>
                </c:pt>
                <c:pt idx="133">
                  <c:v>210</c:v>
                </c:pt>
                <c:pt idx="134">
                  <c:v>210.05</c:v>
                </c:pt>
                <c:pt idx="135">
                  <c:v>210.03</c:v>
                </c:pt>
                <c:pt idx="136">
                  <c:v>210.07</c:v>
                </c:pt>
                <c:pt idx="137">
                  <c:v>210.06</c:v>
                </c:pt>
                <c:pt idx="138">
                  <c:v>210.09</c:v>
                </c:pt>
                <c:pt idx="139">
                  <c:v>210</c:v>
                </c:pt>
                <c:pt idx="140">
                  <c:v>210</c:v>
                </c:pt>
                <c:pt idx="141">
                  <c:v>210</c:v>
                </c:pt>
                <c:pt idx="142">
                  <c:v>210</c:v>
                </c:pt>
                <c:pt idx="143">
                  <c:v>210.07</c:v>
                </c:pt>
                <c:pt idx="144">
                  <c:v>210.06</c:v>
                </c:pt>
                <c:pt idx="145">
                  <c:v>210</c:v>
                </c:pt>
                <c:pt idx="146">
                  <c:v>210</c:v>
                </c:pt>
                <c:pt idx="147">
                  <c:v>210</c:v>
                </c:pt>
                <c:pt idx="148">
                  <c:v>211.85</c:v>
                </c:pt>
                <c:pt idx="149">
                  <c:v>210</c:v>
                </c:pt>
                <c:pt idx="150">
                  <c:v>210</c:v>
                </c:pt>
                <c:pt idx="151">
                  <c:v>210</c:v>
                </c:pt>
                <c:pt idx="152">
                  <c:v>210</c:v>
                </c:pt>
                <c:pt idx="153">
                  <c:v>210</c:v>
                </c:pt>
                <c:pt idx="154">
                  <c:v>202.8</c:v>
                </c:pt>
                <c:pt idx="155">
                  <c:v>210</c:v>
                </c:pt>
                <c:pt idx="156">
                  <c:v>211</c:v>
                </c:pt>
                <c:pt idx="157">
                  <c:v>210</c:v>
                </c:pt>
                <c:pt idx="158">
                  <c:v>216</c:v>
                </c:pt>
                <c:pt idx="159">
                  <c:v>207.92</c:v>
                </c:pt>
                <c:pt idx="160">
                  <c:v>215.29</c:v>
                </c:pt>
                <c:pt idx="161">
                  <c:v>215.47</c:v>
                </c:pt>
                <c:pt idx="162">
                  <c:v>215.13</c:v>
                </c:pt>
                <c:pt idx="163">
                  <c:v>215.32</c:v>
                </c:pt>
                <c:pt idx="164">
                  <c:v>204</c:v>
                </c:pt>
                <c:pt idx="165">
                  <c:v>210.96</c:v>
                </c:pt>
                <c:pt idx="166">
                  <c:v>221.6</c:v>
                </c:pt>
                <c:pt idx="167">
                  <c:v>221.62</c:v>
                </c:pt>
                <c:pt idx="168">
                  <c:v>210.9</c:v>
                </c:pt>
                <c:pt idx="169">
                  <c:v>210.88</c:v>
                </c:pt>
                <c:pt idx="170">
                  <c:v>210.97</c:v>
                </c:pt>
                <c:pt idx="171">
                  <c:v>210.85</c:v>
                </c:pt>
                <c:pt idx="172">
                  <c:v>210.97</c:v>
                </c:pt>
                <c:pt idx="173">
                  <c:v>210.91</c:v>
                </c:pt>
                <c:pt idx="174">
                  <c:v>221.62</c:v>
                </c:pt>
                <c:pt idx="175">
                  <c:v>221</c:v>
                </c:pt>
                <c:pt idx="176">
                  <c:v>221.62</c:v>
                </c:pt>
                <c:pt idx="177">
                  <c:v>221.62</c:v>
                </c:pt>
                <c:pt idx="178">
                  <c:v>221.6</c:v>
                </c:pt>
                <c:pt idx="179">
                  <c:v>221.62</c:v>
                </c:pt>
                <c:pt idx="180">
                  <c:v>207.96</c:v>
                </c:pt>
                <c:pt idx="181">
                  <c:v>225.73</c:v>
                </c:pt>
                <c:pt idx="182">
                  <c:v>224.5</c:v>
                </c:pt>
                <c:pt idx="183">
                  <c:v>228.85</c:v>
                </c:pt>
                <c:pt idx="184">
                  <c:v>225.09</c:v>
                </c:pt>
                <c:pt idx="185">
                  <c:v>212.6</c:v>
                </c:pt>
                <c:pt idx="186">
                  <c:v>212.59</c:v>
                </c:pt>
                <c:pt idx="187">
                  <c:v>207.87</c:v>
                </c:pt>
                <c:pt idx="188">
                  <c:v>207</c:v>
                </c:pt>
                <c:pt idx="189">
                  <c:v>207</c:v>
                </c:pt>
                <c:pt idx="190">
                  <c:v>207</c:v>
                </c:pt>
                <c:pt idx="191">
                  <c:v>206.26</c:v>
                </c:pt>
                <c:pt idx="192">
                  <c:v>225.32</c:v>
                </c:pt>
                <c:pt idx="193">
                  <c:v>225.26</c:v>
                </c:pt>
                <c:pt idx="194">
                  <c:v>224</c:v>
                </c:pt>
                <c:pt idx="195">
                  <c:v>244.97</c:v>
                </c:pt>
                <c:pt idx="196">
                  <c:v>245</c:v>
                </c:pt>
                <c:pt idx="197">
                  <c:v>232</c:v>
                </c:pt>
                <c:pt idx="198">
                  <c:v>222.2</c:v>
                </c:pt>
                <c:pt idx="199">
                  <c:v>222.14</c:v>
                </c:pt>
                <c:pt idx="200">
                  <c:v>222.16</c:v>
                </c:pt>
                <c:pt idx="201">
                  <c:v>222.14</c:v>
                </c:pt>
                <c:pt idx="202">
                  <c:v>222.17</c:v>
                </c:pt>
                <c:pt idx="203">
                  <c:v>222.15</c:v>
                </c:pt>
                <c:pt idx="204">
                  <c:v>222.17</c:v>
                </c:pt>
                <c:pt idx="205">
                  <c:v>222.17</c:v>
                </c:pt>
                <c:pt idx="206">
                  <c:v>222.16</c:v>
                </c:pt>
                <c:pt idx="207">
                  <c:v>222.14</c:v>
                </c:pt>
                <c:pt idx="208">
                  <c:v>222.17</c:v>
                </c:pt>
                <c:pt idx="209">
                  <c:v>222.15</c:v>
                </c:pt>
                <c:pt idx="210">
                  <c:v>222</c:v>
                </c:pt>
                <c:pt idx="211">
                  <c:v>222.14</c:v>
                </c:pt>
                <c:pt idx="212">
                  <c:v>222.17</c:v>
                </c:pt>
                <c:pt idx="213">
                  <c:v>222.2</c:v>
                </c:pt>
                <c:pt idx="214">
                  <c:v>222.17</c:v>
                </c:pt>
                <c:pt idx="215">
                  <c:v>222.2</c:v>
                </c:pt>
                <c:pt idx="216">
                  <c:v>222.14</c:v>
                </c:pt>
                <c:pt idx="217">
                  <c:v>222.17</c:v>
                </c:pt>
                <c:pt idx="218">
                  <c:v>222.14</c:v>
                </c:pt>
                <c:pt idx="219">
                  <c:v>222.17</c:v>
                </c:pt>
                <c:pt idx="220">
                  <c:v>222.14</c:v>
                </c:pt>
                <c:pt idx="221">
                  <c:v>222.17</c:v>
                </c:pt>
                <c:pt idx="222">
                  <c:v>222.11</c:v>
                </c:pt>
                <c:pt idx="223">
                  <c:v>222.17</c:v>
                </c:pt>
                <c:pt idx="224">
                  <c:v>201.5</c:v>
                </c:pt>
                <c:pt idx="225">
                  <c:v>216.3</c:v>
                </c:pt>
                <c:pt idx="226">
                  <c:v>224.2</c:v>
                </c:pt>
                <c:pt idx="227">
                  <c:v>225.04</c:v>
                </c:pt>
                <c:pt idx="228">
                  <c:v>209.53</c:v>
                </c:pt>
                <c:pt idx="229">
                  <c:v>216.83</c:v>
                </c:pt>
                <c:pt idx="230">
                  <c:v>195.68</c:v>
                </c:pt>
                <c:pt idx="231">
                  <c:v>196</c:v>
                </c:pt>
                <c:pt idx="232">
                  <c:v>242.13</c:v>
                </c:pt>
                <c:pt idx="233">
                  <c:v>195.73</c:v>
                </c:pt>
                <c:pt idx="234">
                  <c:v>241.5</c:v>
                </c:pt>
                <c:pt idx="235">
                  <c:v>237</c:v>
                </c:pt>
                <c:pt idx="236">
                  <c:v>237</c:v>
                </c:pt>
                <c:pt idx="237">
                  <c:v>237</c:v>
                </c:pt>
                <c:pt idx="238">
                  <c:v>237</c:v>
                </c:pt>
                <c:pt idx="239">
                  <c:v>237</c:v>
                </c:pt>
                <c:pt idx="240">
                  <c:v>236</c:v>
                </c:pt>
                <c:pt idx="241">
                  <c:v>239.99</c:v>
                </c:pt>
                <c:pt idx="242">
                  <c:v>220.43</c:v>
                </c:pt>
                <c:pt idx="243">
                  <c:v>221</c:v>
                </c:pt>
                <c:pt idx="244">
                  <c:v>220.3</c:v>
                </c:pt>
                <c:pt idx="245">
                  <c:v>220.31</c:v>
                </c:pt>
                <c:pt idx="246">
                  <c:v>220</c:v>
                </c:pt>
                <c:pt idx="247">
                  <c:v>223.3</c:v>
                </c:pt>
                <c:pt idx="248">
                  <c:v>223.3</c:v>
                </c:pt>
                <c:pt idx="249">
                  <c:v>223.5</c:v>
                </c:pt>
                <c:pt idx="250">
                  <c:v>220.31</c:v>
                </c:pt>
                <c:pt idx="251">
                  <c:v>220.44</c:v>
                </c:pt>
                <c:pt idx="252">
                  <c:v>243.35</c:v>
                </c:pt>
                <c:pt idx="253">
                  <c:v>243.35</c:v>
                </c:pt>
                <c:pt idx="254">
                  <c:v>243.4</c:v>
                </c:pt>
                <c:pt idx="255">
                  <c:v>243.35</c:v>
                </c:pt>
                <c:pt idx="256">
                  <c:v>243.4</c:v>
                </c:pt>
                <c:pt idx="257">
                  <c:v>244.2</c:v>
                </c:pt>
                <c:pt idx="258">
                  <c:v>244.15</c:v>
                </c:pt>
                <c:pt idx="259">
                  <c:v>222.5</c:v>
                </c:pt>
                <c:pt idx="260">
                  <c:v>222.5</c:v>
                </c:pt>
                <c:pt idx="261">
                  <c:v>242.81</c:v>
                </c:pt>
                <c:pt idx="262">
                  <c:v>222.53</c:v>
                </c:pt>
                <c:pt idx="263">
                  <c:v>222.5</c:v>
                </c:pt>
                <c:pt idx="264">
                  <c:v>230.98</c:v>
                </c:pt>
                <c:pt idx="265">
                  <c:v>228.62</c:v>
                </c:pt>
                <c:pt idx="266">
                  <c:v>222.52</c:v>
                </c:pt>
                <c:pt idx="267">
                  <c:v>228.5</c:v>
                </c:pt>
                <c:pt idx="268">
                  <c:v>243.3</c:v>
                </c:pt>
                <c:pt idx="269">
                  <c:v>242.83</c:v>
                </c:pt>
                <c:pt idx="270">
                  <c:v>242.81</c:v>
                </c:pt>
                <c:pt idx="271">
                  <c:v>242.81</c:v>
                </c:pt>
                <c:pt idx="272">
                  <c:v>228.5</c:v>
                </c:pt>
                <c:pt idx="273">
                  <c:v>229</c:v>
                </c:pt>
                <c:pt idx="274">
                  <c:v>253.7</c:v>
                </c:pt>
                <c:pt idx="275">
                  <c:v>253.7</c:v>
                </c:pt>
                <c:pt idx="276">
                  <c:v>253</c:v>
                </c:pt>
                <c:pt idx="277">
                  <c:v>253.7</c:v>
                </c:pt>
                <c:pt idx="278">
                  <c:v>243.15</c:v>
                </c:pt>
                <c:pt idx="279">
                  <c:v>243.15</c:v>
                </c:pt>
                <c:pt idx="280">
                  <c:v>243</c:v>
                </c:pt>
                <c:pt idx="281">
                  <c:v>243.12</c:v>
                </c:pt>
                <c:pt idx="282">
                  <c:v>242</c:v>
                </c:pt>
                <c:pt idx="283">
                  <c:v>242.06</c:v>
                </c:pt>
                <c:pt idx="284">
                  <c:v>246</c:v>
                </c:pt>
                <c:pt idx="285">
                  <c:v>246.83</c:v>
                </c:pt>
                <c:pt idx="286">
                  <c:v>239.8</c:v>
                </c:pt>
                <c:pt idx="287">
                  <c:v>230.99</c:v>
                </c:pt>
                <c:pt idx="288">
                  <c:v>290.89999999999998</c:v>
                </c:pt>
                <c:pt idx="289">
                  <c:v>230.9</c:v>
                </c:pt>
                <c:pt idx="290">
                  <c:v>230.9</c:v>
                </c:pt>
                <c:pt idx="291">
                  <c:v>230.9</c:v>
                </c:pt>
                <c:pt idx="292">
                  <c:v>231</c:v>
                </c:pt>
                <c:pt idx="293">
                  <c:v>230.9</c:v>
                </c:pt>
                <c:pt idx="294">
                  <c:v>231</c:v>
                </c:pt>
                <c:pt idx="295">
                  <c:v>231</c:v>
                </c:pt>
                <c:pt idx="296">
                  <c:v>230.94</c:v>
                </c:pt>
                <c:pt idx="297">
                  <c:v>246.8</c:v>
                </c:pt>
                <c:pt idx="298">
                  <c:v>246.8</c:v>
                </c:pt>
                <c:pt idx="299">
                  <c:v>246.8</c:v>
                </c:pt>
                <c:pt idx="300">
                  <c:v>200</c:v>
                </c:pt>
                <c:pt idx="301">
                  <c:v>244.9</c:v>
                </c:pt>
                <c:pt idx="302">
                  <c:v>244.91</c:v>
                </c:pt>
                <c:pt idx="303">
                  <c:v>254</c:v>
                </c:pt>
                <c:pt idx="304">
                  <c:v>254.06</c:v>
                </c:pt>
                <c:pt idx="305">
                  <c:v>240</c:v>
                </c:pt>
                <c:pt idx="306">
                  <c:v>240</c:v>
                </c:pt>
                <c:pt idx="307">
                  <c:v>240</c:v>
                </c:pt>
                <c:pt idx="308">
                  <c:v>239.96</c:v>
                </c:pt>
                <c:pt idx="309">
                  <c:v>240</c:v>
                </c:pt>
                <c:pt idx="310">
                  <c:v>254.07</c:v>
                </c:pt>
                <c:pt idx="311">
                  <c:v>266.3</c:v>
                </c:pt>
                <c:pt idx="312">
                  <c:v>266</c:v>
                </c:pt>
                <c:pt idx="313">
                  <c:v>200.02</c:v>
                </c:pt>
                <c:pt idx="314">
                  <c:v>257.38</c:v>
                </c:pt>
                <c:pt idx="315">
                  <c:v>257.33</c:v>
                </c:pt>
                <c:pt idx="316">
                  <c:v>257.33999999999997</c:v>
                </c:pt>
                <c:pt idx="317">
                  <c:v>257.37</c:v>
                </c:pt>
                <c:pt idx="318">
                  <c:v>269.67</c:v>
                </c:pt>
                <c:pt idx="319">
                  <c:v>257.35000000000002</c:v>
                </c:pt>
                <c:pt idx="320">
                  <c:v>230</c:v>
                </c:pt>
                <c:pt idx="321">
                  <c:v>230</c:v>
                </c:pt>
                <c:pt idx="322">
                  <c:v>276.5</c:v>
                </c:pt>
                <c:pt idx="323">
                  <c:v>276.5</c:v>
                </c:pt>
                <c:pt idx="324">
                  <c:v>276.5</c:v>
                </c:pt>
                <c:pt idx="325">
                  <c:v>276.5</c:v>
                </c:pt>
                <c:pt idx="326">
                  <c:v>288.31</c:v>
                </c:pt>
                <c:pt idx="327">
                  <c:v>258</c:v>
                </c:pt>
                <c:pt idx="328">
                  <c:v>260.66000000000003</c:v>
                </c:pt>
                <c:pt idx="329">
                  <c:v>260.56</c:v>
                </c:pt>
                <c:pt idx="330">
                  <c:v>260.62</c:v>
                </c:pt>
                <c:pt idx="331">
                  <c:v>230</c:v>
                </c:pt>
                <c:pt idx="332">
                  <c:v>230</c:v>
                </c:pt>
                <c:pt idx="333">
                  <c:v>230</c:v>
                </c:pt>
                <c:pt idx="334">
                  <c:v>230</c:v>
                </c:pt>
                <c:pt idx="335">
                  <c:v>230</c:v>
                </c:pt>
                <c:pt idx="336">
                  <c:v>230</c:v>
                </c:pt>
                <c:pt idx="337">
                  <c:v>294.11</c:v>
                </c:pt>
                <c:pt idx="338">
                  <c:v>294.11</c:v>
                </c:pt>
                <c:pt idx="339">
                  <c:v>259.33999999999997</c:v>
                </c:pt>
                <c:pt idx="340">
                  <c:v>260.14999999999998</c:v>
                </c:pt>
                <c:pt idx="341">
                  <c:v>260.14999999999998</c:v>
                </c:pt>
                <c:pt idx="342">
                  <c:v>260.52</c:v>
                </c:pt>
                <c:pt idx="343">
                  <c:v>294.12</c:v>
                </c:pt>
                <c:pt idx="344">
                  <c:v>289.5</c:v>
                </c:pt>
                <c:pt idx="345">
                  <c:v>260.69</c:v>
                </c:pt>
                <c:pt idx="346">
                  <c:v>260.66000000000003</c:v>
                </c:pt>
                <c:pt idx="347">
                  <c:v>267.7</c:v>
                </c:pt>
                <c:pt idx="348">
                  <c:v>267.7</c:v>
                </c:pt>
                <c:pt idx="349">
                  <c:v>266.3</c:v>
                </c:pt>
                <c:pt idx="350">
                  <c:v>266.3</c:v>
                </c:pt>
                <c:pt idx="351">
                  <c:v>265.83999999999997</c:v>
                </c:pt>
                <c:pt idx="352">
                  <c:v>265.83999999999997</c:v>
                </c:pt>
                <c:pt idx="353">
                  <c:v>267.7</c:v>
                </c:pt>
                <c:pt idx="354">
                  <c:v>259.60000000000002</c:v>
                </c:pt>
                <c:pt idx="355">
                  <c:v>281.02999999999997</c:v>
                </c:pt>
                <c:pt idx="356">
                  <c:v>281</c:v>
                </c:pt>
                <c:pt idx="357">
                  <c:v>281</c:v>
                </c:pt>
                <c:pt idx="358">
                  <c:v>281.08</c:v>
                </c:pt>
                <c:pt idx="359">
                  <c:v>281</c:v>
                </c:pt>
                <c:pt idx="360">
                  <c:v>281</c:v>
                </c:pt>
                <c:pt idx="361">
                  <c:v>281</c:v>
                </c:pt>
                <c:pt idx="362">
                  <c:v>281</c:v>
                </c:pt>
                <c:pt idx="363">
                  <c:v>264.05</c:v>
                </c:pt>
                <c:pt idx="364">
                  <c:v>264.04000000000002</c:v>
                </c:pt>
                <c:pt idx="365">
                  <c:v>258</c:v>
                </c:pt>
                <c:pt idx="366">
                  <c:v>257.87</c:v>
                </c:pt>
                <c:pt idx="367">
                  <c:v>292.10000000000002</c:v>
                </c:pt>
                <c:pt idx="368">
                  <c:v>293</c:v>
                </c:pt>
                <c:pt idx="369">
                  <c:v>268.8</c:v>
                </c:pt>
                <c:pt idx="370">
                  <c:v>269</c:v>
                </c:pt>
                <c:pt idx="371">
                  <c:v>294.10000000000002</c:v>
                </c:pt>
                <c:pt idx="372">
                  <c:v>260.5</c:v>
                </c:pt>
                <c:pt idx="373">
                  <c:v>260</c:v>
                </c:pt>
                <c:pt idx="374">
                  <c:v>259.8</c:v>
                </c:pt>
                <c:pt idx="375">
                  <c:v>261</c:v>
                </c:pt>
                <c:pt idx="376">
                  <c:v>267.17</c:v>
                </c:pt>
                <c:pt idx="377">
                  <c:v>261</c:v>
                </c:pt>
                <c:pt idx="378">
                  <c:v>261</c:v>
                </c:pt>
                <c:pt idx="379">
                  <c:v>261</c:v>
                </c:pt>
                <c:pt idx="380">
                  <c:v>261.01</c:v>
                </c:pt>
                <c:pt idx="381">
                  <c:v>261.04000000000002</c:v>
                </c:pt>
                <c:pt idx="382">
                  <c:v>261.02999999999997</c:v>
                </c:pt>
                <c:pt idx="383">
                  <c:v>260.64999999999998</c:v>
                </c:pt>
                <c:pt idx="384">
                  <c:v>260.70999999999998</c:v>
                </c:pt>
                <c:pt idx="385">
                  <c:v>260.01</c:v>
                </c:pt>
                <c:pt idx="386">
                  <c:v>260</c:v>
                </c:pt>
                <c:pt idx="387">
                  <c:v>260.7</c:v>
                </c:pt>
                <c:pt idx="388">
                  <c:v>260</c:v>
                </c:pt>
                <c:pt idx="389">
                  <c:v>260.66000000000003</c:v>
                </c:pt>
                <c:pt idx="390">
                  <c:v>260.02</c:v>
                </c:pt>
                <c:pt idx="391">
                  <c:v>260.05</c:v>
                </c:pt>
                <c:pt idx="392">
                  <c:v>260.66000000000003</c:v>
                </c:pt>
                <c:pt idx="393">
                  <c:v>260.93</c:v>
                </c:pt>
                <c:pt idx="394">
                  <c:v>261.04000000000002</c:v>
                </c:pt>
                <c:pt idx="395">
                  <c:v>261.08999999999997</c:v>
                </c:pt>
                <c:pt idx="396">
                  <c:v>268.8</c:v>
                </c:pt>
                <c:pt idx="397">
                  <c:v>263.2</c:v>
                </c:pt>
                <c:pt idx="398">
                  <c:v>263.23</c:v>
                </c:pt>
                <c:pt idx="399">
                  <c:v>263.23</c:v>
                </c:pt>
                <c:pt idx="400">
                  <c:v>263.23</c:v>
                </c:pt>
                <c:pt idx="401">
                  <c:v>263.23</c:v>
                </c:pt>
                <c:pt idx="402">
                  <c:v>261.10000000000002</c:v>
                </c:pt>
                <c:pt idx="403">
                  <c:v>260.64</c:v>
                </c:pt>
                <c:pt idx="404">
                  <c:v>260</c:v>
                </c:pt>
                <c:pt idx="405">
                  <c:v>260.62</c:v>
                </c:pt>
                <c:pt idx="406">
                  <c:v>259.8</c:v>
                </c:pt>
                <c:pt idx="407">
                  <c:v>268.8</c:v>
                </c:pt>
                <c:pt idx="408">
                  <c:v>268.8</c:v>
                </c:pt>
                <c:pt idx="409">
                  <c:v>268.8</c:v>
                </c:pt>
                <c:pt idx="410">
                  <c:v>260.10000000000002</c:v>
                </c:pt>
                <c:pt idx="411">
                  <c:v>260.05</c:v>
                </c:pt>
                <c:pt idx="412">
                  <c:v>259</c:v>
                </c:pt>
                <c:pt idx="413">
                  <c:v>259.8</c:v>
                </c:pt>
                <c:pt idx="414">
                  <c:v>259.8</c:v>
                </c:pt>
                <c:pt idx="415">
                  <c:v>260.05</c:v>
                </c:pt>
                <c:pt idx="416">
                  <c:v>259.8</c:v>
                </c:pt>
                <c:pt idx="417">
                  <c:v>259.8</c:v>
                </c:pt>
                <c:pt idx="418">
                  <c:v>260.10000000000002</c:v>
                </c:pt>
                <c:pt idx="419">
                  <c:v>260.10000000000002</c:v>
                </c:pt>
                <c:pt idx="420">
                  <c:v>257</c:v>
                </c:pt>
                <c:pt idx="421">
                  <c:v>260.05</c:v>
                </c:pt>
                <c:pt idx="422">
                  <c:v>260</c:v>
                </c:pt>
                <c:pt idx="423">
                  <c:v>260.05</c:v>
                </c:pt>
                <c:pt idx="424">
                  <c:v>260.07</c:v>
                </c:pt>
                <c:pt idx="425">
                  <c:v>259.8</c:v>
                </c:pt>
                <c:pt idx="426">
                  <c:v>265.02999999999997</c:v>
                </c:pt>
                <c:pt idx="427">
                  <c:v>265</c:v>
                </c:pt>
                <c:pt idx="428">
                  <c:v>265.06</c:v>
                </c:pt>
                <c:pt idx="429">
                  <c:v>265.14999999999998</c:v>
                </c:pt>
                <c:pt idx="430">
                  <c:v>264.95999999999998</c:v>
                </c:pt>
                <c:pt idx="431">
                  <c:v>262.07</c:v>
                </c:pt>
                <c:pt idx="432">
                  <c:v>262.07</c:v>
                </c:pt>
                <c:pt idx="433">
                  <c:v>262.05</c:v>
                </c:pt>
                <c:pt idx="434">
                  <c:v>262.06</c:v>
                </c:pt>
                <c:pt idx="435">
                  <c:v>261.10000000000002</c:v>
                </c:pt>
                <c:pt idx="436">
                  <c:v>292.14999999999998</c:v>
                </c:pt>
                <c:pt idx="437">
                  <c:v>292.14999999999998</c:v>
                </c:pt>
                <c:pt idx="438">
                  <c:v>264.12</c:v>
                </c:pt>
                <c:pt idx="439">
                  <c:v>264.01</c:v>
                </c:pt>
                <c:pt idx="440">
                  <c:v>264.11</c:v>
                </c:pt>
                <c:pt idx="441">
                  <c:v>264</c:v>
                </c:pt>
                <c:pt idx="442">
                  <c:v>259.8</c:v>
                </c:pt>
                <c:pt idx="443">
                  <c:v>259.8</c:v>
                </c:pt>
                <c:pt idx="444">
                  <c:v>262.08999999999997</c:v>
                </c:pt>
                <c:pt idx="445">
                  <c:v>266.83999999999997</c:v>
                </c:pt>
                <c:pt idx="446">
                  <c:v>259.8</c:v>
                </c:pt>
                <c:pt idx="447">
                  <c:v>260.89</c:v>
                </c:pt>
                <c:pt idx="448">
                  <c:v>262.06</c:v>
                </c:pt>
                <c:pt idx="449">
                  <c:v>259.8</c:v>
                </c:pt>
                <c:pt idx="450">
                  <c:v>259.8</c:v>
                </c:pt>
                <c:pt idx="451">
                  <c:v>273.7</c:v>
                </c:pt>
                <c:pt idx="452">
                  <c:v>264.20999999999998</c:v>
                </c:pt>
                <c:pt idx="453">
                  <c:v>264.20999999999998</c:v>
                </c:pt>
                <c:pt idx="454">
                  <c:v>292.06</c:v>
                </c:pt>
                <c:pt idx="455">
                  <c:v>258.91000000000003</c:v>
                </c:pt>
                <c:pt idx="456">
                  <c:v>280</c:v>
                </c:pt>
                <c:pt idx="457">
                  <c:v>259.8</c:v>
                </c:pt>
                <c:pt idx="458">
                  <c:v>259.8</c:v>
                </c:pt>
                <c:pt idx="459">
                  <c:v>282.08999999999997</c:v>
                </c:pt>
                <c:pt idx="460">
                  <c:v>260</c:v>
                </c:pt>
                <c:pt idx="461">
                  <c:v>282.10000000000002</c:v>
                </c:pt>
                <c:pt idx="462">
                  <c:v>282.14</c:v>
                </c:pt>
                <c:pt idx="463">
                  <c:v>260.32</c:v>
                </c:pt>
                <c:pt idx="464">
                  <c:v>282.05</c:v>
                </c:pt>
                <c:pt idx="465">
                  <c:v>294.07</c:v>
                </c:pt>
                <c:pt idx="466">
                  <c:v>294</c:v>
                </c:pt>
                <c:pt idx="467">
                  <c:v>264</c:v>
                </c:pt>
                <c:pt idx="468">
                  <c:v>264</c:v>
                </c:pt>
                <c:pt idx="469">
                  <c:v>259.98</c:v>
                </c:pt>
                <c:pt idx="470">
                  <c:v>294</c:v>
                </c:pt>
                <c:pt idx="471">
                  <c:v>294</c:v>
                </c:pt>
                <c:pt idx="472">
                  <c:v>294</c:v>
                </c:pt>
                <c:pt idx="473">
                  <c:v>294</c:v>
                </c:pt>
                <c:pt idx="474">
                  <c:v>294.12</c:v>
                </c:pt>
                <c:pt idx="475">
                  <c:v>294</c:v>
                </c:pt>
                <c:pt idx="476">
                  <c:v>294.11</c:v>
                </c:pt>
                <c:pt idx="477">
                  <c:v>294.11</c:v>
                </c:pt>
                <c:pt idx="478">
                  <c:v>294.12</c:v>
                </c:pt>
                <c:pt idx="479">
                  <c:v>286.26</c:v>
                </c:pt>
                <c:pt idx="480">
                  <c:v>275</c:v>
                </c:pt>
                <c:pt idx="481">
                  <c:v>278.94</c:v>
                </c:pt>
                <c:pt idx="482">
                  <c:v>266</c:v>
                </c:pt>
                <c:pt idx="483">
                  <c:v>294.06</c:v>
                </c:pt>
                <c:pt idx="484">
                  <c:v>294.10000000000002</c:v>
                </c:pt>
                <c:pt idx="485">
                  <c:v>293</c:v>
                </c:pt>
                <c:pt idx="486">
                  <c:v>293.5</c:v>
                </c:pt>
                <c:pt idx="487">
                  <c:v>269.8</c:v>
                </c:pt>
                <c:pt idx="488">
                  <c:v>269.8</c:v>
                </c:pt>
                <c:pt idx="489">
                  <c:v>269.8</c:v>
                </c:pt>
                <c:pt idx="490">
                  <c:v>269.8</c:v>
                </c:pt>
                <c:pt idx="491">
                  <c:v>292.07</c:v>
                </c:pt>
                <c:pt idx="492">
                  <c:v>294.13</c:v>
                </c:pt>
                <c:pt idx="493">
                  <c:v>294.12</c:v>
                </c:pt>
                <c:pt idx="494">
                  <c:v>291.68</c:v>
                </c:pt>
                <c:pt idx="495">
                  <c:v>295</c:v>
                </c:pt>
                <c:pt idx="496">
                  <c:v>294.10000000000002</c:v>
                </c:pt>
                <c:pt idx="497">
                  <c:v>259.8</c:v>
                </c:pt>
                <c:pt idx="498">
                  <c:v>260.05</c:v>
                </c:pt>
                <c:pt idx="499">
                  <c:v>260.10000000000002</c:v>
                </c:pt>
                <c:pt idx="500">
                  <c:v>264.32</c:v>
                </c:pt>
                <c:pt idx="501">
                  <c:v>264</c:v>
                </c:pt>
                <c:pt idx="502">
                  <c:v>293.94</c:v>
                </c:pt>
                <c:pt idx="503">
                  <c:v>294.04000000000002</c:v>
                </c:pt>
                <c:pt idx="504">
                  <c:v>294</c:v>
                </c:pt>
                <c:pt idx="505">
                  <c:v>294</c:v>
                </c:pt>
                <c:pt idx="506">
                  <c:v>294</c:v>
                </c:pt>
                <c:pt idx="507">
                  <c:v>294</c:v>
                </c:pt>
                <c:pt idx="508">
                  <c:v>275.04000000000002</c:v>
                </c:pt>
                <c:pt idx="509">
                  <c:v>292.07</c:v>
                </c:pt>
                <c:pt idx="510">
                  <c:v>259</c:v>
                </c:pt>
                <c:pt idx="511">
                  <c:v>259</c:v>
                </c:pt>
                <c:pt idx="512">
                  <c:v>259</c:v>
                </c:pt>
                <c:pt idx="513">
                  <c:v>259</c:v>
                </c:pt>
                <c:pt idx="514">
                  <c:v>294.10000000000002</c:v>
                </c:pt>
                <c:pt idx="515">
                  <c:v>294.10000000000002</c:v>
                </c:pt>
                <c:pt idx="516">
                  <c:v>294.10000000000002</c:v>
                </c:pt>
                <c:pt idx="517">
                  <c:v>299.83999999999997</c:v>
                </c:pt>
                <c:pt idx="518">
                  <c:v>294.10000000000002</c:v>
                </c:pt>
                <c:pt idx="519">
                  <c:v>294</c:v>
                </c:pt>
                <c:pt idx="520">
                  <c:v>294.12</c:v>
                </c:pt>
                <c:pt idx="521">
                  <c:v>293</c:v>
                </c:pt>
                <c:pt idx="522">
                  <c:v>294.12</c:v>
                </c:pt>
                <c:pt idx="523">
                  <c:v>294.12</c:v>
                </c:pt>
                <c:pt idx="524">
                  <c:v>299.95</c:v>
                </c:pt>
                <c:pt idx="525">
                  <c:v>293</c:v>
                </c:pt>
                <c:pt idx="526">
                  <c:v>294.12</c:v>
                </c:pt>
                <c:pt idx="527">
                  <c:v>294.10000000000002</c:v>
                </c:pt>
                <c:pt idx="528">
                  <c:v>294.10000000000002</c:v>
                </c:pt>
                <c:pt idx="529">
                  <c:v>294.06</c:v>
                </c:pt>
                <c:pt idx="530">
                  <c:v>294</c:v>
                </c:pt>
                <c:pt idx="531">
                  <c:v>274.98</c:v>
                </c:pt>
                <c:pt idx="532">
                  <c:v>275</c:v>
                </c:pt>
                <c:pt idx="533">
                  <c:v>274.97000000000003</c:v>
                </c:pt>
                <c:pt idx="534">
                  <c:v>274.98</c:v>
                </c:pt>
                <c:pt idx="535">
                  <c:v>274.95</c:v>
                </c:pt>
                <c:pt idx="536">
                  <c:v>274.97000000000003</c:v>
                </c:pt>
                <c:pt idx="537">
                  <c:v>275.41000000000003</c:v>
                </c:pt>
                <c:pt idx="538">
                  <c:v>275</c:v>
                </c:pt>
                <c:pt idx="539">
                  <c:v>275</c:v>
                </c:pt>
                <c:pt idx="540">
                  <c:v>294</c:v>
                </c:pt>
                <c:pt idx="541">
                  <c:v>294.12</c:v>
                </c:pt>
                <c:pt idx="542">
                  <c:v>294</c:v>
                </c:pt>
                <c:pt idx="543">
                  <c:v>294.12</c:v>
                </c:pt>
                <c:pt idx="544">
                  <c:v>294</c:v>
                </c:pt>
                <c:pt idx="545">
                  <c:v>294</c:v>
                </c:pt>
                <c:pt idx="546">
                  <c:v>294</c:v>
                </c:pt>
                <c:pt idx="547">
                  <c:v>293</c:v>
                </c:pt>
                <c:pt idx="548">
                  <c:v>294.10000000000002</c:v>
                </c:pt>
                <c:pt idx="549">
                  <c:v>294.12</c:v>
                </c:pt>
                <c:pt idx="550">
                  <c:v>294.12</c:v>
                </c:pt>
                <c:pt idx="551">
                  <c:v>293.99</c:v>
                </c:pt>
                <c:pt idx="552">
                  <c:v>275</c:v>
                </c:pt>
                <c:pt idx="553">
                  <c:v>294.04000000000002</c:v>
                </c:pt>
                <c:pt idx="554">
                  <c:v>293.99</c:v>
                </c:pt>
                <c:pt idx="555">
                  <c:v>294.17</c:v>
                </c:pt>
                <c:pt idx="556">
                  <c:v>294.10000000000002</c:v>
                </c:pt>
                <c:pt idx="557">
                  <c:v>295</c:v>
                </c:pt>
                <c:pt idx="558">
                  <c:v>294.10000000000002</c:v>
                </c:pt>
                <c:pt idx="559">
                  <c:v>295</c:v>
                </c:pt>
                <c:pt idx="560">
                  <c:v>294.08999999999997</c:v>
                </c:pt>
                <c:pt idx="561">
                  <c:v>299.95</c:v>
                </c:pt>
                <c:pt idx="562">
                  <c:v>299.95</c:v>
                </c:pt>
                <c:pt idx="563">
                  <c:v>256</c:v>
                </c:pt>
                <c:pt idx="564">
                  <c:v>294</c:v>
                </c:pt>
                <c:pt idx="565">
                  <c:v>294.12</c:v>
                </c:pt>
                <c:pt idx="566">
                  <c:v>294</c:v>
                </c:pt>
                <c:pt idx="567">
                  <c:v>255.4</c:v>
                </c:pt>
                <c:pt idx="568">
                  <c:v>294.10000000000002</c:v>
                </c:pt>
                <c:pt idx="569">
                  <c:v>294</c:v>
                </c:pt>
                <c:pt idx="570">
                  <c:v>294.12</c:v>
                </c:pt>
                <c:pt idx="571">
                  <c:v>294.10000000000002</c:v>
                </c:pt>
                <c:pt idx="572">
                  <c:v>294.13</c:v>
                </c:pt>
                <c:pt idx="573">
                  <c:v>294.13</c:v>
                </c:pt>
                <c:pt idx="574">
                  <c:v>294</c:v>
                </c:pt>
                <c:pt idx="575">
                  <c:v>294.51</c:v>
                </c:pt>
                <c:pt idx="576">
                  <c:v>294.51</c:v>
                </c:pt>
                <c:pt idx="577">
                  <c:v>294.08999999999997</c:v>
                </c:pt>
                <c:pt idx="578">
                  <c:v>294.08999999999997</c:v>
                </c:pt>
                <c:pt idx="579">
                  <c:v>294</c:v>
                </c:pt>
                <c:pt idx="580">
                  <c:v>294.08999999999997</c:v>
                </c:pt>
                <c:pt idx="581">
                  <c:v>294.05</c:v>
                </c:pt>
                <c:pt idx="582">
                  <c:v>294.10000000000002</c:v>
                </c:pt>
                <c:pt idx="583">
                  <c:v>294.08</c:v>
                </c:pt>
                <c:pt idx="584">
                  <c:v>294.05</c:v>
                </c:pt>
                <c:pt idx="585">
                  <c:v>294.10000000000002</c:v>
                </c:pt>
                <c:pt idx="586">
                  <c:v>294.10000000000002</c:v>
                </c:pt>
                <c:pt idx="587">
                  <c:v>294.08</c:v>
                </c:pt>
                <c:pt idx="588">
                  <c:v>294.06</c:v>
                </c:pt>
                <c:pt idx="589">
                  <c:v>294.12</c:v>
                </c:pt>
                <c:pt idx="590">
                  <c:v>293.83999999999997</c:v>
                </c:pt>
                <c:pt idx="591">
                  <c:v>293.89</c:v>
                </c:pt>
                <c:pt idx="592">
                  <c:v>294.05</c:v>
                </c:pt>
                <c:pt idx="593">
                  <c:v>294.10000000000002</c:v>
                </c:pt>
                <c:pt idx="594">
                  <c:v>294</c:v>
                </c:pt>
                <c:pt idx="595">
                  <c:v>294</c:v>
                </c:pt>
                <c:pt idx="596">
                  <c:v>294.10000000000002</c:v>
                </c:pt>
                <c:pt idx="597">
                  <c:v>294.05</c:v>
                </c:pt>
                <c:pt idx="598">
                  <c:v>294.08999999999997</c:v>
                </c:pt>
                <c:pt idx="599">
                  <c:v>276</c:v>
                </c:pt>
                <c:pt idx="600">
                  <c:v>276</c:v>
                </c:pt>
                <c:pt idx="601">
                  <c:v>285</c:v>
                </c:pt>
                <c:pt idx="602">
                  <c:v>278.01</c:v>
                </c:pt>
                <c:pt idx="603">
                  <c:v>255</c:v>
                </c:pt>
                <c:pt idx="604">
                  <c:v>277.97000000000003</c:v>
                </c:pt>
                <c:pt idx="605">
                  <c:v>277</c:v>
                </c:pt>
                <c:pt idx="606">
                  <c:v>268.8</c:v>
                </c:pt>
                <c:pt idx="607">
                  <c:v>269</c:v>
                </c:pt>
                <c:pt idx="608">
                  <c:v>277.3</c:v>
                </c:pt>
                <c:pt idx="609">
                  <c:v>275.8</c:v>
                </c:pt>
                <c:pt idx="610">
                  <c:v>276.2</c:v>
                </c:pt>
                <c:pt idx="611">
                  <c:v>276.2</c:v>
                </c:pt>
                <c:pt idx="612">
                  <c:v>275.8</c:v>
                </c:pt>
                <c:pt idx="613">
                  <c:v>275.8</c:v>
                </c:pt>
                <c:pt idx="614">
                  <c:v>276</c:v>
                </c:pt>
                <c:pt idx="615">
                  <c:v>275.8</c:v>
                </c:pt>
                <c:pt idx="616">
                  <c:v>270.33</c:v>
                </c:pt>
                <c:pt idx="617">
                  <c:v>270.39999999999998</c:v>
                </c:pt>
                <c:pt idx="618">
                  <c:v>270.41000000000003</c:v>
                </c:pt>
                <c:pt idx="619">
                  <c:v>270.39999999999998</c:v>
                </c:pt>
                <c:pt idx="620">
                  <c:v>270.41000000000003</c:v>
                </c:pt>
                <c:pt idx="621">
                  <c:v>274.66000000000003</c:v>
                </c:pt>
                <c:pt idx="622">
                  <c:v>274.68</c:v>
                </c:pt>
                <c:pt idx="623">
                  <c:v>274.60000000000002</c:v>
                </c:pt>
                <c:pt idx="624">
                  <c:v>274.67</c:v>
                </c:pt>
                <c:pt idx="625">
                  <c:v>274.67</c:v>
                </c:pt>
                <c:pt idx="626">
                  <c:v>275</c:v>
                </c:pt>
                <c:pt idx="627">
                  <c:v>272.05</c:v>
                </c:pt>
                <c:pt idx="628">
                  <c:v>272.08</c:v>
                </c:pt>
                <c:pt idx="629">
                  <c:v>272.02</c:v>
                </c:pt>
                <c:pt idx="630">
                  <c:v>272.02</c:v>
                </c:pt>
                <c:pt idx="631">
                  <c:v>272.02</c:v>
                </c:pt>
                <c:pt idx="632">
                  <c:v>272</c:v>
                </c:pt>
                <c:pt idx="633">
                  <c:v>272</c:v>
                </c:pt>
                <c:pt idx="634">
                  <c:v>275</c:v>
                </c:pt>
                <c:pt idx="635">
                  <c:v>278.94</c:v>
                </c:pt>
                <c:pt idx="636">
                  <c:v>278.94</c:v>
                </c:pt>
                <c:pt idx="637">
                  <c:v>278.94</c:v>
                </c:pt>
                <c:pt idx="638">
                  <c:v>278.94</c:v>
                </c:pt>
                <c:pt idx="639">
                  <c:v>274.68</c:v>
                </c:pt>
                <c:pt idx="640">
                  <c:v>275.07</c:v>
                </c:pt>
                <c:pt idx="641">
                  <c:v>275.07</c:v>
                </c:pt>
                <c:pt idx="642">
                  <c:v>275</c:v>
                </c:pt>
                <c:pt idx="643">
                  <c:v>275.07</c:v>
                </c:pt>
                <c:pt idx="644">
                  <c:v>274.67</c:v>
                </c:pt>
                <c:pt idx="645">
                  <c:v>274.67</c:v>
                </c:pt>
                <c:pt idx="646">
                  <c:v>274.67</c:v>
                </c:pt>
                <c:pt idx="647">
                  <c:v>284</c:v>
                </c:pt>
                <c:pt idx="648">
                  <c:v>278.8</c:v>
                </c:pt>
                <c:pt idx="649">
                  <c:v>278.8</c:v>
                </c:pt>
                <c:pt idx="650">
                  <c:v>278.8</c:v>
                </c:pt>
                <c:pt idx="651">
                  <c:v>284.60000000000002</c:v>
                </c:pt>
                <c:pt idx="652">
                  <c:v>318.41000000000003</c:v>
                </c:pt>
                <c:pt idx="653">
                  <c:v>285</c:v>
                </c:pt>
                <c:pt idx="654">
                  <c:v>285</c:v>
                </c:pt>
                <c:pt idx="655">
                  <c:v>285</c:v>
                </c:pt>
                <c:pt idx="656">
                  <c:v>279.89999999999998</c:v>
                </c:pt>
                <c:pt idx="657">
                  <c:v>279.89999999999998</c:v>
                </c:pt>
                <c:pt idx="658">
                  <c:v>279.89999999999998</c:v>
                </c:pt>
                <c:pt idx="659">
                  <c:v>279.89999999999998</c:v>
                </c:pt>
                <c:pt idx="660">
                  <c:v>274.67</c:v>
                </c:pt>
                <c:pt idx="661">
                  <c:v>274.67</c:v>
                </c:pt>
                <c:pt idx="662">
                  <c:v>274.67</c:v>
                </c:pt>
                <c:pt idx="663">
                  <c:v>274.67</c:v>
                </c:pt>
                <c:pt idx="664">
                  <c:v>277.35000000000002</c:v>
                </c:pt>
                <c:pt idx="665">
                  <c:v>277.35000000000002</c:v>
                </c:pt>
                <c:pt idx="666">
                  <c:v>278.8</c:v>
                </c:pt>
                <c:pt idx="667">
                  <c:v>277.27999999999997</c:v>
                </c:pt>
                <c:pt idx="668">
                  <c:v>277.22000000000003</c:v>
                </c:pt>
                <c:pt idx="669">
                  <c:v>277</c:v>
                </c:pt>
                <c:pt idx="670">
                  <c:v>277.32</c:v>
                </c:pt>
                <c:pt idx="671">
                  <c:v>277</c:v>
                </c:pt>
                <c:pt idx="672">
                  <c:v>277</c:v>
                </c:pt>
                <c:pt idx="673">
                  <c:v>277.27</c:v>
                </c:pt>
                <c:pt idx="674">
                  <c:v>277</c:v>
                </c:pt>
                <c:pt idx="675">
                  <c:v>277.3</c:v>
                </c:pt>
                <c:pt idx="676">
                  <c:v>277</c:v>
                </c:pt>
                <c:pt idx="677">
                  <c:v>277.23</c:v>
                </c:pt>
                <c:pt idx="678">
                  <c:v>277</c:v>
                </c:pt>
                <c:pt idx="679">
                  <c:v>277</c:v>
                </c:pt>
                <c:pt idx="680">
                  <c:v>277.3</c:v>
                </c:pt>
                <c:pt idx="681">
                  <c:v>277</c:v>
                </c:pt>
                <c:pt idx="682">
                  <c:v>277</c:v>
                </c:pt>
                <c:pt idx="683">
                  <c:v>277</c:v>
                </c:pt>
                <c:pt idx="684">
                  <c:v>277</c:v>
                </c:pt>
                <c:pt idx="685">
                  <c:v>277</c:v>
                </c:pt>
                <c:pt idx="686">
                  <c:v>277</c:v>
                </c:pt>
                <c:pt idx="687">
                  <c:v>277</c:v>
                </c:pt>
                <c:pt idx="688">
                  <c:v>277.3</c:v>
                </c:pt>
                <c:pt idx="689">
                  <c:v>277.3</c:v>
                </c:pt>
                <c:pt idx="690">
                  <c:v>277.3</c:v>
                </c:pt>
                <c:pt idx="691">
                  <c:v>280.54000000000002</c:v>
                </c:pt>
                <c:pt idx="692">
                  <c:v>280.54000000000002</c:v>
                </c:pt>
                <c:pt idx="693">
                  <c:v>280</c:v>
                </c:pt>
                <c:pt idx="694">
                  <c:v>280.54000000000002</c:v>
                </c:pt>
                <c:pt idx="695">
                  <c:v>281</c:v>
                </c:pt>
                <c:pt idx="696">
                  <c:v>278.94</c:v>
                </c:pt>
                <c:pt idx="697">
                  <c:v>286.45</c:v>
                </c:pt>
                <c:pt idx="698">
                  <c:v>286.45999999999998</c:v>
                </c:pt>
                <c:pt idx="699">
                  <c:v>286.52</c:v>
                </c:pt>
                <c:pt idx="700">
                  <c:v>286.52999999999997</c:v>
                </c:pt>
                <c:pt idx="701">
                  <c:v>286.45</c:v>
                </c:pt>
                <c:pt idx="702">
                  <c:v>286.45999999999998</c:v>
                </c:pt>
                <c:pt idx="703">
                  <c:v>279.7</c:v>
                </c:pt>
                <c:pt idx="704">
                  <c:v>280</c:v>
                </c:pt>
                <c:pt idx="705">
                  <c:v>318</c:v>
                </c:pt>
                <c:pt idx="706">
                  <c:v>318.24</c:v>
                </c:pt>
                <c:pt idx="707">
                  <c:v>299</c:v>
                </c:pt>
                <c:pt idx="708">
                  <c:v>299.8</c:v>
                </c:pt>
                <c:pt idx="709">
                  <c:v>299.8</c:v>
                </c:pt>
                <c:pt idx="710">
                  <c:v>299.8</c:v>
                </c:pt>
                <c:pt idx="711">
                  <c:v>299.47000000000003</c:v>
                </c:pt>
                <c:pt idx="712">
                  <c:v>299</c:v>
                </c:pt>
                <c:pt idx="713">
                  <c:v>299.89999999999998</c:v>
                </c:pt>
                <c:pt idx="714">
                  <c:v>299.89999999999998</c:v>
                </c:pt>
                <c:pt idx="715">
                  <c:v>295.18</c:v>
                </c:pt>
                <c:pt idx="716">
                  <c:v>299.99</c:v>
                </c:pt>
                <c:pt idx="717">
                  <c:v>300</c:v>
                </c:pt>
                <c:pt idx="718">
                  <c:v>300</c:v>
                </c:pt>
                <c:pt idx="719">
                  <c:v>295.18</c:v>
                </c:pt>
                <c:pt idx="720">
                  <c:v>293.18</c:v>
                </c:pt>
                <c:pt idx="721">
                  <c:v>293</c:v>
                </c:pt>
                <c:pt idx="722">
                  <c:v>293</c:v>
                </c:pt>
                <c:pt idx="723">
                  <c:v>293.18</c:v>
                </c:pt>
                <c:pt idx="724">
                  <c:v>293.18</c:v>
                </c:pt>
                <c:pt idx="725">
                  <c:v>293.18</c:v>
                </c:pt>
                <c:pt idx="726">
                  <c:v>293.18</c:v>
                </c:pt>
                <c:pt idx="727">
                  <c:v>293.2</c:v>
                </c:pt>
                <c:pt idx="728">
                  <c:v>293.19</c:v>
                </c:pt>
                <c:pt idx="729">
                  <c:v>293.19</c:v>
                </c:pt>
                <c:pt idx="730">
                  <c:v>293.2</c:v>
                </c:pt>
                <c:pt idx="731">
                  <c:v>293.18</c:v>
                </c:pt>
                <c:pt idx="732">
                  <c:v>293.18</c:v>
                </c:pt>
                <c:pt idx="733">
                  <c:v>293</c:v>
                </c:pt>
                <c:pt idx="734">
                  <c:v>293.2</c:v>
                </c:pt>
                <c:pt idx="735">
                  <c:v>293.18</c:v>
                </c:pt>
                <c:pt idx="736">
                  <c:v>304</c:v>
                </c:pt>
                <c:pt idx="737">
                  <c:v>293.87</c:v>
                </c:pt>
                <c:pt idx="738">
                  <c:v>304</c:v>
                </c:pt>
                <c:pt idx="739">
                  <c:v>303.92</c:v>
                </c:pt>
                <c:pt idx="740">
                  <c:v>304</c:v>
                </c:pt>
                <c:pt idx="741">
                  <c:v>304</c:v>
                </c:pt>
                <c:pt idx="742">
                  <c:v>303.93</c:v>
                </c:pt>
                <c:pt idx="743">
                  <c:v>303.92</c:v>
                </c:pt>
                <c:pt idx="744">
                  <c:v>293.87</c:v>
                </c:pt>
                <c:pt idx="745">
                  <c:v>293.87</c:v>
                </c:pt>
                <c:pt idx="746">
                  <c:v>318.24</c:v>
                </c:pt>
                <c:pt idx="747">
                  <c:v>318</c:v>
                </c:pt>
                <c:pt idx="748">
                  <c:v>318.24</c:v>
                </c:pt>
                <c:pt idx="749">
                  <c:v>318.24</c:v>
                </c:pt>
                <c:pt idx="750">
                  <c:v>304</c:v>
                </c:pt>
                <c:pt idx="751">
                  <c:v>306.10000000000002</c:v>
                </c:pt>
                <c:pt idx="752">
                  <c:v>306</c:v>
                </c:pt>
                <c:pt idx="753">
                  <c:v>306.10000000000002</c:v>
                </c:pt>
                <c:pt idx="754">
                  <c:v>306</c:v>
                </c:pt>
                <c:pt idx="755">
                  <c:v>306</c:v>
                </c:pt>
                <c:pt idx="756">
                  <c:v>306</c:v>
                </c:pt>
                <c:pt idx="757">
                  <c:v>300</c:v>
                </c:pt>
                <c:pt idx="758">
                  <c:v>300</c:v>
                </c:pt>
                <c:pt idx="759">
                  <c:v>300</c:v>
                </c:pt>
                <c:pt idx="760">
                  <c:v>299.89999999999998</c:v>
                </c:pt>
                <c:pt idx="761">
                  <c:v>299.47000000000003</c:v>
                </c:pt>
                <c:pt idx="762">
                  <c:v>299.89999999999998</c:v>
                </c:pt>
                <c:pt idx="763">
                  <c:v>299.89999999999998</c:v>
                </c:pt>
                <c:pt idx="764">
                  <c:v>299.89999999999998</c:v>
                </c:pt>
                <c:pt idx="765">
                  <c:v>304.17</c:v>
                </c:pt>
                <c:pt idx="766">
                  <c:v>299.2</c:v>
                </c:pt>
                <c:pt idx="767">
                  <c:v>299</c:v>
                </c:pt>
                <c:pt idx="768">
                  <c:v>299</c:v>
                </c:pt>
                <c:pt idx="769">
                  <c:v>304</c:v>
                </c:pt>
                <c:pt idx="770">
                  <c:v>300</c:v>
                </c:pt>
                <c:pt idx="771">
                  <c:v>304.14</c:v>
                </c:pt>
                <c:pt idx="772">
                  <c:v>304.12</c:v>
                </c:pt>
                <c:pt idx="773">
                  <c:v>304.10000000000002</c:v>
                </c:pt>
                <c:pt idx="774">
                  <c:v>304.13</c:v>
                </c:pt>
                <c:pt idx="775">
                  <c:v>299.97000000000003</c:v>
                </c:pt>
                <c:pt idx="776">
                  <c:v>299.93</c:v>
                </c:pt>
                <c:pt idx="777">
                  <c:v>299.97000000000003</c:v>
                </c:pt>
                <c:pt idx="778">
                  <c:v>299.93</c:v>
                </c:pt>
                <c:pt idx="779">
                  <c:v>299.27</c:v>
                </c:pt>
                <c:pt idx="780">
                  <c:v>299.2</c:v>
                </c:pt>
                <c:pt idx="781">
                  <c:v>299.95</c:v>
                </c:pt>
                <c:pt idx="782">
                  <c:v>299.95</c:v>
                </c:pt>
                <c:pt idx="783">
                  <c:v>299.95</c:v>
                </c:pt>
                <c:pt idx="784">
                  <c:v>299.95</c:v>
                </c:pt>
                <c:pt idx="785">
                  <c:v>306</c:v>
                </c:pt>
                <c:pt idx="786">
                  <c:v>306</c:v>
                </c:pt>
                <c:pt idx="787">
                  <c:v>305.60000000000002</c:v>
                </c:pt>
                <c:pt idx="788">
                  <c:v>305</c:v>
                </c:pt>
                <c:pt idx="789">
                  <c:v>305.60000000000002</c:v>
                </c:pt>
                <c:pt idx="790">
                  <c:v>270.89999999999998</c:v>
                </c:pt>
                <c:pt idx="791">
                  <c:v>271.3</c:v>
                </c:pt>
                <c:pt idx="792">
                  <c:v>270.89999999999998</c:v>
                </c:pt>
                <c:pt idx="793">
                  <c:v>300.39999999999998</c:v>
                </c:pt>
                <c:pt idx="794">
                  <c:v>299.97000000000003</c:v>
                </c:pt>
                <c:pt idx="795">
                  <c:v>300.27</c:v>
                </c:pt>
                <c:pt idx="796">
                  <c:v>300</c:v>
                </c:pt>
                <c:pt idx="797">
                  <c:v>304.16000000000003</c:v>
                </c:pt>
                <c:pt idx="798">
                  <c:v>304.07</c:v>
                </c:pt>
                <c:pt idx="799">
                  <c:v>304</c:v>
                </c:pt>
                <c:pt idx="800">
                  <c:v>304</c:v>
                </c:pt>
                <c:pt idx="801">
                  <c:v>304</c:v>
                </c:pt>
                <c:pt idx="802">
                  <c:v>294.11</c:v>
                </c:pt>
                <c:pt idx="803">
                  <c:v>304.07</c:v>
                </c:pt>
                <c:pt idx="804">
                  <c:v>304.06</c:v>
                </c:pt>
                <c:pt idx="805">
                  <c:v>304.06</c:v>
                </c:pt>
                <c:pt idx="806">
                  <c:v>302</c:v>
                </c:pt>
                <c:pt idx="807">
                  <c:v>302</c:v>
                </c:pt>
                <c:pt idx="808">
                  <c:v>302</c:v>
                </c:pt>
                <c:pt idx="809">
                  <c:v>302</c:v>
                </c:pt>
                <c:pt idx="810">
                  <c:v>302</c:v>
                </c:pt>
                <c:pt idx="811">
                  <c:v>302</c:v>
                </c:pt>
                <c:pt idx="812">
                  <c:v>302</c:v>
                </c:pt>
                <c:pt idx="813">
                  <c:v>302</c:v>
                </c:pt>
                <c:pt idx="814">
                  <c:v>302</c:v>
                </c:pt>
                <c:pt idx="815">
                  <c:v>302</c:v>
                </c:pt>
                <c:pt idx="816">
                  <c:v>304</c:v>
                </c:pt>
                <c:pt idx="817">
                  <c:v>300</c:v>
                </c:pt>
                <c:pt idx="818">
                  <c:v>300</c:v>
                </c:pt>
                <c:pt idx="819">
                  <c:v>300</c:v>
                </c:pt>
                <c:pt idx="820">
                  <c:v>300</c:v>
                </c:pt>
                <c:pt idx="821">
                  <c:v>300</c:v>
                </c:pt>
                <c:pt idx="822">
                  <c:v>300</c:v>
                </c:pt>
                <c:pt idx="823">
                  <c:v>300</c:v>
                </c:pt>
                <c:pt idx="824">
                  <c:v>300</c:v>
                </c:pt>
                <c:pt idx="825">
                  <c:v>299.99</c:v>
                </c:pt>
                <c:pt idx="826">
                  <c:v>300</c:v>
                </c:pt>
                <c:pt idx="827">
                  <c:v>299.98</c:v>
                </c:pt>
                <c:pt idx="828">
                  <c:v>300</c:v>
                </c:pt>
                <c:pt idx="829">
                  <c:v>303.83</c:v>
                </c:pt>
                <c:pt idx="830">
                  <c:v>304</c:v>
                </c:pt>
                <c:pt idx="831">
                  <c:v>303.83</c:v>
                </c:pt>
                <c:pt idx="832">
                  <c:v>303.83</c:v>
                </c:pt>
                <c:pt idx="833">
                  <c:v>304</c:v>
                </c:pt>
                <c:pt idx="834">
                  <c:v>270.89999999999998</c:v>
                </c:pt>
                <c:pt idx="835">
                  <c:v>271.3</c:v>
                </c:pt>
                <c:pt idx="836">
                  <c:v>270.97000000000003</c:v>
                </c:pt>
                <c:pt idx="837">
                  <c:v>270.06</c:v>
                </c:pt>
                <c:pt idx="838">
                  <c:v>270.07</c:v>
                </c:pt>
                <c:pt idx="839">
                  <c:v>270.07</c:v>
                </c:pt>
                <c:pt idx="840">
                  <c:v>306</c:v>
                </c:pt>
                <c:pt idx="841">
                  <c:v>306</c:v>
                </c:pt>
                <c:pt idx="842">
                  <c:v>304.19</c:v>
                </c:pt>
                <c:pt idx="843">
                  <c:v>304.12</c:v>
                </c:pt>
                <c:pt idx="844">
                  <c:v>366.89</c:v>
                </c:pt>
                <c:pt idx="845">
                  <c:v>299.99</c:v>
                </c:pt>
                <c:pt idx="846">
                  <c:v>299.99</c:v>
                </c:pt>
                <c:pt idx="847">
                  <c:v>299.99</c:v>
                </c:pt>
                <c:pt idx="848">
                  <c:v>299.99</c:v>
                </c:pt>
                <c:pt idx="849">
                  <c:v>299.99</c:v>
                </c:pt>
                <c:pt idx="850">
                  <c:v>299.99</c:v>
                </c:pt>
                <c:pt idx="851">
                  <c:v>299.99</c:v>
                </c:pt>
                <c:pt idx="852">
                  <c:v>299.99</c:v>
                </c:pt>
                <c:pt idx="853">
                  <c:v>299.99</c:v>
                </c:pt>
                <c:pt idx="854">
                  <c:v>299.99</c:v>
                </c:pt>
                <c:pt idx="855">
                  <c:v>299.95</c:v>
                </c:pt>
                <c:pt idx="856">
                  <c:v>299.89999999999998</c:v>
                </c:pt>
                <c:pt idx="857">
                  <c:v>332</c:v>
                </c:pt>
                <c:pt idx="858">
                  <c:v>299</c:v>
                </c:pt>
                <c:pt idx="859">
                  <c:v>299.98</c:v>
                </c:pt>
                <c:pt idx="860">
                  <c:v>299.95</c:v>
                </c:pt>
                <c:pt idx="861">
                  <c:v>299.89999999999998</c:v>
                </c:pt>
                <c:pt idx="862">
                  <c:v>346.98</c:v>
                </c:pt>
                <c:pt idx="863">
                  <c:v>346.98</c:v>
                </c:pt>
                <c:pt idx="864">
                  <c:v>346.98</c:v>
                </c:pt>
                <c:pt idx="865">
                  <c:v>352.6</c:v>
                </c:pt>
                <c:pt idx="866">
                  <c:v>352.6</c:v>
                </c:pt>
                <c:pt idx="867">
                  <c:v>352.6</c:v>
                </c:pt>
                <c:pt idx="868">
                  <c:v>352.1</c:v>
                </c:pt>
                <c:pt idx="869">
                  <c:v>300</c:v>
                </c:pt>
                <c:pt idx="870">
                  <c:v>299.89999999999998</c:v>
                </c:pt>
                <c:pt idx="871">
                  <c:v>300.07</c:v>
                </c:pt>
                <c:pt idx="872">
                  <c:v>300.06</c:v>
                </c:pt>
                <c:pt idx="873">
                  <c:v>300.07</c:v>
                </c:pt>
                <c:pt idx="874">
                  <c:v>300.02</c:v>
                </c:pt>
                <c:pt idx="875">
                  <c:v>299</c:v>
                </c:pt>
                <c:pt idx="876">
                  <c:v>300</c:v>
                </c:pt>
                <c:pt idx="877">
                  <c:v>300.07</c:v>
                </c:pt>
                <c:pt idx="878">
                  <c:v>300</c:v>
                </c:pt>
                <c:pt idx="879">
                  <c:v>320.38</c:v>
                </c:pt>
                <c:pt idx="880">
                  <c:v>320.38</c:v>
                </c:pt>
                <c:pt idx="881">
                  <c:v>333.2</c:v>
                </c:pt>
                <c:pt idx="882">
                  <c:v>334.07</c:v>
                </c:pt>
                <c:pt idx="883">
                  <c:v>334.08</c:v>
                </c:pt>
                <c:pt idx="884">
                  <c:v>334.07</c:v>
                </c:pt>
                <c:pt idx="885">
                  <c:v>334.04</c:v>
                </c:pt>
                <c:pt idx="886">
                  <c:v>317.8</c:v>
                </c:pt>
                <c:pt idx="887">
                  <c:v>317.87</c:v>
                </c:pt>
                <c:pt idx="888">
                  <c:v>335</c:v>
                </c:pt>
                <c:pt idx="889">
                  <c:v>335</c:v>
                </c:pt>
                <c:pt idx="890">
                  <c:v>299.95999999999998</c:v>
                </c:pt>
                <c:pt idx="891">
                  <c:v>299.95999999999998</c:v>
                </c:pt>
                <c:pt idx="892">
                  <c:v>299.94</c:v>
                </c:pt>
                <c:pt idx="893">
                  <c:v>300</c:v>
                </c:pt>
                <c:pt idx="894">
                  <c:v>324.89</c:v>
                </c:pt>
                <c:pt idx="895">
                  <c:v>324.8</c:v>
                </c:pt>
                <c:pt idx="896">
                  <c:v>324.83999999999997</c:v>
                </c:pt>
                <c:pt idx="897">
                  <c:v>324.85000000000002</c:v>
                </c:pt>
                <c:pt idx="898">
                  <c:v>324.8</c:v>
                </c:pt>
                <c:pt idx="899">
                  <c:v>324</c:v>
                </c:pt>
                <c:pt idx="900">
                  <c:v>324.82</c:v>
                </c:pt>
                <c:pt idx="901">
                  <c:v>324.83999999999997</c:v>
                </c:pt>
                <c:pt idx="902">
                  <c:v>322.97000000000003</c:v>
                </c:pt>
                <c:pt idx="903">
                  <c:v>323</c:v>
                </c:pt>
                <c:pt idx="904">
                  <c:v>323</c:v>
                </c:pt>
                <c:pt idx="905">
                  <c:v>323</c:v>
                </c:pt>
                <c:pt idx="906">
                  <c:v>323</c:v>
                </c:pt>
                <c:pt idx="907">
                  <c:v>323</c:v>
                </c:pt>
                <c:pt idx="908">
                  <c:v>332.97</c:v>
                </c:pt>
                <c:pt idx="909">
                  <c:v>323</c:v>
                </c:pt>
                <c:pt idx="910">
                  <c:v>322.97000000000003</c:v>
                </c:pt>
                <c:pt idx="911">
                  <c:v>322.97000000000003</c:v>
                </c:pt>
                <c:pt idx="912">
                  <c:v>323</c:v>
                </c:pt>
                <c:pt idx="913">
                  <c:v>322.97000000000003</c:v>
                </c:pt>
                <c:pt idx="914">
                  <c:v>334</c:v>
                </c:pt>
                <c:pt idx="915">
                  <c:v>334</c:v>
                </c:pt>
                <c:pt idx="916">
                  <c:v>333.99</c:v>
                </c:pt>
                <c:pt idx="917">
                  <c:v>334</c:v>
                </c:pt>
                <c:pt idx="918">
                  <c:v>333.99</c:v>
                </c:pt>
                <c:pt idx="919">
                  <c:v>334</c:v>
                </c:pt>
                <c:pt idx="920">
                  <c:v>335</c:v>
                </c:pt>
                <c:pt idx="921">
                  <c:v>333.99</c:v>
                </c:pt>
                <c:pt idx="922">
                  <c:v>332</c:v>
                </c:pt>
                <c:pt idx="923">
                  <c:v>332</c:v>
                </c:pt>
                <c:pt idx="924">
                  <c:v>322</c:v>
                </c:pt>
                <c:pt idx="925">
                  <c:v>316</c:v>
                </c:pt>
                <c:pt idx="926">
                  <c:v>316</c:v>
                </c:pt>
                <c:pt idx="927">
                  <c:v>338.17</c:v>
                </c:pt>
                <c:pt idx="928">
                  <c:v>320.37</c:v>
                </c:pt>
                <c:pt idx="929">
                  <c:v>320</c:v>
                </c:pt>
                <c:pt idx="930">
                  <c:v>316</c:v>
                </c:pt>
                <c:pt idx="931">
                  <c:v>316</c:v>
                </c:pt>
                <c:pt idx="932">
                  <c:v>316</c:v>
                </c:pt>
                <c:pt idx="933">
                  <c:v>316</c:v>
                </c:pt>
                <c:pt idx="934">
                  <c:v>332</c:v>
                </c:pt>
                <c:pt idx="935">
                  <c:v>334</c:v>
                </c:pt>
                <c:pt idx="936">
                  <c:v>334.08</c:v>
                </c:pt>
                <c:pt idx="937">
                  <c:v>334</c:v>
                </c:pt>
                <c:pt idx="938">
                  <c:v>334.07</c:v>
                </c:pt>
                <c:pt idx="939">
                  <c:v>344</c:v>
                </c:pt>
                <c:pt idx="940">
                  <c:v>335</c:v>
                </c:pt>
                <c:pt idx="941">
                  <c:v>334.08</c:v>
                </c:pt>
                <c:pt idx="942">
                  <c:v>334.07</c:v>
                </c:pt>
                <c:pt idx="943">
                  <c:v>334.07</c:v>
                </c:pt>
                <c:pt idx="944">
                  <c:v>355</c:v>
                </c:pt>
                <c:pt idx="945">
                  <c:v>335.69</c:v>
                </c:pt>
                <c:pt idx="946">
                  <c:v>335</c:v>
                </c:pt>
                <c:pt idx="947">
                  <c:v>335</c:v>
                </c:pt>
                <c:pt idx="948">
                  <c:v>336</c:v>
                </c:pt>
                <c:pt idx="949">
                  <c:v>336</c:v>
                </c:pt>
                <c:pt idx="950">
                  <c:v>336</c:v>
                </c:pt>
                <c:pt idx="951">
                  <c:v>336</c:v>
                </c:pt>
                <c:pt idx="952">
                  <c:v>336</c:v>
                </c:pt>
                <c:pt idx="953">
                  <c:v>336</c:v>
                </c:pt>
                <c:pt idx="954">
                  <c:v>336</c:v>
                </c:pt>
                <c:pt idx="955">
                  <c:v>336</c:v>
                </c:pt>
                <c:pt idx="956">
                  <c:v>335</c:v>
                </c:pt>
                <c:pt idx="957">
                  <c:v>334</c:v>
                </c:pt>
                <c:pt idx="958">
                  <c:v>335</c:v>
                </c:pt>
                <c:pt idx="959">
                  <c:v>355</c:v>
                </c:pt>
                <c:pt idx="960">
                  <c:v>333.2</c:v>
                </c:pt>
                <c:pt idx="961">
                  <c:v>333.2</c:v>
                </c:pt>
                <c:pt idx="962">
                  <c:v>333.2</c:v>
                </c:pt>
                <c:pt idx="963">
                  <c:v>333.2</c:v>
                </c:pt>
                <c:pt idx="964">
                  <c:v>334.07</c:v>
                </c:pt>
                <c:pt idx="965">
                  <c:v>334.07</c:v>
                </c:pt>
                <c:pt idx="966">
                  <c:v>334.07</c:v>
                </c:pt>
                <c:pt idx="967">
                  <c:v>333</c:v>
                </c:pt>
                <c:pt idx="968">
                  <c:v>332</c:v>
                </c:pt>
                <c:pt idx="969">
                  <c:v>332.58</c:v>
                </c:pt>
                <c:pt idx="970">
                  <c:v>331.99</c:v>
                </c:pt>
                <c:pt idx="971">
                  <c:v>333</c:v>
                </c:pt>
                <c:pt idx="972">
                  <c:v>333.57</c:v>
                </c:pt>
                <c:pt idx="973">
                  <c:v>332</c:v>
                </c:pt>
                <c:pt idx="974">
                  <c:v>332.01</c:v>
                </c:pt>
                <c:pt idx="975">
                  <c:v>332.01</c:v>
                </c:pt>
                <c:pt idx="976">
                  <c:v>332</c:v>
                </c:pt>
                <c:pt idx="977">
                  <c:v>332</c:v>
                </c:pt>
                <c:pt idx="978">
                  <c:v>333.55</c:v>
                </c:pt>
                <c:pt idx="979">
                  <c:v>322.41000000000003</c:v>
                </c:pt>
                <c:pt idx="980">
                  <c:v>333.59</c:v>
                </c:pt>
                <c:pt idx="981">
                  <c:v>332.41</c:v>
                </c:pt>
                <c:pt idx="982">
                  <c:v>334</c:v>
                </c:pt>
                <c:pt idx="983">
                  <c:v>334</c:v>
                </c:pt>
                <c:pt idx="984">
                  <c:v>335</c:v>
                </c:pt>
                <c:pt idx="985">
                  <c:v>335.42</c:v>
                </c:pt>
                <c:pt idx="986">
                  <c:v>334.8</c:v>
                </c:pt>
                <c:pt idx="987">
                  <c:v>334.8</c:v>
                </c:pt>
                <c:pt idx="988">
                  <c:v>334.8</c:v>
                </c:pt>
                <c:pt idx="989">
                  <c:v>334.8</c:v>
                </c:pt>
                <c:pt idx="990">
                  <c:v>334.8</c:v>
                </c:pt>
                <c:pt idx="991">
                  <c:v>334.8</c:v>
                </c:pt>
                <c:pt idx="992">
                  <c:v>334.8</c:v>
                </c:pt>
                <c:pt idx="993">
                  <c:v>334.8</c:v>
                </c:pt>
                <c:pt idx="994">
                  <c:v>334.8</c:v>
                </c:pt>
                <c:pt idx="995">
                  <c:v>334.8</c:v>
                </c:pt>
                <c:pt idx="996">
                  <c:v>334.8</c:v>
                </c:pt>
                <c:pt idx="997">
                  <c:v>334.8</c:v>
                </c:pt>
                <c:pt idx="998">
                  <c:v>334.8</c:v>
                </c:pt>
                <c:pt idx="999">
                  <c:v>334.8</c:v>
                </c:pt>
                <c:pt idx="1000">
                  <c:v>334.8</c:v>
                </c:pt>
                <c:pt idx="1001">
                  <c:v>334.8</c:v>
                </c:pt>
                <c:pt idx="1002">
                  <c:v>334.8</c:v>
                </c:pt>
                <c:pt idx="1003">
                  <c:v>335</c:v>
                </c:pt>
                <c:pt idx="1004">
                  <c:v>335</c:v>
                </c:pt>
                <c:pt idx="1005">
                  <c:v>334.98</c:v>
                </c:pt>
                <c:pt idx="1006">
                  <c:v>335</c:v>
                </c:pt>
                <c:pt idx="1007">
                  <c:v>334</c:v>
                </c:pt>
                <c:pt idx="1008">
                  <c:v>334</c:v>
                </c:pt>
                <c:pt idx="1009">
                  <c:v>334</c:v>
                </c:pt>
                <c:pt idx="1010">
                  <c:v>334</c:v>
                </c:pt>
                <c:pt idx="1011">
                  <c:v>334</c:v>
                </c:pt>
                <c:pt idx="1012">
                  <c:v>334</c:v>
                </c:pt>
                <c:pt idx="1013">
                  <c:v>344</c:v>
                </c:pt>
                <c:pt idx="1014">
                  <c:v>334.07</c:v>
                </c:pt>
                <c:pt idx="1015">
                  <c:v>334</c:v>
                </c:pt>
                <c:pt idx="1016">
                  <c:v>334</c:v>
                </c:pt>
                <c:pt idx="1017">
                  <c:v>334</c:v>
                </c:pt>
                <c:pt idx="1018">
                  <c:v>334</c:v>
                </c:pt>
                <c:pt idx="1019">
                  <c:v>334</c:v>
                </c:pt>
                <c:pt idx="1020">
                  <c:v>334</c:v>
                </c:pt>
                <c:pt idx="1021">
                  <c:v>333</c:v>
                </c:pt>
                <c:pt idx="1022">
                  <c:v>325</c:v>
                </c:pt>
                <c:pt idx="1023">
                  <c:v>335</c:v>
                </c:pt>
                <c:pt idx="1024">
                  <c:v>335</c:v>
                </c:pt>
                <c:pt idx="1025">
                  <c:v>335</c:v>
                </c:pt>
                <c:pt idx="1026">
                  <c:v>335.07</c:v>
                </c:pt>
                <c:pt idx="1027">
                  <c:v>335</c:v>
                </c:pt>
                <c:pt idx="1028">
                  <c:v>335</c:v>
                </c:pt>
                <c:pt idx="1029">
                  <c:v>335</c:v>
                </c:pt>
                <c:pt idx="1030">
                  <c:v>335.06</c:v>
                </c:pt>
                <c:pt idx="1031">
                  <c:v>335</c:v>
                </c:pt>
                <c:pt idx="1032">
                  <c:v>316</c:v>
                </c:pt>
                <c:pt idx="1033">
                  <c:v>316</c:v>
                </c:pt>
                <c:pt idx="1034">
                  <c:v>322</c:v>
                </c:pt>
                <c:pt idx="1035">
                  <c:v>339.62</c:v>
                </c:pt>
                <c:pt idx="1036">
                  <c:v>339.6</c:v>
                </c:pt>
                <c:pt idx="1037">
                  <c:v>339.6</c:v>
                </c:pt>
                <c:pt idx="1038">
                  <c:v>339.6</c:v>
                </c:pt>
                <c:pt idx="1039">
                  <c:v>339.62</c:v>
                </c:pt>
                <c:pt idx="1040">
                  <c:v>339.62</c:v>
                </c:pt>
                <c:pt idx="1041">
                  <c:v>339.6</c:v>
                </c:pt>
                <c:pt idx="1042">
                  <c:v>339.6</c:v>
                </c:pt>
                <c:pt idx="1043">
                  <c:v>334</c:v>
                </c:pt>
                <c:pt idx="1044">
                  <c:v>334.11</c:v>
                </c:pt>
                <c:pt idx="1045">
                  <c:v>335</c:v>
                </c:pt>
                <c:pt idx="1046">
                  <c:v>334</c:v>
                </c:pt>
                <c:pt idx="1047">
                  <c:v>299.89999999999998</c:v>
                </c:pt>
                <c:pt idx="1048">
                  <c:v>335</c:v>
                </c:pt>
                <c:pt idx="1049">
                  <c:v>332.15</c:v>
                </c:pt>
                <c:pt idx="1050">
                  <c:v>344.07</c:v>
                </c:pt>
                <c:pt idx="1051">
                  <c:v>334.08</c:v>
                </c:pt>
                <c:pt idx="1052">
                  <c:v>316</c:v>
                </c:pt>
                <c:pt idx="1053">
                  <c:v>335</c:v>
                </c:pt>
                <c:pt idx="1054">
                  <c:v>335</c:v>
                </c:pt>
                <c:pt idx="1055">
                  <c:v>333.2</c:v>
                </c:pt>
                <c:pt idx="1056">
                  <c:v>333.2</c:v>
                </c:pt>
                <c:pt idx="1057">
                  <c:v>336</c:v>
                </c:pt>
                <c:pt idx="1058">
                  <c:v>336</c:v>
                </c:pt>
                <c:pt idx="1059">
                  <c:v>334.91</c:v>
                </c:pt>
                <c:pt idx="1060">
                  <c:v>300</c:v>
                </c:pt>
                <c:pt idx="1061">
                  <c:v>299.89999999999998</c:v>
                </c:pt>
                <c:pt idx="1062">
                  <c:v>299.89999999999998</c:v>
                </c:pt>
                <c:pt idx="1063">
                  <c:v>299.89999999999998</c:v>
                </c:pt>
                <c:pt idx="1064">
                  <c:v>335.06</c:v>
                </c:pt>
                <c:pt idx="1065">
                  <c:v>335</c:v>
                </c:pt>
                <c:pt idx="1066">
                  <c:v>336.19</c:v>
                </c:pt>
                <c:pt idx="1067">
                  <c:v>335.07</c:v>
                </c:pt>
                <c:pt idx="1068">
                  <c:v>335</c:v>
                </c:pt>
                <c:pt idx="1069">
                  <c:v>336.19</c:v>
                </c:pt>
                <c:pt idx="1070">
                  <c:v>336.3</c:v>
                </c:pt>
                <c:pt idx="1071">
                  <c:v>335.07</c:v>
                </c:pt>
                <c:pt idx="1072">
                  <c:v>335</c:v>
                </c:pt>
                <c:pt idx="1073">
                  <c:v>335.47</c:v>
                </c:pt>
                <c:pt idx="1074">
                  <c:v>335</c:v>
                </c:pt>
                <c:pt idx="1075">
                  <c:v>335</c:v>
                </c:pt>
                <c:pt idx="1076">
                  <c:v>335.47</c:v>
                </c:pt>
                <c:pt idx="1077">
                  <c:v>355.08</c:v>
                </c:pt>
                <c:pt idx="1078">
                  <c:v>299</c:v>
                </c:pt>
                <c:pt idx="1079">
                  <c:v>299</c:v>
                </c:pt>
                <c:pt idx="1080">
                  <c:v>299</c:v>
                </c:pt>
                <c:pt idx="1081">
                  <c:v>299.18</c:v>
                </c:pt>
                <c:pt idx="1082">
                  <c:v>300</c:v>
                </c:pt>
                <c:pt idx="1083">
                  <c:v>333</c:v>
                </c:pt>
                <c:pt idx="1084">
                  <c:v>334.8</c:v>
                </c:pt>
                <c:pt idx="1085">
                  <c:v>335</c:v>
                </c:pt>
                <c:pt idx="1086">
                  <c:v>335</c:v>
                </c:pt>
                <c:pt idx="1087">
                  <c:v>334.8</c:v>
                </c:pt>
                <c:pt idx="1088">
                  <c:v>300</c:v>
                </c:pt>
                <c:pt idx="1089">
                  <c:v>301</c:v>
                </c:pt>
                <c:pt idx="1090">
                  <c:v>299.98</c:v>
                </c:pt>
                <c:pt idx="1091">
                  <c:v>300</c:v>
                </c:pt>
                <c:pt idx="1092">
                  <c:v>300</c:v>
                </c:pt>
                <c:pt idx="1093">
                  <c:v>299.97000000000003</c:v>
                </c:pt>
                <c:pt idx="1094">
                  <c:v>299.95</c:v>
                </c:pt>
                <c:pt idx="1095">
                  <c:v>299.95</c:v>
                </c:pt>
                <c:pt idx="1096">
                  <c:v>332.74</c:v>
                </c:pt>
                <c:pt idx="1097">
                  <c:v>301</c:v>
                </c:pt>
                <c:pt idx="1098">
                  <c:v>300</c:v>
                </c:pt>
                <c:pt idx="1099">
                  <c:v>334.93</c:v>
                </c:pt>
                <c:pt idx="1100">
                  <c:v>300</c:v>
                </c:pt>
                <c:pt idx="1101">
                  <c:v>300</c:v>
                </c:pt>
                <c:pt idx="1102">
                  <c:v>299.89999999999998</c:v>
                </c:pt>
                <c:pt idx="1103">
                  <c:v>299.2</c:v>
                </c:pt>
                <c:pt idx="1104">
                  <c:v>299.97000000000003</c:v>
                </c:pt>
                <c:pt idx="1105">
                  <c:v>299.97000000000003</c:v>
                </c:pt>
                <c:pt idx="1106">
                  <c:v>299.98</c:v>
                </c:pt>
                <c:pt idx="1107">
                  <c:v>299.89999999999998</c:v>
                </c:pt>
                <c:pt idx="1108">
                  <c:v>337.6</c:v>
                </c:pt>
                <c:pt idx="1109">
                  <c:v>299.97000000000003</c:v>
                </c:pt>
                <c:pt idx="1110">
                  <c:v>299.99</c:v>
                </c:pt>
                <c:pt idx="1111">
                  <c:v>300</c:v>
                </c:pt>
                <c:pt idx="1112">
                  <c:v>299.92</c:v>
                </c:pt>
                <c:pt idx="1113">
                  <c:v>299.95</c:v>
                </c:pt>
                <c:pt idx="1114">
                  <c:v>338.17</c:v>
                </c:pt>
                <c:pt idx="1115">
                  <c:v>338.17</c:v>
                </c:pt>
                <c:pt idx="1116">
                  <c:v>338.17</c:v>
                </c:pt>
                <c:pt idx="1117">
                  <c:v>337.6</c:v>
                </c:pt>
                <c:pt idx="1118">
                  <c:v>338</c:v>
                </c:pt>
                <c:pt idx="1119">
                  <c:v>337.6</c:v>
                </c:pt>
                <c:pt idx="1120">
                  <c:v>300</c:v>
                </c:pt>
                <c:pt idx="1121">
                  <c:v>299.92</c:v>
                </c:pt>
                <c:pt idx="1122">
                  <c:v>300</c:v>
                </c:pt>
                <c:pt idx="1123">
                  <c:v>336</c:v>
                </c:pt>
                <c:pt idx="1124">
                  <c:v>336</c:v>
                </c:pt>
                <c:pt idx="1125">
                  <c:v>348.51</c:v>
                </c:pt>
                <c:pt idx="1126">
                  <c:v>348.51</c:v>
                </c:pt>
                <c:pt idx="1127">
                  <c:v>299.99</c:v>
                </c:pt>
                <c:pt idx="1128">
                  <c:v>300</c:v>
                </c:pt>
                <c:pt idx="1129">
                  <c:v>336.68</c:v>
                </c:pt>
                <c:pt idx="1130">
                  <c:v>336.67</c:v>
                </c:pt>
                <c:pt idx="1131">
                  <c:v>336.7</c:v>
                </c:pt>
                <c:pt idx="1132">
                  <c:v>336.67</c:v>
                </c:pt>
                <c:pt idx="1133">
                  <c:v>336.67</c:v>
                </c:pt>
                <c:pt idx="1134">
                  <c:v>336.67</c:v>
                </c:pt>
                <c:pt idx="1135">
                  <c:v>336.64</c:v>
                </c:pt>
                <c:pt idx="1136">
                  <c:v>336.69</c:v>
                </c:pt>
                <c:pt idx="1137">
                  <c:v>336.67</c:v>
                </c:pt>
                <c:pt idx="1138">
                  <c:v>336.7</c:v>
                </c:pt>
                <c:pt idx="1139">
                  <c:v>336.67</c:v>
                </c:pt>
                <c:pt idx="1140">
                  <c:v>300</c:v>
                </c:pt>
                <c:pt idx="1141">
                  <c:v>328.2</c:v>
                </c:pt>
                <c:pt idx="1142">
                  <c:v>328.2</c:v>
                </c:pt>
                <c:pt idx="1143">
                  <c:v>328.2</c:v>
                </c:pt>
                <c:pt idx="1144">
                  <c:v>328.2</c:v>
                </c:pt>
                <c:pt idx="1145">
                  <c:v>328.2</c:v>
                </c:pt>
                <c:pt idx="1146">
                  <c:v>299.95</c:v>
                </c:pt>
                <c:pt idx="1147">
                  <c:v>336.67</c:v>
                </c:pt>
                <c:pt idx="1148">
                  <c:v>300</c:v>
                </c:pt>
                <c:pt idx="1149">
                  <c:v>332.15</c:v>
                </c:pt>
                <c:pt idx="1150">
                  <c:v>336</c:v>
                </c:pt>
                <c:pt idx="1151">
                  <c:v>299</c:v>
                </c:pt>
                <c:pt idx="1152">
                  <c:v>299.95</c:v>
                </c:pt>
                <c:pt idx="1153">
                  <c:v>299.89999999999998</c:v>
                </c:pt>
                <c:pt idx="1154">
                  <c:v>299.89999999999998</c:v>
                </c:pt>
                <c:pt idx="1155">
                  <c:v>299.83999999999997</c:v>
                </c:pt>
                <c:pt idx="1156">
                  <c:v>299.92</c:v>
                </c:pt>
                <c:pt idx="1157">
                  <c:v>299</c:v>
                </c:pt>
                <c:pt idx="1158">
                  <c:v>299.87</c:v>
                </c:pt>
                <c:pt idx="1159">
                  <c:v>300</c:v>
                </c:pt>
                <c:pt idx="1160">
                  <c:v>299.92</c:v>
                </c:pt>
                <c:pt idx="1161">
                  <c:v>299.93</c:v>
                </c:pt>
                <c:pt idx="1162">
                  <c:v>299.95</c:v>
                </c:pt>
                <c:pt idx="1163">
                  <c:v>299.82</c:v>
                </c:pt>
                <c:pt idx="1164">
                  <c:v>300</c:v>
                </c:pt>
                <c:pt idx="1165">
                  <c:v>299.88</c:v>
                </c:pt>
                <c:pt idx="1166">
                  <c:v>299.91000000000003</c:v>
                </c:pt>
                <c:pt idx="1167">
                  <c:v>299.95</c:v>
                </c:pt>
                <c:pt idx="1168">
                  <c:v>299.89999999999998</c:v>
                </c:pt>
                <c:pt idx="1169">
                  <c:v>285.39999999999998</c:v>
                </c:pt>
                <c:pt idx="1170">
                  <c:v>299.89999999999998</c:v>
                </c:pt>
                <c:pt idx="1171">
                  <c:v>349</c:v>
                </c:pt>
                <c:pt idx="1172">
                  <c:v>349</c:v>
                </c:pt>
                <c:pt idx="1173">
                  <c:v>349</c:v>
                </c:pt>
                <c:pt idx="1174">
                  <c:v>349</c:v>
                </c:pt>
                <c:pt idx="1175">
                  <c:v>300</c:v>
                </c:pt>
                <c:pt idx="1176">
                  <c:v>350.55</c:v>
                </c:pt>
                <c:pt idx="1177">
                  <c:v>350.56</c:v>
                </c:pt>
                <c:pt idx="1178">
                  <c:v>350.55</c:v>
                </c:pt>
                <c:pt idx="1179">
                  <c:v>350.56</c:v>
                </c:pt>
                <c:pt idx="1180">
                  <c:v>350.56</c:v>
                </c:pt>
                <c:pt idx="1181">
                  <c:v>366.93</c:v>
                </c:pt>
                <c:pt idx="1182">
                  <c:v>366.93</c:v>
                </c:pt>
                <c:pt idx="1183">
                  <c:v>367</c:v>
                </c:pt>
                <c:pt idx="1184">
                  <c:v>366.93</c:v>
                </c:pt>
                <c:pt idx="1185">
                  <c:v>366.93</c:v>
                </c:pt>
                <c:pt idx="1186">
                  <c:v>366.89</c:v>
                </c:pt>
                <c:pt idx="1187">
                  <c:v>366.93</c:v>
                </c:pt>
                <c:pt idx="1188">
                  <c:v>366.89</c:v>
                </c:pt>
                <c:pt idx="1189">
                  <c:v>350.09</c:v>
                </c:pt>
                <c:pt idx="1190">
                  <c:v>336.7</c:v>
                </c:pt>
                <c:pt idx="1191">
                  <c:v>336.7</c:v>
                </c:pt>
                <c:pt idx="1192">
                  <c:v>336.7</c:v>
                </c:pt>
                <c:pt idx="1193">
                  <c:v>336.7</c:v>
                </c:pt>
                <c:pt idx="1194">
                  <c:v>336.7</c:v>
                </c:pt>
                <c:pt idx="1195">
                  <c:v>336.7</c:v>
                </c:pt>
                <c:pt idx="1196">
                  <c:v>336.67</c:v>
                </c:pt>
                <c:pt idx="1197">
                  <c:v>336.7</c:v>
                </c:pt>
                <c:pt idx="1198">
                  <c:v>332.15</c:v>
                </c:pt>
                <c:pt idx="1199">
                  <c:v>332.15</c:v>
                </c:pt>
                <c:pt idx="1200">
                  <c:v>332.15</c:v>
                </c:pt>
                <c:pt idx="1201">
                  <c:v>333.15</c:v>
                </c:pt>
                <c:pt idx="1202">
                  <c:v>335</c:v>
                </c:pt>
                <c:pt idx="1203">
                  <c:v>350.05</c:v>
                </c:pt>
                <c:pt idx="1204">
                  <c:v>350.09</c:v>
                </c:pt>
                <c:pt idx="1205">
                  <c:v>350.06</c:v>
                </c:pt>
                <c:pt idx="1206">
                  <c:v>366.89</c:v>
                </c:pt>
                <c:pt idx="1207">
                  <c:v>366.89</c:v>
                </c:pt>
                <c:pt idx="1208">
                  <c:v>367</c:v>
                </c:pt>
                <c:pt idx="1209">
                  <c:v>333.2</c:v>
                </c:pt>
                <c:pt idx="1210">
                  <c:v>333.2</c:v>
                </c:pt>
                <c:pt idx="1211">
                  <c:v>333.2</c:v>
                </c:pt>
                <c:pt idx="1212">
                  <c:v>333.2</c:v>
                </c:pt>
                <c:pt idx="1213">
                  <c:v>333.2</c:v>
                </c:pt>
                <c:pt idx="1214">
                  <c:v>333</c:v>
                </c:pt>
                <c:pt idx="1215">
                  <c:v>333.2</c:v>
                </c:pt>
                <c:pt idx="1216">
                  <c:v>300</c:v>
                </c:pt>
                <c:pt idx="1217">
                  <c:v>349.7</c:v>
                </c:pt>
                <c:pt idx="1218">
                  <c:v>349.7</c:v>
                </c:pt>
                <c:pt idx="1219">
                  <c:v>349.65</c:v>
                </c:pt>
                <c:pt idx="1220">
                  <c:v>349.7</c:v>
                </c:pt>
                <c:pt idx="1221">
                  <c:v>349.7</c:v>
                </c:pt>
                <c:pt idx="1222">
                  <c:v>300</c:v>
                </c:pt>
                <c:pt idx="1223">
                  <c:v>300.39999999999998</c:v>
                </c:pt>
                <c:pt idx="1224">
                  <c:v>314.36</c:v>
                </c:pt>
                <c:pt idx="1225">
                  <c:v>314.33</c:v>
                </c:pt>
                <c:pt idx="1226">
                  <c:v>299.94</c:v>
                </c:pt>
                <c:pt idx="1227">
                  <c:v>336.94</c:v>
                </c:pt>
                <c:pt idx="1228">
                  <c:v>337</c:v>
                </c:pt>
                <c:pt idx="1229">
                  <c:v>348.5</c:v>
                </c:pt>
                <c:pt idx="1230">
                  <c:v>337</c:v>
                </c:pt>
                <c:pt idx="1231">
                  <c:v>337</c:v>
                </c:pt>
                <c:pt idx="1232">
                  <c:v>337</c:v>
                </c:pt>
                <c:pt idx="1233">
                  <c:v>337</c:v>
                </c:pt>
                <c:pt idx="1234">
                  <c:v>337</c:v>
                </c:pt>
                <c:pt idx="1235">
                  <c:v>336.95</c:v>
                </c:pt>
                <c:pt idx="1236">
                  <c:v>335.35</c:v>
                </c:pt>
                <c:pt idx="1237">
                  <c:v>335.35</c:v>
                </c:pt>
                <c:pt idx="1238">
                  <c:v>349.07</c:v>
                </c:pt>
                <c:pt idx="1239">
                  <c:v>322.7</c:v>
                </c:pt>
                <c:pt idx="1240">
                  <c:v>349.07</c:v>
                </c:pt>
                <c:pt idx="1241">
                  <c:v>349.07</c:v>
                </c:pt>
                <c:pt idx="1242">
                  <c:v>349.07</c:v>
                </c:pt>
                <c:pt idx="1243">
                  <c:v>348.5</c:v>
                </c:pt>
                <c:pt idx="1244">
                  <c:v>348.5</c:v>
                </c:pt>
                <c:pt idx="1245">
                  <c:v>348.5</c:v>
                </c:pt>
                <c:pt idx="1246">
                  <c:v>349</c:v>
                </c:pt>
                <c:pt idx="1247">
                  <c:v>349</c:v>
                </c:pt>
                <c:pt idx="1248">
                  <c:v>349</c:v>
                </c:pt>
                <c:pt idx="1249">
                  <c:v>349</c:v>
                </c:pt>
                <c:pt idx="1250">
                  <c:v>349.27</c:v>
                </c:pt>
                <c:pt idx="1251">
                  <c:v>349.27</c:v>
                </c:pt>
                <c:pt idx="1252">
                  <c:v>349</c:v>
                </c:pt>
                <c:pt idx="1253">
                  <c:v>349</c:v>
                </c:pt>
                <c:pt idx="1254">
                  <c:v>349</c:v>
                </c:pt>
                <c:pt idx="1255">
                  <c:v>324</c:v>
                </c:pt>
                <c:pt idx="1256">
                  <c:v>335.93</c:v>
                </c:pt>
                <c:pt idx="1257">
                  <c:v>336.94</c:v>
                </c:pt>
                <c:pt idx="1258">
                  <c:v>336.96</c:v>
                </c:pt>
                <c:pt idx="1259">
                  <c:v>337</c:v>
                </c:pt>
                <c:pt idx="1260">
                  <c:v>337</c:v>
                </c:pt>
                <c:pt idx="1261">
                  <c:v>336.94</c:v>
                </c:pt>
                <c:pt idx="1262">
                  <c:v>336.92</c:v>
                </c:pt>
                <c:pt idx="1263">
                  <c:v>337</c:v>
                </c:pt>
                <c:pt idx="1264">
                  <c:v>336.9</c:v>
                </c:pt>
                <c:pt idx="1265">
                  <c:v>337</c:v>
                </c:pt>
                <c:pt idx="1266">
                  <c:v>336</c:v>
                </c:pt>
                <c:pt idx="1267">
                  <c:v>349</c:v>
                </c:pt>
                <c:pt idx="1268">
                  <c:v>349</c:v>
                </c:pt>
                <c:pt idx="1269">
                  <c:v>349</c:v>
                </c:pt>
                <c:pt idx="1270">
                  <c:v>333.2</c:v>
                </c:pt>
                <c:pt idx="1271">
                  <c:v>333</c:v>
                </c:pt>
                <c:pt idx="1272">
                  <c:v>333</c:v>
                </c:pt>
                <c:pt idx="1273">
                  <c:v>333</c:v>
                </c:pt>
                <c:pt idx="1274">
                  <c:v>333</c:v>
                </c:pt>
                <c:pt idx="1275">
                  <c:v>331.1</c:v>
                </c:pt>
                <c:pt idx="1276">
                  <c:v>331</c:v>
                </c:pt>
                <c:pt idx="1277">
                  <c:v>347</c:v>
                </c:pt>
                <c:pt idx="1278">
                  <c:v>250</c:v>
                </c:pt>
                <c:pt idx="1279">
                  <c:v>347</c:v>
                </c:pt>
                <c:pt idx="1280">
                  <c:v>347</c:v>
                </c:pt>
                <c:pt idx="1281">
                  <c:v>347</c:v>
                </c:pt>
                <c:pt idx="1282">
                  <c:v>314.31</c:v>
                </c:pt>
                <c:pt idx="1283">
                  <c:v>333</c:v>
                </c:pt>
                <c:pt idx="1284">
                  <c:v>333.2</c:v>
                </c:pt>
                <c:pt idx="1285">
                  <c:v>347.48</c:v>
                </c:pt>
                <c:pt idx="1286">
                  <c:v>347.48</c:v>
                </c:pt>
                <c:pt idx="1287">
                  <c:v>330</c:v>
                </c:pt>
                <c:pt idx="1288">
                  <c:v>330</c:v>
                </c:pt>
                <c:pt idx="1289">
                  <c:v>330.03</c:v>
                </c:pt>
                <c:pt idx="1290">
                  <c:v>330</c:v>
                </c:pt>
                <c:pt idx="1291">
                  <c:v>330</c:v>
                </c:pt>
                <c:pt idx="1292">
                  <c:v>347.48</c:v>
                </c:pt>
                <c:pt idx="1293">
                  <c:v>347.17</c:v>
                </c:pt>
                <c:pt idx="1294">
                  <c:v>363.57</c:v>
                </c:pt>
                <c:pt idx="1295">
                  <c:v>363.57</c:v>
                </c:pt>
                <c:pt idx="1296">
                  <c:v>363.57</c:v>
                </c:pt>
                <c:pt idx="1297">
                  <c:v>363.58</c:v>
                </c:pt>
                <c:pt idx="1298">
                  <c:v>363</c:v>
                </c:pt>
                <c:pt idx="1299">
                  <c:v>363</c:v>
                </c:pt>
                <c:pt idx="1300">
                  <c:v>363</c:v>
                </c:pt>
                <c:pt idx="1301">
                  <c:v>363</c:v>
                </c:pt>
                <c:pt idx="1302">
                  <c:v>363</c:v>
                </c:pt>
                <c:pt idx="1303">
                  <c:v>363</c:v>
                </c:pt>
                <c:pt idx="1304">
                  <c:v>363</c:v>
                </c:pt>
                <c:pt idx="1305">
                  <c:v>363</c:v>
                </c:pt>
                <c:pt idx="1306">
                  <c:v>363</c:v>
                </c:pt>
                <c:pt idx="1307">
                  <c:v>363.6</c:v>
                </c:pt>
                <c:pt idx="1308">
                  <c:v>363</c:v>
                </c:pt>
                <c:pt idx="1309">
                  <c:v>363</c:v>
                </c:pt>
                <c:pt idx="1310">
                  <c:v>328.46</c:v>
                </c:pt>
                <c:pt idx="1311">
                  <c:v>328.46</c:v>
                </c:pt>
                <c:pt idx="1312">
                  <c:v>365.8</c:v>
                </c:pt>
                <c:pt idx="1313">
                  <c:v>365.74</c:v>
                </c:pt>
                <c:pt idx="1314">
                  <c:v>366</c:v>
                </c:pt>
                <c:pt idx="1315">
                  <c:v>366.08</c:v>
                </c:pt>
                <c:pt idx="1316">
                  <c:v>366.04</c:v>
                </c:pt>
                <c:pt idx="1317">
                  <c:v>366</c:v>
                </c:pt>
                <c:pt idx="1318">
                  <c:v>366</c:v>
                </c:pt>
                <c:pt idx="1319">
                  <c:v>365.8</c:v>
                </c:pt>
                <c:pt idx="1320">
                  <c:v>365.8</c:v>
                </c:pt>
                <c:pt idx="1321">
                  <c:v>366</c:v>
                </c:pt>
                <c:pt idx="1322">
                  <c:v>366</c:v>
                </c:pt>
                <c:pt idx="1323">
                  <c:v>365.5</c:v>
                </c:pt>
                <c:pt idx="1324">
                  <c:v>365.5</c:v>
                </c:pt>
                <c:pt idx="1325">
                  <c:v>365.8</c:v>
                </c:pt>
                <c:pt idx="1326">
                  <c:v>365.5</c:v>
                </c:pt>
                <c:pt idx="1327">
                  <c:v>365</c:v>
                </c:pt>
                <c:pt idx="1328">
                  <c:v>365.5</c:v>
                </c:pt>
                <c:pt idx="1329">
                  <c:v>365.8</c:v>
                </c:pt>
                <c:pt idx="1330">
                  <c:v>366</c:v>
                </c:pt>
                <c:pt idx="1331">
                  <c:v>366</c:v>
                </c:pt>
                <c:pt idx="1332">
                  <c:v>366</c:v>
                </c:pt>
                <c:pt idx="1333">
                  <c:v>366</c:v>
                </c:pt>
                <c:pt idx="1334">
                  <c:v>366</c:v>
                </c:pt>
                <c:pt idx="1335">
                  <c:v>366</c:v>
                </c:pt>
                <c:pt idx="1336">
                  <c:v>366</c:v>
                </c:pt>
                <c:pt idx="1337">
                  <c:v>366</c:v>
                </c:pt>
                <c:pt idx="1338">
                  <c:v>349</c:v>
                </c:pt>
                <c:pt idx="1339">
                  <c:v>349</c:v>
                </c:pt>
                <c:pt idx="1340">
                  <c:v>366.5</c:v>
                </c:pt>
                <c:pt idx="1341">
                  <c:v>366.5</c:v>
                </c:pt>
                <c:pt idx="1342">
                  <c:v>366.5</c:v>
                </c:pt>
                <c:pt idx="1343">
                  <c:v>366</c:v>
                </c:pt>
                <c:pt idx="1344">
                  <c:v>366.5</c:v>
                </c:pt>
                <c:pt idx="1345">
                  <c:v>366</c:v>
                </c:pt>
                <c:pt idx="1346">
                  <c:v>366</c:v>
                </c:pt>
                <c:pt idx="1347">
                  <c:v>366.46</c:v>
                </c:pt>
                <c:pt idx="1348">
                  <c:v>366</c:v>
                </c:pt>
                <c:pt idx="1349">
                  <c:v>366</c:v>
                </c:pt>
                <c:pt idx="1350">
                  <c:v>366</c:v>
                </c:pt>
                <c:pt idx="1351">
                  <c:v>366.47</c:v>
                </c:pt>
                <c:pt idx="1352">
                  <c:v>366.46</c:v>
                </c:pt>
                <c:pt idx="1353">
                  <c:v>349</c:v>
                </c:pt>
                <c:pt idx="1354">
                  <c:v>366</c:v>
                </c:pt>
                <c:pt idx="1355">
                  <c:v>366</c:v>
                </c:pt>
                <c:pt idx="1356">
                  <c:v>366</c:v>
                </c:pt>
                <c:pt idx="1357">
                  <c:v>365.5</c:v>
                </c:pt>
                <c:pt idx="1358">
                  <c:v>365.5</c:v>
                </c:pt>
                <c:pt idx="1359">
                  <c:v>366</c:v>
                </c:pt>
                <c:pt idx="1360">
                  <c:v>365.5</c:v>
                </c:pt>
                <c:pt idx="1361">
                  <c:v>366</c:v>
                </c:pt>
                <c:pt idx="1362">
                  <c:v>366.47</c:v>
                </c:pt>
                <c:pt idx="1363">
                  <c:v>366.44</c:v>
                </c:pt>
                <c:pt idx="1364">
                  <c:v>366.47</c:v>
                </c:pt>
                <c:pt idx="1365">
                  <c:v>365.5</c:v>
                </c:pt>
                <c:pt idx="1366">
                  <c:v>366.36</c:v>
                </c:pt>
                <c:pt idx="1367">
                  <c:v>366.37</c:v>
                </c:pt>
                <c:pt idx="1368">
                  <c:v>366.45</c:v>
                </c:pt>
                <c:pt idx="1369">
                  <c:v>366</c:v>
                </c:pt>
                <c:pt idx="1370">
                  <c:v>366</c:v>
                </c:pt>
                <c:pt idx="1371">
                  <c:v>366</c:v>
                </c:pt>
                <c:pt idx="1372">
                  <c:v>366</c:v>
                </c:pt>
                <c:pt idx="1373">
                  <c:v>366</c:v>
                </c:pt>
                <c:pt idx="1374">
                  <c:v>366</c:v>
                </c:pt>
                <c:pt idx="1375">
                  <c:v>366</c:v>
                </c:pt>
                <c:pt idx="1376">
                  <c:v>366</c:v>
                </c:pt>
                <c:pt idx="1377">
                  <c:v>366</c:v>
                </c:pt>
                <c:pt idx="1378">
                  <c:v>366</c:v>
                </c:pt>
                <c:pt idx="1379">
                  <c:v>365.5</c:v>
                </c:pt>
                <c:pt idx="1380">
                  <c:v>366</c:v>
                </c:pt>
                <c:pt idx="1381">
                  <c:v>366</c:v>
                </c:pt>
                <c:pt idx="1382">
                  <c:v>366</c:v>
                </c:pt>
                <c:pt idx="1383">
                  <c:v>366.6</c:v>
                </c:pt>
                <c:pt idx="1384">
                  <c:v>366</c:v>
                </c:pt>
                <c:pt idx="1385">
                  <c:v>366</c:v>
                </c:pt>
                <c:pt idx="1386">
                  <c:v>366</c:v>
                </c:pt>
                <c:pt idx="1387">
                  <c:v>366</c:v>
                </c:pt>
                <c:pt idx="1388">
                  <c:v>366</c:v>
                </c:pt>
                <c:pt idx="1389">
                  <c:v>366</c:v>
                </c:pt>
                <c:pt idx="1390">
                  <c:v>366</c:v>
                </c:pt>
                <c:pt idx="1391">
                  <c:v>366</c:v>
                </c:pt>
                <c:pt idx="1392">
                  <c:v>365.58</c:v>
                </c:pt>
                <c:pt idx="1393">
                  <c:v>365.5</c:v>
                </c:pt>
                <c:pt idx="1394">
                  <c:v>365.5</c:v>
                </c:pt>
                <c:pt idx="1395">
                  <c:v>365.5</c:v>
                </c:pt>
                <c:pt idx="1396">
                  <c:v>365.5</c:v>
                </c:pt>
                <c:pt idx="1397">
                  <c:v>365.5</c:v>
                </c:pt>
                <c:pt idx="1398">
                  <c:v>366</c:v>
                </c:pt>
                <c:pt idx="1399">
                  <c:v>365.5</c:v>
                </c:pt>
                <c:pt idx="1400">
                  <c:v>356.5</c:v>
                </c:pt>
                <c:pt idx="1401">
                  <c:v>365.5</c:v>
                </c:pt>
                <c:pt idx="1402">
                  <c:v>365.5</c:v>
                </c:pt>
                <c:pt idx="1403">
                  <c:v>365.5</c:v>
                </c:pt>
                <c:pt idx="1404">
                  <c:v>365.5</c:v>
                </c:pt>
                <c:pt idx="1405">
                  <c:v>366</c:v>
                </c:pt>
                <c:pt idx="1406">
                  <c:v>366</c:v>
                </c:pt>
                <c:pt idx="1407">
                  <c:v>366</c:v>
                </c:pt>
                <c:pt idx="1408">
                  <c:v>366</c:v>
                </c:pt>
                <c:pt idx="1409">
                  <c:v>366</c:v>
                </c:pt>
                <c:pt idx="1410">
                  <c:v>366</c:v>
                </c:pt>
                <c:pt idx="1411">
                  <c:v>366</c:v>
                </c:pt>
                <c:pt idx="1412">
                  <c:v>366</c:v>
                </c:pt>
                <c:pt idx="1413">
                  <c:v>366</c:v>
                </c:pt>
                <c:pt idx="1414">
                  <c:v>366</c:v>
                </c:pt>
                <c:pt idx="1415">
                  <c:v>366</c:v>
                </c:pt>
                <c:pt idx="1416">
                  <c:v>366</c:v>
                </c:pt>
                <c:pt idx="1417">
                  <c:v>366.07</c:v>
                </c:pt>
                <c:pt idx="1418">
                  <c:v>365.5</c:v>
                </c:pt>
                <c:pt idx="1419">
                  <c:v>365.5</c:v>
                </c:pt>
                <c:pt idx="1420">
                  <c:v>366.06</c:v>
                </c:pt>
                <c:pt idx="1421">
                  <c:v>366.07</c:v>
                </c:pt>
                <c:pt idx="1422">
                  <c:v>366.07</c:v>
                </c:pt>
                <c:pt idx="1423">
                  <c:v>365.5</c:v>
                </c:pt>
                <c:pt idx="1424">
                  <c:v>365.5</c:v>
                </c:pt>
                <c:pt idx="1425">
                  <c:v>366</c:v>
                </c:pt>
                <c:pt idx="1426">
                  <c:v>366.6</c:v>
                </c:pt>
                <c:pt idx="1427">
                  <c:v>368</c:v>
                </c:pt>
                <c:pt idx="1428">
                  <c:v>368</c:v>
                </c:pt>
                <c:pt idx="1429">
                  <c:v>368</c:v>
                </c:pt>
                <c:pt idx="1430">
                  <c:v>367</c:v>
                </c:pt>
                <c:pt idx="1431">
                  <c:v>368</c:v>
                </c:pt>
                <c:pt idx="1432">
                  <c:v>368</c:v>
                </c:pt>
                <c:pt idx="1433">
                  <c:v>368</c:v>
                </c:pt>
                <c:pt idx="1434">
                  <c:v>368</c:v>
                </c:pt>
                <c:pt idx="1435">
                  <c:v>368.5</c:v>
                </c:pt>
                <c:pt idx="1436">
                  <c:v>368.5</c:v>
                </c:pt>
                <c:pt idx="1437">
                  <c:v>368</c:v>
                </c:pt>
                <c:pt idx="1438">
                  <c:v>368</c:v>
                </c:pt>
                <c:pt idx="1439">
                  <c:v>368.5</c:v>
                </c:pt>
                <c:pt idx="1440">
                  <c:v>368</c:v>
                </c:pt>
                <c:pt idx="1441">
                  <c:v>368</c:v>
                </c:pt>
                <c:pt idx="1442">
                  <c:v>368</c:v>
                </c:pt>
                <c:pt idx="1443">
                  <c:v>368.5</c:v>
                </c:pt>
                <c:pt idx="1444">
                  <c:v>365.5</c:v>
                </c:pt>
                <c:pt idx="1445">
                  <c:v>365.5</c:v>
                </c:pt>
                <c:pt idx="1446">
                  <c:v>365.5</c:v>
                </c:pt>
                <c:pt idx="1447">
                  <c:v>365.5</c:v>
                </c:pt>
                <c:pt idx="1448">
                  <c:v>366</c:v>
                </c:pt>
                <c:pt idx="1449">
                  <c:v>366</c:v>
                </c:pt>
                <c:pt idx="1450">
                  <c:v>366</c:v>
                </c:pt>
                <c:pt idx="1451">
                  <c:v>365.9</c:v>
                </c:pt>
                <c:pt idx="1452">
                  <c:v>365.9</c:v>
                </c:pt>
                <c:pt idx="1453">
                  <c:v>365.9</c:v>
                </c:pt>
                <c:pt idx="1454">
                  <c:v>365.9</c:v>
                </c:pt>
                <c:pt idx="1455">
                  <c:v>365.9</c:v>
                </c:pt>
                <c:pt idx="1456">
                  <c:v>365.9</c:v>
                </c:pt>
                <c:pt idx="1457">
                  <c:v>365.9</c:v>
                </c:pt>
                <c:pt idx="1458">
                  <c:v>365</c:v>
                </c:pt>
                <c:pt idx="1459">
                  <c:v>368.5</c:v>
                </c:pt>
                <c:pt idx="1460">
                  <c:v>368.5</c:v>
                </c:pt>
                <c:pt idx="1461">
                  <c:v>365.94</c:v>
                </c:pt>
                <c:pt idx="1462">
                  <c:v>368.5</c:v>
                </c:pt>
                <c:pt idx="1463">
                  <c:v>368.5</c:v>
                </c:pt>
                <c:pt idx="1464">
                  <c:v>368.5</c:v>
                </c:pt>
                <c:pt idx="1465">
                  <c:v>368.5</c:v>
                </c:pt>
                <c:pt idx="1466">
                  <c:v>368.5</c:v>
                </c:pt>
                <c:pt idx="1467">
                  <c:v>365.5</c:v>
                </c:pt>
                <c:pt idx="1468">
                  <c:v>365</c:v>
                </c:pt>
                <c:pt idx="1469">
                  <c:v>365.5</c:v>
                </c:pt>
                <c:pt idx="1470">
                  <c:v>365.52</c:v>
                </c:pt>
                <c:pt idx="1471">
                  <c:v>365.81</c:v>
                </c:pt>
                <c:pt idx="1472">
                  <c:v>366.07</c:v>
                </c:pt>
                <c:pt idx="1473">
                  <c:v>365.79</c:v>
                </c:pt>
                <c:pt idx="1474">
                  <c:v>365.5</c:v>
                </c:pt>
                <c:pt idx="1475">
                  <c:v>365.83</c:v>
                </c:pt>
                <c:pt idx="1476">
                  <c:v>365.5</c:v>
                </c:pt>
                <c:pt idx="1477">
                  <c:v>365.8</c:v>
                </c:pt>
                <c:pt idx="1478">
                  <c:v>365.5</c:v>
                </c:pt>
                <c:pt idx="1479">
                  <c:v>365.82</c:v>
                </c:pt>
                <c:pt idx="1480">
                  <c:v>365.5</c:v>
                </c:pt>
                <c:pt idx="1481">
                  <c:v>364</c:v>
                </c:pt>
                <c:pt idx="1482">
                  <c:v>364</c:v>
                </c:pt>
                <c:pt idx="1483">
                  <c:v>364</c:v>
                </c:pt>
                <c:pt idx="1484">
                  <c:v>364</c:v>
                </c:pt>
                <c:pt idx="1485">
                  <c:v>364</c:v>
                </c:pt>
                <c:pt idx="1486">
                  <c:v>364</c:v>
                </c:pt>
                <c:pt idx="1487">
                  <c:v>366</c:v>
                </c:pt>
                <c:pt idx="1488">
                  <c:v>368</c:v>
                </c:pt>
                <c:pt idx="1489">
                  <c:v>366.36</c:v>
                </c:pt>
                <c:pt idx="1490">
                  <c:v>364</c:v>
                </c:pt>
                <c:pt idx="1491">
                  <c:v>364</c:v>
                </c:pt>
                <c:pt idx="1492">
                  <c:v>364.15</c:v>
                </c:pt>
                <c:pt idx="1493">
                  <c:v>364</c:v>
                </c:pt>
                <c:pt idx="1494">
                  <c:v>364</c:v>
                </c:pt>
                <c:pt idx="1495">
                  <c:v>364</c:v>
                </c:pt>
                <c:pt idx="1496">
                  <c:v>364.15</c:v>
                </c:pt>
                <c:pt idx="1497">
                  <c:v>364</c:v>
                </c:pt>
                <c:pt idx="1498">
                  <c:v>365.5</c:v>
                </c:pt>
                <c:pt idx="1499">
                  <c:v>366.07</c:v>
                </c:pt>
                <c:pt idx="1500">
                  <c:v>366</c:v>
                </c:pt>
                <c:pt idx="1501">
                  <c:v>366.07</c:v>
                </c:pt>
                <c:pt idx="1502">
                  <c:v>366.07</c:v>
                </c:pt>
                <c:pt idx="1503">
                  <c:v>366</c:v>
                </c:pt>
                <c:pt idx="1504">
                  <c:v>368</c:v>
                </c:pt>
                <c:pt idx="1505">
                  <c:v>368</c:v>
                </c:pt>
                <c:pt idx="1506">
                  <c:v>368</c:v>
                </c:pt>
                <c:pt idx="1507">
                  <c:v>368</c:v>
                </c:pt>
                <c:pt idx="1508">
                  <c:v>368</c:v>
                </c:pt>
                <c:pt idx="1509">
                  <c:v>368</c:v>
                </c:pt>
                <c:pt idx="1510">
                  <c:v>366</c:v>
                </c:pt>
                <c:pt idx="1511">
                  <c:v>369</c:v>
                </c:pt>
                <c:pt idx="1512">
                  <c:v>366.44</c:v>
                </c:pt>
                <c:pt idx="1513">
                  <c:v>369</c:v>
                </c:pt>
                <c:pt idx="1514">
                  <c:v>369</c:v>
                </c:pt>
                <c:pt idx="1515">
                  <c:v>369</c:v>
                </c:pt>
                <c:pt idx="1516">
                  <c:v>369</c:v>
                </c:pt>
                <c:pt idx="1517">
                  <c:v>368</c:v>
                </c:pt>
                <c:pt idx="1518">
                  <c:v>364</c:v>
                </c:pt>
                <c:pt idx="1519">
                  <c:v>366</c:v>
                </c:pt>
                <c:pt idx="1520">
                  <c:v>366</c:v>
                </c:pt>
                <c:pt idx="1521">
                  <c:v>366</c:v>
                </c:pt>
                <c:pt idx="1522">
                  <c:v>368.35</c:v>
                </c:pt>
                <c:pt idx="1523">
                  <c:v>368.35</c:v>
                </c:pt>
                <c:pt idx="1524">
                  <c:v>368.52</c:v>
                </c:pt>
                <c:pt idx="1525">
                  <c:v>368.52</c:v>
                </c:pt>
                <c:pt idx="1526">
                  <c:v>369</c:v>
                </c:pt>
                <c:pt idx="1527">
                  <c:v>368.52</c:v>
                </c:pt>
                <c:pt idx="1528">
                  <c:v>368.52</c:v>
                </c:pt>
                <c:pt idx="1529">
                  <c:v>368.52</c:v>
                </c:pt>
                <c:pt idx="1530">
                  <c:v>368</c:v>
                </c:pt>
                <c:pt idx="1531">
                  <c:v>368</c:v>
                </c:pt>
                <c:pt idx="1532">
                  <c:v>366</c:v>
                </c:pt>
                <c:pt idx="1533">
                  <c:v>366</c:v>
                </c:pt>
                <c:pt idx="1534">
                  <c:v>365.98</c:v>
                </c:pt>
                <c:pt idx="1535">
                  <c:v>365</c:v>
                </c:pt>
                <c:pt idx="1536">
                  <c:v>353.02</c:v>
                </c:pt>
                <c:pt idx="1537">
                  <c:v>397</c:v>
                </c:pt>
                <c:pt idx="1538">
                  <c:v>397</c:v>
                </c:pt>
                <c:pt idx="1539">
                  <c:v>398</c:v>
                </c:pt>
                <c:pt idx="1540">
                  <c:v>397.71</c:v>
                </c:pt>
                <c:pt idx="1541">
                  <c:v>397.71</c:v>
                </c:pt>
                <c:pt idx="1542">
                  <c:v>397.71</c:v>
                </c:pt>
                <c:pt idx="1543">
                  <c:v>397.71</c:v>
                </c:pt>
                <c:pt idx="1544">
                  <c:v>397</c:v>
                </c:pt>
                <c:pt idx="1545">
                  <c:v>399</c:v>
                </c:pt>
                <c:pt idx="1546">
                  <c:v>399</c:v>
                </c:pt>
                <c:pt idx="1547">
                  <c:v>399</c:v>
                </c:pt>
                <c:pt idx="1548">
                  <c:v>398.49</c:v>
                </c:pt>
                <c:pt idx="1549">
                  <c:v>396</c:v>
                </c:pt>
                <c:pt idx="1550">
                  <c:v>398</c:v>
                </c:pt>
                <c:pt idx="1551">
                  <c:v>394.4</c:v>
                </c:pt>
                <c:pt idx="1552">
                  <c:v>396</c:v>
                </c:pt>
                <c:pt idx="1553">
                  <c:v>399</c:v>
                </c:pt>
                <c:pt idx="1554">
                  <c:v>399</c:v>
                </c:pt>
                <c:pt idx="1555">
                  <c:v>399</c:v>
                </c:pt>
                <c:pt idx="1556">
                  <c:v>399.2</c:v>
                </c:pt>
                <c:pt idx="1557">
                  <c:v>399.97</c:v>
                </c:pt>
                <c:pt idx="1558">
                  <c:v>399.72</c:v>
                </c:pt>
                <c:pt idx="1559">
                  <c:v>400</c:v>
                </c:pt>
                <c:pt idx="1560">
                  <c:v>399.98</c:v>
                </c:pt>
                <c:pt idx="1561">
                  <c:v>397.56</c:v>
                </c:pt>
                <c:pt idx="1562">
                  <c:v>398</c:v>
                </c:pt>
                <c:pt idx="1563">
                  <c:v>398</c:v>
                </c:pt>
                <c:pt idx="1564">
                  <c:v>399.82</c:v>
                </c:pt>
                <c:pt idx="1565">
                  <c:v>399.99</c:v>
                </c:pt>
                <c:pt idx="1566">
                  <c:v>399.97</c:v>
                </c:pt>
                <c:pt idx="1567">
                  <c:v>399</c:v>
                </c:pt>
                <c:pt idx="1568">
                  <c:v>398</c:v>
                </c:pt>
                <c:pt idx="1569">
                  <c:v>398</c:v>
                </c:pt>
                <c:pt idx="1570">
                  <c:v>399.2</c:v>
                </c:pt>
                <c:pt idx="1571">
                  <c:v>399.2</c:v>
                </c:pt>
                <c:pt idx="1572">
                  <c:v>399.2</c:v>
                </c:pt>
                <c:pt idx="1573">
                  <c:v>399</c:v>
                </c:pt>
                <c:pt idx="1574">
                  <c:v>399.2</c:v>
                </c:pt>
                <c:pt idx="1575">
                  <c:v>399.2</c:v>
                </c:pt>
                <c:pt idx="1576">
                  <c:v>399</c:v>
                </c:pt>
                <c:pt idx="1577">
                  <c:v>399.2</c:v>
                </c:pt>
                <c:pt idx="1578">
                  <c:v>399</c:v>
                </c:pt>
                <c:pt idx="1579">
                  <c:v>399.2</c:v>
                </c:pt>
                <c:pt idx="1580">
                  <c:v>399.2</c:v>
                </c:pt>
                <c:pt idx="1581">
                  <c:v>399</c:v>
                </c:pt>
                <c:pt idx="1582">
                  <c:v>399.2</c:v>
                </c:pt>
                <c:pt idx="1583">
                  <c:v>399</c:v>
                </c:pt>
                <c:pt idx="1584">
                  <c:v>399</c:v>
                </c:pt>
                <c:pt idx="1585">
                  <c:v>399</c:v>
                </c:pt>
                <c:pt idx="1586">
                  <c:v>399.9</c:v>
                </c:pt>
                <c:pt idx="1587">
                  <c:v>399.9</c:v>
                </c:pt>
                <c:pt idx="1588">
                  <c:v>400</c:v>
                </c:pt>
                <c:pt idx="1589">
                  <c:v>400</c:v>
                </c:pt>
                <c:pt idx="1590">
                  <c:v>400</c:v>
                </c:pt>
                <c:pt idx="1591">
                  <c:v>399.67</c:v>
                </c:pt>
                <c:pt idx="1592">
                  <c:v>399.67</c:v>
                </c:pt>
                <c:pt idx="1593">
                  <c:v>399.64</c:v>
                </c:pt>
                <c:pt idx="1594">
                  <c:v>395.47</c:v>
                </c:pt>
                <c:pt idx="1595">
                  <c:v>400</c:v>
                </c:pt>
                <c:pt idx="1596">
                  <c:v>399.67</c:v>
                </c:pt>
                <c:pt idx="1597">
                  <c:v>400</c:v>
                </c:pt>
                <c:pt idx="1598">
                  <c:v>395.4</c:v>
                </c:pt>
                <c:pt idx="1599">
                  <c:v>398.45</c:v>
                </c:pt>
                <c:pt idx="1600">
                  <c:v>395.49</c:v>
                </c:pt>
                <c:pt idx="1601">
                  <c:v>395.47</c:v>
                </c:pt>
                <c:pt idx="1602">
                  <c:v>395.45</c:v>
                </c:pt>
                <c:pt idx="1603">
                  <c:v>394.4</c:v>
                </c:pt>
                <c:pt idx="1604">
                  <c:v>400</c:v>
                </c:pt>
                <c:pt idx="1605">
                  <c:v>400</c:v>
                </c:pt>
                <c:pt idx="1606">
                  <c:v>400</c:v>
                </c:pt>
                <c:pt idx="1607">
                  <c:v>400</c:v>
                </c:pt>
                <c:pt idx="1608">
                  <c:v>395</c:v>
                </c:pt>
                <c:pt idx="1609">
                  <c:v>398.4</c:v>
                </c:pt>
                <c:pt idx="1610">
                  <c:v>398</c:v>
                </c:pt>
                <c:pt idx="1611">
                  <c:v>400</c:v>
                </c:pt>
                <c:pt idx="1612">
                  <c:v>399.9</c:v>
                </c:pt>
                <c:pt idx="1613">
                  <c:v>399</c:v>
                </c:pt>
                <c:pt idx="1614">
                  <c:v>400</c:v>
                </c:pt>
                <c:pt idx="1615">
                  <c:v>400</c:v>
                </c:pt>
                <c:pt idx="1616">
                  <c:v>400</c:v>
                </c:pt>
                <c:pt idx="1617">
                  <c:v>399.82</c:v>
                </c:pt>
                <c:pt idx="1618">
                  <c:v>399.8</c:v>
                </c:pt>
                <c:pt idx="1619">
                  <c:v>399.82</c:v>
                </c:pt>
                <c:pt idx="1620">
                  <c:v>399</c:v>
                </c:pt>
                <c:pt idx="1621">
                  <c:v>400</c:v>
                </c:pt>
                <c:pt idx="1622">
                  <c:v>400</c:v>
                </c:pt>
                <c:pt idx="1623">
                  <c:v>400</c:v>
                </c:pt>
                <c:pt idx="1624">
                  <c:v>400</c:v>
                </c:pt>
                <c:pt idx="1625">
                  <c:v>400</c:v>
                </c:pt>
                <c:pt idx="1626">
                  <c:v>400</c:v>
                </c:pt>
                <c:pt idx="1627">
                  <c:v>400</c:v>
                </c:pt>
                <c:pt idx="1628">
                  <c:v>400</c:v>
                </c:pt>
                <c:pt idx="1629">
                  <c:v>400</c:v>
                </c:pt>
                <c:pt idx="1630">
                  <c:v>400</c:v>
                </c:pt>
                <c:pt idx="1631">
                  <c:v>400</c:v>
                </c:pt>
                <c:pt idx="1632">
                  <c:v>400</c:v>
                </c:pt>
                <c:pt idx="1633">
                  <c:v>400</c:v>
                </c:pt>
                <c:pt idx="1634">
                  <c:v>400</c:v>
                </c:pt>
                <c:pt idx="1635">
                  <c:v>400</c:v>
                </c:pt>
                <c:pt idx="1636">
                  <c:v>400</c:v>
                </c:pt>
                <c:pt idx="1637">
                  <c:v>399</c:v>
                </c:pt>
                <c:pt idx="1638">
                  <c:v>399</c:v>
                </c:pt>
                <c:pt idx="1639">
                  <c:v>399</c:v>
                </c:pt>
                <c:pt idx="1640">
                  <c:v>399</c:v>
                </c:pt>
                <c:pt idx="1641">
                  <c:v>399</c:v>
                </c:pt>
                <c:pt idx="1642">
                  <c:v>399</c:v>
                </c:pt>
                <c:pt idx="1643">
                  <c:v>399</c:v>
                </c:pt>
                <c:pt idx="1644">
                  <c:v>399</c:v>
                </c:pt>
                <c:pt idx="1645">
                  <c:v>400</c:v>
                </c:pt>
                <c:pt idx="1646">
                  <c:v>400</c:v>
                </c:pt>
                <c:pt idx="1647">
                  <c:v>399</c:v>
                </c:pt>
                <c:pt idx="1648">
                  <c:v>399.8</c:v>
                </c:pt>
                <c:pt idx="1649">
                  <c:v>399.8</c:v>
                </c:pt>
                <c:pt idx="1650">
                  <c:v>400</c:v>
                </c:pt>
                <c:pt idx="1651">
                  <c:v>399.9</c:v>
                </c:pt>
                <c:pt idx="1652">
                  <c:v>399.9</c:v>
                </c:pt>
                <c:pt idx="1653">
                  <c:v>399.9</c:v>
                </c:pt>
                <c:pt idx="1654">
                  <c:v>399.9</c:v>
                </c:pt>
                <c:pt idx="1655">
                  <c:v>400</c:v>
                </c:pt>
                <c:pt idx="1656">
                  <c:v>399.9</c:v>
                </c:pt>
                <c:pt idx="1657">
                  <c:v>399.9</c:v>
                </c:pt>
                <c:pt idx="1658">
                  <c:v>399.9</c:v>
                </c:pt>
                <c:pt idx="1659">
                  <c:v>399.9</c:v>
                </c:pt>
                <c:pt idx="1660">
                  <c:v>399.9</c:v>
                </c:pt>
                <c:pt idx="1661">
                  <c:v>400</c:v>
                </c:pt>
                <c:pt idx="1662">
                  <c:v>399.9</c:v>
                </c:pt>
                <c:pt idx="1663">
                  <c:v>399.9</c:v>
                </c:pt>
                <c:pt idx="1664">
                  <c:v>399.9</c:v>
                </c:pt>
                <c:pt idx="1665">
                  <c:v>399.9</c:v>
                </c:pt>
                <c:pt idx="1666">
                  <c:v>399.9</c:v>
                </c:pt>
              </c:numCache>
            </c:numRef>
          </c:yVal>
          <c:smooth val="0"/>
          <c:extLst>
            <c:ext xmlns:c16="http://schemas.microsoft.com/office/drawing/2014/chart" uri="{C3380CC4-5D6E-409C-BE32-E72D297353CC}">
              <c16:uniqueId val="{00000000-9285-41CC-9BA6-184BE986DF65}"/>
            </c:ext>
          </c:extLst>
        </c:ser>
        <c:dLbls>
          <c:showLegendKey val="0"/>
          <c:showVal val="0"/>
          <c:showCatName val="0"/>
          <c:showSerName val="0"/>
          <c:showPercent val="0"/>
          <c:showBubbleSize val="0"/>
        </c:dLbls>
        <c:axId val="325242480"/>
        <c:axId val="325240512"/>
      </c:scatterChart>
      <c:valAx>
        <c:axId val="4180847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TEU</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8088384"/>
        <c:crosses val="autoZero"/>
        <c:crossBetween val="midCat"/>
      </c:valAx>
      <c:valAx>
        <c:axId val="418088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dwt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8084776"/>
        <c:crosses val="autoZero"/>
        <c:crossBetween val="midCat"/>
      </c:valAx>
      <c:valAx>
        <c:axId val="32524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Länge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25242480"/>
        <c:crosses val="max"/>
        <c:crossBetween val="midCat"/>
      </c:valAx>
      <c:valAx>
        <c:axId val="325242480"/>
        <c:scaling>
          <c:orientation val="minMax"/>
        </c:scaling>
        <c:delete val="1"/>
        <c:axPos val="b"/>
        <c:numFmt formatCode="General" sourceLinked="1"/>
        <c:majorTickMark val="out"/>
        <c:minorTickMark val="none"/>
        <c:tickLblPos val="nextTo"/>
        <c:crossAx val="325240512"/>
        <c:crosses val="autoZero"/>
        <c:crossBetween val="midCat"/>
      </c:valAx>
      <c:spPr>
        <a:noFill/>
        <a:ln>
          <a:noFill/>
        </a:ln>
        <a:effectLst/>
      </c:spPr>
    </c:plotArea>
    <c:plotVisOnly val="1"/>
    <c:dispBlanksAs val="gap"/>
    <c:showDLblsOverMax val="0"/>
  </c:chart>
  <c:spPr>
    <a:solidFill>
      <a:schemeClr val="bg1"/>
    </a:solidFill>
    <a:ln w="9525" cap="flat" cmpd="sng" algn="ctr">
      <a:solidFill>
        <a:srgbClr val="32578C"/>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Containerschiffe - Tiefgang über TEU</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0"/>
          <c:order val="0"/>
          <c:tx>
            <c:strRef>
              <c:f>'Schätzung Schiff'!$G$30</c:f>
              <c:strCache>
                <c:ptCount val="1"/>
                <c:pt idx="0">
                  <c:v>Tiefgang</c:v>
                </c:pt>
              </c:strCache>
            </c:strRef>
          </c:tx>
          <c:spPr>
            <a:ln w="19050" cap="rnd">
              <a:noFill/>
              <a:round/>
            </a:ln>
            <a:effectLst/>
          </c:spPr>
          <c:marker>
            <c:symbol val="circle"/>
            <c:size val="5"/>
            <c:spPr>
              <a:solidFill>
                <a:schemeClr val="accent1"/>
              </a:solidFill>
              <a:ln w="9525">
                <a:solidFill>
                  <a:schemeClr val="accent1"/>
                </a:solidFill>
              </a:ln>
              <a:effectLst/>
            </c:spPr>
          </c:marker>
          <c:xVal>
            <c:numRef>
              <c:f>'Schätzung Schiff'!$E$31:$E$1697</c:f>
              <c:numCache>
                <c:formatCode>General</c:formatCode>
                <c:ptCount val="1667"/>
                <c:pt idx="0">
                  <c:v>868</c:v>
                </c:pt>
                <c:pt idx="1">
                  <c:v>868</c:v>
                </c:pt>
                <c:pt idx="2">
                  <c:v>1254</c:v>
                </c:pt>
                <c:pt idx="3">
                  <c:v>1338</c:v>
                </c:pt>
                <c:pt idx="4">
                  <c:v>1438</c:v>
                </c:pt>
                <c:pt idx="5">
                  <c:v>1438</c:v>
                </c:pt>
                <c:pt idx="6">
                  <c:v>1438</c:v>
                </c:pt>
                <c:pt idx="7">
                  <c:v>1658</c:v>
                </c:pt>
                <c:pt idx="8">
                  <c:v>1674</c:v>
                </c:pt>
                <c:pt idx="9">
                  <c:v>1678</c:v>
                </c:pt>
                <c:pt idx="10">
                  <c:v>1678</c:v>
                </c:pt>
                <c:pt idx="11">
                  <c:v>1678</c:v>
                </c:pt>
                <c:pt idx="12">
                  <c:v>1698</c:v>
                </c:pt>
                <c:pt idx="13">
                  <c:v>1712</c:v>
                </c:pt>
                <c:pt idx="14">
                  <c:v>1716</c:v>
                </c:pt>
                <c:pt idx="15">
                  <c:v>1728</c:v>
                </c:pt>
                <c:pt idx="16">
                  <c:v>1728</c:v>
                </c:pt>
                <c:pt idx="17">
                  <c:v>1730</c:v>
                </c:pt>
                <c:pt idx="18">
                  <c:v>1730</c:v>
                </c:pt>
                <c:pt idx="19">
                  <c:v>1730</c:v>
                </c:pt>
                <c:pt idx="20">
                  <c:v>1730</c:v>
                </c:pt>
                <c:pt idx="21">
                  <c:v>1732</c:v>
                </c:pt>
                <c:pt idx="22">
                  <c:v>1732</c:v>
                </c:pt>
                <c:pt idx="23">
                  <c:v>1740</c:v>
                </c:pt>
                <c:pt idx="24">
                  <c:v>1740</c:v>
                </c:pt>
                <c:pt idx="25">
                  <c:v>1768</c:v>
                </c:pt>
                <c:pt idx="26">
                  <c:v>1768</c:v>
                </c:pt>
                <c:pt idx="27">
                  <c:v>1795</c:v>
                </c:pt>
                <c:pt idx="28">
                  <c:v>1819</c:v>
                </c:pt>
                <c:pt idx="29">
                  <c:v>1819</c:v>
                </c:pt>
                <c:pt idx="30">
                  <c:v>1819</c:v>
                </c:pt>
                <c:pt idx="31">
                  <c:v>1819</c:v>
                </c:pt>
                <c:pt idx="32">
                  <c:v>1819</c:v>
                </c:pt>
                <c:pt idx="33">
                  <c:v>1819</c:v>
                </c:pt>
                <c:pt idx="34">
                  <c:v>1819</c:v>
                </c:pt>
                <c:pt idx="35">
                  <c:v>1819</c:v>
                </c:pt>
                <c:pt idx="36">
                  <c:v>1819</c:v>
                </c:pt>
                <c:pt idx="37">
                  <c:v>1835</c:v>
                </c:pt>
                <c:pt idx="38">
                  <c:v>1845</c:v>
                </c:pt>
                <c:pt idx="39">
                  <c:v>1849</c:v>
                </c:pt>
                <c:pt idx="40">
                  <c:v>1850</c:v>
                </c:pt>
                <c:pt idx="41">
                  <c:v>1852</c:v>
                </c:pt>
                <c:pt idx="42">
                  <c:v>1853</c:v>
                </c:pt>
                <c:pt idx="43">
                  <c:v>1853</c:v>
                </c:pt>
                <c:pt idx="44">
                  <c:v>1853</c:v>
                </c:pt>
                <c:pt idx="45">
                  <c:v>1875</c:v>
                </c:pt>
                <c:pt idx="46">
                  <c:v>1876</c:v>
                </c:pt>
                <c:pt idx="47">
                  <c:v>1900</c:v>
                </c:pt>
                <c:pt idx="48">
                  <c:v>1924</c:v>
                </c:pt>
                <c:pt idx="49">
                  <c:v>1970</c:v>
                </c:pt>
                <c:pt idx="50">
                  <c:v>2007</c:v>
                </c:pt>
                <c:pt idx="51">
                  <c:v>2007</c:v>
                </c:pt>
                <c:pt idx="52">
                  <c:v>2017</c:v>
                </c:pt>
                <c:pt idx="53">
                  <c:v>2048</c:v>
                </c:pt>
                <c:pt idx="54">
                  <c:v>2061</c:v>
                </c:pt>
                <c:pt idx="55">
                  <c:v>2061</c:v>
                </c:pt>
                <c:pt idx="56">
                  <c:v>2061</c:v>
                </c:pt>
                <c:pt idx="57">
                  <c:v>2061</c:v>
                </c:pt>
                <c:pt idx="58">
                  <c:v>2065</c:v>
                </c:pt>
                <c:pt idx="59">
                  <c:v>2072</c:v>
                </c:pt>
                <c:pt idx="60">
                  <c:v>2078</c:v>
                </c:pt>
                <c:pt idx="61">
                  <c:v>2109</c:v>
                </c:pt>
                <c:pt idx="62">
                  <c:v>2122</c:v>
                </c:pt>
                <c:pt idx="63">
                  <c:v>2127</c:v>
                </c:pt>
                <c:pt idx="64">
                  <c:v>2135</c:v>
                </c:pt>
                <c:pt idx="65">
                  <c:v>2135</c:v>
                </c:pt>
                <c:pt idx="66">
                  <c:v>2135</c:v>
                </c:pt>
                <c:pt idx="67">
                  <c:v>2169</c:v>
                </c:pt>
                <c:pt idx="68">
                  <c:v>2200</c:v>
                </c:pt>
                <c:pt idx="69">
                  <c:v>2205</c:v>
                </c:pt>
                <c:pt idx="70">
                  <c:v>2207</c:v>
                </c:pt>
                <c:pt idx="71">
                  <c:v>2208</c:v>
                </c:pt>
                <c:pt idx="72">
                  <c:v>2225</c:v>
                </c:pt>
                <c:pt idx="73">
                  <c:v>2226</c:v>
                </c:pt>
                <c:pt idx="74">
                  <c:v>2226</c:v>
                </c:pt>
                <c:pt idx="75">
                  <c:v>2226</c:v>
                </c:pt>
                <c:pt idx="76">
                  <c:v>2226</c:v>
                </c:pt>
                <c:pt idx="77">
                  <c:v>2240</c:v>
                </c:pt>
                <c:pt idx="78">
                  <c:v>2245</c:v>
                </c:pt>
                <c:pt idx="79">
                  <c:v>2260</c:v>
                </c:pt>
                <c:pt idx="80">
                  <c:v>2260</c:v>
                </c:pt>
                <c:pt idx="81">
                  <c:v>2260</c:v>
                </c:pt>
                <c:pt idx="82">
                  <c:v>2303</c:v>
                </c:pt>
                <c:pt idx="83">
                  <c:v>2330</c:v>
                </c:pt>
                <c:pt idx="84">
                  <c:v>2339</c:v>
                </c:pt>
                <c:pt idx="85">
                  <c:v>2400</c:v>
                </c:pt>
                <c:pt idx="86">
                  <c:v>2440</c:v>
                </c:pt>
                <c:pt idx="87">
                  <c:v>2450</c:v>
                </c:pt>
                <c:pt idx="88">
                  <c:v>2452</c:v>
                </c:pt>
                <c:pt idx="89">
                  <c:v>2452</c:v>
                </c:pt>
                <c:pt idx="90">
                  <c:v>2470</c:v>
                </c:pt>
                <c:pt idx="91">
                  <c:v>2470</c:v>
                </c:pt>
                <c:pt idx="92">
                  <c:v>2474</c:v>
                </c:pt>
                <c:pt idx="93">
                  <c:v>2474</c:v>
                </c:pt>
                <c:pt idx="94">
                  <c:v>2478</c:v>
                </c:pt>
                <c:pt idx="95">
                  <c:v>2478</c:v>
                </c:pt>
                <c:pt idx="96">
                  <c:v>2478</c:v>
                </c:pt>
                <c:pt idx="97">
                  <c:v>2478</c:v>
                </c:pt>
                <c:pt idx="98">
                  <c:v>2478</c:v>
                </c:pt>
                <c:pt idx="99">
                  <c:v>2478</c:v>
                </c:pt>
                <c:pt idx="100">
                  <c:v>2478</c:v>
                </c:pt>
                <c:pt idx="101">
                  <c:v>2478</c:v>
                </c:pt>
                <c:pt idx="102">
                  <c:v>2478</c:v>
                </c:pt>
                <c:pt idx="103">
                  <c:v>2478</c:v>
                </c:pt>
                <c:pt idx="104">
                  <c:v>2483</c:v>
                </c:pt>
                <c:pt idx="105">
                  <c:v>2487</c:v>
                </c:pt>
                <c:pt idx="106">
                  <c:v>2490</c:v>
                </c:pt>
                <c:pt idx="107">
                  <c:v>2490</c:v>
                </c:pt>
                <c:pt idx="108">
                  <c:v>2490</c:v>
                </c:pt>
                <c:pt idx="109">
                  <c:v>2500</c:v>
                </c:pt>
                <c:pt idx="110">
                  <c:v>2500</c:v>
                </c:pt>
                <c:pt idx="111">
                  <c:v>2504</c:v>
                </c:pt>
                <c:pt idx="112">
                  <c:v>2506</c:v>
                </c:pt>
                <c:pt idx="113">
                  <c:v>2506</c:v>
                </c:pt>
                <c:pt idx="114">
                  <c:v>2524</c:v>
                </c:pt>
                <c:pt idx="115">
                  <c:v>2530</c:v>
                </c:pt>
                <c:pt idx="116">
                  <c:v>2532</c:v>
                </c:pt>
                <c:pt idx="117">
                  <c:v>2532</c:v>
                </c:pt>
                <c:pt idx="118">
                  <c:v>2532</c:v>
                </c:pt>
                <c:pt idx="119">
                  <c:v>2546</c:v>
                </c:pt>
                <c:pt idx="120">
                  <c:v>2550</c:v>
                </c:pt>
                <c:pt idx="121">
                  <c:v>2550</c:v>
                </c:pt>
                <c:pt idx="122">
                  <c:v>2550</c:v>
                </c:pt>
                <c:pt idx="123">
                  <c:v>2550</c:v>
                </c:pt>
                <c:pt idx="124">
                  <c:v>2550</c:v>
                </c:pt>
                <c:pt idx="125">
                  <c:v>2550</c:v>
                </c:pt>
                <c:pt idx="126">
                  <c:v>2550</c:v>
                </c:pt>
                <c:pt idx="127">
                  <c:v>2553</c:v>
                </c:pt>
                <c:pt idx="128">
                  <c:v>2553</c:v>
                </c:pt>
                <c:pt idx="129">
                  <c:v>2556</c:v>
                </c:pt>
                <c:pt idx="130">
                  <c:v>2556</c:v>
                </c:pt>
                <c:pt idx="131">
                  <c:v>2556</c:v>
                </c:pt>
                <c:pt idx="132">
                  <c:v>2556</c:v>
                </c:pt>
                <c:pt idx="133">
                  <c:v>2556</c:v>
                </c:pt>
                <c:pt idx="134">
                  <c:v>2556</c:v>
                </c:pt>
                <c:pt idx="135">
                  <c:v>2556</c:v>
                </c:pt>
                <c:pt idx="136">
                  <c:v>2556</c:v>
                </c:pt>
                <c:pt idx="137">
                  <c:v>2556</c:v>
                </c:pt>
                <c:pt idx="138">
                  <c:v>2556</c:v>
                </c:pt>
                <c:pt idx="139">
                  <c:v>2556</c:v>
                </c:pt>
                <c:pt idx="140">
                  <c:v>2556</c:v>
                </c:pt>
                <c:pt idx="141">
                  <c:v>2556</c:v>
                </c:pt>
                <c:pt idx="142">
                  <c:v>2556</c:v>
                </c:pt>
                <c:pt idx="143">
                  <c:v>2556</c:v>
                </c:pt>
                <c:pt idx="144">
                  <c:v>2556</c:v>
                </c:pt>
                <c:pt idx="145">
                  <c:v>2556</c:v>
                </c:pt>
                <c:pt idx="146">
                  <c:v>2556</c:v>
                </c:pt>
                <c:pt idx="147">
                  <c:v>2566</c:v>
                </c:pt>
                <c:pt idx="148">
                  <c:v>2578</c:v>
                </c:pt>
                <c:pt idx="149">
                  <c:v>2592</c:v>
                </c:pt>
                <c:pt idx="150">
                  <c:v>2600</c:v>
                </c:pt>
                <c:pt idx="151">
                  <c:v>2600</c:v>
                </c:pt>
                <c:pt idx="152">
                  <c:v>2600</c:v>
                </c:pt>
                <c:pt idx="153">
                  <c:v>2602</c:v>
                </c:pt>
                <c:pt idx="154">
                  <c:v>2604</c:v>
                </c:pt>
                <c:pt idx="155">
                  <c:v>2622</c:v>
                </c:pt>
                <c:pt idx="156">
                  <c:v>2660</c:v>
                </c:pt>
                <c:pt idx="157">
                  <c:v>2664</c:v>
                </c:pt>
                <c:pt idx="158">
                  <c:v>2680</c:v>
                </c:pt>
                <c:pt idx="159">
                  <c:v>2681</c:v>
                </c:pt>
                <c:pt idx="160">
                  <c:v>2700</c:v>
                </c:pt>
                <c:pt idx="161">
                  <c:v>2702</c:v>
                </c:pt>
                <c:pt idx="162">
                  <c:v>2702</c:v>
                </c:pt>
                <c:pt idx="163">
                  <c:v>2702</c:v>
                </c:pt>
                <c:pt idx="164">
                  <c:v>2710</c:v>
                </c:pt>
                <c:pt idx="165">
                  <c:v>2714</c:v>
                </c:pt>
                <c:pt idx="166">
                  <c:v>2724</c:v>
                </c:pt>
                <c:pt idx="167">
                  <c:v>2724</c:v>
                </c:pt>
                <c:pt idx="168">
                  <c:v>2732</c:v>
                </c:pt>
                <c:pt idx="169">
                  <c:v>2732</c:v>
                </c:pt>
                <c:pt idx="170">
                  <c:v>2732</c:v>
                </c:pt>
                <c:pt idx="171">
                  <c:v>2732</c:v>
                </c:pt>
                <c:pt idx="172">
                  <c:v>2732</c:v>
                </c:pt>
                <c:pt idx="173">
                  <c:v>2732</c:v>
                </c:pt>
                <c:pt idx="174">
                  <c:v>2741</c:v>
                </c:pt>
                <c:pt idx="175">
                  <c:v>2742</c:v>
                </c:pt>
                <c:pt idx="176">
                  <c:v>2742</c:v>
                </c:pt>
                <c:pt idx="177">
                  <c:v>2742</c:v>
                </c:pt>
                <c:pt idx="178">
                  <c:v>2742</c:v>
                </c:pt>
                <c:pt idx="179">
                  <c:v>2742</c:v>
                </c:pt>
                <c:pt idx="180">
                  <c:v>2747</c:v>
                </c:pt>
                <c:pt idx="181">
                  <c:v>2750</c:v>
                </c:pt>
                <c:pt idx="182">
                  <c:v>2750</c:v>
                </c:pt>
                <c:pt idx="183">
                  <c:v>2750</c:v>
                </c:pt>
                <c:pt idx="184">
                  <c:v>2750</c:v>
                </c:pt>
                <c:pt idx="185">
                  <c:v>2758</c:v>
                </c:pt>
                <c:pt idx="186">
                  <c:v>2758</c:v>
                </c:pt>
                <c:pt idx="187">
                  <c:v>2764</c:v>
                </c:pt>
                <c:pt idx="188">
                  <c:v>2764</c:v>
                </c:pt>
                <c:pt idx="189">
                  <c:v>2764</c:v>
                </c:pt>
                <c:pt idx="190">
                  <c:v>2785</c:v>
                </c:pt>
                <c:pt idx="191">
                  <c:v>2785</c:v>
                </c:pt>
                <c:pt idx="192">
                  <c:v>2790</c:v>
                </c:pt>
                <c:pt idx="193">
                  <c:v>2790</c:v>
                </c:pt>
                <c:pt idx="194">
                  <c:v>2797</c:v>
                </c:pt>
                <c:pt idx="195">
                  <c:v>2808</c:v>
                </c:pt>
                <c:pt idx="196">
                  <c:v>2808</c:v>
                </c:pt>
                <c:pt idx="197">
                  <c:v>2809</c:v>
                </c:pt>
                <c:pt idx="198">
                  <c:v>2824</c:v>
                </c:pt>
                <c:pt idx="199">
                  <c:v>2824</c:v>
                </c:pt>
                <c:pt idx="200">
                  <c:v>2824</c:v>
                </c:pt>
                <c:pt idx="201">
                  <c:v>2824</c:v>
                </c:pt>
                <c:pt idx="202">
                  <c:v>2824</c:v>
                </c:pt>
                <c:pt idx="203">
                  <c:v>2824</c:v>
                </c:pt>
                <c:pt idx="204">
                  <c:v>2824</c:v>
                </c:pt>
                <c:pt idx="205">
                  <c:v>2824</c:v>
                </c:pt>
                <c:pt idx="206">
                  <c:v>2824</c:v>
                </c:pt>
                <c:pt idx="207">
                  <c:v>2824</c:v>
                </c:pt>
                <c:pt idx="208">
                  <c:v>2824</c:v>
                </c:pt>
                <c:pt idx="209">
                  <c:v>2824</c:v>
                </c:pt>
                <c:pt idx="210">
                  <c:v>2824</c:v>
                </c:pt>
                <c:pt idx="211">
                  <c:v>2824</c:v>
                </c:pt>
                <c:pt idx="212">
                  <c:v>2824</c:v>
                </c:pt>
                <c:pt idx="213">
                  <c:v>2824</c:v>
                </c:pt>
                <c:pt idx="214">
                  <c:v>2824</c:v>
                </c:pt>
                <c:pt idx="215">
                  <c:v>2824</c:v>
                </c:pt>
                <c:pt idx="216">
                  <c:v>2824</c:v>
                </c:pt>
                <c:pt idx="217">
                  <c:v>2824</c:v>
                </c:pt>
                <c:pt idx="218">
                  <c:v>2824</c:v>
                </c:pt>
                <c:pt idx="219">
                  <c:v>2824</c:v>
                </c:pt>
                <c:pt idx="220">
                  <c:v>2824</c:v>
                </c:pt>
                <c:pt idx="221">
                  <c:v>2824</c:v>
                </c:pt>
                <c:pt idx="222">
                  <c:v>2824</c:v>
                </c:pt>
                <c:pt idx="223">
                  <c:v>2824</c:v>
                </c:pt>
                <c:pt idx="224">
                  <c:v>2825</c:v>
                </c:pt>
                <c:pt idx="225">
                  <c:v>2840</c:v>
                </c:pt>
                <c:pt idx="226">
                  <c:v>2872</c:v>
                </c:pt>
                <c:pt idx="227">
                  <c:v>2872</c:v>
                </c:pt>
                <c:pt idx="228">
                  <c:v>2890</c:v>
                </c:pt>
                <c:pt idx="229">
                  <c:v>2900</c:v>
                </c:pt>
                <c:pt idx="230">
                  <c:v>2908</c:v>
                </c:pt>
                <c:pt idx="231">
                  <c:v>2908</c:v>
                </c:pt>
                <c:pt idx="232">
                  <c:v>2932</c:v>
                </c:pt>
                <c:pt idx="233">
                  <c:v>2959</c:v>
                </c:pt>
                <c:pt idx="234">
                  <c:v>2986</c:v>
                </c:pt>
                <c:pt idx="235">
                  <c:v>3005</c:v>
                </c:pt>
                <c:pt idx="236">
                  <c:v>3005</c:v>
                </c:pt>
                <c:pt idx="237">
                  <c:v>3005</c:v>
                </c:pt>
                <c:pt idx="238">
                  <c:v>3005</c:v>
                </c:pt>
                <c:pt idx="239">
                  <c:v>3005</c:v>
                </c:pt>
                <c:pt idx="240">
                  <c:v>3029</c:v>
                </c:pt>
                <c:pt idx="241">
                  <c:v>3032</c:v>
                </c:pt>
                <c:pt idx="242">
                  <c:v>3091</c:v>
                </c:pt>
                <c:pt idx="243">
                  <c:v>3091</c:v>
                </c:pt>
                <c:pt idx="244">
                  <c:v>3091</c:v>
                </c:pt>
                <c:pt idx="245">
                  <c:v>3091</c:v>
                </c:pt>
                <c:pt idx="246">
                  <c:v>3091</c:v>
                </c:pt>
                <c:pt idx="247">
                  <c:v>3100</c:v>
                </c:pt>
                <c:pt idx="248">
                  <c:v>3100</c:v>
                </c:pt>
                <c:pt idx="249">
                  <c:v>3100</c:v>
                </c:pt>
                <c:pt idx="250">
                  <c:v>3100</c:v>
                </c:pt>
                <c:pt idx="251">
                  <c:v>3108</c:v>
                </c:pt>
                <c:pt idx="252">
                  <c:v>3237</c:v>
                </c:pt>
                <c:pt idx="253">
                  <c:v>3237</c:v>
                </c:pt>
                <c:pt idx="254">
                  <c:v>3237</c:v>
                </c:pt>
                <c:pt idx="255">
                  <c:v>3237</c:v>
                </c:pt>
                <c:pt idx="256">
                  <c:v>3237</c:v>
                </c:pt>
                <c:pt idx="257">
                  <c:v>3300</c:v>
                </c:pt>
                <c:pt idx="258">
                  <c:v>3300</c:v>
                </c:pt>
                <c:pt idx="259">
                  <c:v>3388</c:v>
                </c:pt>
                <c:pt idx="260">
                  <c:v>3398</c:v>
                </c:pt>
                <c:pt idx="261">
                  <c:v>3398</c:v>
                </c:pt>
                <c:pt idx="262">
                  <c:v>3398</c:v>
                </c:pt>
                <c:pt idx="263">
                  <c:v>3400</c:v>
                </c:pt>
                <c:pt idx="264">
                  <c:v>3400</c:v>
                </c:pt>
                <c:pt idx="265">
                  <c:v>3400</c:v>
                </c:pt>
                <c:pt idx="266">
                  <c:v>3400</c:v>
                </c:pt>
                <c:pt idx="267">
                  <c:v>3414</c:v>
                </c:pt>
                <c:pt idx="268">
                  <c:v>3424</c:v>
                </c:pt>
                <c:pt idx="269">
                  <c:v>3424</c:v>
                </c:pt>
                <c:pt idx="270">
                  <c:v>3424</c:v>
                </c:pt>
                <c:pt idx="271">
                  <c:v>3424</c:v>
                </c:pt>
                <c:pt idx="272">
                  <c:v>3426</c:v>
                </c:pt>
                <c:pt idx="273">
                  <c:v>3426</c:v>
                </c:pt>
                <c:pt idx="274">
                  <c:v>3429</c:v>
                </c:pt>
                <c:pt idx="275">
                  <c:v>3429</c:v>
                </c:pt>
                <c:pt idx="276">
                  <c:v>3429</c:v>
                </c:pt>
                <c:pt idx="277">
                  <c:v>3429</c:v>
                </c:pt>
                <c:pt idx="278">
                  <c:v>3430</c:v>
                </c:pt>
                <c:pt idx="279">
                  <c:v>3430</c:v>
                </c:pt>
                <c:pt idx="280">
                  <c:v>3430</c:v>
                </c:pt>
                <c:pt idx="281">
                  <c:v>3430</c:v>
                </c:pt>
                <c:pt idx="282">
                  <c:v>3469</c:v>
                </c:pt>
                <c:pt idx="283">
                  <c:v>3469</c:v>
                </c:pt>
                <c:pt idx="284">
                  <c:v>3500</c:v>
                </c:pt>
                <c:pt idx="285">
                  <c:v>3500</c:v>
                </c:pt>
                <c:pt idx="286">
                  <c:v>3510</c:v>
                </c:pt>
                <c:pt idx="287">
                  <c:v>3534</c:v>
                </c:pt>
                <c:pt idx="288">
                  <c:v>3534</c:v>
                </c:pt>
                <c:pt idx="289">
                  <c:v>3534</c:v>
                </c:pt>
                <c:pt idx="290">
                  <c:v>3534</c:v>
                </c:pt>
                <c:pt idx="291">
                  <c:v>3534</c:v>
                </c:pt>
                <c:pt idx="292">
                  <c:v>3534</c:v>
                </c:pt>
                <c:pt idx="293">
                  <c:v>3534</c:v>
                </c:pt>
                <c:pt idx="294">
                  <c:v>3534</c:v>
                </c:pt>
                <c:pt idx="295">
                  <c:v>3534</c:v>
                </c:pt>
                <c:pt idx="296">
                  <c:v>3534</c:v>
                </c:pt>
                <c:pt idx="297">
                  <c:v>3586</c:v>
                </c:pt>
                <c:pt idx="298">
                  <c:v>3586</c:v>
                </c:pt>
                <c:pt idx="299">
                  <c:v>3586</c:v>
                </c:pt>
                <c:pt idx="300">
                  <c:v>3600</c:v>
                </c:pt>
                <c:pt idx="301">
                  <c:v>3606</c:v>
                </c:pt>
                <c:pt idx="302">
                  <c:v>3607</c:v>
                </c:pt>
                <c:pt idx="303">
                  <c:v>3630</c:v>
                </c:pt>
                <c:pt idx="304">
                  <c:v>3630</c:v>
                </c:pt>
                <c:pt idx="305">
                  <c:v>3635</c:v>
                </c:pt>
                <c:pt idx="306">
                  <c:v>3635</c:v>
                </c:pt>
                <c:pt idx="307">
                  <c:v>3646</c:v>
                </c:pt>
                <c:pt idx="308">
                  <c:v>3646</c:v>
                </c:pt>
                <c:pt idx="309">
                  <c:v>3649</c:v>
                </c:pt>
                <c:pt idx="310">
                  <c:v>3660</c:v>
                </c:pt>
                <c:pt idx="311">
                  <c:v>3700</c:v>
                </c:pt>
                <c:pt idx="312">
                  <c:v>3700</c:v>
                </c:pt>
                <c:pt idx="313">
                  <c:v>3700</c:v>
                </c:pt>
                <c:pt idx="314">
                  <c:v>3739</c:v>
                </c:pt>
                <c:pt idx="315">
                  <c:v>3739</c:v>
                </c:pt>
                <c:pt idx="316">
                  <c:v>3739</c:v>
                </c:pt>
                <c:pt idx="317">
                  <c:v>3739</c:v>
                </c:pt>
                <c:pt idx="318">
                  <c:v>3753</c:v>
                </c:pt>
                <c:pt idx="319">
                  <c:v>3800</c:v>
                </c:pt>
                <c:pt idx="320">
                  <c:v>3800</c:v>
                </c:pt>
                <c:pt idx="321">
                  <c:v>3800</c:v>
                </c:pt>
                <c:pt idx="322">
                  <c:v>3802</c:v>
                </c:pt>
                <c:pt idx="323">
                  <c:v>3802</c:v>
                </c:pt>
                <c:pt idx="324">
                  <c:v>3802</c:v>
                </c:pt>
                <c:pt idx="325">
                  <c:v>3802</c:v>
                </c:pt>
                <c:pt idx="326">
                  <c:v>3808</c:v>
                </c:pt>
                <c:pt idx="327">
                  <c:v>3842</c:v>
                </c:pt>
                <c:pt idx="328">
                  <c:v>3853</c:v>
                </c:pt>
                <c:pt idx="329">
                  <c:v>3853</c:v>
                </c:pt>
                <c:pt idx="330">
                  <c:v>3853</c:v>
                </c:pt>
                <c:pt idx="331">
                  <c:v>3868</c:v>
                </c:pt>
                <c:pt idx="332">
                  <c:v>3868</c:v>
                </c:pt>
                <c:pt idx="333">
                  <c:v>3884</c:v>
                </c:pt>
                <c:pt idx="334">
                  <c:v>3884</c:v>
                </c:pt>
                <c:pt idx="335">
                  <c:v>3884</c:v>
                </c:pt>
                <c:pt idx="336">
                  <c:v>3884</c:v>
                </c:pt>
                <c:pt idx="337">
                  <c:v>3937</c:v>
                </c:pt>
                <c:pt idx="338">
                  <c:v>3937</c:v>
                </c:pt>
                <c:pt idx="339">
                  <c:v>3961</c:v>
                </c:pt>
                <c:pt idx="340">
                  <c:v>3963</c:v>
                </c:pt>
                <c:pt idx="341">
                  <c:v>3963</c:v>
                </c:pt>
                <c:pt idx="342">
                  <c:v>4000</c:v>
                </c:pt>
                <c:pt idx="343">
                  <c:v>4000</c:v>
                </c:pt>
                <c:pt idx="344">
                  <c:v>4024</c:v>
                </c:pt>
                <c:pt idx="345">
                  <c:v>4038</c:v>
                </c:pt>
                <c:pt idx="346">
                  <c:v>4038</c:v>
                </c:pt>
                <c:pt idx="347">
                  <c:v>4043</c:v>
                </c:pt>
                <c:pt idx="348">
                  <c:v>4043</c:v>
                </c:pt>
                <c:pt idx="349">
                  <c:v>4045</c:v>
                </c:pt>
                <c:pt idx="350">
                  <c:v>4045</c:v>
                </c:pt>
                <c:pt idx="351">
                  <c:v>4045</c:v>
                </c:pt>
                <c:pt idx="352">
                  <c:v>4045</c:v>
                </c:pt>
                <c:pt idx="353">
                  <c:v>4050</c:v>
                </c:pt>
                <c:pt idx="354">
                  <c:v>4056</c:v>
                </c:pt>
                <c:pt idx="355">
                  <c:v>4112</c:v>
                </c:pt>
                <c:pt idx="356">
                  <c:v>4112</c:v>
                </c:pt>
                <c:pt idx="357">
                  <c:v>4112</c:v>
                </c:pt>
                <c:pt idx="358">
                  <c:v>4112</c:v>
                </c:pt>
                <c:pt idx="359">
                  <c:v>4112</c:v>
                </c:pt>
                <c:pt idx="360">
                  <c:v>4115</c:v>
                </c:pt>
                <c:pt idx="361">
                  <c:v>4115</c:v>
                </c:pt>
                <c:pt idx="362">
                  <c:v>4115</c:v>
                </c:pt>
                <c:pt idx="363">
                  <c:v>4132</c:v>
                </c:pt>
                <c:pt idx="364">
                  <c:v>4132</c:v>
                </c:pt>
                <c:pt idx="365">
                  <c:v>4132</c:v>
                </c:pt>
                <c:pt idx="366">
                  <c:v>4132</c:v>
                </c:pt>
                <c:pt idx="367">
                  <c:v>4154</c:v>
                </c:pt>
                <c:pt idx="368">
                  <c:v>4158</c:v>
                </c:pt>
                <c:pt idx="369">
                  <c:v>4173</c:v>
                </c:pt>
                <c:pt idx="370">
                  <c:v>4178</c:v>
                </c:pt>
                <c:pt idx="371">
                  <c:v>4196</c:v>
                </c:pt>
                <c:pt idx="372">
                  <c:v>4248</c:v>
                </c:pt>
                <c:pt idx="373">
                  <c:v>4248</c:v>
                </c:pt>
                <c:pt idx="374">
                  <c:v>4248</c:v>
                </c:pt>
                <c:pt idx="375">
                  <c:v>4250</c:v>
                </c:pt>
                <c:pt idx="376">
                  <c:v>4250</c:v>
                </c:pt>
                <c:pt idx="377">
                  <c:v>4250</c:v>
                </c:pt>
                <c:pt idx="378">
                  <c:v>4250</c:v>
                </c:pt>
                <c:pt idx="379">
                  <c:v>4250</c:v>
                </c:pt>
                <c:pt idx="380">
                  <c:v>4250</c:v>
                </c:pt>
                <c:pt idx="381">
                  <c:v>4250</c:v>
                </c:pt>
                <c:pt idx="382">
                  <c:v>4250</c:v>
                </c:pt>
                <c:pt idx="383">
                  <c:v>4250</c:v>
                </c:pt>
                <c:pt idx="384">
                  <c:v>4250</c:v>
                </c:pt>
                <c:pt idx="385">
                  <c:v>4250</c:v>
                </c:pt>
                <c:pt idx="386">
                  <c:v>4250</c:v>
                </c:pt>
                <c:pt idx="387">
                  <c:v>4250</c:v>
                </c:pt>
                <c:pt idx="388">
                  <c:v>4250</c:v>
                </c:pt>
                <c:pt idx="389">
                  <c:v>4250</c:v>
                </c:pt>
                <c:pt idx="390">
                  <c:v>4250</c:v>
                </c:pt>
                <c:pt idx="391">
                  <c:v>4250</c:v>
                </c:pt>
                <c:pt idx="392">
                  <c:v>4250</c:v>
                </c:pt>
                <c:pt idx="393">
                  <c:v>4250</c:v>
                </c:pt>
                <c:pt idx="394">
                  <c:v>4250</c:v>
                </c:pt>
                <c:pt idx="395">
                  <c:v>4250</c:v>
                </c:pt>
                <c:pt idx="396">
                  <c:v>4250</c:v>
                </c:pt>
                <c:pt idx="397">
                  <c:v>4250</c:v>
                </c:pt>
                <c:pt idx="398">
                  <c:v>4250</c:v>
                </c:pt>
                <c:pt idx="399">
                  <c:v>4250</c:v>
                </c:pt>
                <c:pt idx="400">
                  <c:v>4250</c:v>
                </c:pt>
                <c:pt idx="401">
                  <c:v>4250</c:v>
                </c:pt>
                <c:pt idx="402">
                  <c:v>4250</c:v>
                </c:pt>
                <c:pt idx="403">
                  <c:v>4250</c:v>
                </c:pt>
                <c:pt idx="404">
                  <c:v>4250</c:v>
                </c:pt>
                <c:pt idx="405">
                  <c:v>4250</c:v>
                </c:pt>
                <c:pt idx="406">
                  <c:v>4252</c:v>
                </c:pt>
                <c:pt idx="407">
                  <c:v>4252</c:v>
                </c:pt>
                <c:pt idx="408">
                  <c:v>4252</c:v>
                </c:pt>
                <c:pt idx="409">
                  <c:v>4252</c:v>
                </c:pt>
                <c:pt idx="410">
                  <c:v>4253</c:v>
                </c:pt>
                <c:pt idx="411">
                  <c:v>4253</c:v>
                </c:pt>
                <c:pt idx="412">
                  <c:v>4253</c:v>
                </c:pt>
                <c:pt idx="413">
                  <c:v>4253</c:v>
                </c:pt>
                <c:pt idx="414">
                  <c:v>4253</c:v>
                </c:pt>
                <c:pt idx="415">
                  <c:v>4253</c:v>
                </c:pt>
                <c:pt idx="416">
                  <c:v>4253</c:v>
                </c:pt>
                <c:pt idx="417">
                  <c:v>4253</c:v>
                </c:pt>
                <c:pt idx="418">
                  <c:v>4253</c:v>
                </c:pt>
                <c:pt idx="419">
                  <c:v>4253</c:v>
                </c:pt>
                <c:pt idx="420">
                  <c:v>4253</c:v>
                </c:pt>
                <c:pt idx="421">
                  <c:v>4253</c:v>
                </c:pt>
                <c:pt idx="422">
                  <c:v>4253</c:v>
                </c:pt>
                <c:pt idx="423">
                  <c:v>4253</c:v>
                </c:pt>
                <c:pt idx="424">
                  <c:v>4253</c:v>
                </c:pt>
                <c:pt idx="425">
                  <c:v>4253</c:v>
                </c:pt>
                <c:pt idx="426">
                  <c:v>4254</c:v>
                </c:pt>
                <c:pt idx="427">
                  <c:v>4254</c:v>
                </c:pt>
                <c:pt idx="428">
                  <c:v>4254</c:v>
                </c:pt>
                <c:pt idx="429">
                  <c:v>4254</c:v>
                </c:pt>
                <c:pt idx="430">
                  <c:v>4254</c:v>
                </c:pt>
                <c:pt idx="431">
                  <c:v>4255</c:v>
                </c:pt>
                <c:pt idx="432">
                  <c:v>4255</c:v>
                </c:pt>
                <c:pt idx="433">
                  <c:v>4255</c:v>
                </c:pt>
                <c:pt idx="434">
                  <c:v>4255</c:v>
                </c:pt>
                <c:pt idx="435">
                  <c:v>4256</c:v>
                </c:pt>
                <c:pt idx="436">
                  <c:v>4292</c:v>
                </c:pt>
                <c:pt idx="437">
                  <c:v>4292</c:v>
                </c:pt>
                <c:pt idx="438">
                  <c:v>4294</c:v>
                </c:pt>
                <c:pt idx="439">
                  <c:v>4298</c:v>
                </c:pt>
                <c:pt idx="440">
                  <c:v>4298</c:v>
                </c:pt>
                <c:pt idx="441">
                  <c:v>4298</c:v>
                </c:pt>
                <c:pt idx="442">
                  <c:v>4300</c:v>
                </c:pt>
                <c:pt idx="443">
                  <c:v>4300</c:v>
                </c:pt>
                <c:pt idx="444">
                  <c:v>4300</c:v>
                </c:pt>
                <c:pt idx="445">
                  <c:v>4300</c:v>
                </c:pt>
                <c:pt idx="446">
                  <c:v>4300</c:v>
                </c:pt>
                <c:pt idx="447">
                  <c:v>4300</c:v>
                </c:pt>
                <c:pt idx="448">
                  <c:v>4300</c:v>
                </c:pt>
                <c:pt idx="449">
                  <c:v>4308</c:v>
                </c:pt>
                <c:pt idx="450">
                  <c:v>4308</c:v>
                </c:pt>
                <c:pt idx="451">
                  <c:v>4315</c:v>
                </c:pt>
                <c:pt idx="452">
                  <c:v>4319</c:v>
                </c:pt>
                <c:pt idx="453">
                  <c:v>4319</c:v>
                </c:pt>
                <c:pt idx="454">
                  <c:v>4322</c:v>
                </c:pt>
                <c:pt idx="455">
                  <c:v>4330</c:v>
                </c:pt>
                <c:pt idx="456">
                  <c:v>4350</c:v>
                </c:pt>
                <c:pt idx="457">
                  <c:v>4360</c:v>
                </c:pt>
                <c:pt idx="458">
                  <c:v>4360</c:v>
                </c:pt>
                <c:pt idx="459">
                  <c:v>4367</c:v>
                </c:pt>
                <c:pt idx="460">
                  <c:v>4380</c:v>
                </c:pt>
                <c:pt idx="461">
                  <c:v>4389</c:v>
                </c:pt>
                <c:pt idx="462">
                  <c:v>4389</c:v>
                </c:pt>
                <c:pt idx="463">
                  <c:v>4400</c:v>
                </c:pt>
                <c:pt idx="464">
                  <c:v>4400</c:v>
                </c:pt>
                <c:pt idx="465">
                  <c:v>4400</c:v>
                </c:pt>
                <c:pt idx="466">
                  <c:v>4400</c:v>
                </c:pt>
                <c:pt idx="467">
                  <c:v>4400</c:v>
                </c:pt>
                <c:pt idx="468">
                  <c:v>4400</c:v>
                </c:pt>
                <c:pt idx="469">
                  <c:v>4400</c:v>
                </c:pt>
                <c:pt idx="470">
                  <c:v>4402</c:v>
                </c:pt>
                <c:pt idx="471">
                  <c:v>4402</c:v>
                </c:pt>
                <c:pt idx="472">
                  <c:v>4402</c:v>
                </c:pt>
                <c:pt idx="473">
                  <c:v>4409</c:v>
                </c:pt>
                <c:pt idx="474">
                  <c:v>4437</c:v>
                </c:pt>
                <c:pt idx="475">
                  <c:v>4437</c:v>
                </c:pt>
                <c:pt idx="476">
                  <c:v>4437</c:v>
                </c:pt>
                <c:pt idx="477">
                  <c:v>4437</c:v>
                </c:pt>
                <c:pt idx="478">
                  <c:v>4437</c:v>
                </c:pt>
                <c:pt idx="479">
                  <c:v>4444</c:v>
                </c:pt>
                <c:pt idx="480">
                  <c:v>4469</c:v>
                </c:pt>
                <c:pt idx="481">
                  <c:v>4492</c:v>
                </c:pt>
                <c:pt idx="482">
                  <c:v>4500</c:v>
                </c:pt>
                <c:pt idx="483">
                  <c:v>4500</c:v>
                </c:pt>
                <c:pt idx="484">
                  <c:v>4504</c:v>
                </c:pt>
                <c:pt idx="485">
                  <c:v>4507</c:v>
                </c:pt>
                <c:pt idx="486">
                  <c:v>4507</c:v>
                </c:pt>
                <c:pt idx="487">
                  <c:v>4520</c:v>
                </c:pt>
                <c:pt idx="488">
                  <c:v>4520</c:v>
                </c:pt>
                <c:pt idx="489">
                  <c:v>4520</c:v>
                </c:pt>
                <c:pt idx="490">
                  <c:v>4520</c:v>
                </c:pt>
                <c:pt idx="491">
                  <c:v>4544</c:v>
                </c:pt>
                <c:pt idx="492">
                  <c:v>4545</c:v>
                </c:pt>
                <c:pt idx="493">
                  <c:v>4545</c:v>
                </c:pt>
                <c:pt idx="494">
                  <c:v>4546</c:v>
                </c:pt>
                <c:pt idx="495">
                  <c:v>4571</c:v>
                </c:pt>
                <c:pt idx="496">
                  <c:v>4571</c:v>
                </c:pt>
                <c:pt idx="497">
                  <c:v>4578</c:v>
                </c:pt>
                <c:pt idx="498">
                  <c:v>4578</c:v>
                </c:pt>
                <c:pt idx="499">
                  <c:v>4578</c:v>
                </c:pt>
                <c:pt idx="500">
                  <c:v>4600</c:v>
                </c:pt>
                <c:pt idx="501">
                  <c:v>4600</c:v>
                </c:pt>
                <c:pt idx="502">
                  <c:v>4612</c:v>
                </c:pt>
                <c:pt idx="503">
                  <c:v>4612</c:v>
                </c:pt>
                <c:pt idx="504">
                  <c:v>4616</c:v>
                </c:pt>
                <c:pt idx="505">
                  <c:v>4639</c:v>
                </c:pt>
                <c:pt idx="506">
                  <c:v>4639</c:v>
                </c:pt>
                <c:pt idx="507">
                  <c:v>4639</c:v>
                </c:pt>
                <c:pt idx="508">
                  <c:v>4651</c:v>
                </c:pt>
                <c:pt idx="509">
                  <c:v>4658</c:v>
                </c:pt>
                <c:pt idx="510">
                  <c:v>4662</c:v>
                </c:pt>
                <c:pt idx="511">
                  <c:v>4662</c:v>
                </c:pt>
                <c:pt idx="512">
                  <c:v>4662</c:v>
                </c:pt>
                <c:pt idx="513">
                  <c:v>4662</c:v>
                </c:pt>
                <c:pt idx="514">
                  <c:v>4700</c:v>
                </c:pt>
                <c:pt idx="515">
                  <c:v>4700</c:v>
                </c:pt>
                <c:pt idx="516">
                  <c:v>4700</c:v>
                </c:pt>
                <c:pt idx="517">
                  <c:v>4706</c:v>
                </c:pt>
                <c:pt idx="518">
                  <c:v>4728</c:v>
                </c:pt>
                <c:pt idx="519">
                  <c:v>4728</c:v>
                </c:pt>
                <c:pt idx="520">
                  <c:v>4738</c:v>
                </c:pt>
                <c:pt idx="521">
                  <c:v>4738</c:v>
                </c:pt>
                <c:pt idx="522">
                  <c:v>4738</c:v>
                </c:pt>
                <c:pt idx="523">
                  <c:v>4738</c:v>
                </c:pt>
                <c:pt idx="524">
                  <c:v>4743</c:v>
                </c:pt>
                <c:pt idx="525">
                  <c:v>4803</c:v>
                </c:pt>
                <c:pt idx="526">
                  <c:v>4814</c:v>
                </c:pt>
                <c:pt idx="527">
                  <c:v>4839</c:v>
                </c:pt>
                <c:pt idx="528">
                  <c:v>4839</c:v>
                </c:pt>
                <c:pt idx="529">
                  <c:v>4843</c:v>
                </c:pt>
                <c:pt idx="530">
                  <c:v>4846</c:v>
                </c:pt>
                <c:pt idx="531">
                  <c:v>4860</c:v>
                </c:pt>
                <c:pt idx="532">
                  <c:v>4860</c:v>
                </c:pt>
                <c:pt idx="533">
                  <c:v>4860</c:v>
                </c:pt>
                <c:pt idx="534">
                  <c:v>4860</c:v>
                </c:pt>
                <c:pt idx="535">
                  <c:v>4860</c:v>
                </c:pt>
                <c:pt idx="536">
                  <c:v>4860</c:v>
                </c:pt>
                <c:pt idx="537">
                  <c:v>4870</c:v>
                </c:pt>
                <c:pt idx="538">
                  <c:v>4872</c:v>
                </c:pt>
                <c:pt idx="539">
                  <c:v>4872</c:v>
                </c:pt>
                <c:pt idx="540">
                  <c:v>4884</c:v>
                </c:pt>
                <c:pt idx="541">
                  <c:v>4888</c:v>
                </c:pt>
                <c:pt idx="542">
                  <c:v>4888</c:v>
                </c:pt>
                <c:pt idx="543">
                  <c:v>4888</c:v>
                </c:pt>
                <c:pt idx="544">
                  <c:v>4888</c:v>
                </c:pt>
                <c:pt idx="545">
                  <c:v>4888</c:v>
                </c:pt>
                <c:pt idx="546">
                  <c:v>4888</c:v>
                </c:pt>
                <c:pt idx="547">
                  <c:v>4888</c:v>
                </c:pt>
                <c:pt idx="548">
                  <c:v>4888</c:v>
                </c:pt>
                <c:pt idx="549">
                  <c:v>4888</c:v>
                </c:pt>
                <c:pt idx="550">
                  <c:v>4888</c:v>
                </c:pt>
                <c:pt idx="551">
                  <c:v>4890</c:v>
                </c:pt>
                <c:pt idx="552">
                  <c:v>4890</c:v>
                </c:pt>
                <c:pt idx="553">
                  <c:v>4890</c:v>
                </c:pt>
                <c:pt idx="554">
                  <c:v>4890</c:v>
                </c:pt>
                <c:pt idx="555">
                  <c:v>4890</c:v>
                </c:pt>
                <c:pt idx="556">
                  <c:v>4900</c:v>
                </c:pt>
                <c:pt idx="557">
                  <c:v>4922</c:v>
                </c:pt>
                <c:pt idx="558">
                  <c:v>4922</c:v>
                </c:pt>
                <c:pt idx="559">
                  <c:v>4943</c:v>
                </c:pt>
                <c:pt idx="560">
                  <c:v>4944</c:v>
                </c:pt>
                <c:pt idx="561">
                  <c:v>4953</c:v>
                </c:pt>
                <c:pt idx="562">
                  <c:v>4953</c:v>
                </c:pt>
                <c:pt idx="563">
                  <c:v>4975</c:v>
                </c:pt>
                <c:pt idx="564">
                  <c:v>5015</c:v>
                </c:pt>
                <c:pt idx="565">
                  <c:v>5018</c:v>
                </c:pt>
                <c:pt idx="566">
                  <c:v>5018</c:v>
                </c:pt>
                <c:pt idx="567">
                  <c:v>5023</c:v>
                </c:pt>
                <c:pt idx="568">
                  <c:v>5029</c:v>
                </c:pt>
                <c:pt idx="569">
                  <c:v>5040</c:v>
                </c:pt>
                <c:pt idx="570">
                  <c:v>5041</c:v>
                </c:pt>
                <c:pt idx="571">
                  <c:v>5041</c:v>
                </c:pt>
                <c:pt idx="572">
                  <c:v>5041</c:v>
                </c:pt>
                <c:pt idx="573">
                  <c:v>5041</c:v>
                </c:pt>
                <c:pt idx="574">
                  <c:v>5042</c:v>
                </c:pt>
                <c:pt idx="575">
                  <c:v>5042</c:v>
                </c:pt>
                <c:pt idx="576">
                  <c:v>5042</c:v>
                </c:pt>
                <c:pt idx="577">
                  <c:v>5050</c:v>
                </c:pt>
                <c:pt idx="578">
                  <c:v>5050</c:v>
                </c:pt>
                <c:pt idx="579">
                  <c:v>5050</c:v>
                </c:pt>
                <c:pt idx="580">
                  <c:v>5050</c:v>
                </c:pt>
                <c:pt idx="581">
                  <c:v>5059</c:v>
                </c:pt>
                <c:pt idx="582">
                  <c:v>5059</c:v>
                </c:pt>
                <c:pt idx="583">
                  <c:v>5059</c:v>
                </c:pt>
                <c:pt idx="584">
                  <c:v>5059</c:v>
                </c:pt>
                <c:pt idx="585">
                  <c:v>5060</c:v>
                </c:pt>
                <c:pt idx="586">
                  <c:v>5060</c:v>
                </c:pt>
                <c:pt idx="587">
                  <c:v>5060</c:v>
                </c:pt>
                <c:pt idx="588">
                  <c:v>5060</c:v>
                </c:pt>
                <c:pt idx="589">
                  <c:v>5078</c:v>
                </c:pt>
                <c:pt idx="590">
                  <c:v>5086</c:v>
                </c:pt>
                <c:pt idx="591">
                  <c:v>5086</c:v>
                </c:pt>
                <c:pt idx="592">
                  <c:v>5089</c:v>
                </c:pt>
                <c:pt idx="593">
                  <c:v>5100</c:v>
                </c:pt>
                <c:pt idx="594">
                  <c:v>5100</c:v>
                </c:pt>
                <c:pt idx="595">
                  <c:v>5294</c:v>
                </c:pt>
                <c:pt idx="596">
                  <c:v>5294</c:v>
                </c:pt>
                <c:pt idx="597">
                  <c:v>5303</c:v>
                </c:pt>
                <c:pt idx="598">
                  <c:v>5303</c:v>
                </c:pt>
                <c:pt idx="599">
                  <c:v>5344</c:v>
                </c:pt>
                <c:pt idx="600">
                  <c:v>5344</c:v>
                </c:pt>
                <c:pt idx="601">
                  <c:v>5364</c:v>
                </c:pt>
                <c:pt idx="602">
                  <c:v>5418</c:v>
                </c:pt>
                <c:pt idx="603">
                  <c:v>5466</c:v>
                </c:pt>
                <c:pt idx="604">
                  <c:v>5468</c:v>
                </c:pt>
                <c:pt idx="605">
                  <c:v>5510</c:v>
                </c:pt>
                <c:pt idx="606">
                  <c:v>5512</c:v>
                </c:pt>
                <c:pt idx="607">
                  <c:v>5512</c:v>
                </c:pt>
                <c:pt idx="608">
                  <c:v>5514</c:v>
                </c:pt>
                <c:pt idx="609">
                  <c:v>5527</c:v>
                </c:pt>
                <c:pt idx="610">
                  <c:v>5527</c:v>
                </c:pt>
                <c:pt idx="611">
                  <c:v>5527</c:v>
                </c:pt>
                <c:pt idx="612">
                  <c:v>5527</c:v>
                </c:pt>
                <c:pt idx="613">
                  <c:v>5527</c:v>
                </c:pt>
                <c:pt idx="614">
                  <c:v>5527</c:v>
                </c:pt>
                <c:pt idx="615">
                  <c:v>5527</c:v>
                </c:pt>
                <c:pt idx="616">
                  <c:v>5550</c:v>
                </c:pt>
                <c:pt idx="617">
                  <c:v>5550</c:v>
                </c:pt>
                <c:pt idx="618">
                  <c:v>5550</c:v>
                </c:pt>
                <c:pt idx="619">
                  <c:v>5550</c:v>
                </c:pt>
                <c:pt idx="620">
                  <c:v>5550</c:v>
                </c:pt>
                <c:pt idx="621">
                  <c:v>5551</c:v>
                </c:pt>
                <c:pt idx="622">
                  <c:v>5551</c:v>
                </c:pt>
                <c:pt idx="623">
                  <c:v>5551</c:v>
                </c:pt>
                <c:pt idx="624">
                  <c:v>5551</c:v>
                </c:pt>
                <c:pt idx="625">
                  <c:v>5551</c:v>
                </c:pt>
                <c:pt idx="626">
                  <c:v>5551</c:v>
                </c:pt>
                <c:pt idx="627">
                  <c:v>5552</c:v>
                </c:pt>
                <c:pt idx="628">
                  <c:v>5552</c:v>
                </c:pt>
                <c:pt idx="629">
                  <c:v>5552</c:v>
                </c:pt>
                <c:pt idx="630">
                  <c:v>5552</c:v>
                </c:pt>
                <c:pt idx="631">
                  <c:v>5560</c:v>
                </c:pt>
                <c:pt idx="632">
                  <c:v>5568</c:v>
                </c:pt>
                <c:pt idx="633">
                  <c:v>5568</c:v>
                </c:pt>
                <c:pt idx="634">
                  <c:v>5572</c:v>
                </c:pt>
                <c:pt idx="635">
                  <c:v>5576</c:v>
                </c:pt>
                <c:pt idx="636">
                  <c:v>5576</c:v>
                </c:pt>
                <c:pt idx="637">
                  <c:v>5576</c:v>
                </c:pt>
                <c:pt idx="638">
                  <c:v>5576</c:v>
                </c:pt>
                <c:pt idx="639">
                  <c:v>5599</c:v>
                </c:pt>
                <c:pt idx="640">
                  <c:v>5605</c:v>
                </c:pt>
                <c:pt idx="641">
                  <c:v>5605</c:v>
                </c:pt>
                <c:pt idx="642">
                  <c:v>5605</c:v>
                </c:pt>
                <c:pt idx="643">
                  <c:v>5605</c:v>
                </c:pt>
                <c:pt idx="644">
                  <c:v>5606</c:v>
                </c:pt>
                <c:pt idx="645">
                  <c:v>5606</c:v>
                </c:pt>
                <c:pt idx="646">
                  <c:v>5606</c:v>
                </c:pt>
                <c:pt idx="647">
                  <c:v>5610</c:v>
                </c:pt>
                <c:pt idx="648">
                  <c:v>5618</c:v>
                </c:pt>
                <c:pt idx="649">
                  <c:v>5618</c:v>
                </c:pt>
                <c:pt idx="650">
                  <c:v>5618</c:v>
                </c:pt>
                <c:pt idx="651">
                  <c:v>5624</c:v>
                </c:pt>
                <c:pt idx="652">
                  <c:v>5648</c:v>
                </c:pt>
                <c:pt idx="653">
                  <c:v>5652</c:v>
                </c:pt>
                <c:pt idx="654">
                  <c:v>5652</c:v>
                </c:pt>
                <c:pt idx="655">
                  <c:v>5652</c:v>
                </c:pt>
                <c:pt idx="656">
                  <c:v>5668</c:v>
                </c:pt>
                <c:pt idx="657">
                  <c:v>5668</c:v>
                </c:pt>
                <c:pt idx="658">
                  <c:v>5668</c:v>
                </c:pt>
                <c:pt idx="659">
                  <c:v>5668</c:v>
                </c:pt>
                <c:pt idx="660">
                  <c:v>5680</c:v>
                </c:pt>
                <c:pt idx="661">
                  <c:v>5711</c:v>
                </c:pt>
                <c:pt idx="662">
                  <c:v>5711</c:v>
                </c:pt>
                <c:pt idx="663">
                  <c:v>5711</c:v>
                </c:pt>
                <c:pt idx="664">
                  <c:v>5714</c:v>
                </c:pt>
                <c:pt idx="665">
                  <c:v>5714</c:v>
                </c:pt>
                <c:pt idx="666">
                  <c:v>5752</c:v>
                </c:pt>
                <c:pt idx="667">
                  <c:v>5762</c:v>
                </c:pt>
                <c:pt idx="668">
                  <c:v>5762</c:v>
                </c:pt>
                <c:pt idx="669">
                  <c:v>5762</c:v>
                </c:pt>
                <c:pt idx="670">
                  <c:v>5762</c:v>
                </c:pt>
                <c:pt idx="671">
                  <c:v>5762</c:v>
                </c:pt>
                <c:pt idx="672">
                  <c:v>5762</c:v>
                </c:pt>
                <c:pt idx="673">
                  <c:v>5762</c:v>
                </c:pt>
                <c:pt idx="674">
                  <c:v>5762</c:v>
                </c:pt>
                <c:pt idx="675">
                  <c:v>5762</c:v>
                </c:pt>
                <c:pt idx="676">
                  <c:v>5762</c:v>
                </c:pt>
                <c:pt idx="677">
                  <c:v>5762</c:v>
                </c:pt>
                <c:pt idx="678">
                  <c:v>5762</c:v>
                </c:pt>
                <c:pt idx="679">
                  <c:v>5762</c:v>
                </c:pt>
                <c:pt idx="680">
                  <c:v>5770</c:v>
                </c:pt>
                <c:pt idx="681">
                  <c:v>5782</c:v>
                </c:pt>
                <c:pt idx="682">
                  <c:v>5782</c:v>
                </c:pt>
                <c:pt idx="683">
                  <c:v>5782</c:v>
                </c:pt>
                <c:pt idx="684">
                  <c:v>5782</c:v>
                </c:pt>
                <c:pt idx="685">
                  <c:v>5782</c:v>
                </c:pt>
                <c:pt idx="686">
                  <c:v>5782</c:v>
                </c:pt>
                <c:pt idx="687">
                  <c:v>5782</c:v>
                </c:pt>
                <c:pt idx="688">
                  <c:v>5782</c:v>
                </c:pt>
                <c:pt idx="689">
                  <c:v>5800</c:v>
                </c:pt>
                <c:pt idx="690">
                  <c:v>5800</c:v>
                </c:pt>
                <c:pt idx="691">
                  <c:v>5888</c:v>
                </c:pt>
                <c:pt idx="692">
                  <c:v>5888</c:v>
                </c:pt>
                <c:pt idx="693">
                  <c:v>5888</c:v>
                </c:pt>
                <c:pt idx="694">
                  <c:v>5888</c:v>
                </c:pt>
                <c:pt idx="695">
                  <c:v>5888</c:v>
                </c:pt>
                <c:pt idx="696">
                  <c:v>5896</c:v>
                </c:pt>
                <c:pt idx="697">
                  <c:v>5905</c:v>
                </c:pt>
                <c:pt idx="698">
                  <c:v>5905</c:v>
                </c:pt>
                <c:pt idx="699">
                  <c:v>5905</c:v>
                </c:pt>
                <c:pt idx="700">
                  <c:v>5905</c:v>
                </c:pt>
                <c:pt idx="701">
                  <c:v>5905</c:v>
                </c:pt>
                <c:pt idx="702">
                  <c:v>5905</c:v>
                </c:pt>
                <c:pt idx="703">
                  <c:v>5928</c:v>
                </c:pt>
                <c:pt idx="704">
                  <c:v>5928</c:v>
                </c:pt>
                <c:pt idx="705">
                  <c:v>6000</c:v>
                </c:pt>
                <c:pt idx="706">
                  <c:v>6000</c:v>
                </c:pt>
                <c:pt idx="707">
                  <c:v>6148</c:v>
                </c:pt>
                <c:pt idx="708">
                  <c:v>6178</c:v>
                </c:pt>
                <c:pt idx="709">
                  <c:v>6178</c:v>
                </c:pt>
                <c:pt idx="710">
                  <c:v>6178</c:v>
                </c:pt>
                <c:pt idx="711">
                  <c:v>6188</c:v>
                </c:pt>
                <c:pt idx="712">
                  <c:v>6200</c:v>
                </c:pt>
                <c:pt idx="713">
                  <c:v>6214</c:v>
                </c:pt>
                <c:pt idx="714">
                  <c:v>6214</c:v>
                </c:pt>
                <c:pt idx="715">
                  <c:v>6310</c:v>
                </c:pt>
                <c:pt idx="716">
                  <c:v>6332</c:v>
                </c:pt>
                <c:pt idx="717">
                  <c:v>6332</c:v>
                </c:pt>
                <c:pt idx="718">
                  <c:v>6332</c:v>
                </c:pt>
                <c:pt idx="719">
                  <c:v>6350</c:v>
                </c:pt>
                <c:pt idx="720">
                  <c:v>6350</c:v>
                </c:pt>
                <c:pt idx="721">
                  <c:v>6350</c:v>
                </c:pt>
                <c:pt idx="722">
                  <c:v>6350</c:v>
                </c:pt>
                <c:pt idx="723">
                  <c:v>6350</c:v>
                </c:pt>
                <c:pt idx="724">
                  <c:v>6350</c:v>
                </c:pt>
                <c:pt idx="725">
                  <c:v>6350</c:v>
                </c:pt>
                <c:pt idx="726">
                  <c:v>6350</c:v>
                </c:pt>
                <c:pt idx="727">
                  <c:v>6350</c:v>
                </c:pt>
                <c:pt idx="728">
                  <c:v>6350</c:v>
                </c:pt>
                <c:pt idx="729">
                  <c:v>6350</c:v>
                </c:pt>
                <c:pt idx="730">
                  <c:v>6350</c:v>
                </c:pt>
                <c:pt idx="731">
                  <c:v>6350</c:v>
                </c:pt>
                <c:pt idx="732">
                  <c:v>6350</c:v>
                </c:pt>
                <c:pt idx="733">
                  <c:v>6350</c:v>
                </c:pt>
                <c:pt idx="734">
                  <c:v>6350</c:v>
                </c:pt>
                <c:pt idx="735">
                  <c:v>6350</c:v>
                </c:pt>
                <c:pt idx="736">
                  <c:v>6402</c:v>
                </c:pt>
                <c:pt idx="737">
                  <c:v>6402</c:v>
                </c:pt>
                <c:pt idx="738">
                  <c:v>6402</c:v>
                </c:pt>
                <c:pt idx="739">
                  <c:v>6402</c:v>
                </c:pt>
                <c:pt idx="740">
                  <c:v>6402</c:v>
                </c:pt>
                <c:pt idx="741">
                  <c:v>6402</c:v>
                </c:pt>
                <c:pt idx="742">
                  <c:v>6402</c:v>
                </c:pt>
                <c:pt idx="743">
                  <c:v>6402</c:v>
                </c:pt>
                <c:pt idx="744">
                  <c:v>6402</c:v>
                </c:pt>
                <c:pt idx="745">
                  <c:v>6402</c:v>
                </c:pt>
                <c:pt idx="746">
                  <c:v>6418</c:v>
                </c:pt>
                <c:pt idx="747">
                  <c:v>6418</c:v>
                </c:pt>
                <c:pt idx="748">
                  <c:v>6418</c:v>
                </c:pt>
                <c:pt idx="749">
                  <c:v>6418</c:v>
                </c:pt>
                <c:pt idx="750">
                  <c:v>6420</c:v>
                </c:pt>
                <c:pt idx="751">
                  <c:v>6435</c:v>
                </c:pt>
                <c:pt idx="752">
                  <c:v>6435</c:v>
                </c:pt>
                <c:pt idx="753">
                  <c:v>6435</c:v>
                </c:pt>
                <c:pt idx="754">
                  <c:v>6435</c:v>
                </c:pt>
                <c:pt idx="755">
                  <c:v>6435</c:v>
                </c:pt>
                <c:pt idx="756">
                  <c:v>6435</c:v>
                </c:pt>
                <c:pt idx="757">
                  <c:v>6456</c:v>
                </c:pt>
                <c:pt idx="758">
                  <c:v>6456</c:v>
                </c:pt>
                <c:pt idx="759">
                  <c:v>6477</c:v>
                </c:pt>
                <c:pt idx="760">
                  <c:v>6478</c:v>
                </c:pt>
                <c:pt idx="761">
                  <c:v>6478</c:v>
                </c:pt>
                <c:pt idx="762">
                  <c:v>6492</c:v>
                </c:pt>
                <c:pt idx="763">
                  <c:v>6492</c:v>
                </c:pt>
                <c:pt idx="764">
                  <c:v>6492</c:v>
                </c:pt>
                <c:pt idx="765">
                  <c:v>6500</c:v>
                </c:pt>
                <c:pt idx="766">
                  <c:v>6500</c:v>
                </c:pt>
                <c:pt idx="767">
                  <c:v>6500</c:v>
                </c:pt>
                <c:pt idx="768">
                  <c:v>6500</c:v>
                </c:pt>
                <c:pt idx="769">
                  <c:v>6500</c:v>
                </c:pt>
                <c:pt idx="770">
                  <c:v>6500</c:v>
                </c:pt>
                <c:pt idx="771">
                  <c:v>6539</c:v>
                </c:pt>
                <c:pt idx="772">
                  <c:v>6539</c:v>
                </c:pt>
                <c:pt idx="773">
                  <c:v>6539</c:v>
                </c:pt>
                <c:pt idx="774">
                  <c:v>6539</c:v>
                </c:pt>
                <c:pt idx="775">
                  <c:v>6570</c:v>
                </c:pt>
                <c:pt idx="776">
                  <c:v>6570</c:v>
                </c:pt>
                <c:pt idx="777">
                  <c:v>6570</c:v>
                </c:pt>
                <c:pt idx="778">
                  <c:v>6570</c:v>
                </c:pt>
                <c:pt idx="779">
                  <c:v>6572</c:v>
                </c:pt>
                <c:pt idx="780">
                  <c:v>6572</c:v>
                </c:pt>
                <c:pt idx="781">
                  <c:v>6586</c:v>
                </c:pt>
                <c:pt idx="782">
                  <c:v>6586</c:v>
                </c:pt>
                <c:pt idx="783">
                  <c:v>6588</c:v>
                </c:pt>
                <c:pt idx="784">
                  <c:v>6588</c:v>
                </c:pt>
                <c:pt idx="785">
                  <c:v>6589</c:v>
                </c:pt>
                <c:pt idx="786">
                  <c:v>6589</c:v>
                </c:pt>
                <c:pt idx="787">
                  <c:v>6589</c:v>
                </c:pt>
                <c:pt idx="788">
                  <c:v>6589</c:v>
                </c:pt>
                <c:pt idx="789">
                  <c:v>6589</c:v>
                </c:pt>
                <c:pt idx="790">
                  <c:v>6612</c:v>
                </c:pt>
                <c:pt idx="791">
                  <c:v>6612</c:v>
                </c:pt>
                <c:pt idx="792">
                  <c:v>6622</c:v>
                </c:pt>
                <c:pt idx="793">
                  <c:v>6627</c:v>
                </c:pt>
                <c:pt idx="794">
                  <c:v>6627</c:v>
                </c:pt>
                <c:pt idx="795">
                  <c:v>6627</c:v>
                </c:pt>
                <c:pt idx="796">
                  <c:v>6627</c:v>
                </c:pt>
                <c:pt idx="797">
                  <c:v>6644</c:v>
                </c:pt>
                <c:pt idx="798">
                  <c:v>6655</c:v>
                </c:pt>
                <c:pt idx="799">
                  <c:v>6655</c:v>
                </c:pt>
                <c:pt idx="800">
                  <c:v>6655</c:v>
                </c:pt>
                <c:pt idx="801">
                  <c:v>6655</c:v>
                </c:pt>
                <c:pt idx="802">
                  <c:v>6655</c:v>
                </c:pt>
                <c:pt idx="803">
                  <c:v>6655</c:v>
                </c:pt>
                <c:pt idx="804">
                  <c:v>6661</c:v>
                </c:pt>
                <c:pt idx="805">
                  <c:v>6661</c:v>
                </c:pt>
                <c:pt idx="806">
                  <c:v>6724</c:v>
                </c:pt>
                <c:pt idx="807">
                  <c:v>6724</c:v>
                </c:pt>
                <c:pt idx="808">
                  <c:v>6724</c:v>
                </c:pt>
                <c:pt idx="809">
                  <c:v>6724</c:v>
                </c:pt>
                <c:pt idx="810">
                  <c:v>6724</c:v>
                </c:pt>
                <c:pt idx="811">
                  <c:v>6724</c:v>
                </c:pt>
                <c:pt idx="812">
                  <c:v>6724</c:v>
                </c:pt>
                <c:pt idx="813">
                  <c:v>6724</c:v>
                </c:pt>
                <c:pt idx="814">
                  <c:v>6724</c:v>
                </c:pt>
                <c:pt idx="815">
                  <c:v>6724</c:v>
                </c:pt>
                <c:pt idx="816">
                  <c:v>6730</c:v>
                </c:pt>
                <c:pt idx="817">
                  <c:v>6732</c:v>
                </c:pt>
                <c:pt idx="818">
                  <c:v>6732</c:v>
                </c:pt>
                <c:pt idx="819">
                  <c:v>6732</c:v>
                </c:pt>
                <c:pt idx="820">
                  <c:v>6732</c:v>
                </c:pt>
                <c:pt idx="821">
                  <c:v>6732</c:v>
                </c:pt>
                <c:pt idx="822">
                  <c:v>6732</c:v>
                </c:pt>
                <c:pt idx="823">
                  <c:v>6732</c:v>
                </c:pt>
                <c:pt idx="824">
                  <c:v>6732</c:v>
                </c:pt>
                <c:pt idx="825">
                  <c:v>6732</c:v>
                </c:pt>
                <c:pt idx="826">
                  <c:v>6732</c:v>
                </c:pt>
                <c:pt idx="827">
                  <c:v>6732</c:v>
                </c:pt>
                <c:pt idx="828">
                  <c:v>6750</c:v>
                </c:pt>
                <c:pt idx="829">
                  <c:v>6763</c:v>
                </c:pt>
                <c:pt idx="830">
                  <c:v>6763</c:v>
                </c:pt>
                <c:pt idx="831">
                  <c:v>6763</c:v>
                </c:pt>
                <c:pt idx="832">
                  <c:v>6763</c:v>
                </c:pt>
                <c:pt idx="833">
                  <c:v>6763</c:v>
                </c:pt>
                <c:pt idx="834">
                  <c:v>6845</c:v>
                </c:pt>
                <c:pt idx="835">
                  <c:v>6877</c:v>
                </c:pt>
                <c:pt idx="836">
                  <c:v>6882</c:v>
                </c:pt>
                <c:pt idx="837">
                  <c:v>6900</c:v>
                </c:pt>
                <c:pt idx="838">
                  <c:v>6900</c:v>
                </c:pt>
                <c:pt idx="839">
                  <c:v>6900</c:v>
                </c:pt>
                <c:pt idx="840">
                  <c:v>6921</c:v>
                </c:pt>
                <c:pt idx="841">
                  <c:v>6921</c:v>
                </c:pt>
                <c:pt idx="842">
                  <c:v>6966</c:v>
                </c:pt>
                <c:pt idx="843">
                  <c:v>6969</c:v>
                </c:pt>
                <c:pt idx="844">
                  <c:v>7000</c:v>
                </c:pt>
                <c:pt idx="845">
                  <c:v>7024</c:v>
                </c:pt>
                <c:pt idx="846">
                  <c:v>7024</c:v>
                </c:pt>
                <c:pt idx="847">
                  <c:v>7024</c:v>
                </c:pt>
                <c:pt idx="848">
                  <c:v>7024</c:v>
                </c:pt>
                <c:pt idx="849">
                  <c:v>7024</c:v>
                </c:pt>
                <c:pt idx="850">
                  <c:v>7024</c:v>
                </c:pt>
                <c:pt idx="851">
                  <c:v>7030</c:v>
                </c:pt>
                <c:pt idx="852">
                  <c:v>7030</c:v>
                </c:pt>
                <c:pt idx="853">
                  <c:v>7030</c:v>
                </c:pt>
                <c:pt idx="854">
                  <c:v>7030</c:v>
                </c:pt>
                <c:pt idx="855">
                  <c:v>7090</c:v>
                </c:pt>
                <c:pt idx="856">
                  <c:v>7090</c:v>
                </c:pt>
                <c:pt idx="857">
                  <c:v>7100</c:v>
                </c:pt>
                <c:pt idx="858">
                  <c:v>7100</c:v>
                </c:pt>
                <c:pt idx="859">
                  <c:v>7100</c:v>
                </c:pt>
                <c:pt idx="860">
                  <c:v>7154</c:v>
                </c:pt>
                <c:pt idx="861">
                  <c:v>7154</c:v>
                </c:pt>
                <c:pt idx="862">
                  <c:v>7226</c:v>
                </c:pt>
                <c:pt idx="863">
                  <c:v>7226</c:v>
                </c:pt>
                <c:pt idx="864">
                  <c:v>7226</c:v>
                </c:pt>
                <c:pt idx="865">
                  <c:v>7370</c:v>
                </c:pt>
                <c:pt idx="866">
                  <c:v>7370</c:v>
                </c:pt>
                <c:pt idx="867">
                  <c:v>7370</c:v>
                </c:pt>
                <c:pt idx="868">
                  <c:v>7370</c:v>
                </c:pt>
                <c:pt idx="869">
                  <c:v>7450</c:v>
                </c:pt>
                <c:pt idx="870">
                  <c:v>7450</c:v>
                </c:pt>
                <c:pt idx="871">
                  <c:v>7455</c:v>
                </c:pt>
                <c:pt idx="872">
                  <c:v>7455</c:v>
                </c:pt>
                <c:pt idx="873">
                  <c:v>7455</c:v>
                </c:pt>
                <c:pt idx="874">
                  <c:v>7455</c:v>
                </c:pt>
                <c:pt idx="875">
                  <c:v>7455</c:v>
                </c:pt>
                <c:pt idx="876">
                  <c:v>7471</c:v>
                </c:pt>
                <c:pt idx="877">
                  <c:v>7488</c:v>
                </c:pt>
                <c:pt idx="878">
                  <c:v>7500</c:v>
                </c:pt>
                <c:pt idx="879">
                  <c:v>7506</c:v>
                </c:pt>
                <c:pt idx="880">
                  <c:v>7506</c:v>
                </c:pt>
                <c:pt idx="881">
                  <c:v>7721</c:v>
                </c:pt>
                <c:pt idx="882">
                  <c:v>7747</c:v>
                </c:pt>
                <c:pt idx="883">
                  <c:v>7747</c:v>
                </c:pt>
                <c:pt idx="884">
                  <c:v>7747</c:v>
                </c:pt>
                <c:pt idx="885">
                  <c:v>7747</c:v>
                </c:pt>
                <c:pt idx="886">
                  <c:v>7943</c:v>
                </c:pt>
                <c:pt idx="887">
                  <c:v>7943</c:v>
                </c:pt>
                <c:pt idx="888">
                  <c:v>8000</c:v>
                </c:pt>
                <c:pt idx="889">
                  <c:v>8000</c:v>
                </c:pt>
                <c:pt idx="890">
                  <c:v>8000</c:v>
                </c:pt>
                <c:pt idx="891">
                  <c:v>8000</c:v>
                </c:pt>
                <c:pt idx="892">
                  <c:v>8000</c:v>
                </c:pt>
                <c:pt idx="893">
                  <c:v>8000</c:v>
                </c:pt>
                <c:pt idx="894">
                  <c:v>8034</c:v>
                </c:pt>
                <c:pt idx="895">
                  <c:v>8034</c:v>
                </c:pt>
                <c:pt idx="896">
                  <c:v>8034</c:v>
                </c:pt>
                <c:pt idx="897">
                  <c:v>8034</c:v>
                </c:pt>
                <c:pt idx="898">
                  <c:v>8034</c:v>
                </c:pt>
                <c:pt idx="899">
                  <c:v>8034</c:v>
                </c:pt>
                <c:pt idx="900">
                  <c:v>8034</c:v>
                </c:pt>
                <c:pt idx="901">
                  <c:v>8034</c:v>
                </c:pt>
                <c:pt idx="902">
                  <c:v>8063</c:v>
                </c:pt>
                <c:pt idx="903">
                  <c:v>8063</c:v>
                </c:pt>
                <c:pt idx="904">
                  <c:v>8063</c:v>
                </c:pt>
                <c:pt idx="905">
                  <c:v>8063</c:v>
                </c:pt>
                <c:pt idx="906">
                  <c:v>8063</c:v>
                </c:pt>
                <c:pt idx="907">
                  <c:v>8063</c:v>
                </c:pt>
                <c:pt idx="908">
                  <c:v>8063</c:v>
                </c:pt>
                <c:pt idx="909">
                  <c:v>8063</c:v>
                </c:pt>
                <c:pt idx="910">
                  <c:v>8063</c:v>
                </c:pt>
                <c:pt idx="911">
                  <c:v>8063</c:v>
                </c:pt>
                <c:pt idx="912">
                  <c:v>8069</c:v>
                </c:pt>
                <c:pt idx="913">
                  <c:v>8069</c:v>
                </c:pt>
                <c:pt idx="914">
                  <c:v>8073</c:v>
                </c:pt>
                <c:pt idx="915">
                  <c:v>8073</c:v>
                </c:pt>
                <c:pt idx="916">
                  <c:v>8073</c:v>
                </c:pt>
                <c:pt idx="917">
                  <c:v>8073</c:v>
                </c:pt>
                <c:pt idx="918">
                  <c:v>8073</c:v>
                </c:pt>
                <c:pt idx="919">
                  <c:v>8073</c:v>
                </c:pt>
                <c:pt idx="920">
                  <c:v>8084</c:v>
                </c:pt>
                <c:pt idx="921">
                  <c:v>8084</c:v>
                </c:pt>
                <c:pt idx="922">
                  <c:v>8086</c:v>
                </c:pt>
                <c:pt idx="923">
                  <c:v>8086</c:v>
                </c:pt>
                <c:pt idx="924">
                  <c:v>8100</c:v>
                </c:pt>
                <c:pt idx="925">
                  <c:v>8100</c:v>
                </c:pt>
                <c:pt idx="926">
                  <c:v>8100</c:v>
                </c:pt>
                <c:pt idx="927">
                  <c:v>8100</c:v>
                </c:pt>
                <c:pt idx="928">
                  <c:v>8102</c:v>
                </c:pt>
                <c:pt idx="929">
                  <c:v>8102</c:v>
                </c:pt>
                <c:pt idx="930">
                  <c:v>8110</c:v>
                </c:pt>
                <c:pt idx="931">
                  <c:v>8110</c:v>
                </c:pt>
                <c:pt idx="932">
                  <c:v>8110</c:v>
                </c:pt>
                <c:pt idx="933">
                  <c:v>8110</c:v>
                </c:pt>
                <c:pt idx="934">
                  <c:v>8112</c:v>
                </c:pt>
                <c:pt idx="935">
                  <c:v>8189</c:v>
                </c:pt>
                <c:pt idx="936">
                  <c:v>8204</c:v>
                </c:pt>
                <c:pt idx="937">
                  <c:v>8204</c:v>
                </c:pt>
                <c:pt idx="938">
                  <c:v>8204</c:v>
                </c:pt>
                <c:pt idx="939">
                  <c:v>8204</c:v>
                </c:pt>
                <c:pt idx="940">
                  <c:v>8204</c:v>
                </c:pt>
                <c:pt idx="941">
                  <c:v>8204</c:v>
                </c:pt>
                <c:pt idx="942">
                  <c:v>8204</c:v>
                </c:pt>
                <c:pt idx="943">
                  <c:v>8204</c:v>
                </c:pt>
                <c:pt idx="944">
                  <c:v>8208</c:v>
                </c:pt>
                <c:pt idx="945">
                  <c:v>8208</c:v>
                </c:pt>
                <c:pt idx="946">
                  <c:v>8208</c:v>
                </c:pt>
                <c:pt idx="947">
                  <c:v>8208</c:v>
                </c:pt>
                <c:pt idx="948">
                  <c:v>8212</c:v>
                </c:pt>
                <c:pt idx="949">
                  <c:v>8212</c:v>
                </c:pt>
                <c:pt idx="950">
                  <c:v>8212</c:v>
                </c:pt>
                <c:pt idx="951">
                  <c:v>8212</c:v>
                </c:pt>
                <c:pt idx="952">
                  <c:v>8212</c:v>
                </c:pt>
                <c:pt idx="953">
                  <c:v>8212</c:v>
                </c:pt>
                <c:pt idx="954">
                  <c:v>8212</c:v>
                </c:pt>
                <c:pt idx="955">
                  <c:v>8212</c:v>
                </c:pt>
                <c:pt idx="956">
                  <c:v>8238</c:v>
                </c:pt>
                <c:pt idx="957">
                  <c:v>8238</c:v>
                </c:pt>
                <c:pt idx="958">
                  <c:v>8240</c:v>
                </c:pt>
                <c:pt idx="959">
                  <c:v>8240</c:v>
                </c:pt>
                <c:pt idx="960">
                  <c:v>8241</c:v>
                </c:pt>
                <c:pt idx="961">
                  <c:v>8241</c:v>
                </c:pt>
                <c:pt idx="962">
                  <c:v>8241</c:v>
                </c:pt>
                <c:pt idx="963">
                  <c:v>8241</c:v>
                </c:pt>
                <c:pt idx="964">
                  <c:v>8379</c:v>
                </c:pt>
                <c:pt idx="965">
                  <c:v>8379</c:v>
                </c:pt>
                <c:pt idx="966">
                  <c:v>8379</c:v>
                </c:pt>
                <c:pt idx="967">
                  <c:v>8400</c:v>
                </c:pt>
                <c:pt idx="968">
                  <c:v>8400</c:v>
                </c:pt>
                <c:pt idx="969">
                  <c:v>8400</c:v>
                </c:pt>
                <c:pt idx="970">
                  <c:v>8400</c:v>
                </c:pt>
                <c:pt idx="971">
                  <c:v>8400</c:v>
                </c:pt>
                <c:pt idx="972">
                  <c:v>8400</c:v>
                </c:pt>
                <c:pt idx="973">
                  <c:v>8401</c:v>
                </c:pt>
                <c:pt idx="974">
                  <c:v>8401</c:v>
                </c:pt>
                <c:pt idx="975">
                  <c:v>8401</c:v>
                </c:pt>
                <c:pt idx="976">
                  <c:v>8401</c:v>
                </c:pt>
                <c:pt idx="977">
                  <c:v>8401</c:v>
                </c:pt>
                <c:pt idx="978">
                  <c:v>8411</c:v>
                </c:pt>
                <c:pt idx="979">
                  <c:v>8411</c:v>
                </c:pt>
                <c:pt idx="980">
                  <c:v>8411</c:v>
                </c:pt>
                <c:pt idx="981">
                  <c:v>8411</c:v>
                </c:pt>
                <c:pt idx="982">
                  <c:v>8440</c:v>
                </c:pt>
                <c:pt idx="983">
                  <c:v>8440</c:v>
                </c:pt>
                <c:pt idx="984">
                  <c:v>8450</c:v>
                </c:pt>
                <c:pt idx="985">
                  <c:v>8450</c:v>
                </c:pt>
                <c:pt idx="986">
                  <c:v>8452</c:v>
                </c:pt>
                <c:pt idx="987">
                  <c:v>8452</c:v>
                </c:pt>
                <c:pt idx="988">
                  <c:v>8452</c:v>
                </c:pt>
                <c:pt idx="989">
                  <c:v>8452</c:v>
                </c:pt>
                <c:pt idx="990">
                  <c:v>8452</c:v>
                </c:pt>
                <c:pt idx="991">
                  <c:v>8452</c:v>
                </c:pt>
                <c:pt idx="992">
                  <c:v>8452</c:v>
                </c:pt>
                <c:pt idx="993">
                  <c:v>8452</c:v>
                </c:pt>
                <c:pt idx="994">
                  <c:v>8452</c:v>
                </c:pt>
                <c:pt idx="995">
                  <c:v>8452</c:v>
                </c:pt>
                <c:pt idx="996">
                  <c:v>8452</c:v>
                </c:pt>
                <c:pt idx="997">
                  <c:v>8452</c:v>
                </c:pt>
                <c:pt idx="998">
                  <c:v>8452</c:v>
                </c:pt>
                <c:pt idx="999">
                  <c:v>8452</c:v>
                </c:pt>
                <c:pt idx="1000">
                  <c:v>8452</c:v>
                </c:pt>
                <c:pt idx="1001">
                  <c:v>8452</c:v>
                </c:pt>
                <c:pt idx="1002">
                  <c:v>8452</c:v>
                </c:pt>
                <c:pt idx="1003">
                  <c:v>8466</c:v>
                </c:pt>
                <c:pt idx="1004">
                  <c:v>8466</c:v>
                </c:pt>
                <c:pt idx="1005">
                  <c:v>8466</c:v>
                </c:pt>
                <c:pt idx="1006">
                  <c:v>8466</c:v>
                </c:pt>
                <c:pt idx="1007">
                  <c:v>8468</c:v>
                </c:pt>
                <c:pt idx="1008">
                  <c:v>8468</c:v>
                </c:pt>
                <c:pt idx="1009">
                  <c:v>8468</c:v>
                </c:pt>
                <c:pt idx="1010">
                  <c:v>8468</c:v>
                </c:pt>
                <c:pt idx="1011">
                  <c:v>8488</c:v>
                </c:pt>
                <c:pt idx="1012">
                  <c:v>8488</c:v>
                </c:pt>
                <c:pt idx="1013">
                  <c:v>8488</c:v>
                </c:pt>
                <c:pt idx="1014">
                  <c:v>8488</c:v>
                </c:pt>
                <c:pt idx="1015">
                  <c:v>8488</c:v>
                </c:pt>
                <c:pt idx="1016">
                  <c:v>8495</c:v>
                </c:pt>
                <c:pt idx="1017">
                  <c:v>8495</c:v>
                </c:pt>
                <c:pt idx="1018">
                  <c:v>8500</c:v>
                </c:pt>
                <c:pt idx="1019">
                  <c:v>8500</c:v>
                </c:pt>
                <c:pt idx="1020">
                  <c:v>8500</c:v>
                </c:pt>
                <c:pt idx="1021">
                  <c:v>8500</c:v>
                </c:pt>
                <c:pt idx="1022">
                  <c:v>8501</c:v>
                </c:pt>
                <c:pt idx="1023">
                  <c:v>8508</c:v>
                </c:pt>
                <c:pt idx="1024">
                  <c:v>8508</c:v>
                </c:pt>
                <c:pt idx="1025">
                  <c:v>8508</c:v>
                </c:pt>
                <c:pt idx="1026">
                  <c:v>8528</c:v>
                </c:pt>
                <c:pt idx="1027">
                  <c:v>8528</c:v>
                </c:pt>
                <c:pt idx="1028">
                  <c:v>8528</c:v>
                </c:pt>
                <c:pt idx="1029">
                  <c:v>8530</c:v>
                </c:pt>
                <c:pt idx="1030">
                  <c:v>8530</c:v>
                </c:pt>
                <c:pt idx="1031">
                  <c:v>8530</c:v>
                </c:pt>
                <c:pt idx="1032">
                  <c:v>8540</c:v>
                </c:pt>
                <c:pt idx="1033">
                  <c:v>8540</c:v>
                </c:pt>
                <c:pt idx="1034">
                  <c:v>8540</c:v>
                </c:pt>
                <c:pt idx="1035">
                  <c:v>8562</c:v>
                </c:pt>
                <c:pt idx="1036">
                  <c:v>8562</c:v>
                </c:pt>
                <c:pt idx="1037">
                  <c:v>8562</c:v>
                </c:pt>
                <c:pt idx="1038">
                  <c:v>8562</c:v>
                </c:pt>
                <c:pt idx="1039">
                  <c:v>8566</c:v>
                </c:pt>
                <c:pt idx="1040">
                  <c:v>8566</c:v>
                </c:pt>
                <c:pt idx="1041">
                  <c:v>8566</c:v>
                </c:pt>
                <c:pt idx="1042">
                  <c:v>8566</c:v>
                </c:pt>
                <c:pt idx="1043">
                  <c:v>8580</c:v>
                </c:pt>
                <c:pt idx="1044">
                  <c:v>8580</c:v>
                </c:pt>
                <c:pt idx="1045">
                  <c:v>8586</c:v>
                </c:pt>
                <c:pt idx="1046">
                  <c:v>8600</c:v>
                </c:pt>
                <c:pt idx="1047">
                  <c:v>8600</c:v>
                </c:pt>
                <c:pt idx="1048">
                  <c:v>8600</c:v>
                </c:pt>
                <c:pt idx="1049">
                  <c:v>8600</c:v>
                </c:pt>
                <c:pt idx="1050">
                  <c:v>8600</c:v>
                </c:pt>
                <c:pt idx="1051">
                  <c:v>8600</c:v>
                </c:pt>
                <c:pt idx="1052">
                  <c:v>8600</c:v>
                </c:pt>
                <c:pt idx="1053">
                  <c:v>8600</c:v>
                </c:pt>
                <c:pt idx="1054">
                  <c:v>8600</c:v>
                </c:pt>
                <c:pt idx="1055">
                  <c:v>8626</c:v>
                </c:pt>
                <c:pt idx="1056">
                  <c:v>8626</c:v>
                </c:pt>
                <c:pt idx="1057">
                  <c:v>8628</c:v>
                </c:pt>
                <c:pt idx="1058">
                  <c:v>8628</c:v>
                </c:pt>
                <c:pt idx="1059">
                  <c:v>8633</c:v>
                </c:pt>
                <c:pt idx="1060">
                  <c:v>8700</c:v>
                </c:pt>
                <c:pt idx="1061">
                  <c:v>8700</c:v>
                </c:pt>
                <c:pt idx="1062">
                  <c:v>8700</c:v>
                </c:pt>
                <c:pt idx="1063">
                  <c:v>8714</c:v>
                </c:pt>
                <c:pt idx="1064">
                  <c:v>8749</c:v>
                </c:pt>
                <c:pt idx="1065">
                  <c:v>8749</c:v>
                </c:pt>
                <c:pt idx="1066">
                  <c:v>8749</c:v>
                </c:pt>
                <c:pt idx="1067">
                  <c:v>8749</c:v>
                </c:pt>
                <c:pt idx="1068">
                  <c:v>8749</c:v>
                </c:pt>
                <c:pt idx="1069">
                  <c:v>8749</c:v>
                </c:pt>
                <c:pt idx="1070">
                  <c:v>8749</c:v>
                </c:pt>
                <c:pt idx="1071">
                  <c:v>8749</c:v>
                </c:pt>
                <c:pt idx="1072">
                  <c:v>8749</c:v>
                </c:pt>
                <c:pt idx="1073">
                  <c:v>8749</c:v>
                </c:pt>
                <c:pt idx="1074">
                  <c:v>8749</c:v>
                </c:pt>
                <c:pt idx="1075">
                  <c:v>8749</c:v>
                </c:pt>
                <c:pt idx="1076">
                  <c:v>8749</c:v>
                </c:pt>
                <c:pt idx="1077">
                  <c:v>8749</c:v>
                </c:pt>
                <c:pt idx="1078">
                  <c:v>8762</c:v>
                </c:pt>
                <c:pt idx="1079">
                  <c:v>8762</c:v>
                </c:pt>
                <c:pt idx="1080">
                  <c:v>8762</c:v>
                </c:pt>
                <c:pt idx="1081">
                  <c:v>8762</c:v>
                </c:pt>
                <c:pt idx="1082">
                  <c:v>8772</c:v>
                </c:pt>
                <c:pt idx="1083">
                  <c:v>8800</c:v>
                </c:pt>
                <c:pt idx="1084">
                  <c:v>8800</c:v>
                </c:pt>
                <c:pt idx="1085">
                  <c:v>8800</c:v>
                </c:pt>
                <c:pt idx="1086">
                  <c:v>8800</c:v>
                </c:pt>
                <c:pt idx="1087">
                  <c:v>8800</c:v>
                </c:pt>
                <c:pt idx="1088">
                  <c:v>8800</c:v>
                </c:pt>
                <c:pt idx="1089">
                  <c:v>8800</c:v>
                </c:pt>
                <c:pt idx="1090">
                  <c:v>8800</c:v>
                </c:pt>
                <c:pt idx="1091">
                  <c:v>8800</c:v>
                </c:pt>
                <c:pt idx="1092">
                  <c:v>8800</c:v>
                </c:pt>
                <c:pt idx="1093">
                  <c:v>8800</c:v>
                </c:pt>
                <c:pt idx="1094">
                  <c:v>8800</c:v>
                </c:pt>
                <c:pt idx="1095">
                  <c:v>8800</c:v>
                </c:pt>
                <c:pt idx="1096">
                  <c:v>8814</c:v>
                </c:pt>
                <c:pt idx="1097">
                  <c:v>8819</c:v>
                </c:pt>
                <c:pt idx="1098">
                  <c:v>8819</c:v>
                </c:pt>
                <c:pt idx="1099">
                  <c:v>8825</c:v>
                </c:pt>
                <c:pt idx="1100">
                  <c:v>8827</c:v>
                </c:pt>
                <c:pt idx="1101">
                  <c:v>8827</c:v>
                </c:pt>
                <c:pt idx="1102">
                  <c:v>8948</c:v>
                </c:pt>
                <c:pt idx="1103">
                  <c:v>8962</c:v>
                </c:pt>
                <c:pt idx="1104">
                  <c:v>9000</c:v>
                </c:pt>
                <c:pt idx="1105">
                  <c:v>9000</c:v>
                </c:pt>
                <c:pt idx="1106">
                  <c:v>9000</c:v>
                </c:pt>
                <c:pt idx="1107">
                  <c:v>9000</c:v>
                </c:pt>
                <c:pt idx="1108">
                  <c:v>9000</c:v>
                </c:pt>
                <c:pt idx="1109">
                  <c:v>9000</c:v>
                </c:pt>
                <c:pt idx="1110">
                  <c:v>9000</c:v>
                </c:pt>
                <c:pt idx="1111">
                  <c:v>9000</c:v>
                </c:pt>
                <c:pt idx="1112">
                  <c:v>9000</c:v>
                </c:pt>
                <c:pt idx="1113">
                  <c:v>9000</c:v>
                </c:pt>
                <c:pt idx="1114">
                  <c:v>9012</c:v>
                </c:pt>
                <c:pt idx="1115">
                  <c:v>9012</c:v>
                </c:pt>
                <c:pt idx="1116">
                  <c:v>9012</c:v>
                </c:pt>
                <c:pt idx="1117">
                  <c:v>9030</c:v>
                </c:pt>
                <c:pt idx="1118">
                  <c:v>9030</c:v>
                </c:pt>
                <c:pt idx="1119">
                  <c:v>9030</c:v>
                </c:pt>
                <c:pt idx="1120">
                  <c:v>9034</c:v>
                </c:pt>
                <c:pt idx="1121">
                  <c:v>9034</c:v>
                </c:pt>
                <c:pt idx="1122">
                  <c:v>9040</c:v>
                </c:pt>
                <c:pt idx="1123">
                  <c:v>9040</c:v>
                </c:pt>
                <c:pt idx="1124">
                  <c:v>9040</c:v>
                </c:pt>
                <c:pt idx="1125">
                  <c:v>9113</c:v>
                </c:pt>
                <c:pt idx="1126">
                  <c:v>9113</c:v>
                </c:pt>
                <c:pt idx="1127">
                  <c:v>9162</c:v>
                </c:pt>
                <c:pt idx="1128">
                  <c:v>9162</c:v>
                </c:pt>
                <c:pt idx="1129">
                  <c:v>9178</c:v>
                </c:pt>
                <c:pt idx="1130">
                  <c:v>9178</c:v>
                </c:pt>
                <c:pt idx="1131">
                  <c:v>9178</c:v>
                </c:pt>
                <c:pt idx="1132">
                  <c:v>9178</c:v>
                </c:pt>
                <c:pt idx="1133">
                  <c:v>9178</c:v>
                </c:pt>
                <c:pt idx="1134">
                  <c:v>9178</c:v>
                </c:pt>
                <c:pt idx="1135">
                  <c:v>9178</c:v>
                </c:pt>
                <c:pt idx="1136">
                  <c:v>9178</c:v>
                </c:pt>
                <c:pt idx="1137">
                  <c:v>9178</c:v>
                </c:pt>
                <c:pt idx="1138">
                  <c:v>9178</c:v>
                </c:pt>
                <c:pt idx="1139">
                  <c:v>9178</c:v>
                </c:pt>
                <c:pt idx="1140">
                  <c:v>9200</c:v>
                </c:pt>
                <c:pt idx="1141">
                  <c:v>9200</c:v>
                </c:pt>
                <c:pt idx="1142">
                  <c:v>9200</c:v>
                </c:pt>
                <c:pt idx="1143">
                  <c:v>9200</c:v>
                </c:pt>
                <c:pt idx="1144">
                  <c:v>9200</c:v>
                </c:pt>
                <c:pt idx="1145">
                  <c:v>9200</c:v>
                </c:pt>
                <c:pt idx="1146">
                  <c:v>9200</c:v>
                </c:pt>
                <c:pt idx="1147">
                  <c:v>9200</c:v>
                </c:pt>
                <c:pt idx="1148">
                  <c:v>9300</c:v>
                </c:pt>
                <c:pt idx="1149">
                  <c:v>9300</c:v>
                </c:pt>
                <c:pt idx="1150">
                  <c:v>9300</c:v>
                </c:pt>
                <c:pt idx="1151">
                  <c:v>9400</c:v>
                </c:pt>
                <c:pt idx="1152">
                  <c:v>9400</c:v>
                </c:pt>
                <c:pt idx="1153">
                  <c:v>9400</c:v>
                </c:pt>
                <c:pt idx="1154">
                  <c:v>9400</c:v>
                </c:pt>
                <c:pt idx="1155">
                  <c:v>9400</c:v>
                </c:pt>
                <c:pt idx="1156">
                  <c:v>9400</c:v>
                </c:pt>
                <c:pt idx="1157">
                  <c:v>9400</c:v>
                </c:pt>
                <c:pt idx="1158">
                  <c:v>9400</c:v>
                </c:pt>
                <c:pt idx="1159">
                  <c:v>9400</c:v>
                </c:pt>
                <c:pt idx="1160">
                  <c:v>9400</c:v>
                </c:pt>
                <c:pt idx="1161">
                  <c:v>9400</c:v>
                </c:pt>
                <c:pt idx="1162">
                  <c:v>9400</c:v>
                </c:pt>
                <c:pt idx="1163">
                  <c:v>9400</c:v>
                </c:pt>
                <c:pt idx="1164">
                  <c:v>9400</c:v>
                </c:pt>
                <c:pt idx="1165">
                  <c:v>9400</c:v>
                </c:pt>
                <c:pt idx="1166">
                  <c:v>9403</c:v>
                </c:pt>
                <c:pt idx="1167">
                  <c:v>9408</c:v>
                </c:pt>
                <c:pt idx="1168">
                  <c:v>9411</c:v>
                </c:pt>
                <c:pt idx="1169">
                  <c:v>9411</c:v>
                </c:pt>
                <c:pt idx="1170">
                  <c:v>9411</c:v>
                </c:pt>
                <c:pt idx="1171">
                  <c:v>9415</c:v>
                </c:pt>
                <c:pt idx="1172">
                  <c:v>9415</c:v>
                </c:pt>
                <c:pt idx="1173">
                  <c:v>9415</c:v>
                </c:pt>
                <c:pt idx="1174">
                  <c:v>9415</c:v>
                </c:pt>
                <c:pt idx="1175">
                  <c:v>9443</c:v>
                </c:pt>
                <c:pt idx="1176">
                  <c:v>9469</c:v>
                </c:pt>
                <c:pt idx="1177">
                  <c:v>9469</c:v>
                </c:pt>
                <c:pt idx="1178">
                  <c:v>9469</c:v>
                </c:pt>
                <c:pt idx="1179">
                  <c:v>9469</c:v>
                </c:pt>
                <c:pt idx="1180">
                  <c:v>9469</c:v>
                </c:pt>
                <c:pt idx="1181">
                  <c:v>9500</c:v>
                </c:pt>
                <c:pt idx="1182">
                  <c:v>9500</c:v>
                </c:pt>
                <c:pt idx="1183">
                  <c:v>9500</c:v>
                </c:pt>
                <c:pt idx="1184">
                  <c:v>9500</c:v>
                </c:pt>
                <c:pt idx="1185">
                  <c:v>9500</c:v>
                </c:pt>
                <c:pt idx="1186">
                  <c:v>9500</c:v>
                </c:pt>
                <c:pt idx="1187">
                  <c:v>9500</c:v>
                </c:pt>
                <c:pt idx="1188">
                  <c:v>9500</c:v>
                </c:pt>
                <c:pt idx="1189">
                  <c:v>9572</c:v>
                </c:pt>
                <c:pt idx="1190">
                  <c:v>9572</c:v>
                </c:pt>
                <c:pt idx="1191">
                  <c:v>9572</c:v>
                </c:pt>
                <c:pt idx="1192">
                  <c:v>9572</c:v>
                </c:pt>
                <c:pt idx="1193">
                  <c:v>9572</c:v>
                </c:pt>
                <c:pt idx="1194">
                  <c:v>9572</c:v>
                </c:pt>
                <c:pt idx="1195">
                  <c:v>9572</c:v>
                </c:pt>
                <c:pt idx="1196">
                  <c:v>9573</c:v>
                </c:pt>
                <c:pt idx="1197">
                  <c:v>9574</c:v>
                </c:pt>
                <c:pt idx="1198">
                  <c:v>9592</c:v>
                </c:pt>
                <c:pt idx="1199">
                  <c:v>9592</c:v>
                </c:pt>
                <c:pt idx="1200">
                  <c:v>9592</c:v>
                </c:pt>
                <c:pt idx="1201">
                  <c:v>9600</c:v>
                </c:pt>
                <c:pt idx="1202">
                  <c:v>9600</c:v>
                </c:pt>
                <c:pt idx="1203">
                  <c:v>9661</c:v>
                </c:pt>
                <c:pt idx="1204">
                  <c:v>9661</c:v>
                </c:pt>
                <c:pt idx="1205">
                  <c:v>9661</c:v>
                </c:pt>
                <c:pt idx="1206">
                  <c:v>9700</c:v>
                </c:pt>
                <c:pt idx="1207">
                  <c:v>9700</c:v>
                </c:pt>
                <c:pt idx="1208">
                  <c:v>9700</c:v>
                </c:pt>
                <c:pt idx="1209">
                  <c:v>9814</c:v>
                </c:pt>
                <c:pt idx="1210">
                  <c:v>9814</c:v>
                </c:pt>
                <c:pt idx="1211">
                  <c:v>9814</c:v>
                </c:pt>
                <c:pt idx="1212">
                  <c:v>9814</c:v>
                </c:pt>
                <c:pt idx="1213">
                  <c:v>9814</c:v>
                </c:pt>
                <c:pt idx="1214">
                  <c:v>9814</c:v>
                </c:pt>
                <c:pt idx="1215">
                  <c:v>9814</c:v>
                </c:pt>
                <c:pt idx="1216">
                  <c:v>9894</c:v>
                </c:pt>
                <c:pt idx="1217">
                  <c:v>9954</c:v>
                </c:pt>
                <c:pt idx="1218">
                  <c:v>9954</c:v>
                </c:pt>
                <c:pt idx="1219">
                  <c:v>9954</c:v>
                </c:pt>
                <c:pt idx="1220">
                  <c:v>9954</c:v>
                </c:pt>
                <c:pt idx="1221">
                  <c:v>9954</c:v>
                </c:pt>
                <c:pt idx="1222">
                  <c:v>9962</c:v>
                </c:pt>
                <c:pt idx="1223">
                  <c:v>9962</c:v>
                </c:pt>
                <c:pt idx="1224">
                  <c:v>9962</c:v>
                </c:pt>
                <c:pt idx="1225">
                  <c:v>9962</c:v>
                </c:pt>
                <c:pt idx="1226">
                  <c:v>10000</c:v>
                </c:pt>
                <c:pt idx="1227">
                  <c:v>10000</c:v>
                </c:pt>
                <c:pt idx="1228">
                  <c:v>10000</c:v>
                </c:pt>
                <c:pt idx="1229">
                  <c:v>10001</c:v>
                </c:pt>
                <c:pt idx="1230">
                  <c:v>10010</c:v>
                </c:pt>
                <c:pt idx="1231">
                  <c:v>10010</c:v>
                </c:pt>
                <c:pt idx="1232">
                  <c:v>10010</c:v>
                </c:pt>
                <c:pt idx="1233">
                  <c:v>10010</c:v>
                </c:pt>
                <c:pt idx="1234">
                  <c:v>10010</c:v>
                </c:pt>
                <c:pt idx="1235">
                  <c:v>10010</c:v>
                </c:pt>
                <c:pt idx="1236">
                  <c:v>10036</c:v>
                </c:pt>
                <c:pt idx="1237">
                  <c:v>10036</c:v>
                </c:pt>
                <c:pt idx="1238">
                  <c:v>10050</c:v>
                </c:pt>
                <c:pt idx="1239">
                  <c:v>10055</c:v>
                </c:pt>
                <c:pt idx="1240">
                  <c:v>10060</c:v>
                </c:pt>
                <c:pt idx="1241">
                  <c:v>10060</c:v>
                </c:pt>
                <c:pt idx="1242">
                  <c:v>10061</c:v>
                </c:pt>
                <c:pt idx="1243">
                  <c:v>10062</c:v>
                </c:pt>
                <c:pt idx="1244">
                  <c:v>10062</c:v>
                </c:pt>
                <c:pt idx="1245">
                  <c:v>10062</c:v>
                </c:pt>
                <c:pt idx="1246">
                  <c:v>10062</c:v>
                </c:pt>
                <c:pt idx="1247">
                  <c:v>10062</c:v>
                </c:pt>
                <c:pt idx="1248">
                  <c:v>10062</c:v>
                </c:pt>
                <c:pt idx="1249">
                  <c:v>10062</c:v>
                </c:pt>
                <c:pt idx="1250">
                  <c:v>10070</c:v>
                </c:pt>
                <c:pt idx="1251">
                  <c:v>10070</c:v>
                </c:pt>
                <c:pt idx="1252">
                  <c:v>10070</c:v>
                </c:pt>
                <c:pt idx="1253">
                  <c:v>10070</c:v>
                </c:pt>
                <c:pt idx="1254">
                  <c:v>10070</c:v>
                </c:pt>
                <c:pt idx="1255">
                  <c:v>10081</c:v>
                </c:pt>
                <c:pt idx="1256">
                  <c:v>10100</c:v>
                </c:pt>
                <c:pt idx="1257">
                  <c:v>10100</c:v>
                </c:pt>
                <c:pt idx="1258">
                  <c:v>10100</c:v>
                </c:pt>
                <c:pt idx="1259">
                  <c:v>10100</c:v>
                </c:pt>
                <c:pt idx="1260">
                  <c:v>10100</c:v>
                </c:pt>
                <c:pt idx="1261">
                  <c:v>10100</c:v>
                </c:pt>
                <c:pt idx="1262">
                  <c:v>10100</c:v>
                </c:pt>
                <c:pt idx="1263">
                  <c:v>10100</c:v>
                </c:pt>
                <c:pt idx="1264">
                  <c:v>10100</c:v>
                </c:pt>
                <c:pt idx="1265">
                  <c:v>10100</c:v>
                </c:pt>
                <c:pt idx="1266">
                  <c:v>10100</c:v>
                </c:pt>
                <c:pt idx="1267">
                  <c:v>10114</c:v>
                </c:pt>
                <c:pt idx="1268">
                  <c:v>10114</c:v>
                </c:pt>
                <c:pt idx="1269">
                  <c:v>10114</c:v>
                </c:pt>
                <c:pt idx="1270">
                  <c:v>10500</c:v>
                </c:pt>
                <c:pt idx="1271">
                  <c:v>10500</c:v>
                </c:pt>
                <c:pt idx="1272">
                  <c:v>10500</c:v>
                </c:pt>
                <c:pt idx="1273">
                  <c:v>10589</c:v>
                </c:pt>
                <c:pt idx="1274">
                  <c:v>10589</c:v>
                </c:pt>
                <c:pt idx="1275">
                  <c:v>10600</c:v>
                </c:pt>
                <c:pt idx="1276">
                  <c:v>10600</c:v>
                </c:pt>
                <c:pt idx="1277">
                  <c:v>10700</c:v>
                </c:pt>
                <c:pt idx="1278">
                  <c:v>10700</c:v>
                </c:pt>
                <c:pt idx="1279">
                  <c:v>10700</c:v>
                </c:pt>
                <c:pt idx="1280">
                  <c:v>10700</c:v>
                </c:pt>
                <c:pt idx="1281">
                  <c:v>10700</c:v>
                </c:pt>
                <c:pt idx="1282">
                  <c:v>10776</c:v>
                </c:pt>
                <c:pt idx="1283">
                  <c:v>10818</c:v>
                </c:pt>
                <c:pt idx="1284">
                  <c:v>10818</c:v>
                </c:pt>
                <c:pt idx="1285">
                  <c:v>10960</c:v>
                </c:pt>
                <c:pt idx="1286">
                  <c:v>10960</c:v>
                </c:pt>
                <c:pt idx="1287">
                  <c:v>11000</c:v>
                </c:pt>
                <c:pt idx="1288">
                  <c:v>11000</c:v>
                </c:pt>
                <c:pt idx="1289">
                  <c:v>11000</c:v>
                </c:pt>
                <c:pt idx="1290">
                  <c:v>11000</c:v>
                </c:pt>
                <c:pt idx="1291">
                  <c:v>11000</c:v>
                </c:pt>
                <c:pt idx="1292">
                  <c:v>11038</c:v>
                </c:pt>
                <c:pt idx="1293">
                  <c:v>11040</c:v>
                </c:pt>
                <c:pt idx="1294">
                  <c:v>11312</c:v>
                </c:pt>
                <c:pt idx="1295">
                  <c:v>11312</c:v>
                </c:pt>
                <c:pt idx="1296">
                  <c:v>11312</c:v>
                </c:pt>
                <c:pt idx="1297">
                  <c:v>11312</c:v>
                </c:pt>
                <c:pt idx="1298">
                  <c:v>11356</c:v>
                </c:pt>
                <c:pt idx="1299">
                  <c:v>11356</c:v>
                </c:pt>
                <c:pt idx="1300">
                  <c:v>11388</c:v>
                </c:pt>
                <c:pt idx="1301">
                  <c:v>11388</c:v>
                </c:pt>
                <c:pt idx="1302">
                  <c:v>11388</c:v>
                </c:pt>
                <c:pt idx="1303">
                  <c:v>11388</c:v>
                </c:pt>
                <c:pt idx="1304">
                  <c:v>11400</c:v>
                </c:pt>
                <c:pt idx="1305">
                  <c:v>11400</c:v>
                </c:pt>
                <c:pt idx="1306">
                  <c:v>11400</c:v>
                </c:pt>
                <c:pt idx="1307">
                  <c:v>11400</c:v>
                </c:pt>
                <c:pt idx="1308">
                  <c:v>11400</c:v>
                </c:pt>
                <c:pt idx="1309">
                  <c:v>11400</c:v>
                </c:pt>
                <c:pt idx="1310">
                  <c:v>11500</c:v>
                </c:pt>
                <c:pt idx="1311">
                  <c:v>11500</c:v>
                </c:pt>
                <c:pt idx="1312">
                  <c:v>12400</c:v>
                </c:pt>
                <c:pt idx="1313">
                  <c:v>12400</c:v>
                </c:pt>
                <c:pt idx="1314">
                  <c:v>12400</c:v>
                </c:pt>
                <c:pt idx="1315">
                  <c:v>12552</c:v>
                </c:pt>
                <c:pt idx="1316">
                  <c:v>12562</c:v>
                </c:pt>
                <c:pt idx="1317">
                  <c:v>12562</c:v>
                </c:pt>
                <c:pt idx="1318">
                  <c:v>12562</c:v>
                </c:pt>
                <c:pt idx="1319">
                  <c:v>13000</c:v>
                </c:pt>
                <c:pt idx="1320">
                  <c:v>13000</c:v>
                </c:pt>
                <c:pt idx="1321">
                  <c:v>13000</c:v>
                </c:pt>
                <c:pt idx="1322">
                  <c:v>13000</c:v>
                </c:pt>
                <c:pt idx="1323">
                  <c:v>13000</c:v>
                </c:pt>
                <c:pt idx="1324">
                  <c:v>13050</c:v>
                </c:pt>
                <c:pt idx="1325">
                  <c:v>13050</c:v>
                </c:pt>
                <c:pt idx="1326">
                  <c:v>13050</c:v>
                </c:pt>
                <c:pt idx="1327">
                  <c:v>13050</c:v>
                </c:pt>
                <c:pt idx="1328">
                  <c:v>13050</c:v>
                </c:pt>
                <c:pt idx="1329">
                  <c:v>13050</c:v>
                </c:pt>
                <c:pt idx="1330">
                  <c:v>13092</c:v>
                </c:pt>
                <c:pt idx="1331">
                  <c:v>13092</c:v>
                </c:pt>
                <c:pt idx="1332">
                  <c:v>13092</c:v>
                </c:pt>
                <c:pt idx="1333">
                  <c:v>13092</c:v>
                </c:pt>
                <c:pt idx="1334">
                  <c:v>13092</c:v>
                </c:pt>
                <c:pt idx="1335">
                  <c:v>13092</c:v>
                </c:pt>
                <c:pt idx="1336">
                  <c:v>13092</c:v>
                </c:pt>
                <c:pt idx="1337">
                  <c:v>13092</c:v>
                </c:pt>
                <c:pt idx="1338">
                  <c:v>13092</c:v>
                </c:pt>
                <c:pt idx="1339">
                  <c:v>13092</c:v>
                </c:pt>
                <c:pt idx="1340">
                  <c:v>13092</c:v>
                </c:pt>
                <c:pt idx="1341">
                  <c:v>13092</c:v>
                </c:pt>
                <c:pt idx="1342">
                  <c:v>13092</c:v>
                </c:pt>
                <c:pt idx="1343">
                  <c:v>13092</c:v>
                </c:pt>
                <c:pt idx="1344">
                  <c:v>13092</c:v>
                </c:pt>
                <c:pt idx="1345">
                  <c:v>13092</c:v>
                </c:pt>
                <c:pt idx="1346">
                  <c:v>13092</c:v>
                </c:pt>
                <c:pt idx="1347">
                  <c:v>13092</c:v>
                </c:pt>
                <c:pt idx="1348">
                  <c:v>13092</c:v>
                </c:pt>
                <c:pt idx="1349">
                  <c:v>13092</c:v>
                </c:pt>
                <c:pt idx="1350">
                  <c:v>13092</c:v>
                </c:pt>
                <c:pt idx="1351">
                  <c:v>13092</c:v>
                </c:pt>
                <c:pt idx="1352">
                  <c:v>13092</c:v>
                </c:pt>
                <c:pt idx="1353">
                  <c:v>13092</c:v>
                </c:pt>
                <c:pt idx="1354">
                  <c:v>13092</c:v>
                </c:pt>
                <c:pt idx="1355">
                  <c:v>13092</c:v>
                </c:pt>
                <c:pt idx="1356">
                  <c:v>13100</c:v>
                </c:pt>
                <c:pt idx="1357">
                  <c:v>13100</c:v>
                </c:pt>
                <c:pt idx="1358">
                  <c:v>13100</c:v>
                </c:pt>
                <c:pt idx="1359">
                  <c:v>13100</c:v>
                </c:pt>
                <c:pt idx="1360">
                  <c:v>13100</c:v>
                </c:pt>
                <c:pt idx="1361">
                  <c:v>13100</c:v>
                </c:pt>
                <c:pt idx="1362">
                  <c:v>13100</c:v>
                </c:pt>
                <c:pt idx="1363">
                  <c:v>13100</c:v>
                </c:pt>
                <c:pt idx="1364">
                  <c:v>13100</c:v>
                </c:pt>
                <c:pt idx="1365">
                  <c:v>13100</c:v>
                </c:pt>
                <c:pt idx="1366">
                  <c:v>13100</c:v>
                </c:pt>
                <c:pt idx="1367">
                  <c:v>13100</c:v>
                </c:pt>
                <c:pt idx="1368">
                  <c:v>13100</c:v>
                </c:pt>
                <c:pt idx="1369">
                  <c:v>13102</c:v>
                </c:pt>
                <c:pt idx="1370">
                  <c:v>13102</c:v>
                </c:pt>
                <c:pt idx="1371">
                  <c:v>13102</c:v>
                </c:pt>
                <c:pt idx="1372">
                  <c:v>13102</c:v>
                </c:pt>
                <c:pt idx="1373">
                  <c:v>13102</c:v>
                </c:pt>
                <c:pt idx="1374">
                  <c:v>13102</c:v>
                </c:pt>
                <c:pt idx="1375">
                  <c:v>13102</c:v>
                </c:pt>
                <c:pt idx="1376">
                  <c:v>13102</c:v>
                </c:pt>
                <c:pt idx="1377">
                  <c:v>13102</c:v>
                </c:pt>
                <c:pt idx="1378">
                  <c:v>13150</c:v>
                </c:pt>
                <c:pt idx="1379">
                  <c:v>13154</c:v>
                </c:pt>
                <c:pt idx="1380">
                  <c:v>13154</c:v>
                </c:pt>
                <c:pt idx="1381">
                  <c:v>13154</c:v>
                </c:pt>
                <c:pt idx="1382">
                  <c:v>13169</c:v>
                </c:pt>
                <c:pt idx="1383">
                  <c:v>13169</c:v>
                </c:pt>
                <c:pt idx="1384">
                  <c:v>13169</c:v>
                </c:pt>
                <c:pt idx="1385">
                  <c:v>13169</c:v>
                </c:pt>
                <c:pt idx="1386">
                  <c:v>13169</c:v>
                </c:pt>
                <c:pt idx="1387">
                  <c:v>13169</c:v>
                </c:pt>
                <c:pt idx="1388">
                  <c:v>13169</c:v>
                </c:pt>
                <c:pt idx="1389">
                  <c:v>13169</c:v>
                </c:pt>
                <c:pt idx="1390">
                  <c:v>13169</c:v>
                </c:pt>
                <c:pt idx="1391">
                  <c:v>13200</c:v>
                </c:pt>
                <c:pt idx="1392">
                  <c:v>13200</c:v>
                </c:pt>
                <c:pt idx="1393">
                  <c:v>13208</c:v>
                </c:pt>
                <c:pt idx="1394">
                  <c:v>13208</c:v>
                </c:pt>
                <c:pt idx="1395">
                  <c:v>13208</c:v>
                </c:pt>
                <c:pt idx="1396">
                  <c:v>13208</c:v>
                </c:pt>
                <c:pt idx="1397">
                  <c:v>13208</c:v>
                </c:pt>
                <c:pt idx="1398">
                  <c:v>13208</c:v>
                </c:pt>
                <c:pt idx="1399">
                  <c:v>13208</c:v>
                </c:pt>
                <c:pt idx="1400">
                  <c:v>13208</c:v>
                </c:pt>
                <c:pt idx="1401">
                  <c:v>13208</c:v>
                </c:pt>
                <c:pt idx="1402">
                  <c:v>13208</c:v>
                </c:pt>
                <c:pt idx="1403">
                  <c:v>13296</c:v>
                </c:pt>
                <c:pt idx="1404">
                  <c:v>13344</c:v>
                </c:pt>
                <c:pt idx="1405">
                  <c:v>13360</c:v>
                </c:pt>
                <c:pt idx="1406">
                  <c:v>13371</c:v>
                </c:pt>
                <c:pt idx="1407">
                  <c:v>13380</c:v>
                </c:pt>
                <c:pt idx="1408">
                  <c:v>13386</c:v>
                </c:pt>
                <c:pt idx="1409">
                  <c:v>13386</c:v>
                </c:pt>
                <c:pt idx="1410">
                  <c:v>13386</c:v>
                </c:pt>
                <c:pt idx="1411">
                  <c:v>13386</c:v>
                </c:pt>
                <c:pt idx="1412">
                  <c:v>13386</c:v>
                </c:pt>
                <c:pt idx="1413">
                  <c:v>13386</c:v>
                </c:pt>
                <c:pt idx="1414">
                  <c:v>13500</c:v>
                </c:pt>
                <c:pt idx="1415">
                  <c:v>13636</c:v>
                </c:pt>
                <c:pt idx="1416">
                  <c:v>13636</c:v>
                </c:pt>
                <c:pt idx="1417">
                  <c:v>13798</c:v>
                </c:pt>
                <c:pt idx="1418">
                  <c:v>13798</c:v>
                </c:pt>
                <c:pt idx="1419">
                  <c:v>13798</c:v>
                </c:pt>
                <c:pt idx="1420">
                  <c:v>13798</c:v>
                </c:pt>
                <c:pt idx="1421">
                  <c:v>13798</c:v>
                </c:pt>
                <c:pt idx="1422">
                  <c:v>13798</c:v>
                </c:pt>
                <c:pt idx="1423">
                  <c:v>13798</c:v>
                </c:pt>
                <c:pt idx="1424">
                  <c:v>13798</c:v>
                </c:pt>
                <c:pt idx="1425">
                  <c:v>13800</c:v>
                </c:pt>
                <c:pt idx="1426">
                  <c:v>13800</c:v>
                </c:pt>
                <c:pt idx="1427">
                  <c:v>13800</c:v>
                </c:pt>
                <c:pt idx="1428">
                  <c:v>13800</c:v>
                </c:pt>
                <c:pt idx="1429">
                  <c:v>13800</c:v>
                </c:pt>
                <c:pt idx="1430">
                  <c:v>13800</c:v>
                </c:pt>
                <c:pt idx="1431">
                  <c:v>13800</c:v>
                </c:pt>
                <c:pt idx="1432">
                  <c:v>13800</c:v>
                </c:pt>
                <c:pt idx="1433">
                  <c:v>13800</c:v>
                </c:pt>
                <c:pt idx="1434">
                  <c:v>13808</c:v>
                </c:pt>
                <c:pt idx="1435">
                  <c:v>13808</c:v>
                </c:pt>
                <c:pt idx="1436">
                  <c:v>13808</c:v>
                </c:pt>
                <c:pt idx="1437">
                  <c:v>13808</c:v>
                </c:pt>
                <c:pt idx="1438">
                  <c:v>13808</c:v>
                </c:pt>
                <c:pt idx="1439">
                  <c:v>13808</c:v>
                </c:pt>
                <c:pt idx="1440">
                  <c:v>13808</c:v>
                </c:pt>
                <c:pt idx="1441">
                  <c:v>13808</c:v>
                </c:pt>
                <c:pt idx="1442">
                  <c:v>13808</c:v>
                </c:pt>
                <c:pt idx="1443">
                  <c:v>13808</c:v>
                </c:pt>
                <c:pt idx="1444">
                  <c:v>13830</c:v>
                </c:pt>
                <c:pt idx="1445">
                  <c:v>13830</c:v>
                </c:pt>
                <c:pt idx="1446">
                  <c:v>13830</c:v>
                </c:pt>
                <c:pt idx="1447">
                  <c:v>13830</c:v>
                </c:pt>
                <c:pt idx="1448">
                  <c:v>13870</c:v>
                </c:pt>
                <c:pt idx="1449">
                  <c:v>13870</c:v>
                </c:pt>
                <c:pt idx="1450">
                  <c:v>13870</c:v>
                </c:pt>
                <c:pt idx="1451">
                  <c:v>13870</c:v>
                </c:pt>
                <c:pt idx="1452">
                  <c:v>13870</c:v>
                </c:pt>
                <c:pt idx="1453">
                  <c:v>13870</c:v>
                </c:pt>
                <c:pt idx="1454">
                  <c:v>13870</c:v>
                </c:pt>
                <c:pt idx="1455">
                  <c:v>13870</c:v>
                </c:pt>
                <c:pt idx="1456">
                  <c:v>13870</c:v>
                </c:pt>
                <c:pt idx="1457">
                  <c:v>13870</c:v>
                </c:pt>
                <c:pt idx="1458">
                  <c:v>13870</c:v>
                </c:pt>
                <c:pt idx="1459">
                  <c:v>13892</c:v>
                </c:pt>
                <c:pt idx="1460">
                  <c:v>13892</c:v>
                </c:pt>
                <c:pt idx="1461">
                  <c:v>13900</c:v>
                </c:pt>
                <c:pt idx="1462">
                  <c:v>14000</c:v>
                </c:pt>
                <c:pt idx="1463">
                  <c:v>14000</c:v>
                </c:pt>
                <c:pt idx="1464">
                  <c:v>14000</c:v>
                </c:pt>
                <c:pt idx="1465">
                  <c:v>14000</c:v>
                </c:pt>
                <c:pt idx="1466">
                  <c:v>14000</c:v>
                </c:pt>
                <c:pt idx="1467">
                  <c:v>14000</c:v>
                </c:pt>
                <c:pt idx="1468">
                  <c:v>14000</c:v>
                </c:pt>
                <c:pt idx="1469">
                  <c:v>14000</c:v>
                </c:pt>
                <c:pt idx="1470">
                  <c:v>14000</c:v>
                </c:pt>
                <c:pt idx="1471">
                  <c:v>14000</c:v>
                </c:pt>
                <c:pt idx="1472">
                  <c:v>14000</c:v>
                </c:pt>
                <c:pt idx="1473">
                  <c:v>14000</c:v>
                </c:pt>
                <c:pt idx="1474">
                  <c:v>14000</c:v>
                </c:pt>
                <c:pt idx="1475">
                  <c:v>14000</c:v>
                </c:pt>
                <c:pt idx="1476">
                  <c:v>14000</c:v>
                </c:pt>
                <c:pt idx="1477">
                  <c:v>14000</c:v>
                </c:pt>
                <c:pt idx="1478">
                  <c:v>14000</c:v>
                </c:pt>
                <c:pt idx="1479">
                  <c:v>14000</c:v>
                </c:pt>
                <c:pt idx="1480">
                  <c:v>14000</c:v>
                </c:pt>
                <c:pt idx="1481">
                  <c:v>14000</c:v>
                </c:pt>
                <c:pt idx="1482">
                  <c:v>14000</c:v>
                </c:pt>
                <c:pt idx="1483">
                  <c:v>14000</c:v>
                </c:pt>
                <c:pt idx="1484">
                  <c:v>14000</c:v>
                </c:pt>
                <c:pt idx="1485">
                  <c:v>14000</c:v>
                </c:pt>
                <c:pt idx="1486">
                  <c:v>14000</c:v>
                </c:pt>
                <c:pt idx="1487">
                  <c:v>14000</c:v>
                </c:pt>
                <c:pt idx="1488">
                  <c:v>14000</c:v>
                </c:pt>
                <c:pt idx="1489">
                  <c:v>14000</c:v>
                </c:pt>
                <c:pt idx="1490">
                  <c:v>14026</c:v>
                </c:pt>
                <c:pt idx="1491">
                  <c:v>14026</c:v>
                </c:pt>
                <c:pt idx="1492">
                  <c:v>14026</c:v>
                </c:pt>
                <c:pt idx="1493">
                  <c:v>14026</c:v>
                </c:pt>
                <c:pt idx="1494">
                  <c:v>14026</c:v>
                </c:pt>
                <c:pt idx="1495">
                  <c:v>14052</c:v>
                </c:pt>
                <c:pt idx="1496">
                  <c:v>14052</c:v>
                </c:pt>
                <c:pt idx="1497">
                  <c:v>14052</c:v>
                </c:pt>
                <c:pt idx="1498">
                  <c:v>14074</c:v>
                </c:pt>
                <c:pt idx="1499">
                  <c:v>14074</c:v>
                </c:pt>
                <c:pt idx="1500">
                  <c:v>14074</c:v>
                </c:pt>
                <c:pt idx="1501">
                  <c:v>14074</c:v>
                </c:pt>
                <c:pt idx="1502">
                  <c:v>14074</c:v>
                </c:pt>
                <c:pt idx="1503">
                  <c:v>14074</c:v>
                </c:pt>
                <c:pt idx="1504">
                  <c:v>14080</c:v>
                </c:pt>
                <c:pt idx="1505">
                  <c:v>14080</c:v>
                </c:pt>
                <c:pt idx="1506">
                  <c:v>14080</c:v>
                </c:pt>
                <c:pt idx="1507">
                  <c:v>14080</c:v>
                </c:pt>
                <c:pt idx="1508">
                  <c:v>14080</c:v>
                </c:pt>
                <c:pt idx="1509">
                  <c:v>14080</c:v>
                </c:pt>
                <c:pt idx="1510">
                  <c:v>14220</c:v>
                </c:pt>
                <c:pt idx="1511">
                  <c:v>14354</c:v>
                </c:pt>
                <c:pt idx="1512">
                  <c:v>14420</c:v>
                </c:pt>
                <c:pt idx="1513">
                  <c:v>14424</c:v>
                </c:pt>
                <c:pt idx="1514">
                  <c:v>14424</c:v>
                </c:pt>
                <c:pt idx="1515">
                  <c:v>14424</c:v>
                </c:pt>
                <c:pt idx="1516">
                  <c:v>14424</c:v>
                </c:pt>
                <c:pt idx="1517">
                  <c:v>14500</c:v>
                </c:pt>
                <c:pt idx="1518">
                  <c:v>14502</c:v>
                </c:pt>
                <c:pt idx="1519">
                  <c:v>14566</c:v>
                </c:pt>
                <c:pt idx="1520">
                  <c:v>14568</c:v>
                </c:pt>
                <c:pt idx="1521">
                  <c:v>14812</c:v>
                </c:pt>
                <c:pt idx="1522">
                  <c:v>14993</c:v>
                </c:pt>
                <c:pt idx="1523">
                  <c:v>14993</c:v>
                </c:pt>
                <c:pt idx="1524">
                  <c:v>14993</c:v>
                </c:pt>
                <c:pt idx="1525">
                  <c:v>14993</c:v>
                </c:pt>
                <c:pt idx="1526">
                  <c:v>14993</c:v>
                </c:pt>
                <c:pt idx="1527">
                  <c:v>14993</c:v>
                </c:pt>
                <c:pt idx="1528">
                  <c:v>14993</c:v>
                </c:pt>
                <c:pt idx="1529">
                  <c:v>14993</c:v>
                </c:pt>
                <c:pt idx="1530">
                  <c:v>14993</c:v>
                </c:pt>
                <c:pt idx="1531">
                  <c:v>15000</c:v>
                </c:pt>
                <c:pt idx="1532">
                  <c:v>15052</c:v>
                </c:pt>
                <c:pt idx="1533">
                  <c:v>15128</c:v>
                </c:pt>
                <c:pt idx="1534">
                  <c:v>15128</c:v>
                </c:pt>
                <c:pt idx="1535">
                  <c:v>15128</c:v>
                </c:pt>
                <c:pt idx="1536">
                  <c:v>15282</c:v>
                </c:pt>
                <c:pt idx="1537">
                  <c:v>15500</c:v>
                </c:pt>
                <c:pt idx="1538">
                  <c:v>15500</c:v>
                </c:pt>
                <c:pt idx="1539">
                  <c:v>15500</c:v>
                </c:pt>
                <c:pt idx="1540">
                  <c:v>15500</c:v>
                </c:pt>
                <c:pt idx="1541">
                  <c:v>15500</c:v>
                </c:pt>
                <c:pt idx="1542">
                  <c:v>15550</c:v>
                </c:pt>
                <c:pt idx="1543">
                  <c:v>15550</c:v>
                </c:pt>
                <c:pt idx="1544">
                  <c:v>15550</c:v>
                </c:pt>
                <c:pt idx="1545">
                  <c:v>15908</c:v>
                </c:pt>
                <c:pt idx="1546">
                  <c:v>15908</c:v>
                </c:pt>
                <c:pt idx="1547">
                  <c:v>15908</c:v>
                </c:pt>
                <c:pt idx="1548">
                  <c:v>15909</c:v>
                </c:pt>
                <c:pt idx="1549">
                  <c:v>16000</c:v>
                </c:pt>
                <c:pt idx="1550">
                  <c:v>16000</c:v>
                </c:pt>
                <c:pt idx="1551">
                  <c:v>16020</c:v>
                </c:pt>
                <c:pt idx="1552">
                  <c:v>16020</c:v>
                </c:pt>
                <c:pt idx="1553">
                  <c:v>16652</c:v>
                </c:pt>
                <c:pt idx="1554">
                  <c:v>16652</c:v>
                </c:pt>
                <c:pt idx="1555">
                  <c:v>16652</c:v>
                </c:pt>
                <c:pt idx="1556">
                  <c:v>16872</c:v>
                </c:pt>
                <c:pt idx="1557">
                  <c:v>16909</c:v>
                </c:pt>
                <c:pt idx="1558">
                  <c:v>17273</c:v>
                </c:pt>
                <c:pt idx="1559">
                  <c:v>17273</c:v>
                </c:pt>
                <c:pt idx="1560">
                  <c:v>17273</c:v>
                </c:pt>
                <c:pt idx="1561">
                  <c:v>17292</c:v>
                </c:pt>
                <c:pt idx="1562">
                  <c:v>17292</c:v>
                </c:pt>
                <c:pt idx="1563">
                  <c:v>17292</c:v>
                </c:pt>
                <c:pt idx="1564">
                  <c:v>17327</c:v>
                </c:pt>
                <c:pt idx="1565">
                  <c:v>17590</c:v>
                </c:pt>
                <c:pt idx="1566">
                  <c:v>17590</c:v>
                </c:pt>
                <c:pt idx="1567">
                  <c:v>17664</c:v>
                </c:pt>
                <c:pt idx="1568">
                  <c:v>17700</c:v>
                </c:pt>
                <c:pt idx="1569">
                  <c:v>17722</c:v>
                </c:pt>
                <c:pt idx="1570">
                  <c:v>17859</c:v>
                </c:pt>
                <c:pt idx="1571">
                  <c:v>17859</c:v>
                </c:pt>
                <c:pt idx="1572">
                  <c:v>18270</c:v>
                </c:pt>
                <c:pt idx="1573">
                  <c:v>18270</c:v>
                </c:pt>
                <c:pt idx="1574">
                  <c:v>18270</c:v>
                </c:pt>
                <c:pt idx="1575">
                  <c:v>18270</c:v>
                </c:pt>
                <c:pt idx="1576">
                  <c:v>18270</c:v>
                </c:pt>
                <c:pt idx="1577">
                  <c:v>18270</c:v>
                </c:pt>
                <c:pt idx="1578">
                  <c:v>18270</c:v>
                </c:pt>
                <c:pt idx="1579">
                  <c:v>18270</c:v>
                </c:pt>
                <c:pt idx="1580">
                  <c:v>18270</c:v>
                </c:pt>
                <c:pt idx="1581">
                  <c:v>18270</c:v>
                </c:pt>
                <c:pt idx="1582">
                  <c:v>18270</c:v>
                </c:pt>
                <c:pt idx="1583">
                  <c:v>18340</c:v>
                </c:pt>
                <c:pt idx="1584">
                  <c:v>18340</c:v>
                </c:pt>
                <c:pt idx="1585">
                  <c:v>18340</c:v>
                </c:pt>
                <c:pt idx="1586">
                  <c:v>18340</c:v>
                </c:pt>
                <c:pt idx="1587">
                  <c:v>18340</c:v>
                </c:pt>
                <c:pt idx="1588">
                  <c:v>18800</c:v>
                </c:pt>
                <c:pt idx="1589">
                  <c:v>18800</c:v>
                </c:pt>
                <c:pt idx="1590">
                  <c:v>18800</c:v>
                </c:pt>
                <c:pt idx="1591">
                  <c:v>18980</c:v>
                </c:pt>
                <c:pt idx="1592">
                  <c:v>18980</c:v>
                </c:pt>
                <c:pt idx="1593">
                  <c:v>19000</c:v>
                </c:pt>
                <c:pt idx="1594">
                  <c:v>19000</c:v>
                </c:pt>
                <c:pt idx="1595">
                  <c:v>19100</c:v>
                </c:pt>
                <c:pt idx="1596">
                  <c:v>19100</c:v>
                </c:pt>
                <c:pt idx="1597">
                  <c:v>19200</c:v>
                </c:pt>
                <c:pt idx="1598">
                  <c:v>19224</c:v>
                </c:pt>
                <c:pt idx="1599">
                  <c:v>19224</c:v>
                </c:pt>
                <c:pt idx="1600">
                  <c:v>19224</c:v>
                </c:pt>
                <c:pt idx="1601">
                  <c:v>19224</c:v>
                </c:pt>
                <c:pt idx="1602">
                  <c:v>19224</c:v>
                </c:pt>
                <c:pt idx="1603">
                  <c:v>19224</c:v>
                </c:pt>
                <c:pt idx="1604">
                  <c:v>19273</c:v>
                </c:pt>
                <c:pt idx="1605">
                  <c:v>19273</c:v>
                </c:pt>
                <c:pt idx="1606">
                  <c:v>19273</c:v>
                </c:pt>
                <c:pt idx="1607">
                  <c:v>19273</c:v>
                </c:pt>
                <c:pt idx="1608">
                  <c:v>19273</c:v>
                </c:pt>
                <c:pt idx="1609">
                  <c:v>19437</c:v>
                </c:pt>
                <c:pt idx="1610">
                  <c:v>19437</c:v>
                </c:pt>
                <c:pt idx="1611">
                  <c:v>19462</c:v>
                </c:pt>
                <c:pt idx="1612">
                  <c:v>19472</c:v>
                </c:pt>
                <c:pt idx="1613">
                  <c:v>19630</c:v>
                </c:pt>
                <c:pt idx="1614">
                  <c:v>19870</c:v>
                </c:pt>
                <c:pt idx="1615">
                  <c:v>19870</c:v>
                </c:pt>
                <c:pt idx="1616">
                  <c:v>19870</c:v>
                </c:pt>
                <c:pt idx="1617">
                  <c:v>20000</c:v>
                </c:pt>
                <c:pt idx="1618">
                  <c:v>20119</c:v>
                </c:pt>
                <c:pt idx="1619">
                  <c:v>20119</c:v>
                </c:pt>
                <c:pt idx="1620">
                  <c:v>20150</c:v>
                </c:pt>
                <c:pt idx="1621">
                  <c:v>20150</c:v>
                </c:pt>
                <c:pt idx="1622">
                  <c:v>20150</c:v>
                </c:pt>
                <c:pt idx="1623">
                  <c:v>20170</c:v>
                </c:pt>
                <c:pt idx="1624">
                  <c:v>20170</c:v>
                </c:pt>
                <c:pt idx="1625">
                  <c:v>20170</c:v>
                </c:pt>
                <c:pt idx="1626">
                  <c:v>20170</c:v>
                </c:pt>
                <c:pt idx="1627">
                  <c:v>20244</c:v>
                </c:pt>
                <c:pt idx="1628">
                  <c:v>20244</c:v>
                </c:pt>
                <c:pt idx="1629">
                  <c:v>20244</c:v>
                </c:pt>
                <c:pt idx="1630">
                  <c:v>20388</c:v>
                </c:pt>
                <c:pt idx="1631">
                  <c:v>20388</c:v>
                </c:pt>
                <c:pt idx="1632">
                  <c:v>20388</c:v>
                </c:pt>
                <c:pt idx="1633">
                  <c:v>20388</c:v>
                </c:pt>
                <c:pt idx="1634">
                  <c:v>20388</c:v>
                </c:pt>
                <c:pt idx="1635">
                  <c:v>20388</c:v>
                </c:pt>
                <c:pt idx="1636">
                  <c:v>20388</c:v>
                </c:pt>
                <c:pt idx="1637">
                  <c:v>20568</c:v>
                </c:pt>
                <c:pt idx="1638">
                  <c:v>20568</c:v>
                </c:pt>
                <c:pt idx="1639">
                  <c:v>20568</c:v>
                </c:pt>
                <c:pt idx="1640">
                  <c:v>20568</c:v>
                </c:pt>
                <c:pt idx="1641">
                  <c:v>20568</c:v>
                </c:pt>
                <c:pt idx="1642">
                  <c:v>20568</c:v>
                </c:pt>
                <c:pt idx="1643">
                  <c:v>20568</c:v>
                </c:pt>
                <c:pt idx="1644">
                  <c:v>20568</c:v>
                </c:pt>
                <c:pt idx="1645">
                  <c:v>20776</c:v>
                </c:pt>
                <c:pt idx="1646">
                  <c:v>20954</c:v>
                </c:pt>
                <c:pt idx="1647">
                  <c:v>20954</c:v>
                </c:pt>
                <c:pt idx="1648">
                  <c:v>21237</c:v>
                </c:pt>
                <c:pt idx="1649">
                  <c:v>21237</c:v>
                </c:pt>
                <c:pt idx="1650">
                  <c:v>22448</c:v>
                </c:pt>
                <c:pt idx="1651">
                  <c:v>23112</c:v>
                </c:pt>
                <c:pt idx="1652">
                  <c:v>23112</c:v>
                </c:pt>
                <c:pt idx="1653">
                  <c:v>23112</c:v>
                </c:pt>
                <c:pt idx="1654">
                  <c:v>23500</c:v>
                </c:pt>
                <c:pt idx="1655">
                  <c:v>23792</c:v>
                </c:pt>
                <c:pt idx="1656">
                  <c:v>23792</c:v>
                </c:pt>
                <c:pt idx="1657">
                  <c:v>23792</c:v>
                </c:pt>
                <c:pt idx="1658">
                  <c:v>23792</c:v>
                </c:pt>
                <c:pt idx="1659">
                  <c:v>23792</c:v>
                </c:pt>
                <c:pt idx="1660">
                  <c:v>23964</c:v>
                </c:pt>
                <c:pt idx="1661">
                  <c:v>23964</c:v>
                </c:pt>
                <c:pt idx="1662">
                  <c:v>23964</c:v>
                </c:pt>
                <c:pt idx="1663">
                  <c:v>23964</c:v>
                </c:pt>
                <c:pt idx="1664">
                  <c:v>23964</c:v>
                </c:pt>
                <c:pt idx="1665">
                  <c:v>23964</c:v>
                </c:pt>
                <c:pt idx="1666">
                  <c:v>23964</c:v>
                </c:pt>
              </c:numCache>
            </c:numRef>
          </c:xVal>
          <c:yVal>
            <c:numRef>
              <c:f>'Schätzung Schiff'!$G$31:$G$1697</c:f>
              <c:numCache>
                <c:formatCode>General</c:formatCode>
                <c:ptCount val="1667"/>
                <c:pt idx="0">
                  <c:v>8.7100000000000009</c:v>
                </c:pt>
                <c:pt idx="1">
                  <c:v>8.7100000000000009</c:v>
                </c:pt>
                <c:pt idx="2">
                  <c:v>9.82</c:v>
                </c:pt>
                <c:pt idx="3">
                  <c:v>9.5</c:v>
                </c:pt>
                <c:pt idx="4">
                  <c:v>9.82</c:v>
                </c:pt>
                <c:pt idx="5">
                  <c:v>9.82</c:v>
                </c:pt>
                <c:pt idx="6">
                  <c:v>9.82</c:v>
                </c:pt>
                <c:pt idx="7">
                  <c:v>11.4</c:v>
                </c:pt>
                <c:pt idx="8">
                  <c:v>10</c:v>
                </c:pt>
                <c:pt idx="9">
                  <c:v>10.86</c:v>
                </c:pt>
                <c:pt idx="10">
                  <c:v>10.87</c:v>
                </c:pt>
                <c:pt idx="11">
                  <c:v>10.86</c:v>
                </c:pt>
                <c:pt idx="12">
                  <c:v>10</c:v>
                </c:pt>
                <c:pt idx="13">
                  <c:v>7.7</c:v>
                </c:pt>
                <c:pt idx="14">
                  <c:v>9.8000000000000007</c:v>
                </c:pt>
                <c:pt idx="15">
                  <c:v>9.85</c:v>
                </c:pt>
                <c:pt idx="16">
                  <c:v>9.85</c:v>
                </c:pt>
                <c:pt idx="17">
                  <c:v>9.8800000000000008</c:v>
                </c:pt>
                <c:pt idx="18">
                  <c:v>9.85</c:v>
                </c:pt>
                <c:pt idx="19">
                  <c:v>9.89</c:v>
                </c:pt>
                <c:pt idx="20">
                  <c:v>9.8800000000000008</c:v>
                </c:pt>
                <c:pt idx="21">
                  <c:v>10.9</c:v>
                </c:pt>
                <c:pt idx="22">
                  <c:v>10.9</c:v>
                </c:pt>
                <c:pt idx="23">
                  <c:v>10.9</c:v>
                </c:pt>
                <c:pt idx="24">
                  <c:v>10.9</c:v>
                </c:pt>
                <c:pt idx="25">
                  <c:v>10.87</c:v>
                </c:pt>
                <c:pt idx="26">
                  <c:v>10.87</c:v>
                </c:pt>
                <c:pt idx="27">
                  <c:v>10.7</c:v>
                </c:pt>
                <c:pt idx="28">
                  <c:v>11.3</c:v>
                </c:pt>
                <c:pt idx="29">
                  <c:v>11.3</c:v>
                </c:pt>
                <c:pt idx="30">
                  <c:v>13.3</c:v>
                </c:pt>
                <c:pt idx="31">
                  <c:v>11.3</c:v>
                </c:pt>
                <c:pt idx="32">
                  <c:v>11.3</c:v>
                </c:pt>
                <c:pt idx="33">
                  <c:v>11.3</c:v>
                </c:pt>
                <c:pt idx="34">
                  <c:v>11.3</c:v>
                </c:pt>
                <c:pt idx="35">
                  <c:v>11.3</c:v>
                </c:pt>
                <c:pt idx="36">
                  <c:v>11.3</c:v>
                </c:pt>
                <c:pt idx="37">
                  <c:v>11.5</c:v>
                </c:pt>
                <c:pt idx="38">
                  <c:v>11</c:v>
                </c:pt>
                <c:pt idx="39">
                  <c:v>11</c:v>
                </c:pt>
                <c:pt idx="40">
                  <c:v>11</c:v>
                </c:pt>
                <c:pt idx="41">
                  <c:v>10.86</c:v>
                </c:pt>
                <c:pt idx="42">
                  <c:v>10.86</c:v>
                </c:pt>
                <c:pt idx="43">
                  <c:v>11.5</c:v>
                </c:pt>
                <c:pt idx="44">
                  <c:v>10.9</c:v>
                </c:pt>
                <c:pt idx="45">
                  <c:v>10.86</c:v>
                </c:pt>
                <c:pt idx="46">
                  <c:v>11.5</c:v>
                </c:pt>
                <c:pt idx="47">
                  <c:v>10.5</c:v>
                </c:pt>
                <c:pt idx="48">
                  <c:v>9.5</c:v>
                </c:pt>
                <c:pt idx="49">
                  <c:v>11.35</c:v>
                </c:pt>
                <c:pt idx="50">
                  <c:v>11.5</c:v>
                </c:pt>
                <c:pt idx="51">
                  <c:v>11.5</c:v>
                </c:pt>
                <c:pt idx="52">
                  <c:v>10.55</c:v>
                </c:pt>
                <c:pt idx="53">
                  <c:v>11.5</c:v>
                </c:pt>
                <c:pt idx="54">
                  <c:v>11.55</c:v>
                </c:pt>
                <c:pt idx="55">
                  <c:v>11.57</c:v>
                </c:pt>
                <c:pt idx="56">
                  <c:v>11.55</c:v>
                </c:pt>
                <c:pt idx="57">
                  <c:v>11.55</c:v>
                </c:pt>
                <c:pt idx="58">
                  <c:v>11</c:v>
                </c:pt>
                <c:pt idx="59">
                  <c:v>11.5</c:v>
                </c:pt>
                <c:pt idx="60">
                  <c:v>11.6</c:v>
                </c:pt>
                <c:pt idx="61">
                  <c:v>10.1</c:v>
                </c:pt>
                <c:pt idx="62">
                  <c:v>11</c:v>
                </c:pt>
                <c:pt idx="63">
                  <c:v>11</c:v>
                </c:pt>
                <c:pt idx="64">
                  <c:v>10.27</c:v>
                </c:pt>
                <c:pt idx="65">
                  <c:v>10.26</c:v>
                </c:pt>
                <c:pt idx="66">
                  <c:v>10.26</c:v>
                </c:pt>
                <c:pt idx="67">
                  <c:v>11.5</c:v>
                </c:pt>
                <c:pt idx="68">
                  <c:v>11.55</c:v>
                </c:pt>
                <c:pt idx="69">
                  <c:v>11</c:v>
                </c:pt>
                <c:pt idx="70">
                  <c:v>11</c:v>
                </c:pt>
                <c:pt idx="71">
                  <c:v>11.7</c:v>
                </c:pt>
                <c:pt idx="72">
                  <c:v>11.01</c:v>
                </c:pt>
                <c:pt idx="73">
                  <c:v>11.01</c:v>
                </c:pt>
                <c:pt idx="74">
                  <c:v>11</c:v>
                </c:pt>
                <c:pt idx="75">
                  <c:v>11.01</c:v>
                </c:pt>
                <c:pt idx="76">
                  <c:v>11</c:v>
                </c:pt>
                <c:pt idx="77">
                  <c:v>11</c:v>
                </c:pt>
                <c:pt idx="78">
                  <c:v>11.52</c:v>
                </c:pt>
                <c:pt idx="79">
                  <c:v>11.01</c:v>
                </c:pt>
                <c:pt idx="80">
                  <c:v>11.01</c:v>
                </c:pt>
                <c:pt idx="81">
                  <c:v>11.01</c:v>
                </c:pt>
                <c:pt idx="82">
                  <c:v>12</c:v>
                </c:pt>
                <c:pt idx="83">
                  <c:v>10.8</c:v>
                </c:pt>
                <c:pt idx="84">
                  <c:v>10.5</c:v>
                </c:pt>
                <c:pt idx="85">
                  <c:v>10.78</c:v>
                </c:pt>
                <c:pt idx="86">
                  <c:v>12.03</c:v>
                </c:pt>
                <c:pt idx="87">
                  <c:v>11.52</c:v>
                </c:pt>
                <c:pt idx="88">
                  <c:v>11.55</c:v>
                </c:pt>
                <c:pt idx="89">
                  <c:v>11.55</c:v>
                </c:pt>
                <c:pt idx="90">
                  <c:v>11.4</c:v>
                </c:pt>
                <c:pt idx="91">
                  <c:v>11.4</c:v>
                </c:pt>
                <c:pt idx="92">
                  <c:v>11.4</c:v>
                </c:pt>
                <c:pt idx="93">
                  <c:v>11.4</c:v>
                </c:pt>
                <c:pt idx="94">
                  <c:v>11.4</c:v>
                </c:pt>
                <c:pt idx="95">
                  <c:v>11.4</c:v>
                </c:pt>
                <c:pt idx="96">
                  <c:v>11.4</c:v>
                </c:pt>
                <c:pt idx="97">
                  <c:v>11.4</c:v>
                </c:pt>
                <c:pt idx="98">
                  <c:v>11.4</c:v>
                </c:pt>
                <c:pt idx="99">
                  <c:v>11.4</c:v>
                </c:pt>
                <c:pt idx="100">
                  <c:v>11.4</c:v>
                </c:pt>
                <c:pt idx="101">
                  <c:v>11.4</c:v>
                </c:pt>
                <c:pt idx="102">
                  <c:v>11.4</c:v>
                </c:pt>
                <c:pt idx="103">
                  <c:v>11.4</c:v>
                </c:pt>
                <c:pt idx="104">
                  <c:v>11.86</c:v>
                </c:pt>
                <c:pt idx="105">
                  <c:v>11.5</c:v>
                </c:pt>
                <c:pt idx="106">
                  <c:v>11.4</c:v>
                </c:pt>
                <c:pt idx="107">
                  <c:v>11.4</c:v>
                </c:pt>
                <c:pt idx="108">
                  <c:v>11.4</c:v>
                </c:pt>
                <c:pt idx="109">
                  <c:v>11.5</c:v>
                </c:pt>
                <c:pt idx="110">
                  <c:v>11.6</c:v>
                </c:pt>
                <c:pt idx="111">
                  <c:v>11.6</c:v>
                </c:pt>
                <c:pt idx="112">
                  <c:v>11.4</c:v>
                </c:pt>
                <c:pt idx="113">
                  <c:v>11.4</c:v>
                </c:pt>
                <c:pt idx="114">
                  <c:v>11.4</c:v>
                </c:pt>
                <c:pt idx="115">
                  <c:v>11.5</c:v>
                </c:pt>
                <c:pt idx="116">
                  <c:v>11.4</c:v>
                </c:pt>
                <c:pt idx="117">
                  <c:v>11.5</c:v>
                </c:pt>
                <c:pt idx="118">
                  <c:v>11.5</c:v>
                </c:pt>
                <c:pt idx="119">
                  <c:v>11.4</c:v>
                </c:pt>
                <c:pt idx="120">
                  <c:v>11.5</c:v>
                </c:pt>
                <c:pt idx="121">
                  <c:v>11.5</c:v>
                </c:pt>
                <c:pt idx="122">
                  <c:v>11.5</c:v>
                </c:pt>
                <c:pt idx="123">
                  <c:v>11.5</c:v>
                </c:pt>
                <c:pt idx="124">
                  <c:v>11.5</c:v>
                </c:pt>
                <c:pt idx="125">
                  <c:v>11.5</c:v>
                </c:pt>
                <c:pt idx="126">
                  <c:v>11.5</c:v>
                </c:pt>
                <c:pt idx="127">
                  <c:v>11.25</c:v>
                </c:pt>
                <c:pt idx="128">
                  <c:v>11.27</c:v>
                </c:pt>
                <c:pt idx="129">
                  <c:v>11.5</c:v>
                </c:pt>
                <c:pt idx="130">
                  <c:v>11.5</c:v>
                </c:pt>
                <c:pt idx="131">
                  <c:v>11.5</c:v>
                </c:pt>
                <c:pt idx="132">
                  <c:v>11.5</c:v>
                </c:pt>
                <c:pt idx="133">
                  <c:v>11.5</c:v>
                </c:pt>
                <c:pt idx="134">
                  <c:v>11.5</c:v>
                </c:pt>
                <c:pt idx="135">
                  <c:v>11.5</c:v>
                </c:pt>
                <c:pt idx="136">
                  <c:v>11.5</c:v>
                </c:pt>
                <c:pt idx="137">
                  <c:v>11.5</c:v>
                </c:pt>
                <c:pt idx="138">
                  <c:v>11.5</c:v>
                </c:pt>
                <c:pt idx="139">
                  <c:v>11.5</c:v>
                </c:pt>
                <c:pt idx="140">
                  <c:v>11.5</c:v>
                </c:pt>
                <c:pt idx="141">
                  <c:v>11.5</c:v>
                </c:pt>
                <c:pt idx="142">
                  <c:v>11.51</c:v>
                </c:pt>
                <c:pt idx="143">
                  <c:v>11.5</c:v>
                </c:pt>
                <c:pt idx="144">
                  <c:v>11.5</c:v>
                </c:pt>
                <c:pt idx="145">
                  <c:v>11.5</c:v>
                </c:pt>
                <c:pt idx="146">
                  <c:v>11.5</c:v>
                </c:pt>
                <c:pt idx="147">
                  <c:v>11.5</c:v>
                </c:pt>
                <c:pt idx="148">
                  <c:v>11.4</c:v>
                </c:pt>
                <c:pt idx="149">
                  <c:v>11.5</c:v>
                </c:pt>
                <c:pt idx="150">
                  <c:v>11.5</c:v>
                </c:pt>
                <c:pt idx="151">
                  <c:v>11.5</c:v>
                </c:pt>
                <c:pt idx="152">
                  <c:v>11.5</c:v>
                </c:pt>
                <c:pt idx="153">
                  <c:v>11.5</c:v>
                </c:pt>
                <c:pt idx="154">
                  <c:v>11.95</c:v>
                </c:pt>
                <c:pt idx="155">
                  <c:v>11.5</c:v>
                </c:pt>
                <c:pt idx="156">
                  <c:v>12.2</c:v>
                </c:pt>
                <c:pt idx="157">
                  <c:v>11.5</c:v>
                </c:pt>
                <c:pt idx="158">
                  <c:v>12.5</c:v>
                </c:pt>
                <c:pt idx="159">
                  <c:v>11.5</c:v>
                </c:pt>
                <c:pt idx="160">
                  <c:v>11.55</c:v>
                </c:pt>
                <c:pt idx="161">
                  <c:v>11.55</c:v>
                </c:pt>
                <c:pt idx="162">
                  <c:v>11.55</c:v>
                </c:pt>
                <c:pt idx="163">
                  <c:v>11.55</c:v>
                </c:pt>
                <c:pt idx="164">
                  <c:v>11</c:v>
                </c:pt>
                <c:pt idx="165">
                  <c:v>12</c:v>
                </c:pt>
                <c:pt idx="166">
                  <c:v>11.4</c:v>
                </c:pt>
                <c:pt idx="167">
                  <c:v>11.4</c:v>
                </c:pt>
                <c:pt idx="168">
                  <c:v>12</c:v>
                </c:pt>
                <c:pt idx="169">
                  <c:v>12</c:v>
                </c:pt>
                <c:pt idx="170">
                  <c:v>12</c:v>
                </c:pt>
                <c:pt idx="171">
                  <c:v>12</c:v>
                </c:pt>
                <c:pt idx="172">
                  <c:v>12</c:v>
                </c:pt>
                <c:pt idx="173">
                  <c:v>12</c:v>
                </c:pt>
                <c:pt idx="174">
                  <c:v>11.4</c:v>
                </c:pt>
                <c:pt idx="175">
                  <c:v>11.4</c:v>
                </c:pt>
                <c:pt idx="176">
                  <c:v>11.4</c:v>
                </c:pt>
                <c:pt idx="177">
                  <c:v>11.43</c:v>
                </c:pt>
                <c:pt idx="178">
                  <c:v>11.4</c:v>
                </c:pt>
                <c:pt idx="179">
                  <c:v>11.4</c:v>
                </c:pt>
                <c:pt idx="180">
                  <c:v>11.5</c:v>
                </c:pt>
                <c:pt idx="181">
                  <c:v>12.2</c:v>
                </c:pt>
                <c:pt idx="182">
                  <c:v>12.2</c:v>
                </c:pt>
                <c:pt idx="183">
                  <c:v>12.4</c:v>
                </c:pt>
                <c:pt idx="184">
                  <c:v>12.2</c:v>
                </c:pt>
                <c:pt idx="185">
                  <c:v>12.5</c:v>
                </c:pt>
                <c:pt idx="186">
                  <c:v>12.5</c:v>
                </c:pt>
                <c:pt idx="187">
                  <c:v>11.5</c:v>
                </c:pt>
                <c:pt idx="188">
                  <c:v>11.5</c:v>
                </c:pt>
                <c:pt idx="189">
                  <c:v>11.5</c:v>
                </c:pt>
                <c:pt idx="190">
                  <c:v>12.15</c:v>
                </c:pt>
                <c:pt idx="191">
                  <c:v>12</c:v>
                </c:pt>
                <c:pt idx="192">
                  <c:v>11.4</c:v>
                </c:pt>
                <c:pt idx="193">
                  <c:v>11.36</c:v>
                </c:pt>
                <c:pt idx="194">
                  <c:v>12</c:v>
                </c:pt>
                <c:pt idx="195">
                  <c:v>10.78</c:v>
                </c:pt>
                <c:pt idx="196">
                  <c:v>10.78</c:v>
                </c:pt>
                <c:pt idx="197">
                  <c:v>12.01</c:v>
                </c:pt>
                <c:pt idx="198">
                  <c:v>12.8</c:v>
                </c:pt>
                <c:pt idx="199">
                  <c:v>12</c:v>
                </c:pt>
                <c:pt idx="200">
                  <c:v>12</c:v>
                </c:pt>
                <c:pt idx="201">
                  <c:v>12</c:v>
                </c:pt>
                <c:pt idx="202">
                  <c:v>12</c:v>
                </c:pt>
                <c:pt idx="203">
                  <c:v>12</c:v>
                </c:pt>
                <c:pt idx="204">
                  <c:v>12</c:v>
                </c:pt>
                <c:pt idx="205">
                  <c:v>12</c:v>
                </c:pt>
                <c:pt idx="206">
                  <c:v>12</c:v>
                </c:pt>
                <c:pt idx="207">
                  <c:v>12</c:v>
                </c:pt>
                <c:pt idx="208">
                  <c:v>12</c:v>
                </c:pt>
                <c:pt idx="209">
                  <c:v>12</c:v>
                </c:pt>
                <c:pt idx="210">
                  <c:v>12</c:v>
                </c:pt>
                <c:pt idx="211">
                  <c:v>12</c:v>
                </c:pt>
                <c:pt idx="212">
                  <c:v>12.01</c:v>
                </c:pt>
                <c:pt idx="213">
                  <c:v>12</c:v>
                </c:pt>
                <c:pt idx="214">
                  <c:v>12</c:v>
                </c:pt>
                <c:pt idx="215">
                  <c:v>12</c:v>
                </c:pt>
                <c:pt idx="216">
                  <c:v>12</c:v>
                </c:pt>
                <c:pt idx="217">
                  <c:v>12</c:v>
                </c:pt>
                <c:pt idx="218">
                  <c:v>12</c:v>
                </c:pt>
                <c:pt idx="219">
                  <c:v>12.02</c:v>
                </c:pt>
                <c:pt idx="220">
                  <c:v>12</c:v>
                </c:pt>
                <c:pt idx="221">
                  <c:v>12.02</c:v>
                </c:pt>
                <c:pt idx="222">
                  <c:v>12</c:v>
                </c:pt>
                <c:pt idx="223">
                  <c:v>12</c:v>
                </c:pt>
                <c:pt idx="224">
                  <c:v>12.2</c:v>
                </c:pt>
                <c:pt idx="225">
                  <c:v>12.25</c:v>
                </c:pt>
                <c:pt idx="226">
                  <c:v>12</c:v>
                </c:pt>
                <c:pt idx="227">
                  <c:v>12.2</c:v>
                </c:pt>
                <c:pt idx="228">
                  <c:v>12.5</c:v>
                </c:pt>
                <c:pt idx="229">
                  <c:v>12.27</c:v>
                </c:pt>
                <c:pt idx="230">
                  <c:v>11.5</c:v>
                </c:pt>
                <c:pt idx="231">
                  <c:v>12.5</c:v>
                </c:pt>
                <c:pt idx="232">
                  <c:v>11.73</c:v>
                </c:pt>
                <c:pt idx="233">
                  <c:v>11.5</c:v>
                </c:pt>
                <c:pt idx="234">
                  <c:v>11.71</c:v>
                </c:pt>
                <c:pt idx="235">
                  <c:v>12</c:v>
                </c:pt>
                <c:pt idx="236">
                  <c:v>11.98</c:v>
                </c:pt>
                <c:pt idx="237">
                  <c:v>11.98</c:v>
                </c:pt>
                <c:pt idx="238">
                  <c:v>11.98</c:v>
                </c:pt>
                <c:pt idx="239">
                  <c:v>11.98</c:v>
                </c:pt>
                <c:pt idx="240">
                  <c:v>12.53</c:v>
                </c:pt>
                <c:pt idx="241">
                  <c:v>11.7</c:v>
                </c:pt>
                <c:pt idx="242">
                  <c:v>12.15</c:v>
                </c:pt>
                <c:pt idx="243">
                  <c:v>12.15</c:v>
                </c:pt>
                <c:pt idx="244">
                  <c:v>12.15</c:v>
                </c:pt>
                <c:pt idx="245">
                  <c:v>12.15</c:v>
                </c:pt>
                <c:pt idx="246">
                  <c:v>12</c:v>
                </c:pt>
                <c:pt idx="247">
                  <c:v>12</c:v>
                </c:pt>
                <c:pt idx="248">
                  <c:v>12</c:v>
                </c:pt>
                <c:pt idx="249">
                  <c:v>12</c:v>
                </c:pt>
                <c:pt idx="250">
                  <c:v>12.15</c:v>
                </c:pt>
                <c:pt idx="251">
                  <c:v>12.15</c:v>
                </c:pt>
                <c:pt idx="252">
                  <c:v>11.02</c:v>
                </c:pt>
                <c:pt idx="253">
                  <c:v>11.02</c:v>
                </c:pt>
                <c:pt idx="254">
                  <c:v>11.02</c:v>
                </c:pt>
                <c:pt idx="255">
                  <c:v>11.02</c:v>
                </c:pt>
                <c:pt idx="256">
                  <c:v>10.5</c:v>
                </c:pt>
                <c:pt idx="257">
                  <c:v>13.22</c:v>
                </c:pt>
                <c:pt idx="258">
                  <c:v>13.22</c:v>
                </c:pt>
                <c:pt idx="259">
                  <c:v>12</c:v>
                </c:pt>
                <c:pt idx="260">
                  <c:v>12</c:v>
                </c:pt>
                <c:pt idx="261">
                  <c:v>11.72</c:v>
                </c:pt>
                <c:pt idx="262">
                  <c:v>12</c:v>
                </c:pt>
                <c:pt idx="263">
                  <c:v>12</c:v>
                </c:pt>
                <c:pt idx="264">
                  <c:v>10.8</c:v>
                </c:pt>
                <c:pt idx="265">
                  <c:v>12</c:v>
                </c:pt>
                <c:pt idx="266">
                  <c:v>12</c:v>
                </c:pt>
                <c:pt idx="267">
                  <c:v>12</c:v>
                </c:pt>
                <c:pt idx="268">
                  <c:v>12.1</c:v>
                </c:pt>
                <c:pt idx="269">
                  <c:v>11.7</c:v>
                </c:pt>
                <c:pt idx="270">
                  <c:v>12.11</c:v>
                </c:pt>
                <c:pt idx="271">
                  <c:v>11.7</c:v>
                </c:pt>
                <c:pt idx="272">
                  <c:v>7.7</c:v>
                </c:pt>
                <c:pt idx="273">
                  <c:v>12</c:v>
                </c:pt>
                <c:pt idx="274">
                  <c:v>11.78</c:v>
                </c:pt>
                <c:pt idx="275">
                  <c:v>11.78</c:v>
                </c:pt>
                <c:pt idx="276">
                  <c:v>11.78</c:v>
                </c:pt>
                <c:pt idx="277">
                  <c:v>11.78</c:v>
                </c:pt>
                <c:pt idx="278">
                  <c:v>11.5</c:v>
                </c:pt>
                <c:pt idx="279">
                  <c:v>11.5</c:v>
                </c:pt>
                <c:pt idx="280">
                  <c:v>11.5</c:v>
                </c:pt>
                <c:pt idx="281">
                  <c:v>11.5</c:v>
                </c:pt>
                <c:pt idx="282">
                  <c:v>12.46</c:v>
                </c:pt>
                <c:pt idx="283">
                  <c:v>12.46</c:v>
                </c:pt>
                <c:pt idx="284">
                  <c:v>12.3</c:v>
                </c:pt>
                <c:pt idx="285">
                  <c:v>12.3</c:v>
                </c:pt>
                <c:pt idx="286">
                  <c:v>12.4</c:v>
                </c:pt>
                <c:pt idx="287">
                  <c:v>12</c:v>
                </c:pt>
                <c:pt idx="288">
                  <c:v>12</c:v>
                </c:pt>
                <c:pt idx="289">
                  <c:v>12</c:v>
                </c:pt>
                <c:pt idx="290">
                  <c:v>12</c:v>
                </c:pt>
                <c:pt idx="291">
                  <c:v>12</c:v>
                </c:pt>
                <c:pt idx="292">
                  <c:v>12</c:v>
                </c:pt>
                <c:pt idx="293">
                  <c:v>12</c:v>
                </c:pt>
                <c:pt idx="294">
                  <c:v>12</c:v>
                </c:pt>
                <c:pt idx="295">
                  <c:v>12</c:v>
                </c:pt>
                <c:pt idx="296">
                  <c:v>12</c:v>
                </c:pt>
                <c:pt idx="297">
                  <c:v>12.3</c:v>
                </c:pt>
                <c:pt idx="298">
                  <c:v>12.3</c:v>
                </c:pt>
                <c:pt idx="299">
                  <c:v>12.3</c:v>
                </c:pt>
                <c:pt idx="300">
                  <c:v>10</c:v>
                </c:pt>
                <c:pt idx="301">
                  <c:v>12</c:v>
                </c:pt>
                <c:pt idx="302">
                  <c:v>12.02</c:v>
                </c:pt>
                <c:pt idx="303">
                  <c:v>12.4</c:v>
                </c:pt>
                <c:pt idx="304">
                  <c:v>12.4</c:v>
                </c:pt>
                <c:pt idx="305">
                  <c:v>12.5</c:v>
                </c:pt>
                <c:pt idx="306">
                  <c:v>12.5</c:v>
                </c:pt>
                <c:pt idx="307">
                  <c:v>12.5</c:v>
                </c:pt>
                <c:pt idx="308">
                  <c:v>10.5</c:v>
                </c:pt>
                <c:pt idx="309">
                  <c:v>10.5</c:v>
                </c:pt>
                <c:pt idx="310">
                  <c:v>12.4</c:v>
                </c:pt>
                <c:pt idx="311">
                  <c:v>14</c:v>
                </c:pt>
                <c:pt idx="312">
                  <c:v>14</c:v>
                </c:pt>
                <c:pt idx="313">
                  <c:v>11</c:v>
                </c:pt>
                <c:pt idx="314">
                  <c:v>12.5</c:v>
                </c:pt>
                <c:pt idx="315">
                  <c:v>12.5</c:v>
                </c:pt>
                <c:pt idx="316">
                  <c:v>12.5</c:v>
                </c:pt>
                <c:pt idx="317">
                  <c:v>12.5</c:v>
                </c:pt>
                <c:pt idx="318">
                  <c:v>11.62</c:v>
                </c:pt>
                <c:pt idx="319">
                  <c:v>12.5</c:v>
                </c:pt>
                <c:pt idx="320">
                  <c:v>12.5</c:v>
                </c:pt>
                <c:pt idx="321">
                  <c:v>12.5</c:v>
                </c:pt>
                <c:pt idx="322">
                  <c:v>12.5</c:v>
                </c:pt>
                <c:pt idx="323">
                  <c:v>12.52</c:v>
                </c:pt>
                <c:pt idx="324">
                  <c:v>12.52</c:v>
                </c:pt>
                <c:pt idx="325">
                  <c:v>12.5</c:v>
                </c:pt>
                <c:pt idx="326">
                  <c:v>13</c:v>
                </c:pt>
                <c:pt idx="327">
                  <c:v>12.02</c:v>
                </c:pt>
                <c:pt idx="328">
                  <c:v>12.8</c:v>
                </c:pt>
                <c:pt idx="329">
                  <c:v>12.6</c:v>
                </c:pt>
                <c:pt idx="330">
                  <c:v>12.63</c:v>
                </c:pt>
                <c:pt idx="331">
                  <c:v>12.5</c:v>
                </c:pt>
                <c:pt idx="332">
                  <c:v>12.5</c:v>
                </c:pt>
                <c:pt idx="333">
                  <c:v>12.5</c:v>
                </c:pt>
                <c:pt idx="334">
                  <c:v>12.5</c:v>
                </c:pt>
                <c:pt idx="335">
                  <c:v>12.5</c:v>
                </c:pt>
                <c:pt idx="336">
                  <c:v>12.5</c:v>
                </c:pt>
                <c:pt idx="337">
                  <c:v>14.34</c:v>
                </c:pt>
                <c:pt idx="338">
                  <c:v>14.35</c:v>
                </c:pt>
                <c:pt idx="339">
                  <c:v>12.5</c:v>
                </c:pt>
                <c:pt idx="340">
                  <c:v>12</c:v>
                </c:pt>
                <c:pt idx="341">
                  <c:v>12</c:v>
                </c:pt>
                <c:pt idx="342">
                  <c:v>12.6</c:v>
                </c:pt>
                <c:pt idx="343">
                  <c:v>13.5</c:v>
                </c:pt>
                <c:pt idx="344">
                  <c:v>13.01</c:v>
                </c:pt>
                <c:pt idx="345">
                  <c:v>12.5</c:v>
                </c:pt>
                <c:pt idx="346">
                  <c:v>12.52</c:v>
                </c:pt>
                <c:pt idx="347">
                  <c:v>12.52</c:v>
                </c:pt>
                <c:pt idx="348">
                  <c:v>12.5</c:v>
                </c:pt>
                <c:pt idx="349">
                  <c:v>14.02</c:v>
                </c:pt>
                <c:pt idx="350">
                  <c:v>14</c:v>
                </c:pt>
                <c:pt idx="351">
                  <c:v>14.03</c:v>
                </c:pt>
                <c:pt idx="352">
                  <c:v>14.03</c:v>
                </c:pt>
                <c:pt idx="353">
                  <c:v>12.51</c:v>
                </c:pt>
                <c:pt idx="354">
                  <c:v>13</c:v>
                </c:pt>
                <c:pt idx="355">
                  <c:v>12.5</c:v>
                </c:pt>
                <c:pt idx="356">
                  <c:v>12.5</c:v>
                </c:pt>
                <c:pt idx="357">
                  <c:v>12.5</c:v>
                </c:pt>
                <c:pt idx="358">
                  <c:v>12.5</c:v>
                </c:pt>
                <c:pt idx="359">
                  <c:v>12.5</c:v>
                </c:pt>
                <c:pt idx="360">
                  <c:v>12.5</c:v>
                </c:pt>
                <c:pt idx="361">
                  <c:v>12.5</c:v>
                </c:pt>
                <c:pt idx="362">
                  <c:v>12.5</c:v>
                </c:pt>
                <c:pt idx="363">
                  <c:v>12.5</c:v>
                </c:pt>
                <c:pt idx="364">
                  <c:v>12.5</c:v>
                </c:pt>
                <c:pt idx="365">
                  <c:v>12.6</c:v>
                </c:pt>
                <c:pt idx="366">
                  <c:v>12.65</c:v>
                </c:pt>
                <c:pt idx="367">
                  <c:v>13.52</c:v>
                </c:pt>
                <c:pt idx="368">
                  <c:v>12</c:v>
                </c:pt>
                <c:pt idx="369">
                  <c:v>12.5</c:v>
                </c:pt>
                <c:pt idx="370">
                  <c:v>11</c:v>
                </c:pt>
                <c:pt idx="371">
                  <c:v>12.2</c:v>
                </c:pt>
                <c:pt idx="372">
                  <c:v>12.73</c:v>
                </c:pt>
                <c:pt idx="373">
                  <c:v>12.78</c:v>
                </c:pt>
                <c:pt idx="374">
                  <c:v>12.6</c:v>
                </c:pt>
                <c:pt idx="375">
                  <c:v>12.6</c:v>
                </c:pt>
                <c:pt idx="376">
                  <c:v>13</c:v>
                </c:pt>
                <c:pt idx="377">
                  <c:v>11.4</c:v>
                </c:pt>
                <c:pt idx="378">
                  <c:v>12.6</c:v>
                </c:pt>
                <c:pt idx="379">
                  <c:v>12.6</c:v>
                </c:pt>
                <c:pt idx="380">
                  <c:v>12.6</c:v>
                </c:pt>
                <c:pt idx="381">
                  <c:v>12.6</c:v>
                </c:pt>
                <c:pt idx="382">
                  <c:v>12.6</c:v>
                </c:pt>
                <c:pt idx="383">
                  <c:v>12.98</c:v>
                </c:pt>
                <c:pt idx="384">
                  <c:v>12.6</c:v>
                </c:pt>
                <c:pt idx="385">
                  <c:v>12.98</c:v>
                </c:pt>
                <c:pt idx="386">
                  <c:v>12.96</c:v>
                </c:pt>
                <c:pt idx="387">
                  <c:v>12.6</c:v>
                </c:pt>
                <c:pt idx="388">
                  <c:v>12.6</c:v>
                </c:pt>
                <c:pt idx="389">
                  <c:v>12.61</c:v>
                </c:pt>
                <c:pt idx="390">
                  <c:v>12.6</c:v>
                </c:pt>
                <c:pt idx="391">
                  <c:v>12.6</c:v>
                </c:pt>
                <c:pt idx="392">
                  <c:v>12.6</c:v>
                </c:pt>
                <c:pt idx="393">
                  <c:v>12.6</c:v>
                </c:pt>
                <c:pt idx="394">
                  <c:v>12.6</c:v>
                </c:pt>
                <c:pt idx="395">
                  <c:v>12.6</c:v>
                </c:pt>
                <c:pt idx="396">
                  <c:v>12.54</c:v>
                </c:pt>
                <c:pt idx="397">
                  <c:v>12.8</c:v>
                </c:pt>
                <c:pt idx="398">
                  <c:v>11</c:v>
                </c:pt>
                <c:pt idx="399">
                  <c:v>12.82</c:v>
                </c:pt>
                <c:pt idx="400">
                  <c:v>11</c:v>
                </c:pt>
                <c:pt idx="401">
                  <c:v>12.8</c:v>
                </c:pt>
                <c:pt idx="402">
                  <c:v>12.8</c:v>
                </c:pt>
                <c:pt idx="403">
                  <c:v>11</c:v>
                </c:pt>
                <c:pt idx="404">
                  <c:v>12.6</c:v>
                </c:pt>
                <c:pt idx="405">
                  <c:v>12.62</c:v>
                </c:pt>
                <c:pt idx="406">
                  <c:v>12.6</c:v>
                </c:pt>
                <c:pt idx="407">
                  <c:v>12.5</c:v>
                </c:pt>
                <c:pt idx="408">
                  <c:v>12.5</c:v>
                </c:pt>
                <c:pt idx="409">
                  <c:v>12.54</c:v>
                </c:pt>
                <c:pt idx="410">
                  <c:v>12.6</c:v>
                </c:pt>
                <c:pt idx="411">
                  <c:v>12.6</c:v>
                </c:pt>
                <c:pt idx="412">
                  <c:v>12.6</c:v>
                </c:pt>
                <c:pt idx="413">
                  <c:v>12.6</c:v>
                </c:pt>
                <c:pt idx="414">
                  <c:v>12.6</c:v>
                </c:pt>
                <c:pt idx="415">
                  <c:v>12.73</c:v>
                </c:pt>
                <c:pt idx="416">
                  <c:v>11</c:v>
                </c:pt>
                <c:pt idx="417">
                  <c:v>12.6</c:v>
                </c:pt>
                <c:pt idx="418">
                  <c:v>12.73</c:v>
                </c:pt>
                <c:pt idx="419">
                  <c:v>12.6</c:v>
                </c:pt>
                <c:pt idx="420">
                  <c:v>12.6</c:v>
                </c:pt>
                <c:pt idx="421">
                  <c:v>12.6</c:v>
                </c:pt>
                <c:pt idx="422">
                  <c:v>12.6</c:v>
                </c:pt>
                <c:pt idx="423">
                  <c:v>12.6</c:v>
                </c:pt>
                <c:pt idx="424">
                  <c:v>12.6</c:v>
                </c:pt>
                <c:pt idx="425">
                  <c:v>12.5</c:v>
                </c:pt>
                <c:pt idx="426">
                  <c:v>12.6</c:v>
                </c:pt>
                <c:pt idx="427">
                  <c:v>12.6</c:v>
                </c:pt>
                <c:pt idx="428">
                  <c:v>13</c:v>
                </c:pt>
                <c:pt idx="429">
                  <c:v>13</c:v>
                </c:pt>
                <c:pt idx="430">
                  <c:v>12.6</c:v>
                </c:pt>
                <c:pt idx="431">
                  <c:v>12.5</c:v>
                </c:pt>
                <c:pt idx="432">
                  <c:v>12.5</c:v>
                </c:pt>
                <c:pt idx="433">
                  <c:v>12.5</c:v>
                </c:pt>
                <c:pt idx="434">
                  <c:v>12.5</c:v>
                </c:pt>
                <c:pt idx="435">
                  <c:v>12.6</c:v>
                </c:pt>
                <c:pt idx="436">
                  <c:v>11.5</c:v>
                </c:pt>
                <c:pt idx="437">
                  <c:v>13</c:v>
                </c:pt>
                <c:pt idx="438">
                  <c:v>12.75</c:v>
                </c:pt>
                <c:pt idx="439">
                  <c:v>12.75</c:v>
                </c:pt>
                <c:pt idx="440">
                  <c:v>12.75</c:v>
                </c:pt>
                <c:pt idx="441">
                  <c:v>12.8</c:v>
                </c:pt>
                <c:pt idx="442">
                  <c:v>12.62</c:v>
                </c:pt>
                <c:pt idx="443">
                  <c:v>12.62</c:v>
                </c:pt>
                <c:pt idx="444">
                  <c:v>12.5</c:v>
                </c:pt>
                <c:pt idx="445">
                  <c:v>12.2</c:v>
                </c:pt>
                <c:pt idx="446">
                  <c:v>12.62</c:v>
                </c:pt>
                <c:pt idx="447">
                  <c:v>13</c:v>
                </c:pt>
                <c:pt idx="448">
                  <c:v>12.5</c:v>
                </c:pt>
                <c:pt idx="449">
                  <c:v>12.6</c:v>
                </c:pt>
                <c:pt idx="450">
                  <c:v>12.62</c:v>
                </c:pt>
                <c:pt idx="451">
                  <c:v>13</c:v>
                </c:pt>
                <c:pt idx="452">
                  <c:v>12.75</c:v>
                </c:pt>
                <c:pt idx="453">
                  <c:v>12.75</c:v>
                </c:pt>
                <c:pt idx="454">
                  <c:v>13.5</c:v>
                </c:pt>
                <c:pt idx="455">
                  <c:v>12.6</c:v>
                </c:pt>
                <c:pt idx="456">
                  <c:v>13</c:v>
                </c:pt>
                <c:pt idx="457">
                  <c:v>12.62</c:v>
                </c:pt>
                <c:pt idx="458">
                  <c:v>12.62</c:v>
                </c:pt>
                <c:pt idx="459">
                  <c:v>13</c:v>
                </c:pt>
                <c:pt idx="460">
                  <c:v>12.6</c:v>
                </c:pt>
                <c:pt idx="461">
                  <c:v>13</c:v>
                </c:pt>
                <c:pt idx="462">
                  <c:v>13</c:v>
                </c:pt>
                <c:pt idx="463">
                  <c:v>12.6</c:v>
                </c:pt>
                <c:pt idx="464">
                  <c:v>13.5</c:v>
                </c:pt>
                <c:pt idx="465">
                  <c:v>13.5</c:v>
                </c:pt>
                <c:pt idx="466">
                  <c:v>13.52</c:v>
                </c:pt>
                <c:pt idx="467">
                  <c:v>13.2</c:v>
                </c:pt>
                <c:pt idx="468">
                  <c:v>13.2</c:v>
                </c:pt>
                <c:pt idx="469">
                  <c:v>12.6</c:v>
                </c:pt>
                <c:pt idx="470">
                  <c:v>10.78</c:v>
                </c:pt>
                <c:pt idx="471">
                  <c:v>10.78</c:v>
                </c:pt>
                <c:pt idx="472">
                  <c:v>10.78</c:v>
                </c:pt>
                <c:pt idx="473">
                  <c:v>13</c:v>
                </c:pt>
                <c:pt idx="474">
                  <c:v>13.52</c:v>
                </c:pt>
                <c:pt idx="475">
                  <c:v>13.5</c:v>
                </c:pt>
                <c:pt idx="476">
                  <c:v>13.52</c:v>
                </c:pt>
                <c:pt idx="477">
                  <c:v>13.52</c:v>
                </c:pt>
                <c:pt idx="478">
                  <c:v>13.52</c:v>
                </c:pt>
                <c:pt idx="479">
                  <c:v>13.2</c:v>
                </c:pt>
                <c:pt idx="480">
                  <c:v>13.6</c:v>
                </c:pt>
                <c:pt idx="481">
                  <c:v>14.02</c:v>
                </c:pt>
                <c:pt idx="482">
                  <c:v>14</c:v>
                </c:pt>
                <c:pt idx="483">
                  <c:v>13.5</c:v>
                </c:pt>
                <c:pt idx="484">
                  <c:v>12.2</c:v>
                </c:pt>
                <c:pt idx="485">
                  <c:v>13.02</c:v>
                </c:pt>
                <c:pt idx="486">
                  <c:v>13.02</c:v>
                </c:pt>
                <c:pt idx="487">
                  <c:v>13.02</c:v>
                </c:pt>
                <c:pt idx="488">
                  <c:v>13.02</c:v>
                </c:pt>
                <c:pt idx="489">
                  <c:v>13.02</c:v>
                </c:pt>
                <c:pt idx="490">
                  <c:v>13.02</c:v>
                </c:pt>
                <c:pt idx="491">
                  <c:v>13.5</c:v>
                </c:pt>
                <c:pt idx="492">
                  <c:v>13.02</c:v>
                </c:pt>
                <c:pt idx="493">
                  <c:v>13.02</c:v>
                </c:pt>
                <c:pt idx="494">
                  <c:v>13.2</c:v>
                </c:pt>
                <c:pt idx="495">
                  <c:v>13.5</c:v>
                </c:pt>
                <c:pt idx="496">
                  <c:v>13.51</c:v>
                </c:pt>
                <c:pt idx="497">
                  <c:v>12.62</c:v>
                </c:pt>
                <c:pt idx="498">
                  <c:v>12.62</c:v>
                </c:pt>
                <c:pt idx="499">
                  <c:v>12.62</c:v>
                </c:pt>
                <c:pt idx="500">
                  <c:v>13.5</c:v>
                </c:pt>
                <c:pt idx="501">
                  <c:v>13.5</c:v>
                </c:pt>
                <c:pt idx="502">
                  <c:v>13.62</c:v>
                </c:pt>
                <c:pt idx="503">
                  <c:v>13.63</c:v>
                </c:pt>
                <c:pt idx="504">
                  <c:v>13.6</c:v>
                </c:pt>
                <c:pt idx="505">
                  <c:v>13.5</c:v>
                </c:pt>
                <c:pt idx="506">
                  <c:v>13.5</c:v>
                </c:pt>
                <c:pt idx="507">
                  <c:v>13.5</c:v>
                </c:pt>
                <c:pt idx="508">
                  <c:v>13.62</c:v>
                </c:pt>
                <c:pt idx="509">
                  <c:v>13.52</c:v>
                </c:pt>
                <c:pt idx="510">
                  <c:v>11.8</c:v>
                </c:pt>
                <c:pt idx="511">
                  <c:v>12.8</c:v>
                </c:pt>
                <c:pt idx="512">
                  <c:v>11.8</c:v>
                </c:pt>
                <c:pt idx="513">
                  <c:v>12.84</c:v>
                </c:pt>
                <c:pt idx="514">
                  <c:v>13.51</c:v>
                </c:pt>
                <c:pt idx="515">
                  <c:v>13.51</c:v>
                </c:pt>
                <c:pt idx="516">
                  <c:v>13.51</c:v>
                </c:pt>
                <c:pt idx="517">
                  <c:v>13.02</c:v>
                </c:pt>
                <c:pt idx="518">
                  <c:v>13.51</c:v>
                </c:pt>
                <c:pt idx="519">
                  <c:v>15.5</c:v>
                </c:pt>
                <c:pt idx="520">
                  <c:v>13.52</c:v>
                </c:pt>
                <c:pt idx="521">
                  <c:v>13.5</c:v>
                </c:pt>
                <c:pt idx="522">
                  <c:v>13.52</c:v>
                </c:pt>
                <c:pt idx="523">
                  <c:v>13.52</c:v>
                </c:pt>
                <c:pt idx="524">
                  <c:v>13</c:v>
                </c:pt>
                <c:pt idx="525">
                  <c:v>12</c:v>
                </c:pt>
                <c:pt idx="526">
                  <c:v>13.52</c:v>
                </c:pt>
                <c:pt idx="527">
                  <c:v>13</c:v>
                </c:pt>
                <c:pt idx="528">
                  <c:v>13.65</c:v>
                </c:pt>
                <c:pt idx="529">
                  <c:v>13.55</c:v>
                </c:pt>
                <c:pt idx="530">
                  <c:v>13.55</c:v>
                </c:pt>
                <c:pt idx="531">
                  <c:v>13.5</c:v>
                </c:pt>
                <c:pt idx="532">
                  <c:v>13.5</c:v>
                </c:pt>
                <c:pt idx="533">
                  <c:v>13.5</c:v>
                </c:pt>
                <c:pt idx="534">
                  <c:v>13.5</c:v>
                </c:pt>
                <c:pt idx="535">
                  <c:v>13.5</c:v>
                </c:pt>
                <c:pt idx="536">
                  <c:v>13.5</c:v>
                </c:pt>
                <c:pt idx="537">
                  <c:v>13.5</c:v>
                </c:pt>
                <c:pt idx="538">
                  <c:v>13</c:v>
                </c:pt>
                <c:pt idx="539">
                  <c:v>13.5</c:v>
                </c:pt>
                <c:pt idx="540">
                  <c:v>13.55</c:v>
                </c:pt>
                <c:pt idx="541">
                  <c:v>13.52</c:v>
                </c:pt>
                <c:pt idx="542">
                  <c:v>13.5</c:v>
                </c:pt>
                <c:pt idx="543">
                  <c:v>13.52</c:v>
                </c:pt>
                <c:pt idx="544">
                  <c:v>13</c:v>
                </c:pt>
                <c:pt idx="545">
                  <c:v>13.52</c:v>
                </c:pt>
                <c:pt idx="546">
                  <c:v>13.5</c:v>
                </c:pt>
                <c:pt idx="547">
                  <c:v>13.5</c:v>
                </c:pt>
                <c:pt idx="548">
                  <c:v>13.52</c:v>
                </c:pt>
                <c:pt idx="549">
                  <c:v>13.52</c:v>
                </c:pt>
                <c:pt idx="550">
                  <c:v>13.52</c:v>
                </c:pt>
                <c:pt idx="551">
                  <c:v>13.55</c:v>
                </c:pt>
                <c:pt idx="552">
                  <c:v>13.5</c:v>
                </c:pt>
                <c:pt idx="553">
                  <c:v>13.55</c:v>
                </c:pt>
                <c:pt idx="554">
                  <c:v>13.57</c:v>
                </c:pt>
                <c:pt idx="555">
                  <c:v>13.57</c:v>
                </c:pt>
                <c:pt idx="556">
                  <c:v>13.5</c:v>
                </c:pt>
                <c:pt idx="557">
                  <c:v>13.5</c:v>
                </c:pt>
                <c:pt idx="558">
                  <c:v>13.5</c:v>
                </c:pt>
                <c:pt idx="559">
                  <c:v>13.5</c:v>
                </c:pt>
                <c:pt idx="560">
                  <c:v>13.5</c:v>
                </c:pt>
                <c:pt idx="561">
                  <c:v>13.03</c:v>
                </c:pt>
                <c:pt idx="562">
                  <c:v>13.03</c:v>
                </c:pt>
                <c:pt idx="563">
                  <c:v>13.5</c:v>
                </c:pt>
                <c:pt idx="564">
                  <c:v>13.65</c:v>
                </c:pt>
                <c:pt idx="565">
                  <c:v>13.65</c:v>
                </c:pt>
                <c:pt idx="566">
                  <c:v>13.6</c:v>
                </c:pt>
                <c:pt idx="567">
                  <c:v>13.5</c:v>
                </c:pt>
                <c:pt idx="568">
                  <c:v>13.65</c:v>
                </c:pt>
                <c:pt idx="569">
                  <c:v>13.7</c:v>
                </c:pt>
                <c:pt idx="570">
                  <c:v>13.5</c:v>
                </c:pt>
                <c:pt idx="571">
                  <c:v>12</c:v>
                </c:pt>
                <c:pt idx="572">
                  <c:v>13.67</c:v>
                </c:pt>
                <c:pt idx="573">
                  <c:v>13.67</c:v>
                </c:pt>
                <c:pt idx="574">
                  <c:v>13.65</c:v>
                </c:pt>
                <c:pt idx="575">
                  <c:v>13.65</c:v>
                </c:pt>
                <c:pt idx="576">
                  <c:v>13.65</c:v>
                </c:pt>
                <c:pt idx="577">
                  <c:v>13.5</c:v>
                </c:pt>
                <c:pt idx="578">
                  <c:v>13.5</c:v>
                </c:pt>
                <c:pt idx="579">
                  <c:v>13.5</c:v>
                </c:pt>
                <c:pt idx="580">
                  <c:v>13.5</c:v>
                </c:pt>
                <c:pt idx="581">
                  <c:v>13.5</c:v>
                </c:pt>
                <c:pt idx="582">
                  <c:v>13.5</c:v>
                </c:pt>
                <c:pt idx="583">
                  <c:v>13.5</c:v>
                </c:pt>
                <c:pt idx="584">
                  <c:v>13.5</c:v>
                </c:pt>
                <c:pt idx="585">
                  <c:v>13.5</c:v>
                </c:pt>
                <c:pt idx="586">
                  <c:v>13.5</c:v>
                </c:pt>
                <c:pt idx="587">
                  <c:v>13.5</c:v>
                </c:pt>
                <c:pt idx="588">
                  <c:v>13.5</c:v>
                </c:pt>
                <c:pt idx="589">
                  <c:v>13.52</c:v>
                </c:pt>
                <c:pt idx="590">
                  <c:v>13.5</c:v>
                </c:pt>
                <c:pt idx="591">
                  <c:v>12</c:v>
                </c:pt>
                <c:pt idx="592">
                  <c:v>13.5</c:v>
                </c:pt>
                <c:pt idx="593">
                  <c:v>13.5</c:v>
                </c:pt>
                <c:pt idx="594">
                  <c:v>13.5</c:v>
                </c:pt>
                <c:pt idx="595">
                  <c:v>13.62</c:v>
                </c:pt>
                <c:pt idx="596">
                  <c:v>13.61</c:v>
                </c:pt>
                <c:pt idx="597">
                  <c:v>13.61</c:v>
                </c:pt>
                <c:pt idx="598">
                  <c:v>13.6</c:v>
                </c:pt>
                <c:pt idx="599">
                  <c:v>14.03</c:v>
                </c:pt>
                <c:pt idx="600">
                  <c:v>14.03</c:v>
                </c:pt>
                <c:pt idx="601">
                  <c:v>12.7</c:v>
                </c:pt>
                <c:pt idx="602">
                  <c:v>14</c:v>
                </c:pt>
                <c:pt idx="603">
                  <c:v>13.9</c:v>
                </c:pt>
                <c:pt idx="604">
                  <c:v>14</c:v>
                </c:pt>
                <c:pt idx="605">
                  <c:v>14.03</c:v>
                </c:pt>
                <c:pt idx="606">
                  <c:v>12.52</c:v>
                </c:pt>
                <c:pt idx="607">
                  <c:v>12.5</c:v>
                </c:pt>
                <c:pt idx="608">
                  <c:v>14</c:v>
                </c:pt>
                <c:pt idx="609">
                  <c:v>14</c:v>
                </c:pt>
                <c:pt idx="610">
                  <c:v>14</c:v>
                </c:pt>
                <c:pt idx="611">
                  <c:v>14</c:v>
                </c:pt>
                <c:pt idx="612">
                  <c:v>14</c:v>
                </c:pt>
                <c:pt idx="613">
                  <c:v>14</c:v>
                </c:pt>
                <c:pt idx="614">
                  <c:v>14</c:v>
                </c:pt>
                <c:pt idx="615">
                  <c:v>14.02</c:v>
                </c:pt>
                <c:pt idx="616">
                  <c:v>13.5</c:v>
                </c:pt>
                <c:pt idx="617">
                  <c:v>13.5</c:v>
                </c:pt>
                <c:pt idx="618">
                  <c:v>13.5</c:v>
                </c:pt>
                <c:pt idx="619">
                  <c:v>13.5</c:v>
                </c:pt>
                <c:pt idx="620">
                  <c:v>13.5</c:v>
                </c:pt>
                <c:pt idx="621">
                  <c:v>14.02</c:v>
                </c:pt>
                <c:pt idx="622">
                  <c:v>14</c:v>
                </c:pt>
                <c:pt idx="623">
                  <c:v>14.02</c:v>
                </c:pt>
                <c:pt idx="624">
                  <c:v>14.02</c:v>
                </c:pt>
                <c:pt idx="625">
                  <c:v>14.02</c:v>
                </c:pt>
                <c:pt idx="626">
                  <c:v>14</c:v>
                </c:pt>
                <c:pt idx="627">
                  <c:v>13.2</c:v>
                </c:pt>
                <c:pt idx="628">
                  <c:v>12.5</c:v>
                </c:pt>
                <c:pt idx="629">
                  <c:v>13.2</c:v>
                </c:pt>
                <c:pt idx="630">
                  <c:v>13.2</c:v>
                </c:pt>
                <c:pt idx="631">
                  <c:v>13.2</c:v>
                </c:pt>
                <c:pt idx="632">
                  <c:v>13.2</c:v>
                </c:pt>
                <c:pt idx="633">
                  <c:v>13.2</c:v>
                </c:pt>
                <c:pt idx="634">
                  <c:v>11</c:v>
                </c:pt>
                <c:pt idx="635">
                  <c:v>14.02</c:v>
                </c:pt>
                <c:pt idx="636">
                  <c:v>14.02</c:v>
                </c:pt>
                <c:pt idx="637">
                  <c:v>14</c:v>
                </c:pt>
                <c:pt idx="638">
                  <c:v>14.02</c:v>
                </c:pt>
                <c:pt idx="639">
                  <c:v>14.5</c:v>
                </c:pt>
                <c:pt idx="640">
                  <c:v>14</c:v>
                </c:pt>
                <c:pt idx="641">
                  <c:v>14</c:v>
                </c:pt>
                <c:pt idx="642">
                  <c:v>14</c:v>
                </c:pt>
                <c:pt idx="643">
                  <c:v>14</c:v>
                </c:pt>
                <c:pt idx="644">
                  <c:v>14.5</c:v>
                </c:pt>
                <c:pt idx="645">
                  <c:v>14.5</c:v>
                </c:pt>
                <c:pt idx="646">
                  <c:v>14.5</c:v>
                </c:pt>
                <c:pt idx="647">
                  <c:v>14</c:v>
                </c:pt>
                <c:pt idx="648">
                  <c:v>14</c:v>
                </c:pt>
                <c:pt idx="649">
                  <c:v>14</c:v>
                </c:pt>
                <c:pt idx="650">
                  <c:v>14</c:v>
                </c:pt>
                <c:pt idx="651">
                  <c:v>13.96</c:v>
                </c:pt>
                <c:pt idx="652">
                  <c:v>14</c:v>
                </c:pt>
                <c:pt idx="653">
                  <c:v>12.7</c:v>
                </c:pt>
                <c:pt idx="654">
                  <c:v>12.7</c:v>
                </c:pt>
                <c:pt idx="655">
                  <c:v>12.7</c:v>
                </c:pt>
                <c:pt idx="656">
                  <c:v>14</c:v>
                </c:pt>
                <c:pt idx="657">
                  <c:v>14</c:v>
                </c:pt>
                <c:pt idx="658">
                  <c:v>14</c:v>
                </c:pt>
                <c:pt idx="659">
                  <c:v>14.02</c:v>
                </c:pt>
                <c:pt idx="660">
                  <c:v>14.02</c:v>
                </c:pt>
                <c:pt idx="661">
                  <c:v>14.02</c:v>
                </c:pt>
                <c:pt idx="662">
                  <c:v>14.02</c:v>
                </c:pt>
                <c:pt idx="663">
                  <c:v>14.02</c:v>
                </c:pt>
                <c:pt idx="664">
                  <c:v>14</c:v>
                </c:pt>
                <c:pt idx="665">
                  <c:v>14</c:v>
                </c:pt>
                <c:pt idx="666">
                  <c:v>14</c:v>
                </c:pt>
                <c:pt idx="667">
                  <c:v>14.5</c:v>
                </c:pt>
                <c:pt idx="668">
                  <c:v>14</c:v>
                </c:pt>
                <c:pt idx="669">
                  <c:v>14</c:v>
                </c:pt>
                <c:pt idx="670">
                  <c:v>14</c:v>
                </c:pt>
                <c:pt idx="671">
                  <c:v>14</c:v>
                </c:pt>
                <c:pt idx="672">
                  <c:v>14</c:v>
                </c:pt>
                <c:pt idx="673">
                  <c:v>14</c:v>
                </c:pt>
                <c:pt idx="674">
                  <c:v>14</c:v>
                </c:pt>
                <c:pt idx="675">
                  <c:v>14</c:v>
                </c:pt>
                <c:pt idx="676">
                  <c:v>14</c:v>
                </c:pt>
                <c:pt idx="677">
                  <c:v>14</c:v>
                </c:pt>
                <c:pt idx="678">
                  <c:v>14</c:v>
                </c:pt>
                <c:pt idx="679">
                  <c:v>14</c:v>
                </c:pt>
                <c:pt idx="680">
                  <c:v>14.52</c:v>
                </c:pt>
                <c:pt idx="681">
                  <c:v>14.5</c:v>
                </c:pt>
                <c:pt idx="682">
                  <c:v>14.5</c:v>
                </c:pt>
                <c:pt idx="683">
                  <c:v>14.5</c:v>
                </c:pt>
                <c:pt idx="684">
                  <c:v>14.5</c:v>
                </c:pt>
                <c:pt idx="685">
                  <c:v>14.5</c:v>
                </c:pt>
                <c:pt idx="686">
                  <c:v>14.5</c:v>
                </c:pt>
                <c:pt idx="687">
                  <c:v>14.5</c:v>
                </c:pt>
                <c:pt idx="688">
                  <c:v>14.5</c:v>
                </c:pt>
                <c:pt idx="689">
                  <c:v>14.5</c:v>
                </c:pt>
                <c:pt idx="690">
                  <c:v>14.52</c:v>
                </c:pt>
                <c:pt idx="691">
                  <c:v>14.02</c:v>
                </c:pt>
                <c:pt idx="692">
                  <c:v>14.02</c:v>
                </c:pt>
                <c:pt idx="693">
                  <c:v>14</c:v>
                </c:pt>
                <c:pt idx="694">
                  <c:v>14</c:v>
                </c:pt>
                <c:pt idx="695">
                  <c:v>14</c:v>
                </c:pt>
                <c:pt idx="696">
                  <c:v>14.02</c:v>
                </c:pt>
                <c:pt idx="697">
                  <c:v>13.77</c:v>
                </c:pt>
                <c:pt idx="698">
                  <c:v>13.5</c:v>
                </c:pt>
                <c:pt idx="699">
                  <c:v>12.5</c:v>
                </c:pt>
                <c:pt idx="700">
                  <c:v>13.5</c:v>
                </c:pt>
                <c:pt idx="701">
                  <c:v>13.77</c:v>
                </c:pt>
                <c:pt idx="702">
                  <c:v>13.5</c:v>
                </c:pt>
                <c:pt idx="703">
                  <c:v>14.02</c:v>
                </c:pt>
                <c:pt idx="704">
                  <c:v>14</c:v>
                </c:pt>
                <c:pt idx="705">
                  <c:v>14</c:v>
                </c:pt>
                <c:pt idx="706">
                  <c:v>14.5</c:v>
                </c:pt>
                <c:pt idx="707">
                  <c:v>14.03</c:v>
                </c:pt>
                <c:pt idx="708">
                  <c:v>14</c:v>
                </c:pt>
                <c:pt idx="709">
                  <c:v>14</c:v>
                </c:pt>
                <c:pt idx="710">
                  <c:v>14.02</c:v>
                </c:pt>
                <c:pt idx="711">
                  <c:v>14.5</c:v>
                </c:pt>
                <c:pt idx="712">
                  <c:v>14</c:v>
                </c:pt>
                <c:pt idx="713">
                  <c:v>14.03</c:v>
                </c:pt>
                <c:pt idx="714">
                  <c:v>14.03</c:v>
                </c:pt>
                <c:pt idx="715">
                  <c:v>14.02</c:v>
                </c:pt>
                <c:pt idx="716">
                  <c:v>13.5</c:v>
                </c:pt>
                <c:pt idx="717">
                  <c:v>13.5</c:v>
                </c:pt>
                <c:pt idx="718">
                  <c:v>13.5</c:v>
                </c:pt>
                <c:pt idx="719">
                  <c:v>14.02</c:v>
                </c:pt>
                <c:pt idx="720">
                  <c:v>14.02</c:v>
                </c:pt>
                <c:pt idx="721">
                  <c:v>13.2</c:v>
                </c:pt>
                <c:pt idx="722">
                  <c:v>14</c:v>
                </c:pt>
                <c:pt idx="723">
                  <c:v>14.02</c:v>
                </c:pt>
                <c:pt idx="724">
                  <c:v>14.02</c:v>
                </c:pt>
                <c:pt idx="725">
                  <c:v>14.02</c:v>
                </c:pt>
                <c:pt idx="726">
                  <c:v>14.02</c:v>
                </c:pt>
                <c:pt idx="727">
                  <c:v>14.02</c:v>
                </c:pt>
                <c:pt idx="728">
                  <c:v>14.02</c:v>
                </c:pt>
                <c:pt idx="729">
                  <c:v>14.02</c:v>
                </c:pt>
                <c:pt idx="730">
                  <c:v>14.02</c:v>
                </c:pt>
                <c:pt idx="731">
                  <c:v>14.02</c:v>
                </c:pt>
                <c:pt idx="732">
                  <c:v>14.02</c:v>
                </c:pt>
                <c:pt idx="733">
                  <c:v>14</c:v>
                </c:pt>
                <c:pt idx="734">
                  <c:v>14.02</c:v>
                </c:pt>
                <c:pt idx="735">
                  <c:v>14.02</c:v>
                </c:pt>
                <c:pt idx="736">
                  <c:v>14.52</c:v>
                </c:pt>
                <c:pt idx="737">
                  <c:v>14.04</c:v>
                </c:pt>
                <c:pt idx="738">
                  <c:v>14.5</c:v>
                </c:pt>
                <c:pt idx="739">
                  <c:v>14.5</c:v>
                </c:pt>
                <c:pt idx="740">
                  <c:v>14.5</c:v>
                </c:pt>
                <c:pt idx="741">
                  <c:v>14.5</c:v>
                </c:pt>
                <c:pt idx="742">
                  <c:v>14.5</c:v>
                </c:pt>
                <c:pt idx="743">
                  <c:v>14.5</c:v>
                </c:pt>
                <c:pt idx="744">
                  <c:v>14.04</c:v>
                </c:pt>
                <c:pt idx="745">
                  <c:v>14.04</c:v>
                </c:pt>
                <c:pt idx="746">
                  <c:v>14</c:v>
                </c:pt>
                <c:pt idx="747">
                  <c:v>14.5</c:v>
                </c:pt>
                <c:pt idx="748">
                  <c:v>14.5</c:v>
                </c:pt>
                <c:pt idx="749">
                  <c:v>14.5</c:v>
                </c:pt>
                <c:pt idx="750">
                  <c:v>14</c:v>
                </c:pt>
                <c:pt idx="751">
                  <c:v>14.5</c:v>
                </c:pt>
                <c:pt idx="752">
                  <c:v>14.5</c:v>
                </c:pt>
                <c:pt idx="753">
                  <c:v>14</c:v>
                </c:pt>
                <c:pt idx="754">
                  <c:v>14.5</c:v>
                </c:pt>
                <c:pt idx="755">
                  <c:v>14.5</c:v>
                </c:pt>
                <c:pt idx="756">
                  <c:v>14.5</c:v>
                </c:pt>
                <c:pt idx="757">
                  <c:v>14.5</c:v>
                </c:pt>
                <c:pt idx="758">
                  <c:v>14.5</c:v>
                </c:pt>
                <c:pt idx="759">
                  <c:v>14.5</c:v>
                </c:pt>
                <c:pt idx="760">
                  <c:v>12</c:v>
                </c:pt>
                <c:pt idx="761">
                  <c:v>12</c:v>
                </c:pt>
                <c:pt idx="762">
                  <c:v>14.04</c:v>
                </c:pt>
                <c:pt idx="763">
                  <c:v>14.04</c:v>
                </c:pt>
                <c:pt idx="764">
                  <c:v>14.04</c:v>
                </c:pt>
                <c:pt idx="765">
                  <c:v>15</c:v>
                </c:pt>
                <c:pt idx="766">
                  <c:v>14.5</c:v>
                </c:pt>
                <c:pt idx="767">
                  <c:v>14.5</c:v>
                </c:pt>
                <c:pt idx="768">
                  <c:v>14.5</c:v>
                </c:pt>
                <c:pt idx="769">
                  <c:v>14.5</c:v>
                </c:pt>
                <c:pt idx="770">
                  <c:v>14.5</c:v>
                </c:pt>
                <c:pt idx="771">
                  <c:v>14</c:v>
                </c:pt>
                <c:pt idx="772">
                  <c:v>14</c:v>
                </c:pt>
                <c:pt idx="773">
                  <c:v>14</c:v>
                </c:pt>
                <c:pt idx="774">
                  <c:v>14</c:v>
                </c:pt>
                <c:pt idx="775">
                  <c:v>14.5</c:v>
                </c:pt>
                <c:pt idx="776">
                  <c:v>14.5</c:v>
                </c:pt>
                <c:pt idx="777">
                  <c:v>14.5</c:v>
                </c:pt>
                <c:pt idx="778">
                  <c:v>14.5</c:v>
                </c:pt>
                <c:pt idx="779">
                  <c:v>12</c:v>
                </c:pt>
                <c:pt idx="780">
                  <c:v>14.5</c:v>
                </c:pt>
                <c:pt idx="781">
                  <c:v>14.02</c:v>
                </c:pt>
                <c:pt idx="782">
                  <c:v>14.02</c:v>
                </c:pt>
                <c:pt idx="783">
                  <c:v>14.5</c:v>
                </c:pt>
                <c:pt idx="784">
                  <c:v>14.5</c:v>
                </c:pt>
                <c:pt idx="785">
                  <c:v>11.1</c:v>
                </c:pt>
                <c:pt idx="786">
                  <c:v>14</c:v>
                </c:pt>
                <c:pt idx="787">
                  <c:v>14.5</c:v>
                </c:pt>
                <c:pt idx="788">
                  <c:v>14.5</c:v>
                </c:pt>
                <c:pt idx="789">
                  <c:v>12</c:v>
                </c:pt>
                <c:pt idx="790">
                  <c:v>14.55</c:v>
                </c:pt>
                <c:pt idx="791">
                  <c:v>14.55</c:v>
                </c:pt>
                <c:pt idx="792">
                  <c:v>14.57</c:v>
                </c:pt>
                <c:pt idx="793">
                  <c:v>14.27</c:v>
                </c:pt>
                <c:pt idx="794">
                  <c:v>14</c:v>
                </c:pt>
                <c:pt idx="795">
                  <c:v>14</c:v>
                </c:pt>
                <c:pt idx="796">
                  <c:v>14.3</c:v>
                </c:pt>
                <c:pt idx="797">
                  <c:v>14</c:v>
                </c:pt>
                <c:pt idx="798">
                  <c:v>14.22</c:v>
                </c:pt>
                <c:pt idx="799">
                  <c:v>14.2</c:v>
                </c:pt>
                <c:pt idx="800">
                  <c:v>14.2</c:v>
                </c:pt>
                <c:pt idx="801">
                  <c:v>14.2</c:v>
                </c:pt>
                <c:pt idx="802">
                  <c:v>14.22</c:v>
                </c:pt>
                <c:pt idx="803">
                  <c:v>14.22</c:v>
                </c:pt>
                <c:pt idx="804">
                  <c:v>14.02</c:v>
                </c:pt>
                <c:pt idx="805">
                  <c:v>14.02</c:v>
                </c:pt>
                <c:pt idx="806">
                  <c:v>14.2</c:v>
                </c:pt>
                <c:pt idx="807">
                  <c:v>14.2</c:v>
                </c:pt>
                <c:pt idx="808">
                  <c:v>14.2</c:v>
                </c:pt>
                <c:pt idx="809">
                  <c:v>14.2</c:v>
                </c:pt>
                <c:pt idx="810">
                  <c:v>14.2</c:v>
                </c:pt>
                <c:pt idx="811">
                  <c:v>12.7</c:v>
                </c:pt>
                <c:pt idx="812">
                  <c:v>14.2</c:v>
                </c:pt>
                <c:pt idx="813">
                  <c:v>14.2</c:v>
                </c:pt>
                <c:pt idx="814">
                  <c:v>14.2</c:v>
                </c:pt>
                <c:pt idx="815">
                  <c:v>14.2</c:v>
                </c:pt>
                <c:pt idx="816">
                  <c:v>14.5</c:v>
                </c:pt>
                <c:pt idx="817">
                  <c:v>14.52</c:v>
                </c:pt>
                <c:pt idx="818">
                  <c:v>14.5</c:v>
                </c:pt>
                <c:pt idx="819">
                  <c:v>14.5</c:v>
                </c:pt>
                <c:pt idx="820">
                  <c:v>14.5</c:v>
                </c:pt>
                <c:pt idx="821">
                  <c:v>14.5</c:v>
                </c:pt>
                <c:pt idx="822">
                  <c:v>14.5</c:v>
                </c:pt>
                <c:pt idx="823">
                  <c:v>14.5</c:v>
                </c:pt>
                <c:pt idx="824">
                  <c:v>14.5</c:v>
                </c:pt>
                <c:pt idx="825">
                  <c:v>14.5</c:v>
                </c:pt>
                <c:pt idx="826">
                  <c:v>14.5</c:v>
                </c:pt>
                <c:pt idx="827">
                  <c:v>14.5</c:v>
                </c:pt>
                <c:pt idx="828">
                  <c:v>14.5</c:v>
                </c:pt>
                <c:pt idx="829">
                  <c:v>14.5</c:v>
                </c:pt>
                <c:pt idx="830">
                  <c:v>14</c:v>
                </c:pt>
                <c:pt idx="831">
                  <c:v>14.02</c:v>
                </c:pt>
                <c:pt idx="832">
                  <c:v>14.5</c:v>
                </c:pt>
                <c:pt idx="833">
                  <c:v>14</c:v>
                </c:pt>
                <c:pt idx="834">
                  <c:v>13</c:v>
                </c:pt>
                <c:pt idx="835">
                  <c:v>14.55</c:v>
                </c:pt>
                <c:pt idx="836">
                  <c:v>14.55</c:v>
                </c:pt>
                <c:pt idx="837">
                  <c:v>14.5</c:v>
                </c:pt>
                <c:pt idx="838">
                  <c:v>13</c:v>
                </c:pt>
                <c:pt idx="839">
                  <c:v>14.5</c:v>
                </c:pt>
                <c:pt idx="840">
                  <c:v>14.5</c:v>
                </c:pt>
                <c:pt idx="841">
                  <c:v>14.5</c:v>
                </c:pt>
                <c:pt idx="842">
                  <c:v>14.5</c:v>
                </c:pt>
                <c:pt idx="843">
                  <c:v>14.5</c:v>
                </c:pt>
                <c:pt idx="844">
                  <c:v>15.5</c:v>
                </c:pt>
                <c:pt idx="845">
                  <c:v>14.2</c:v>
                </c:pt>
                <c:pt idx="846">
                  <c:v>14.2</c:v>
                </c:pt>
                <c:pt idx="847">
                  <c:v>14.2</c:v>
                </c:pt>
                <c:pt idx="848">
                  <c:v>14.2</c:v>
                </c:pt>
                <c:pt idx="849">
                  <c:v>14.2</c:v>
                </c:pt>
                <c:pt idx="850">
                  <c:v>14.2</c:v>
                </c:pt>
                <c:pt idx="851">
                  <c:v>14.2</c:v>
                </c:pt>
                <c:pt idx="852">
                  <c:v>14.2</c:v>
                </c:pt>
                <c:pt idx="853">
                  <c:v>14.91</c:v>
                </c:pt>
                <c:pt idx="854">
                  <c:v>14.2</c:v>
                </c:pt>
                <c:pt idx="855">
                  <c:v>13.5</c:v>
                </c:pt>
                <c:pt idx="856">
                  <c:v>13.5</c:v>
                </c:pt>
                <c:pt idx="857">
                  <c:v>14.5</c:v>
                </c:pt>
                <c:pt idx="858">
                  <c:v>14.5</c:v>
                </c:pt>
                <c:pt idx="859">
                  <c:v>13.5</c:v>
                </c:pt>
                <c:pt idx="860">
                  <c:v>13.5</c:v>
                </c:pt>
                <c:pt idx="861">
                  <c:v>13.5</c:v>
                </c:pt>
                <c:pt idx="862">
                  <c:v>14.5</c:v>
                </c:pt>
                <c:pt idx="863">
                  <c:v>14.52</c:v>
                </c:pt>
                <c:pt idx="864">
                  <c:v>14.5</c:v>
                </c:pt>
                <c:pt idx="865">
                  <c:v>15</c:v>
                </c:pt>
                <c:pt idx="866">
                  <c:v>15</c:v>
                </c:pt>
                <c:pt idx="867">
                  <c:v>15</c:v>
                </c:pt>
                <c:pt idx="868">
                  <c:v>15.03</c:v>
                </c:pt>
                <c:pt idx="869">
                  <c:v>12.5</c:v>
                </c:pt>
                <c:pt idx="870">
                  <c:v>12.5</c:v>
                </c:pt>
                <c:pt idx="871">
                  <c:v>14.5</c:v>
                </c:pt>
                <c:pt idx="872">
                  <c:v>14.5</c:v>
                </c:pt>
                <c:pt idx="873">
                  <c:v>14.5</c:v>
                </c:pt>
                <c:pt idx="874">
                  <c:v>14.5</c:v>
                </c:pt>
                <c:pt idx="875">
                  <c:v>14.5</c:v>
                </c:pt>
                <c:pt idx="876">
                  <c:v>14.5</c:v>
                </c:pt>
                <c:pt idx="877">
                  <c:v>14.52</c:v>
                </c:pt>
                <c:pt idx="878">
                  <c:v>14.5</c:v>
                </c:pt>
                <c:pt idx="879">
                  <c:v>14.52</c:v>
                </c:pt>
                <c:pt idx="880">
                  <c:v>14.52</c:v>
                </c:pt>
                <c:pt idx="881">
                  <c:v>14.5</c:v>
                </c:pt>
                <c:pt idx="882">
                  <c:v>14.5</c:v>
                </c:pt>
                <c:pt idx="883">
                  <c:v>14.5</c:v>
                </c:pt>
                <c:pt idx="884">
                  <c:v>14.5</c:v>
                </c:pt>
                <c:pt idx="885">
                  <c:v>15</c:v>
                </c:pt>
                <c:pt idx="886">
                  <c:v>14.5</c:v>
                </c:pt>
                <c:pt idx="887">
                  <c:v>14.5</c:v>
                </c:pt>
                <c:pt idx="888">
                  <c:v>14.5</c:v>
                </c:pt>
                <c:pt idx="889">
                  <c:v>14.2</c:v>
                </c:pt>
                <c:pt idx="890">
                  <c:v>13.5</c:v>
                </c:pt>
                <c:pt idx="891">
                  <c:v>13.5</c:v>
                </c:pt>
                <c:pt idx="892">
                  <c:v>13.5</c:v>
                </c:pt>
                <c:pt idx="893">
                  <c:v>14</c:v>
                </c:pt>
                <c:pt idx="894">
                  <c:v>14.5</c:v>
                </c:pt>
                <c:pt idx="895">
                  <c:v>14.5</c:v>
                </c:pt>
                <c:pt idx="896">
                  <c:v>14.5</c:v>
                </c:pt>
                <c:pt idx="897">
                  <c:v>14.5</c:v>
                </c:pt>
                <c:pt idx="898">
                  <c:v>14.5</c:v>
                </c:pt>
                <c:pt idx="899">
                  <c:v>14.5</c:v>
                </c:pt>
                <c:pt idx="900">
                  <c:v>14.5</c:v>
                </c:pt>
                <c:pt idx="901">
                  <c:v>14.5</c:v>
                </c:pt>
                <c:pt idx="902">
                  <c:v>14.5</c:v>
                </c:pt>
                <c:pt idx="903">
                  <c:v>14.5</c:v>
                </c:pt>
                <c:pt idx="904">
                  <c:v>14.5</c:v>
                </c:pt>
                <c:pt idx="905">
                  <c:v>14.5</c:v>
                </c:pt>
                <c:pt idx="906">
                  <c:v>14.5</c:v>
                </c:pt>
                <c:pt idx="907">
                  <c:v>14.5</c:v>
                </c:pt>
                <c:pt idx="908">
                  <c:v>14.5</c:v>
                </c:pt>
                <c:pt idx="909">
                  <c:v>14.5</c:v>
                </c:pt>
                <c:pt idx="910">
                  <c:v>14.5</c:v>
                </c:pt>
                <c:pt idx="911">
                  <c:v>14.53</c:v>
                </c:pt>
                <c:pt idx="912">
                  <c:v>14.5</c:v>
                </c:pt>
                <c:pt idx="913">
                  <c:v>14.5</c:v>
                </c:pt>
                <c:pt idx="914">
                  <c:v>14.5</c:v>
                </c:pt>
                <c:pt idx="915">
                  <c:v>14.5</c:v>
                </c:pt>
                <c:pt idx="916">
                  <c:v>14.5</c:v>
                </c:pt>
                <c:pt idx="917">
                  <c:v>14.5</c:v>
                </c:pt>
                <c:pt idx="918">
                  <c:v>14.5</c:v>
                </c:pt>
                <c:pt idx="919">
                  <c:v>14.5</c:v>
                </c:pt>
                <c:pt idx="920">
                  <c:v>14.5</c:v>
                </c:pt>
                <c:pt idx="921">
                  <c:v>14.5</c:v>
                </c:pt>
                <c:pt idx="922">
                  <c:v>14.5</c:v>
                </c:pt>
                <c:pt idx="923">
                  <c:v>14.5</c:v>
                </c:pt>
                <c:pt idx="924">
                  <c:v>14.5</c:v>
                </c:pt>
                <c:pt idx="925">
                  <c:v>14.54</c:v>
                </c:pt>
                <c:pt idx="926">
                  <c:v>14.54</c:v>
                </c:pt>
                <c:pt idx="927">
                  <c:v>14.52</c:v>
                </c:pt>
                <c:pt idx="928">
                  <c:v>14.5</c:v>
                </c:pt>
                <c:pt idx="929">
                  <c:v>14.5</c:v>
                </c:pt>
                <c:pt idx="930">
                  <c:v>14.54</c:v>
                </c:pt>
                <c:pt idx="931">
                  <c:v>14.5</c:v>
                </c:pt>
                <c:pt idx="932">
                  <c:v>14.54</c:v>
                </c:pt>
                <c:pt idx="933">
                  <c:v>14.54</c:v>
                </c:pt>
                <c:pt idx="934">
                  <c:v>14.5</c:v>
                </c:pt>
                <c:pt idx="935">
                  <c:v>14.5</c:v>
                </c:pt>
                <c:pt idx="936">
                  <c:v>14.5</c:v>
                </c:pt>
                <c:pt idx="937">
                  <c:v>14.5</c:v>
                </c:pt>
                <c:pt idx="938">
                  <c:v>14.5</c:v>
                </c:pt>
                <c:pt idx="939">
                  <c:v>14.5</c:v>
                </c:pt>
                <c:pt idx="940">
                  <c:v>14.5</c:v>
                </c:pt>
                <c:pt idx="941">
                  <c:v>14.5</c:v>
                </c:pt>
                <c:pt idx="942">
                  <c:v>14.5</c:v>
                </c:pt>
                <c:pt idx="943">
                  <c:v>14.5</c:v>
                </c:pt>
                <c:pt idx="944">
                  <c:v>14.5</c:v>
                </c:pt>
                <c:pt idx="945">
                  <c:v>14.52</c:v>
                </c:pt>
                <c:pt idx="946">
                  <c:v>14.48</c:v>
                </c:pt>
                <c:pt idx="947">
                  <c:v>14.5</c:v>
                </c:pt>
                <c:pt idx="948">
                  <c:v>14.03</c:v>
                </c:pt>
                <c:pt idx="949">
                  <c:v>14</c:v>
                </c:pt>
                <c:pt idx="950">
                  <c:v>14.06</c:v>
                </c:pt>
                <c:pt idx="951">
                  <c:v>14.04</c:v>
                </c:pt>
                <c:pt idx="952">
                  <c:v>14.04</c:v>
                </c:pt>
                <c:pt idx="953">
                  <c:v>14.04</c:v>
                </c:pt>
                <c:pt idx="954">
                  <c:v>14.04</c:v>
                </c:pt>
                <c:pt idx="955">
                  <c:v>14.04</c:v>
                </c:pt>
                <c:pt idx="956">
                  <c:v>14.5</c:v>
                </c:pt>
                <c:pt idx="957">
                  <c:v>14.5</c:v>
                </c:pt>
                <c:pt idx="958">
                  <c:v>14.5</c:v>
                </c:pt>
                <c:pt idx="959">
                  <c:v>14.5</c:v>
                </c:pt>
                <c:pt idx="960">
                  <c:v>14.5</c:v>
                </c:pt>
                <c:pt idx="961">
                  <c:v>13</c:v>
                </c:pt>
                <c:pt idx="962">
                  <c:v>13</c:v>
                </c:pt>
                <c:pt idx="963">
                  <c:v>13</c:v>
                </c:pt>
                <c:pt idx="964">
                  <c:v>14.52</c:v>
                </c:pt>
                <c:pt idx="965">
                  <c:v>14.52</c:v>
                </c:pt>
                <c:pt idx="966">
                  <c:v>14.52</c:v>
                </c:pt>
                <c:pt idx="967">
                  <c:v>14.5</c:v>
                </c:pt>
                <c:pt idx="968">
                  <c:v>14.5</c:v>
                </c:pt>
                <c:pt idx="969">
                  <c:v>14.5</c:v>
                </c:pt>
                <c:pt idx="970">
                  <c:v>14.5</c:v>
                </c:pt>
                <c:pt idx="971">
                  <c:v>14.5</c:v>
                </c:pt>
                <c:pt idx="972">
                  <c:v>14.5</c:v>
                </c:pt>
                <c:pt idx="973">
                  <c:v>14.5</c:v>
                </c:pt>
                <c:pt idx="974">
                  <c:v>14.5</c:v>
                </c:pt>
                <c:pt idx="975">
                  <c:v>14.5</c:v>
                </c:pt>
                <c:pt idx="976">
                  <c:v>14.5</c:v>
                </c:pt>
                <c:pt idx="977">
                  <c:v>14.5</c:v>
                </c:pt>
                <c:pt idx="978">
                  <c:v>14.5</c:v>
                </c:pt>
                <c:pt idx="979">
                  <c:v>14.5</c:v>
                </c:pt>
                <c:pt idx="980">
                  <c:v>14.5</c:v>
                </c:pt>
                <c:pt idx="981">
                  <c:v>14.5</c:v>
                </c:pt>
                <c:pt idx="982">
                  <c:v>15</c:v>
                </c:pt>
                <c:pt idx="983">
                  <c:v>13</c:v>
                </c:pt>
                <c:pt idx="984">
                  <c:v>14</c:v>
                </c:pt>
                <c:pt idx="985">
                  <c:v>14</c:v>
                </c:pt>
                <c:pt idx="986">
                  <c:v>14.2</c:v>
                </c:pt>
                <c:pt idx="987">
                  <c:v>14.2</c:v>
                </c:pt>
                <c:pt idx="988">
                  <c:v>14.2</c:v>
                </c:pt>
                <c:pt idx="989">
                  <c:v>14.2</c:v>
                </c:pt>
                <c:pt idx="990">
                  <c:v>14.2</c:v>
                </c:pt>
                <c:pt idx="991">
                  <c:v>14.2</c:v>
                </c:pt>
                <c:pt idx="992">
                  <c:v>14.2</c:v>
                </c:pt>
                <c:pt idx="993">
                  <c:v>14.2</c:v>
                </c:pt>
                <c:pt idx="994">
                  <c:v>14.2</c:v>
                </c:pt>
                <c:pt idx="995">
                  <c:v>14.2</c:v>
                </c:pt>
                <c:pt idx="996">
                  <c:v>14.2</c:v>
                </c:pt>
                <c:pt idx="997">
                  <c:v>14.2</c:v>
                </c:pt>
                <c:pt idx="998">
                  <c:v>14.2</c:v>
                </c:pt>
                <c:pt idx="999">
                  <c:v>14.2</c:v>
                </c:pt>
                <c:pt idx="1000">
                  <c:v>14.2</c:v>
                </c:pt>
                <c:pt idx="1001">
                  <c:v>14.2</c:v>
                </c:pt>
                <c:pt idx="1002">
                  <c:v>14.2</c:v>
                </c:pt>
                <c:pt idx="1003">
                  <c:v>14.5</c:v>
                </c:pt>
                <c:pt idx="1004">
                  <c:v>14</c:v>
                </c:pt>
                <c:pt idx="1005">
                  <c:v>14.5</c:v>
                </c:pt>
                <c:pt idx="1006">
                  <c:v>14</c:v>
                </c:pt>
                <c:pt idx="1007">
                  <c:v>14.5</c:v>
                </c:pt>
                <c:pt idx="1008">
                  <c:v>14.5</c:v>
                </c:pt>
                <c:pt idx="1009">
                  <c:v>14.5</c:v>
                </c:pt>
                <c:pt idx="1010">
                  <c:v>14.5</c:v>
                </c:pt>
                <c:pt idx="1011">
                  <c:v>14.5</c:v>
                </c:pt>
                <c:pt idx="1012">
                  <c:v>14.5</c:v>
                </c:pt>
                <c:pt idx="1013">
                  <c:v>14.5</c:v>
                </c:pt>
                <c:pt idx="1014">
                  <c:v>14.52</c:v>
                </c:pt>
                <c:pt idx="1015">
                  <c:v>14.5</c:v>
                </c:pt>
                <c:pt idx="1016">
                  <c:v>14.61</c:v>
                </c:pt>
                <c:pt idx="1017">
                  <c:v>14.61</c:v>
                </c:pt>
                <c:pt idx="1018">
                  <c:v>14.5</c:v>
                </c:pt>
                <c:pt idx="1019">
                  <c:v>13</c:v>
                </c:pt>
                <c:pt idx="1020">
                  <c:v>14.61</c:v>
                </c:pt>
                <c:pt idx="1021">
                  <c:v>14.5</c:v>
                </c:pt>
                <c:pt idx="1022">
                  <c:v>14.5</c:v>
                </c:pt>
                <c:pt idx="1023">
                  <c:v>14.3</c:v>
                </c:pt>
                <c:pt idx="1024">
                  <c:v>14.2</c:v>
                </c:pt>
                <c:pt idx="1025">
                  <c:v>14.2</c:v>
                </c:pt>
                <c:pt idx="1026">
                  <c:v>14.65</c:v>
                </c:pt>
                <c:pt idx="1027">
                  <c:v>14.65</c:v>
                </c:pt>
                <c:pt idx="1028">
                  <c:v>14.65</c:v>
                </c:pt>
                <c:pt idx="1029">
                  <c:v>14.65</c:v>
                </c:pt>
                <c:pt idx="1030">
                  <c:v>14.65</c:v>
                </c:pt>
                <c:pt idx="1031">
                  <c:v>14.65</c:v>
                </c:pt>
                <c:pt idx="1032">
                  <c:v>14.53</c:v>
                </c:pt>
                <c:pt idx="1033">
                  <c:v>14.53</c:v>
                </c:pt>
                <c:pt idx="1034">
                  <c:v>14.53</c:v>
                </c:pt>
                <c:pt idx="1035">
                  <c:v>14.53</c:v>
                </c:pt>
                <c:pt idx="1036">
                  <c:v>14.5</c:v>
                </c:pt>
                <c:pt idx="1037">
                  <c:v>14.5</c:v>
                </c:pt>
                <c:pt idx="1038">
                  <c:v>14.5</c:v>
                </c:pt>
                <c:pt idx="1039">
                  <c:v>14.5</c:v>
                </c:pt>
                <c:pt idx="1040">
                  <c:v>14.53</c:v>
                </c:pt>
                <c:pt idx="1041">
                  <c:v>14.53</c:v>
                </c:pt>
                <c:pt idx="1042">
                  <c:v>14.53</c:v>
                </c:pt>
                <c:pt idx="1043">
                  <c:v>14.61</c:v>
                </c:pt>
                <c:pt idx="1044">
                  <c:v>14.61</c:v>
                </c:pt>
                <c:pt idx="1045">
                  <c:v>14.5</c:v>
                </c:pt>
                <c:pt idx="1046">
                  <c:v>14.61</c:v>
                </c:pt>
                <c:pt idx="1047">
                  <c:v>14.5</c:v>
                </c:pt>
                <c:pt idx="1048">
                  <c:v>14.5</c:v>
                </c:pt>
                <c:pt idx="1049">
                  <c:v>14.03</c:v>
                </c:pt>
                <c:pt idx="1050">
                  <c:v>14.5</c:v>
                </c:pt>
                <c:pt idx="1051">
                  <c:v>14.5</c:v>
                </c:pt>
                <c:pt idx="1052">
                  <c:v>14.5</c:v>
                </c:pt>
                <c:pt idx="1053">
                  <c:v>14.5</c:v>
                </c:pt>
                <c:pt idx="1054">
                  <c:v>14.5</c:v>
                </c:pt>
                <c:pt idx="1055">
                  <c:v>14.5</c:v>
                </c:pt>
                <c:pt idx="1056">
                  <c:v>14.5</c:v>
                </c:pt>
                <c:pt idx="1057">
                  <c:v>14.04</c:v>
                </c:pt>
                <c:pt idx="1058">
                  <c:v>14.06</c:v>
                </c:pt>
                <c:pt idx="1059">
                  <c:v>14.65</c:v>
                </c:pt>
                <c:pt idx="1060">
                  <c:v>13.5</c:v>
                </c:pt>
                <c:pt idx="1061">
                  <c:v>13</c:v>
                </c:pt>
                <c:pt idx="1062">
                  <c:v>14.5</c:v>
                </c:pt>
                <c:pt idx="1063">
                  <c:v>13.5</c:v>
                </c:pt>
                <c:pt idx="1064">
                  <c:v>14.5</c:v>
                </c:pt>
                <c:pt idx="1065">
                  <c:v>14.6</c:v>
                </c:pt>
                <c:pt idx="1066">
                  <c:v>14.61</c:v>
                </c:pt>
                <c:pt idx="1067">
                  <c:v>14.61</c:v>
                </c:pt>
                <c:pt idx="1068">
                  <c:v>14.61</c:v>
                </c:pt>
                <c:pt idx="1069">
                  <c:v>14.6</c:v>
                </c:pt>
                <c:pt idx="1070">
                  <c:v>14.5</c:v>
                </c:pt>
                <c:pt idx="1071">
                  <c:v>14.61</c:v>
                </c:pt>
                <c:pt idx="1072">
                  <c:v>14.61</c:v>
                </c:pt>
                <c:pt idx="1073">
                  <c:v>14.61</c:v>
                </c:pt>
                <c:pt idx="1074">
                  <c:v>14.61</c:v>
                </c:pt>
                <c:pt idx="1075">
                  <c:v>14.61</c:v>
                </c:pt>
                <c:pt idx="1076">
                  <c:v>14.61</c:v>
                </c:pt>
                <c:pt idx="1077">
                  <c:v>14.61</c:v>
                </c:pt>
                <c:pt idx="1078">
                  <c:v>14.5</c:v>
                </c:pt>
                <c:pt idx="1079">
                  <c:v>14.52</c:v>
                </c:pt>
                <c:pt idx="1080">
                  <c:v>14.5</c:v>
                </c:pt>
                <c:pt idx="1081">
                  <c:v>14.52</c:v>
                </c:pt>
                <c:pt idx="1082">
                  <c:v>14.5</c:v>
                </c:pt>
                <c:pt idx="1083">
                  <c:v>14</c:v>
                </c:pt>
                <c:pt idx="1084">
                  <c:v>14</c:v>
                </c:pt>
                <c:pt idx="1085">
                  <c:v>14.2</c:v>
                </c:pt>
                <c:pt idx="1086">
                  <c:v>14.2</c:v>
                </c:pt>
                <c:pt idx="1087">
                  <c:v>14.2</c:v>
                </c:pt>
                <c:pt idx="1088">
                  <c:v>15</c:v>
                </c:pt>
                <c:pt idx="1089">
                  <c:v>14.5</c:v>
                </c:pt>
                <c:pt idx="1090">
                  <c:v>14.5</c:v>
                </c:pt>
                <c:pt idx="1091">
                  <c:v>14.5</c:v>
                </c:pt>
                <c:pt idx="1092">
                  <c:v>13</c:v>
                </c:pt>
                <c:pt idx="1093">
                  <c:v>14.5</c:v>
                </c:pt>
                <c:pt idx="1094">
                  <c:v>13</c:v>
                </c:pt>
                <c:pt idx="1095">
                  <c:v>14.5</c:v>
                </c:pt>
                <c:pt idx="1096">
                  <c:v>14.5</c:v>
                </c:pt>
                <c:pt idx="1097">
                  <c:v>14.5</c:v>
                </c:pt>
                <c:pt idx="1098">
                  <c:v>14.5</c:v>
                </c:pt>
                <c:pt idx="1099">
                  <c:v>14.65</c:v>
                </c:pt>
                <c:pt idx="1100">
                  <c:v>14.5</c:v>
                </c:pt>
                <c:pt idx="1101">
                  <c:v>12.5</c:v>
                </c:pt>
                <c:pt idx="1102">
                  <c:v>14.5</c:v>
                </c:pt>
                <c:pt idx="1103">
                  <c:v>14</c:v>
                </c:pt>
                <c:pt idx="1104">
                  <c:v>14.5</c:v>
                </c:pt>
                <c:pt idx="1105">
                  <c:v>14.5</c:v>
                </c:pt>
                <c:pt idx="1106">
                  <c:v>14.5</c:v>
                </c:pt>
                <c:pt idx="1107">
                  <c:v>14.5</c:v>
                </c:pt>
                <c:pt idx="1108">
                  <c:v>15</c:v>
                </c:pt>
                <c:pt idx="1109">
                  <c:v>14.5</c:v>
                </c:pt>
                <c:pt idx="1110">
                  <c:v>12.5</c:v>
                </c:pt>
                <c:pt idx="1111">
                  <c:v>12.5</c:v>
                </c:pt>
                <c:pt idx="1112">
                  <c:v>12.5</c:v>
                </c:pt>
                <c:pt idx="1113">
                  <c:v>14.5</c:v>
                </c:pt>
                <c:pt idx="1114">
                  <c:v>14.52</c:v>
                </c:pt>
                <c:pt idx="1115">
                  <c:v>14.52</c:v>
                </c:pt>
                <c:pt idx="1116">
                  <c:v>14.52</c:v>
                </c:pt>
                <c:pt idx="1117">
                  <c:v>15</c:v>
                </c:pt>
                <c:pt idx="1118">
                  <c:v>15</c:v>
                </c:pt>
                <c:pt idx="1119">
                  <c:v>15</c:v>
                </c:pt>
                <c:pt idx="1120">
                  <c:v>15</c:v>
                </c:pt>
                <c:pt idx="1121">
                  <c:v>14.5</c:v>
                </c:pt>
                <c:pt idx="1122">
                  <c:v>14.5</c:v>
                </c:pt>
                <c:pt idx="1123">
                  <c:v>14.04</c:v>
                </c:pt>
                <c:pt idx="1124">
                  <c:v>14.04</c:v>
                </c:pt>
                <c:pt idx="1125">
                  <c:v>14.5</c:v>
                </c:pt>
                <c:pt idx="1126">
                  <c:v>14.5</c:v>
                </c:pt>
                <c:pt idx="1127">
                  <c:v>14.5</c:v>
                </c:pt>
                <c:pt idx="1128">
                  <c:v>14.5</c:v>
                </c:pt>
                <c:pt idx="1129">
                  <c:v>15.13</c:v>
                </c:pt>
                <c:pt idx="1130">
                  <c:v>15.5</c:v>
                </c:pt>
                <c:pt idx="1131">
                  <c:v>15</c:v>
                </c:pt>
                <c:pt idx="1132">
                  <c:v>15</c:v>
                </c:pt>
                <c:pt idx="1133">
                  <c:v>15</c:v>
                </c:pt>
                <c:pt idx="1134">
                  <c:v>15.5</c:v>
                </c:pt>
                <c:pt idx="1135">
                  <c:v>15.5</c:v>
                </c:pt>
                <c:pt idx="1136">
                  <c:v>15.1</c:v>
                </c:pt>
                <c:pt idx="1137">
                  <c:v>15</c:v>
                </c:pt>
                <c:pt idx="1138">
                  <c:v>15.1</c:v>
                </c:pt>
                <c:pt idx="1139">
                  <c:v>15</c:v>
                </c:pt>
                <c:pt idx="1140">
                  <c:v>14.8</c:v>
                </c:pt>
                <c:pt idx="1141">
                  <c:v>13</c:v>
                </c:pt>
                <c:pt idx="1142">
                  <c:v>15.5</c:v>
                </c:pt>
                <c:pt idx="1143">
                  <c:v>13</c:v>
                </c:pt>
                <c:pt idx="1144">
                  <c:v>13</c:v>
                </c:pt>
                <c:pt idx="1145">
                  <c:v>13</c:v>
                </c:pt>
                <c:pt idx="1146">
                  <c:v>14.8</c:v>
                </c:pt>
                <c:pt idx="1147">
                  <c:v>15</c:v>
                </c:pt>
                <c:pt idx="1148">
                  <c:v>14.5</c:v>
                </c:pt>
                <c:pt idx="1149">
                  <c:v>14</c:v>
                </c:pt>
                <c:pt idx="1150">
                  <c:v>14</c:v>
                </c:pt>
                <c:pt idx="1151">
                  <c:v>14.5</c:v>
                </c:pt>
                <c:pt idx="1152">
                  <c:v>14.8</c:v>
                </c:pt>
                <c:pt idx="1153">
                  <c:v>14.5</c:v>
                </c:pt>
                <c:pt idx="1154">
                  <c:v>14.5</c:v>
                </c:pt>
                <c:pt idx="1155">
                  <c:v>14.5</c:v>
                </c:pt>
                <c:pt idx="1156">
                  <c:v>14.5</c:v>
                </c:pt>
                <c:pt idx="1157">
                  <c:v>14.5</c:v>
                </c:pt>
                <c:pt idx="1158">
                  <c:v>14.5</c:v>
                </c:pt>
                <c:pt idx="1159">
                  <c:v>14.5</c:v>
                </c:pt>
                <c:pt idx="1160">
                  <c:v>14.5</c:v>
                </c:pt>
                <c:pt idx="1161">
                  <c:v>14.5</c:v>
                </c:pt>
                <c:pt idx="1162">
                  <c:v>14.5</c:v>
                </c:pt>
                <c:pt idx="1163">
                  <c:v>20.399999999999999</c:v>
                </c:pt>
                <c:pt idx="1164">
                  <c:v>15</c:v>
                </c:pt>
                <c:pt idx="1165">
                  <c:v>14.5</c:v>
                </c:pt>
                <c:pt idx="1166">
                  <c:v>14.5</c:v>
                </c:pt>
                <c:pt idx="1167">
                  <c:v>14.5</c:v>
                </c:pt>
                <c:pt idx="1168">
                  <c:v>14.5</c:v>
                </c:pt>
                <c:pt idx="1169">
                  <c:v>20.34</c:v>
                </c:pt>
                <c:pt idx="1170">
                  <c:v>14.5</c:v>
                </c:pt>
                <c:pt idx="1171">
                  <c:v>14.5</c:v>
                </c:pt>
                <c:pt idx="1172">
                  <c:v>15.02</c:v>
                </c:pt>
                <c:pt idx="1173">
                  <c:v>15.02</c:v>
                </c:pt>
                <c:pt idx="1174">
                  <c:v>15</c:v>
                </c:pt>
                <c:pt idx="1175">
                  <c:v>15.02</c:v>
                </c:pt>
                <c:pt idx="1176">
                  <c:v>14.5</c:v>
                </c:pt>
                <c:pt idx="1177">
                  <c:v>14.52</c:v>
                </c:pt>
                <c:pt idx="1178">
                  <c:v>14.5</c:v>
                </c:pt>
                <c:pt idx="1179">
                  <c:v>14.52</c:v>
                </c:pt>
                <c:pt idx="1180">
                  <c:v>14.5</c:v>
                </c:pt>
                <c:pt idx="1181">
                  <c:v>15</c:v>
                </c:pt>
                <c:pt idx="1182">
                  <c:v>15</c:v>
                </c:pt>
                <c:pt idx="1183">
                  <c:v>15</c:v>
                </c:pt>
                <c:pt idx="1184">
                  <c:v>15</c:v>
                </c:pt>
                <c:pt idx="1185">
                  <c:v>15</c:v>
                </c:pt>
                <c:pt idx="1186">
                  <c:v>15.5</c:v>
                </c:pt>
                <c:pt idx="1187">
                  <c:v>15</c:v>
                </c:pt>
                <c:pt idx="1188">
                  <c:v>15.5</c:v>
                </c:pt>
                <c:pt idx="1189">
                  <c:v>15</c:v>
                </c:pt>
                <c:pt idx="1190">
                  <c:v>15</c:v>
                </c:pt>
                <c:pt idx="1191">
                  <c:v>15</c:v>
                </c:pt>
                <c:pt idx="1192">
                  <c:v>15</c:v>
                </c:pt>
                <c:pt idx="1193">
                  <c:v>15.03</c:v>
                </c:pt>
                <c:pt idx="1194">
                  <c:v>15.03</c:v>
                </c:pt>
                <c:pt idx="1195">
                  <c:v>15.03</c:v>
                </c:pt>
                <c:pt idx="1196">
                  <c:v>15</c:v>
                </c:pt>
                <c:pt idx="1197">
                  <c:v>15.03</c:v>
                </c:pt>
                <c:pt idx="1198">
                  <c:v>14.03</c:v>
                </c:pt>
                <c:pt idx="1199">
                  <c:v>14.03</c:v>
                </c:pt>
                <c:pt idx="1200">
                  <c:v>14</c:v>
                </c:pt>
                <c:pt idx="1201">
                  <c:v>14</c:v>
                </c:pt>
                <c:pt idx="1202">
                  <c:v>14.5</c:v>
                </c:pt>
                <c:pt idx="1203">
                  <c:v>15</c:v>
                </c:pt>
                <c:pt idx="1204">
                  <c:v>15</c:v>
                </c:pt>
                <c:pt idx="1205">
                  <c:v>15</c:v>
                </c:pt>
                <c:pt idx="1206">
                  <c:v>15.5</c:v>
                </c:pt>
                <c:pt idx="1207">
                  <c:v>15.5</c:v>
                </c:pt>
                <c:pt idx="1208">
                  <c:v>15.5</c:v>
                </c:pt>
                <c:pt idx="1209">
                  <c:v>14</c:v>
                </c:pt>
                <c:pt idx="1210">
                  <c:v>14</c:v>
                </c:pt>
                <c:pt idx="1211">
                  <c:v>14</c:v>
                </c:pt>
                <c:pt idx="1212">
                  <c:v>14</c:v>
                </c:pt>
                <c:pt idx="1213">
                  <c:v>14</c:v>
                </c:pt>
                <c:pt idx="1214">
                  <c:v>14</c:v>
                </c:pt>
                <c:pt idx="1215">
                  <c:v>14</c:v>
                </c:pt>
                <c:pt idx="1216">
                  <c:v>14</c:v>
                </c:pt>
                <c:pt idx="1217">
                  <c:v>14.5</c:v>
                </c:pt>
                <c:pt idx="1218">
                  <c:v>14.5</c:v>
                </c:pt>
                <c:pt idx="1219">
                  <c:v>15.02</c:v>
                </c:pt>
                <c:pt idx="1220">
                  <c:v>14.5</c:v>
                </c:pt>
                <c:pt idx="1221">
                  <c:v>15</c:v>
                </c:pt>
                <c:pt idx="1222">
                  <c:v>14.5</c:v>
                </c:pt>
                <c:pt idx="1223">
                  <c:v>14.5</c:v>
                </c:pt>
                <c:pt idx="1224">
                  <c:v>13.6</c:v>
                </c:pt>
                <c:pt idx="1225">
                  <c:v>13.6</c:v>
                </c:pt>
                <c:pt idx="1226">
                  <c:v>14.5</c:v>
                </c:pt>
                <c:pt idx="1227">
                  <c:v>15.5</c:v>
                </c:pt>
                <c:pt idx="1228">
                  <c:v>15.52</c:v>
                </c:pt>
                <c:pt idx="1229">
                  <c:v>14.5</c:v>
                </c:pt>
                <c:pt idx="1230">
                  <c:v>15.5</c:v>
                </c:pt>
                <c:pt idx="1231">
                  <c:v>15.22</c:v>
                </c:pt>
                <c:pt idx="1232">
                  <c:v>15.22</c:v>
                </c:pt>
                <c:pt idx="1233">
                  <c:v>15.22</c:v>
                </c:pt>
                <c:pt idx="1234">
                  <c:v>15.22</c:v>
                </c:pt>
                <c:pt idx="1235">
                  <c:v>15.2</c:v>
                </c:pt>
                <c:pt idx="1236">
                  <c:v>15</c:v>
                </c:pt>
                <c:pt idx="1237">
                  <c:v>15</c:v>
                </c:pt>
                <c:pt idx="1238">
                  <c:v>14.52</c:v>
                </c:pt>
                <c:pt idx="1239">
                  <c:v>13</c:v>
                </c:pt>
                <c:pt idx="1240">
                  <c:v>14.53</c:v>
                </c:pt>
                <c:pt idx="1241">
                  <c:v>14.52</c:v>
                </c:pt>
                <c:pt idx="1242">
                  <c:v>14.5</c:v>
                </c:pt>
                <c:pt idx="1243">
                  <c:v>14.5</c:v>
                </c:pt>
                <c:pt idx="1244">
                  <c:v>14.5</c:v>
                </c:pt>
                <c:pt idx="1245">
                  <c:v>14.5</c:v>
                </c:pt>
                <c:pt idx="1246">
                  <c:v>15</c:v>
                </c:pt>
                <c:pt idx="1247">
                  <c:v>13</c:v>
                </c:pt>
                <c:pt idx="1248">
                  <c:v>13</c:v>
                </c:pt>
                <c:pt idx="1249">
                  <c:v>15</c:v>
                </c:pt>
                <c:pt idx="1250">
                  <c:v>14.5</c:v>
                </c:pt>
                <c:pt idx="1251">
                  <c:v>15.52</c:v>
                </c:pt>
                <c:pt idx="1252">
                  <c:v>14.5</c:v>
                </c:pt>
                <c:pt idx="1253">
                  <c:v>15.52</c:v>
                </c:pt>
                <c:pt idx="1254">
                  <c:v>14.5</c:v>
                </c:pt>
                <c:pt idx="1255">
                  <c:v>13</c:v>
                </c:pt>
                <c:pt idx="1256">
                  <c:v>15.52</c:v>
                </c:pt>
                <c:pt idx="1257">
                  <c:v>15.52</c:v>
                </c:pt>
                <c:pt idx="1258">
                  <c:v>15.52</c:v>
                </c:pt>
                <c:pt idx="1259">
                  <c:v>15.52</c:v>
                </c:pt>
                <c:pt idx="1260">
                  <c:v>15.52</c:v>
                </c:pt>
                <c:pt idx="1261">
                  <c:v>15.52</c:v>
                </c:pt>
                <c:pt idx="1262">
                  <c:v>15.22</c:v>
                </c:pt>
                <c:pt idx="1263">
                  <c:v>15.2</c:v>
                </c:pt>
                <c:pt idx="1264">
                  <c:v>15.5</c:v>
                </c:pt>
                <c:pt idx="1265">
                  <c:v>15.22</c:v>
                </c:pt>
                <c:pt idx="1266">
                  <c:v>15.5</c:v>
                </c:pt>
                <c:pt idx="1267">
                  <c:v>13</c:v>
                </c:pt>
                <c:pt idx="1268">
                  <c:v>15.52</c:v>
                </c:pt>
                <c:pt idx="1269">
                  <c:v>13</c:v>
                </c:pt>
                <c:pt idx="1270">
                  <c:v>14</c:v>
                </c:pt>
                <c:pt idx="1271">
                  <c:v>14</c:v>
                </c:pt>
                <c:pt idx="1272">
                  <c:v>14</c:v>
                </c:pt>
                <c:pt idx="1273">
                  <c:v>14</c:v>
                </c:pt>
                <c:pt idx="1274">
                  <c:v>14</c:v>
                </c:pt>
                <c:pt idx="1275">
                  <c:v>14</c:v>
                </c:pt>
                <c:pt idx="1276">
                  <c:v>14</c:v>
                </c:pt>
                <c:pt idx="1277">
                  <c:v>15.5</c:v>
                </c:pt>
                <c:pt idx="1278">
                  <c:v>15.5</c:v>
                </c:pt>
                <c:pt idx="1279">
                  <c:v>15.5</c:v>
                </c:pt>
                <c:pt idx="1280">
                  <c:v>11.9</c:v>
                </c:pt>
                <c:pt idx="1281">
                  <c:v>14.5</c:v>
                </c:pt>
                <c:pt idx="1282">
                  <c:v>13.6</c:v>
                </c:pt>
                <c:pt idx="1283">
                  <c:v>14</c:v>
                </c:pt>
                <c:pt idx="1284">
                  <c:v>14</c:v>
                </c:pt>
                <c:pt idx="1285">
                  <c:v>15.52</c:v>
                </c:pt>
                <c:pt idx="1286">
                  <c:v>15.53</c:v>
                </c:pt>
                <c:pt idx="1287">
                  <c:v>12.5</c:v>
                </c:pt>
                <c:pt idx="1288">
                  <c:v>16</c:v>
                </c:pt>
                <c:pt idx="1289">
                  <c:v>16</c:v>
                </c:pt>
                <c:pt idx="1290">
                  <c:v>16</c:v>
                </c:pt>
                <c:pt idx="1291">
                  <c:v>16</c:v>
                </c:pt>
                <c:pt idx="1292">
                  <c:v>15.5</c:v>
                </c:pt>
                <c:pt idx="1293">
                  <c:v>15.05</c:v>
                </c:pt>
                <c:pt idx="1294">
                  <c:v>15.5</c:v>
                </c:pt>
                <c:pt idx="1295">
                  <c:v>15</c:v>
                </c:pt>
                <c:pt idx="1296">
                  <c:v>15</c:v>
                </c:pt>
                <c:pt idx="1297">
                  <c:v>15.5</c:v>
                </c:pt>
                <c:pt idx="1298">
                  <c:v>15.5</c:v>
                </c:pt>
                <c:pt idx="1299">
                  <c:v>15</c:v>
                </c:pt>
                <c:pt idx="1300">
                  <c:v>15.5</c:v>
                </c:pt>
                <c:pt idx="1301">
                  <c:v>15</c:v>
                </c:pt>
                <c:pt idx="1302">
                  <c:v>15</c:v>
                </c:pt>
                <c:pt idx="1303">
                  <c:v>15</c:v>
                </c:pt>
                <c:pt idx="1304">
                  <c:v>15</c:v>
                </c:pt>
                <c:pt idx="1305">
                  <c:v>15</c:v>
                </c:pt>
                <c:pt idx="1306">
                  <c:v>15</c:v>
                </c:pt>
                <c:pt idx="1307">
                  <c:v>15.5</c:v>
                </c:pt>
                <c:pt idx="1308">
                  <c:v>15</c:v>
                </c:pt>
                <c:pt idx="1309">
                  <c:v>15</c:v>
                </c:pt>
                <c:pt idx="1310">
                  <c:v>16</c:v>
                </c:pt>
                <c:pt idx="1311">
                  <c:v>16</c:v>
                </c:pt>
                <c:pt idx="1312">
                  <c:v>15.5</c:v>
                </c:pt>
                <c:pt idx="1313">
                  <c:v>15.5</c:v>
                </c:pt>
                <c:pt idx="1314">
                  <c:v>15.5</c:v>
                </c:pt>
                <c:pt idx="1315">
                  <c:v>15.5</c:v>
                </c:pt>
                <c:pt idx="1316">
                  <c:v>15.5</c:v>
                </c:pt>
                <c:pt idx="1317">
                  <c:v>15.5</c:v>
                </c:pt>
                <c:pt idx="1318">
                  <c:v>15.5</c:v>
                </c:pt>
                <c:pt idx="1319">
                  <c:v>15.5</c:v>
                </c:pt>
                <c:pt idx="1320">
                  <c:v>15.5</c:v>
                </c:pt>
                <c:pt idx="1321">
                  <c:v>15.5</c:v>
                </c:pt>
                <c:pt idx="1322">
                  <c:v>15.5</c:v>
                </c:pt>
                <c:pt idx="1323">
                  <c:v>16</c:v>
                </c:pt>
                <c:pt idx="1324">
                  <c:v>16</c:v>
                </c:pt>
                <c:pt idx="1325">
                  <c:v>16</c:v>
                </c:pt>
                <c:pt idx="1326">
                  <c:v>16</c:v>
                </c:pt>
                <c:pt idx="1327">
                  <c:v>15.5</c:v>
                </c:pt>
                <c:pt idx="1328">
                  <c:v>15.5</c:v>
                </c:pt>
                <c:pt idx="1329">
                  <c:v>16</c:v>
                </c:pt>
                <c:pt idx="1330">
                  <c:v>15.5</c:v>
                </c:pt>
                <c:pt idx="1331">
                  <c:v>15.5</c:v>
                </c:pt>
                <c:pt idx="1332">
                  <c:v>15.5</c:v>
                </c:pt>
                <c:pt idx="1333">
                  <c:v>15.5</c:v>
                </c:pt>
                <c:pt idx="1334">
                  <c:v>15.5</c:v>
                </c:pt>
                <c:pt idx="1335">
                  <c:v>15.5</c:v>
                </c:pt>
                <c:pt idx="1336">
                  <c:v>15.5</c:v>
                </c:pt>
                <c:pt idx="1337">
                  <c:v>15.5</c:v>
                </c:pt>
                <c:pt idx="1338">
                  <c:v>15</c:v>
                </c:pt>
                <c:pt idx="1339">
                  <c:v>15</c:v>
                </c:pt>
                <c:pt idx="1340">
                  <c:v>15.5</c:v>
                </c:pt>
                <c:pt idx="1341">
                  <c:v>15.5</c:v>
                </c:pt>
                <c:pt idx="1342">
                  <c:v>15.5</c:v>
                </c:pt>
                <c:pt idx="1343">
                  <c:v>15.5</c:v>
                </c:pt>
                <c:pt idx="1344">
                  <c:v>15.5</c:v>
                </c:pt>
                <c:pt idx="1345">
                  <c:v>15.5</c:v>
                </c:pt>
                <c:pt idx="1346">
                  <c:v>15.5</c:v>
                </c:pt>
                <c:pt idx="1347">
                  <c:v>15.5</c:v>
                </c:pt>
                <c:pt idx="1348">
                  <c:v>15.5</c:v>
                </c:pt>
                <c:pt idx="1349">
                  <c:v>15.5</c:v>
                </c:pt>
                <c:pt idx="1350">
                  <c:v>15.52</c:v>
                </c:pt>
                <c:pt idx="1351">
                  <c:v>15.5</c:v>
                </c:pt>
                <c:pt idx="1352">
                  <c:v>16</c:v>
                </c:pt>
                <c:pt idx="1353">
                  <c:v>15</c:v>
                </c:pt>
                <c:pt idx="1354">
                  <c:v>15.5</c:v>
                </c:pt>
                <c:pt idx="1355">
                  <c:v>15.5</c:v>
                </c:pt>
                <c:pt idx="1356">
                  <c:v>15.5</c:v>
                </c:pt>
                <c:pt idx="1357">
                  <c:v>15.5</c:v>
                </c:pt>
                <c:pt idx="1358">
                  <c:v>15.5</c:v>
                </c:pt>
                <c:pt idx="1359">
                  <c:v>15.5</c:v>
                </c:pt>
                <c:pt idx="1360">
                  <c:v>15.5</c:v>
                </c:pt>
                <c:pt idx="1361">
                  <c:v>15.5</c:v>
                </c:pt>
                <c:pt idx="1362">
                  <c:v>15.5</c:v>
                </c:pt>
                <c:pt idx="1363">
                  <c:v>15.5</c:v>
                </c:pt>
                <c:pt idx="1364">
                  <c:v>15.5</c:v>
                </c:pt>
                <c:pt idx="1365">
                  <c:v>15.5</c:v>
                </c:pt>
                <c:pt idx="1366">
                  <c:v>15.5</c:v>
                </c:pt>
                <c:pt idx="1367">
                  <c:v>15.5</c:v>
                </c:pt>
                <c:pt idx="1368">
                  <c:v>16</c:v>
                </c:pt>
                <c:pt idx="1369">
                  <c:v>15.5</c:v>
                </c:pt>
                <c:pt idx="1370">
                  <c:v>15.5</c:v>
                </c:pt>
                <c:pt idx="1371">
                  <c:v>15.5</c:v>
                </c:pt>
                <c:pt idx="1372">
                  <c:v>15.5</c:v>
                </c:pt>
                <c:pt idx="1373">
                  <c:v>15.5</c:v>
                </c:pt>
                <c:pt idx="1374">
                  <c:v>13.9</c:v>
                </c:pt>
                <c:pt idx="1375">
                  <c:v>15.5</c:v>
                </c:pt>
                <c:pt idx="1376">
                  <c:v>15.5</c:v>
                </c:pt>
                <c:pt idx="1377">
                  <c:v>15.5</c:v>
                </c:pt>
                <c:pt idx="1378">
                  <c:v>15.5</c:v>
                </c:pt>
                <c:pt idx="1379">
                  <c:v>14</c:v>
                </c:pt>
                <c:pt idx="1380">
                  <c:v>15.5</c:v>
                </c:pt>
                <c:pt idx="1381">
                  <c:v>15.5</c:v>
                </c:pt>
                <c:pt idx="1382">
                  <c:v>15.5</c:v>
                </c:pt>
                <c:pt idx="1383">
                  <c:v>15.5</c:v>
                </c:pt>
                <c:pt idx="1384">
                  <c:v>15.5</c:v>
                </c:pt>
                <c:pt idx="1385">
                  <c:v>15.5</c:v>
                </c:pt>
                <c:pt idx="1386">
                  <c:v>15.5</c:v>
                </c:pt>
                <c:pt idx="1387">
                  <c:v>15.5</c:v>
                </c:pt>
                <c:pt idx="1388">
                  <c:v>15.5</c:v>
                </c:pt>
                <c:pt idx="1389">
                  <c:v>15.5</c:v>
                </c:pt>
                <c:pt idx="1390">
                  <c:v>15.5</c:v>
                </c:pt>
                <c:pt idx="1391">
                  <c:v>15.5</c:v>
                </c:pt>
                <c:pt idx="1392">
                  <c:v>16</c:v>
                </c:pt>
                <c:pt idx="1393">
                  <c:v>15.5</c:v>
                </c:pt>
                <c:pt idx="1394">
                  <c:v>15.5</c:v>
                </c:pt>
                <c:pt idx="1395">
                  <c:v>15.5</c:v>
                </c:pt>
                <c:pt idx="1396">
                  <c:v>15.5</c:v>
                </c:pt>
                <c:pt idx="1397">
                  <c:v>15.5</c:v>
                </c:pt>
                <c:pt idx="1398">
                  <c:v>15.5</c:v>
                </c:pt>
                <c:pt idx="1399">
                  <c:v>15.5</c:v>
                </c:pt>
                <c:pt idx="1400">
                  <c:v>15.5</c:v>
                </c:pt>
                <c:pt idx="1401">
                  <c:v>15.5</c:v>
                </c:pt>
                <c:pt idx="1402">
                  <c:v>15.5</c:v>
                </c:pt>
                <c:pt idx="1403">
                  <c:v>15.5</c:v>
                </c:pt>
                <c:pt idx="1404">
                  <c:v>15.5</c:v>
                </c:pt>
                <c:pt idx="1405">
                  <c:v>15.5</c:v>
                </c:pt>
                <c:pt idx="1406">
                  <c:v>15.5</c:v>
                </c:pt>
                <c:pt idx="1407">
                  <c:v>15.5</c:v>
                </c:pt>
                <c:pt idx="1408">
                  <c:v>15.5</c:v>
                </c:pt>
                <c:pt idx="1409">
                  <c:v>15.5</c:v>
                </c:pt>
                <c:pt idx="1410">
                  <c:v>15.5</c:v>
                </c:pt>
                <c:pt idx="1411">
                  <c:v>15.5</c:v>
                </c:pt>
                <c:pt idx="1412">
                  <c:v>15.5</c:v>
                </c:pt>
                <c:pt idx="1413">
                  <c:v>15.5</c:v>
                </c:pt>
                <c:pt idx="1414">
                  <c:v>15</c:v>
                </c:pt>
                <c:pt idx="1415">
                  <c:v>15.5</c:v>
                </c:pt>
                <c:pt idx="1416">
                  <c:v>15.5</c:v>
                </c:pt>
                <c:pt idx="1417">
                  <c:v>15.6</c:v>
                </c:pt>
                <c:pt idx="1418">
                  <c:v>16</c:v>
                </c:pt>
                <c:pt idx="1419">
                  <c:v>15.5</c:v>
                </c:pt>
                <c:pt idx="1420">
                  <c:v>16</c:v>
                </c:pt>
                <c:pt idx="1421">
                  <c:v>16</c:v>
                </c:pt>
                <c:pt idx="1422">
                  <c:v>16</c:v>
                </c:pt>
                <c:pt idx="1423">
                  <c:v>16</c:v>
                </c:pt>
                <c:pt idx="1424">
                  <c:v>16</c:v>
                </c:pt>
                <c:pt idx="1425">
                  <c:v>15.5</c:v>
                </c:pt>
                <c:pt idx="1426">
                  <c:v>15</c:v>
                </c:pt>
                <c:pt idx="1427">
                  <c:v>15.8</c:v>
                </c:pt>
                <c:pt idx="1428">
                  <c:v>15.8</c:v>
                </c:pt>
                <c:pt idx="1429">
                  <c:v>15.8</c:v>
                </c:pt>
                <c:pt idx="1430">
                  <c:v>14.5</c:v>
                </c:pt>
                <c:pt idx="1431">
                  <c:v>14.5</c:v>
                </c:pt>
                <c:pt idx="1432">
                  <c:v>15.8</c:v>
                </c:pt>
                <c:pt idx="1433">
                  <c:v>14.5</c:v>
                </c:pt>
                <c:pt idx="1434">
                  <c:v>15.8</c:v>
                </c:pt>
                <c:pt idx="1435">
                  <c:v>15.8</c:v>
                </c:pt>
                <c:pt idx="1436">
                  <c:v>15.8</c:v>
                </c:pt>
                <c:pt idx="1437">
                  <c:v>15.8</c:v>
                </c:pt>
                <c:pt idx="1438">
                  <c:v>15.8</c:v>
                </c:pt>
                <c:pt idx="1439">
                  <c:v>15.8</c:v>
                </c:pt>
                <c:pt idx="1440">
                  <c:v>15.8</c:v>
                </c:pt>
                <c:pt idx="1441">
                  <c:v>15.8</c:v>
                </c:pt>
                <c:pt idx="1442">
                  <c:v>15.8</c:v>
                </c:pt>
                <c:pt idx="1443">
                  <c:v>15.8</c:v>
                </c:pt>
                <c:pt idx="1444">
                  <c:v>15.5</c:v>
                </c:pt>
                <c:pt idx="1445">
                  <c:v>15.5</c:v>
                </c:pt>
                <c:pt idx="1446">
                  <c:v>15.5</c:v>
                </c:pt>
                <c:pt idx="1447">
                  <c:v>15.5</c:v>
                </c:pt>
                <c:pt idx="1448">
                  <c:v>15.5</c:v>
                </c:pt>
                <c:pt idx="1449">
                  <c:v>15.5</c:v>
                </c:pt>
                <c:pt idx="1450">
                  <c:v>15.5</c:v>
                </c:pt>
                <c:pt idx="1451">
                  <c:v>15.5</c:v>
                </c:pt>
                <c:pt idx="1452">
                  <c:v>15.5</c:v>
                </c:pt>
                <c:pt idx="1453">
                  <c:v>15.5</c:v>
                </c:pt>
                <c:pt idx="1454">
                  <c:v>15.5</c:v>
                </c:pt>
                <c:pt idx="1455">
                  <c:v>15.5</c:v>
                </c:pt>
                <c:pt idx="1456">
                  <c:v>15.5</c:v>
                </c:pt>
                <c:pt idx="1457">
                  <c:v>15.5</c:v>
                </c:pt>
                <c:pt idx="1458">
                  <c:v>15.5</c:v>
                </c:pt>
                <c:pt idx="1459">
                  <c:v>15.5</c:v>
                </c:pt>
                <c:pt idx="1460">
                  <c:v>15.5</c:v>
                </c:pt>
                <c:pt idx="1461">
                  <c:v>15.52</c:v>
                </c:pt>
                <c:pt idx="1462">
                  <c:v>15.5</c:v>
                </c:pt>
                <c:pt idx="1463">
                  <c:v>15.5</c:v>
                </c:pt>
                <c:pt idx="1464">
                  <c:v>15.5</c:v>
                </c:pt>
                <c:pt idx="1465">
                  <c:v>15.5</c:v>
                </c:pt>
                <c:pt idx="1466">
                  <c:v>15.5</c:v>
                </c:pt>
                <c:pt idx="1467">
                  <c:v>15.5</c:v>
                </c:pt>
                <c:pt idx="1468">
                  <c:v>15.52</c:v>
                </c:pt>
                <c:pt idx="1469">
                  <c:v>16</c:v>
                </c:pt>
                <c:pt idx="1470">
                  <c:v>16.03</c:v>
                </c:pt>
                <c:pt idx="1471">
                  <c:v>16</c:v>
                </c:pt>
                <c:pt idx="1472">
                  <c:v>16</c:v>
                </c:pt>
                <c:pt idx="1473">
                  <c:v>16</c:v>
                </c:pt>
                <c:pt idx="1474">
                  <c:v>16</c:v>
                </c:pt>
                <c:pt idx="1475">
                  <c:v>16</c:v>
                </c:pt>
                <c:pt idx="1476">
                  <c:v>15.5</c:v>
                </c:pt>
                <c:pt idx="1477">
                  <c:v>16</c:v>
                </c:pt>
                <c:pt idx="1478">
                  <c:v>16</c:v>
                </c:pt>
                <c:pt idx="1479">
                  <c:v>16</c:v>
                </c:pt>
                <c:pt idx="1480">
                  <c:v>16</c:v>
                </c:pt>
                <c:pt idx="1481">
                  <c:v>15</c:v>
                </c:pt>
                <c:pt idx="1482">
                  <c:v>15</c:v>
                </c:pt>
                <c:pt idx="1483">
                  <c:v>15</c:v>
                </c:pt>
                <c:pt idx="1484">
                  <c:v>15.8</c:v>
                </c:pt>
                <c:pt idx="1485">
                  <c:v>15</c:v>
                </c:pt>
                <c:pt idx="1486">
                  <c:v>15</c:v>
                </c:pt>
                <c:pt idx="1487">
                  <c:v>15.5</c:v>
                </c:pt>
                <c:pt idx="1488">
                  <c:v>14.5</c:v>
                </c:pt>
                <c:pt idx="1489">
                  <c:v>15.5</c:v>
                </c:pt>
                <c:pt idx="1490">
                  <c:v>15.79</c:v>
                </c:pt>
                <c:pt idx="1491">
                  <c:v>15.79</c:v>
                </c:pt>
                <c:pt idx="1492">
                  <c:v>15</c:v>
                </c:pt>
                <c:pt idx="1493">
                  <c:v>15.79</c:v>
                </c:pt>
                <c:pt idx="1494">
                  <c:v>15.8</c:v>
                </c:pt>
                <c:pt idx="1495">
                  <c:v>15.79</c:v>
                </c:pt>
                <c:pt idx="1496">
                  <c:v>15</c:v>
                </c:pt>
                <c:pt idx="1497">
                  <c:v>15</c:v>
                </c:pt>
                <c:pt idx="1498">
                  <c:v>15.5</c:v>
                </c:pt>
                <c:pt idx="1499">
                  <c:v>15.5</c:v>
                </c:pt>
                <c:pt idx="1500">
                  <c:v>15.5</c:v>
                </c:pt>
                <c:pt idx="1501">
                  <c:v>15.5</c:v>
                </c:pt>
                <c:pt idx="1502">
                  <c:v>15.5</c:v>
                </c:pt>
                <c:pt idx="1503">
                  <c:v>15.5</c:v>
                </c:pt>
                <c:pt idx="1504">
                  <c:v>16</c:v>
                </c:pt>
                <c:pt idx="1505">
                  <c:v>15.5</c:v>
                </c:pt>
                <c:pt idx="1506">
                  <c:v>16</c:v>
                </c:pt>
                <c:pt idx="1507">
                  <c:v>16.02</c:v>
                </c:pt>
                <c:pt idx="1508">
                  <c:v>16</c:v>
                </c:pt>
                <c:pt idx="1509">
                  <c:v>16</c:v>
                </c:pt>
                <c:pt idx="1510">
                  <c:v>15.5</c:v>
                </c:pt>
                <c:pt idx="1511">
                  <c:v>15.5</c:v>
                </c:pt>
                <c:pt idx="1512">
                  <c:v>15.5</c:v>
                </c:pt>
                <c:pt idx="1513">
                  <c:v>15.5</c:v>
                </c:pt>
                <c:pt idx="1514">
                  <c:v>15.5</c:v>
                </c:pt>
                <c:pt idx="1515">
                  <c:v>15.5</c:v>
                </c:pt>
                <c:pt idx="1516">
                  <c:v>15.8</c:v>
                </c:pt>
                <c:pt idx="1517">
                  <c:v>15.5</c:v>
                </c:pt>
                <c:pt idx="1518">
                  <c:v>15</c:v>
                </c:pt>
                <c:pt idx="1519">
                  <c:v>15.5</c:v>
                </c:pt>
                <c:pt idx="1520">
                  <c:v>14</c:v>
                </c:pt>
                <c:pt idx="1521">
                  <c:v>16</c:v>
                </c:pt>
                <c:pt idx="1522">
                  <c:v>15.5</c:v>
                </c:pt>
                <c:pt idx="1523">
                  <c:v>15.5</c:v>
                </c:pt>
                <c:pt idx="1524">
                  <c:v>15.5</c:v>
                </c:pt>
                <c:pt idx="1525">
                  <c:v>15.5</c:v>
                </c:pt>
                <c:pt idx="1526">
                  <c:v>15.5</c:v>
                </c:pt>
                <c:pt idx="1527">
                  <c:v>15.5</c:v>
                </c:pt>
                <c:pt idx="1528">
                  <c:v>15.5</c:v>
                </c:pt>
                <c:pt idx="1529">
                  <c:v>15.5</c:v>
                </c:pt>
                <c:pt idx="1530">
                  <c:v>15.5</c:v>
                </c:pt>
                <c:pt idx="1531">
                  <c:v>15.5</c:v>
                </c:pt>
                <c:pt idx="1532">
                  <c:v>16</c:v>
                </c:pt>
                <c:pt idx="1533">
                  <c:v>16</c:v>
                </c:pt>
                <c:pt idx="1534">
                  <c:v>16</c:v>
                </c:pt>
                <c:pt idx="1535">
                  <c:v>16</c:v>
                </c:pt>
                <c:pt idx="1536">
                  <c:v>16</c:v>
                </c:pt>
                <c:pt idx="1537">
                  <c:v>16</c:v>
                </c:pt>
                <c:pt idx="1538">
                  <c:v>16</c:v>
                </c:pt>
                <c:pt idx="1539">
                  <c:v>16</c:v>
                </c:pt>
                <c:pt idx="1540">
                  <c:v>16</c:v>
                </c:pt>
                <c:pt idx="1541">
                  <c:v>16</c:v>
                </c:pt>
                <c:pt idx="1542">
                  <c:v>16</c:v>
                </c:pt>
                <c:pt idx="1543">
                  <c:v>16.5</c:v>
                </c:pt>
                <c:pt idx="1544">
                  <c:v>16</c:v>
                </c:pt>
                <c:pt idx="1545">
                  <c:v>15.5</c:v>
                </c:pt>
                <c:pt idx="1546">
                  <c:v>16</c:v>
                </c:pt>
                <c:pt idx="1547">
                  <c:v>15.5</c:v>
                </c:pt>
                <c:pt idx="1548">
                  <c:v>16</c:v>
                </c:pt>
                <c:pt idx="1549">
                  <c:v>16</c:v>
                </c:pt>
                <c:pt idx="1550">
                  <c:v>16</c:v>
                </c:pt>
                <c:pt idx="1551">
                  <c:v>16</c:v>
                </c:pt>
                <c:pt idx="1552">
                  <c:v>16</c:v>
                </c:pt>
                <c:pt idx="1553">
                  <c:v>16</c:v>
                </c:pt>
                <c:pt idx="1554">
                  <c:v>16</c:v>
                </c:pt>
                <c:pt idx="1555">
                  <c:v>16</c:v>
                </c:pt>
                <c:pt idx="1556">
                  <c:v>16</c:v>
                </c:pt>
                <c:pt idx="1557">
                  <c:v>16</c:v>
                </c:pt>
                <c:pt idx="1558">
                  <c:v>16</c:v>
                </c:pt>
                <c:pt idx="1559">
                  <c:v>16</c:v>
                </c:pt>
                <c:pt idx="1560">
                  <c:v>16</c:v>
                </c:pt>
                <c:pt idx="1561">
                  <c:v>16</c:v>
                </c:pt>
                <c:pt idx="1562">
                  <c:v>16</c:v>
                </c:pt>
                <c:pt idx="1563">
                  <c:v>16</c:v>
                </c:pt>
                <c:pt idx="1564">
                  <c:v>16</c:v>
                </c:pt>
                <c:pt idx="1565">
                  <c:v>16</c:v>
                </c:pt>
                <c:pt idx="1566">
                  <c:v>16</c:v>
                </c:pt>
                <c:pt idx="1567">
                  <c:v>16</c:v>
                </c:pt>
                <c:pt idx="1568">
                  <c:v>16</c:v>
                </c:pt>
                <c:pt idx="1569">
                  <c:v>16</c:v>
                </c:pt>
                <c:pt idx="1570">
                  <c:v>16</c:v>
                </c:pt>
                <c:pt idx="1571">
                  <c:v>16</c:v>
                </c:pt>
                <c:pt idx="1572">
                  <c:v>16</c:v>
                </c:pt>
                <c:pt idx="1573">
                  <c:v>16</c:v>
                </c:pt>
                <c:pt idx="1574">
                  <c:v>16</c:v>
                </c:pt>
                <c:pt idx="1575">
                  <c:v>14.5</c:v>
                </c:pt>
                <c:pt idx="1576">
                  <c:v>14.5</c:v>
                </c:pt>
                <c:pt idx="1577">
                  <c:v>16</c:v>
                </c:pt>
                <c:pt idx="1578">
                  <c:v>15.5</c:v>
                </c:pt>
                <c:pt idx="1579">
                  <c:v>14.5</c:v>
                </c:pt>
                <c:pt idx="1580">
                  <c:v>16</c:v>
                </c:pt>
                <c:pt idx="1581">
                  <c:v>16</c:v>
                </c:pt>
                <c:pt idx="1582">
                  <c:v>14.5</c:v>
                </c:pt>
                <c:pt idx="1583">
                  <c:v>16</c:v>
                </c:pt>
                <c:pt idx="1584">
                  <c:v>16</c:v>
                </c:pt>
                <c:pt idx="1585">
                  <c:v>16</c:v>
                </c:pt>
                <c:pt idx="1586">
                  <c:v>16</c:v>
                </c:pt>
                <c:pt idx="1587">
                  <c:v>14.5</c:v>
                </c:pt>
                <c:pt idx="1588">
                  <c:v>16</c:v>
                </c:pt>
                <c:pt idx="1589">
                  <c:v>16</c:v>
                </c:pt>
                <c:pt idx="1590">
                  <c:v>16</c:v>
                </c:pt>
                <c:pt idx="1591">
                  <c:v>16</c:v>
                </c:pt>
                <c:pt idx="1592">
                  <c:v>16</c:v>
                </c:pt>
                <c:pt idx="1593">
                  <c:v>16</c:v>
                </c:pt>
                <c:pt idx="1594">
                  <c:v>16</c:v>
                </c:pt>
                <c:pt idx="1595">
                  <c:v>16</c:v>
                </c:pt>
                <c:pt idx="1596">
                  <c:v>16</c:v>
                </c:pt>
                <c:pt idx="1597">
                  <c:v>16</c:v>
                </c:pt>
                <c:pt idx="1598">
                  <c:v>16</c:v>
                </c:pt>
                <c:pt idx="1599">
                  <c:v>16</c:v>
                </c:pt>
                <c:pt idx="1600">
                  <c:v>16</c:v>
                </c:pt>
                <c:pt idx="1601">
                  <c:v>16</c:v>
                </c:pt>
                <c:pt idx="1602">
                  <c:v>16</c:v>
                </c:pt>
                <c:pt idx="1603">
                  <c:v>16</c:v>
                </c:pt>
                <c:pt idx="1604">
                  <c:v>16</c:v>
                </c:pt>
                <c:pt idx="1605">
                  <c:v>17</c:v>
                </c:pt>
                <c:pt idx="1606">
                  <c:v>17</c:v>
                </c:pt>
                <c:pt idx="1607">
                  <c:v>16</c:v>
                </c:pt>
                <c:pt idx="1608">
                  <c:v>16</c:v>
                </c:pt>
                <c:pt idx="1609">
                  <c:v>16.02</c:v>
                </c:pt>
                <c:pt idx="1610">
                  <c:v>16</c:v>
                </c:pt>
                <c:pt idx="1611">
                  <c:v>16</c:v>
                </c:pt>
                <c:pt idx="1612">
                  <c:v>16</c:v>
                </c:pt>
                <c:pt idx="1613">
                  <c:v>16.5</c:v>
                </c:pt>
                <c:pt idx="1614">
                  <c:v>16</c:v>
                </c:pt>
                <c:pt idx="1615">
                  <c:v>16</c:v>
                </c:pt>
                <c:pt idx="1616">
                  <c:v>16.02</c:v>
                </c:pt>
                <c:pt idx="1617">
                  <c:v>16</c:v>
                </c:pt>
                <c:pt idx="1618">
                  <c:v>16</c:v>
                </c:pt>
                <c:pt idx="1619">
                  <c:v>16</c:v>
                </c:pt>
                <c:pt idx="1620">
                  <c:v>18</c:v>
                </c:pt>
                <c:pt idx="1621">
                  <c:v>16</c:v>
                </c:pt>
                <c:pt idx="1622">
                  <c:v>16</c:v>
                </c:pt>
                <c:pt idx="1623">
                  <c:v>16</c:v>
                </c:pt>
                <c:pt idx="1624">
                  <c:v>16</c:v>
                </c:pt>
                <c:pt idx="1625">
                  <c:v>16</c:v>
                </c:pt>
                <c:pt idx="1626">
                  <c:v>16</c:v>
                </c:pt>
                <c:pt idx="1627">
                  <c:v>16</c:v>
                </c:pt>
                <c:pt idx="1628">
                  <c:v>18</c:v>
                </c:pt>
                <c:pt idx="1629">
                  <c:v>16</c:v>
                </c:pt>
                <c:pt idx="1630">
                  <c:v>18</c:v>
                </c:pt>
                <c:pt idx="1631">
                  <c:v>16</c:v>
                </c:pt>
                <c:pt idx="1632">
                  <c:v>18</c:v>
                </c:pt>
                <c:pt idx="1633">
                  <c:v>16</c:v>
                </c:pt>
                <c:pt idx="1634">
                  <c:v>18</c:v>
                </c:pt>
                <c:pt idx="1635">
                  <c:v>18</c:v>
                </c:pt>
                <c:pt idx="1636">
                  <c:v>13.7</c:v>
                </c:pt>
                <c:pt idx="1637">
                  <c:v>16.5</c:v>
                </c:pt>
                <c:pt idx="1638">
                  <c:v>16.5</c:v>
                </c:pt>
                <c:pt idx="1639">
                  <c:v>16.5</c:v>
                </c:pt>
                <c:pt idx="1640">
                  <c:v>16.5</c:v>
                </c:pt>
                <c:pt idx="1641">
                  <c:v>16.5</c:v>
                </c:pt>
                <c:pt idx="1642">
                  <c:v>16.5</c:v>
                </c:pt>
                <c:pt idx="1643">
                  <c:v>16.5</c:v>
                </c:pt>
                <c:pt idx="1644">
                  <c:v>16.5</c:v>
                </c:pt>
                <c:pt idx="1645">
                  <c:v>16</c:v>
                </c:pt>
                <c:pt idx="1646">
                  <c:v>17</c:v>
                </c:pt>
                <c:pt idx="1647">
                  <c:v>17</c:v>
                </c:pt>
                <c:pt idx="1648">
                  <c:v>16</c:v>
                </c:pt>
                <c:pt idx="1649">
                  <c:v>18</c:v>
                </c:pt>
                <c:pt idx="1650">
                  <c:v>16</c:v>
                </c:pt>
                <c:pt idx="1651">
                  <c:v>16</c:v>
                </c:pt>
                <c:pt idx="1652">
                  <c:v>16</c:v>
                </c:pt>
                <c:pt idx="1653">
                  <c:v>16</c:v>
                </c:pt>
                <c:pt idx="1654">
                  <c:v>16</c:v>
                </c:pt>
                <c:pt idx="1655">
                  <c:v>16.52</c:v>
                </c:pt>
                <c:pt idx="1656">
                  <c:v>16.52</c:v>
                </c:pt>
                <c:pt idx="1657">
                  <c:v>16.52</c:v>
                </c:pt>
                <c:pt idx="1658">
                  <c:v>16.52</c:v>
                </c:pt>
                <c:pt idx="1659">
                  <c:v>16.52</c:v>
                </c:pt>
                <c:pt idx="1660">
                  <c:v>16.52</c:v>
                </c:pt>
                <c:pt idx="1661">
                  <c:v>16.52</c:v>
                </c:pt>
                <c:pt idx="1662">
                  <c:v>16.52</c:v>
                </c:pt>
                <c:pt idx="1663">
                  <c:v>16.52</c:v>
                </c:pt>
                <c:pt idx="1664">
                  <c:v>16.52</c:v>
                </c:pt>
                <c:pt idx="1665">
                  <c:v>16.52</c:v>
                </c:pt>
                <c:pt idx="1666">
                  <c:v>16.52</c:v>
                </c:pt>
              </c:numCache>
            </c:numRef>
          </c:yVal>
          <c:smooth val="0"/>
          <c:extLst>
            <c:ext xmlns:c16="http://schemas.microsoft.com/office/drawing/2014/chart" uri="{C3380CC4-5D6E-409C-BE32-E72D297353CC}">
              <c16:uniqueId val="{00000000-CE8F-4F78-A08A-0E456E73A214}"/>
            </c:ext>
          </c:extLst>
        </c:ser>
        <c:dLbls>
          <c:showLegendKey val="0"/>
          <c:showVal val="0"/>
          <c:showCatName val="0"/>
          <c:showSerName val="0"/>
          <c:showPercent val="0"/>
          <c:showBubbleSize val="0"/>
        </c:dLbls>
        <c:axId val="533510544"/>
        <c:axId val="533508904"/>
      </c:scatterChart>
      <c:valAx>
        <c:axId val="5335105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33508904"/>
        <c:crosses val="autoZero"/>
        <c:crossBetween val="midCat"/>
      </c:valAx>
      <c:valAx>
        <c:axId val="5335089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33510544"/>
        <c:crosses val="autoZero"/>
        <c:crossBetween val="midCat"/>
      </c:valAx>
      <c:spPr>
        <a:noFill/>
        <a:ln>
          <a:noFill/>
        </a:ln>
        <a:effectLst/>
      </c:spPr>
    </c:plotArea>
    <c:plotVisOnly val="1"/>
    <c:dispBlanksAs val="gap"/>
    <c:showDLblsOverMax val="0"/>
  </c:chart>
  <c:spPr>
    <a:solidFill>
      <a:schemeClr val="bg1"/>
    </a:solidFill>
    <a:ln w="9525" cap="flat" cmpd="sng" algn="ctr">
      <a:solidFill>
        <a:srgbClr val="32578C"/>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Containerschiffe - dwt und Länge</a:t>
            </a:r>
            <a:r>
              <a:rPr lang="de-DE" baseline="0"/>
              <a:t> über TEU bis 16.000 TEU (max. in 2009)</a:t>
            </a: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lineMarker"/>
        <c:varyColors val="0"/>
        <c:ser>
          <c:idx val="1"/>
          <c:order val="1"/>
          <c:tx>
            <c:strRef>
              <c:f>'Schätzung Schiff'!$D$30</c:f>
              <c:strCache>
                <c:ptCount val="1"/>
                <c:pt idx="0">
                  <c:v>dwt</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poly"/>
            <c:order val="2"/>
            <c:intercept val="0"/>
            <c:dispRSqr val="0"/>
            <c:dispEq val="1"/>
            <c:trendlineLbl>
              <c:layout>
                <c:manualLayout>
                  <c:x val="0.13497987751531063"/>
                  <c:y val="0.24687249620113275"/>
                </c:manualLayout>
              </c:layout>
              <c:numFmt formatCode="0.000000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'Schätzung Schiff'!$E$31:$E$1579</c:f>
              <c:numCache>
                <c:formatCode>General</c:formatCode>
                <c:ptCount val="1549"/>
                <c:pt idx="0">
                  <c:v>868</c:v>
                </c:pt>
                <c:pt idx="1">
                  <c:v>868</c:v>
                </c:pt>
                <c:pt idx="2">
                  <c:v>1254</c:v>
                </c:pt>
                <c:pt idx="3">
                  <c:v>1338</c:v>
                </c:pt>
                <c:pt idx="4">
                  <c:v>1438</c:v>
                </c:pt>
                <c:pt idx="5">
                  <c:v>1438</c:v>
                </c:pt>
                <c:pt idx="6">
                  <c:v>1438</c:v>
                </c:pt>
                <c:pt idx="7">
                  <c:v>1658</c:v>
                </c:pt>
                <c:pt idx="8">
                  <c:v>1674</c:v>
                </c:pt>
                <c:pt idx="9">
                  <c:v>1678</c:v>
                </c:pt>
                <c:pt idx="10">
                  <c:v>1678</c:v>
                </c:pt>
                <c:pt idx="11">
                  <c:v>1678</c:v>
                </c:pt>
                <c:pt idx="12">
                  <c:v>1698</c:v>
                </c:pt>
                <c:pt idx="13">
                  <c:v>1712</c:v>
                </c:pt>
                <c:pt idx="14">
                  <c:v>1716</c:v>
                </c:pt>
                <c:pt idx="15">
                  <c:v>1728</c:v>
                </c:pt>
                <c:pt idx="16">
                  <c:v>1728</c:v>
                </c:pt>
                <c:pt idx="17">
                  <c:v>1730</c:v>
                </c:pt>
                <c:pt idx="18">
                  <c:v>1730</c:v>
                </c:pt>
                <c:pt idx="19">
                  <c:v>1730</c:v>
                </c:pt>
                <c:pt idx="20">
                  <c:v>1730</c:v>
                </c:pt>
                <c:pt idx="21">
                  <c:v>1732</c:v>
                </c:pt>
                <c:pt idx="22">
                  <c:v>1732</c:v>
                </c:pt>
                <c:pt idx="23">
                  <c:v>1740</c:v>
                </c:pt>
                <c:pt idx="24">
                  <c:v>1740</c:v>
                </c:pt>
                <c:pt idx="25">
                  <c:v>1768</c:v>
                </c:pt>
                <c:pt idx="26">
                  <c:v>1768</c:v>
                </c:pt>
                <c:pt idx="27">
                  <c:v>1795</c:v>
                </c:pt>
                <c:pt idx="28">
                  <c:v>1819</c:v>
                </c:pt>
                <c:pt idx="29">
                  <c:v>1819</c:v>
                </c:pt>
                <c:pt idx="30">
                  <c:v>1819</c:v>
                </c:pt>
                <c:pt idx="31">
                  <c:v>1819</c:v>
                </c:pt>
                <c:pt idx="32">
                  <c:v>1819</c:v>
                </c:pt>
                <c:pt idx="33">
                  <c:v>1819</c:v>
                </c:pt>
                <c:pt idx="34">
                  <c:v>1819</c:v>
                </c:pt>
                <c:pt idx="35">
                  <c:v>1819</c:v>
                </c:pt>
                <c:pt idx="36">
                  <c:v>1819</c:v>
                </c:pt>
                <c:pt idx="37">
                  <c:v>1835</c:v>
                </c:pt>
                <c:pt idx="38">
                  <c:v>1845</c:v>
                </c:pt>
                <c:pt idx="39">
                  <c:v>1849</c:v>
                </c:pt>
                <c:pt idx="40">
                  <c:v>1850</c:v>
                </c:pt>
                <c:pt idx="41">
                  <c:v>1852</c:v>
                </c:pt>
                <c:pt idx="42">
                  <c:v>1853</c:v>
                </c:pt>
                <c:pt idx="43">
                  <c:v>1853</c:v>
                </c:pt>
                <c:pt idx="44">
                  <c:v>1853</c:v>
                </c:pt>
                <c:pt idx="45">
                  <c:v>1875</c:v>
                </c:pt>
                <c:pt idx="46">
                  <c:v>1876</c:v>
                </c:pt>
                <c:pt idx="47">
                  <c:v>1900</c:v>
                </c:pt>
                <c:pt idx="48">
                  <c:v>1924</c:v>
                </c:pt>
                <c:pt idx="49">
                  <c:v>1970</c:v>
                </c:pt>
                <c:pt idx="50">
                  <c:v>2007</c:v>
                </c:pt>
                <c:pt idx="51">
                  <c:v>2007</c:v>
                </c:pt>
                <c:pt idx="52">
                  <c:v>2017</c:v>
                </c:pt>
                <c:pt idx="53">
                  <c:v>2048</c:v>
                </c:pt>
                <c:pt idx="54">
                  <c:v>2061</c:v>
                </c:pt>
                <c:pt idx="55">
                  <c:v>2061</c:v>
                </c:pt>
                <c:pt idx="56">
                  <c:v>2061</c:v>
                </c:pt>
                <c:pt idx="57">
                  <c:v>2061</c:v>
                </c:pt>
                <c:pt idx="58">
                  <c:v>2065</c:v>
                </c:pt>
                <c:pt idx="59">
                  <c:v>2072</c:v>
                </c:pt>
                <c:pt idx="60">
                  <c:v>2078</c:v>
                </c:pt>
                <c:pt idx="61">
                  <c:v>2109</c:v>
                </c:pt>
                <c:pt idx="62">
                  <c:v>2122</c:v>
                </c:pt>
                <c:pt idx="63">
                  <c:v>2127</c:v>
                </c:pt>
                <c:pt idx="64">
                  <c:v>2135</c:v>
                </c:pt>
                <c:pt idx="65">
                  <c:v>2135</c:v>
                </c:pt>
                <c:pt idx="66">
                  <c:v>2135</c:v>
                </c:pt>
                <c:pt idx="67">
                  <c:v>2169</c:v>
                </c:pt>
                <c:pt idx="68">
                  <c:v>2200</c:v>
                </c:pt>
                <c:pt idx="69">
                  <c:v>2205</c:v>
                </c:pt>
                <c:pt idx="70">
                  <c:v>2207</c:v>
                </c:pt>
                <c:pt idx="71">
                  <c:v>2208</c:v>
                </c:pt>
                <c:pt idx="72">
                  <c:v>2225</c:v>
                </c:pt>
                <c:pt idx="73">
                  <c:v>2226</c:v>
                </c:pt>
                <c:pt idx="74">
                  <c:v>2226</c:v>
                </c:pt>
                <c:pt idx="75">
                  <c:v>2226</c:v>
                </c:pt>
                <c:pt idx="76">
                  <c:v>2226</c:v>
                </c:pt>
                <c:pt idx="77">
                  <c:v>2240</c:v>
                </c:pt>
                <c:pt idx="78">
                  <c:v>2245</c:v>
                </c:pt>
                <c:pt idx="79">
                  <c:v>2260</c:v>
                </c:pt>
                <c:pt idx="80">
                  <c:v>2260</c:v>
                </c:pt>
                <c:pt idx="81">
                  <c:v>2260</c:v>
                </c:pt>
                <c:pt idx="82">
                  <c:v>2303</c:v>
                </c:pt>
                <c:pt idx="83">
                  <c:v>2330</c:v>
                </c:pt>
                <c:pt idx="84">
                  <c:v>2339</c:v>
                </c:pt>
                <c:pt idx="85">
                  <c:v>2400</c:v>
                </c:pt>
                <c:pt idx="86">
                  <c:v>2440</c:v>
                </c:pt>
                <c:pt idx="87">
                  <c:v>2450</c:v>
                </c:pt>
                <c:pt idx="88">
                  <c:v>2452</c:v>
                </c:pt>
                <c:pt idx="89">
                  <c:v>2452</c:v>
                </c:pt>
                <c:pt idx="90">
                  <c:v>2470</c:v>
                </c:pt>
                <c:pt idx="91">
                  <c:v>2470</c:v>
                </c:pt>
                <c:pt idx="92">
                  <c:v>2474</c:v>
                </c:pt>
                <c:pt idx="93">
                  <c:v>2474</c:v>
                </c:pt>
                <c:pt idx="94">
                  <c:v>2478</c:v>
                </c:pt>
                <c:pt idx="95">
                  <c:v>2478</c:v>
                </c:pt>
                <c:pt idx="96">
                  <c:v>2478</c:v>
                </c:pt>
                <c:pt idx="97">
                  <c:v>2478</c:v>
                </c:pt>
                <c:pt idx="98">
                  <c:v>2478</c:v>
                </c:pt>
                <c:pt idx="99">
                  <c:v>2478</c:v>
                </c:pt>
                <c:pt idx="100">
                  <c:v>2478</c:v>
                </c:pt>
                <c:pt idx="101">
                  <c:v>2478</c:v>
                </c:pt>
                <c:pt idx="102">
                  <c:v>2478</c:v>
                </c:pt>
                <c:pt idx="103">
                  <c:v>2478</c:v>
                </c:pt>
                <c:pt idx="104">
                  <c:v>2483</c:v>
                </c:pt>
                <c:pt idx="105">
                  <c:v>2487</c:v>
                </c:pt>
                <c:pt idx="106">
                  <c:v>2490</c:v>
                </c:pt>
                <c:pt idx="107">
                  <c:v>2490</c:v>
                </c:pt>
                <c:pt idx="108">
                  <c:v>2490</c:v>
                </c:pt>
                <c:pt idx="109">
                  <c:v>2500</c:v>
                </c:pt>
                <c:pt idx="110">
                  <c:v>2500</c:v>
                </c:pt>
                <c:pt idx="111">
                  <c:v>2504</c:v>
                </c:pt>
                <c:pt idx="112">
                  <c:v>2506</c:v>
                </c:pt>
                <c:pt idx="113">
                  <c:v>2506</c:v>
                </c:pt>
                <c:pt idx="114">
                  <c:v>2524</c:v>
                </c:pt>
                <c:pt idx="115">
                  <c:v>2530</c:v>
                </c:pt>
                <c:pt idx="116">
                  <c:v>2532</c:v>
                </c:pt>
                <c:pt idx="117">
                  <c:v>2532</c:v>
                </c:pt>
                <c:pt idx="118">
                  <c:v>2532</c:v>
                </c:pt>
                <c:pt idx="119">
                  <c:v>2546</c:v>
                </c:pt>
                <c:pt idx="120">
                  <c:v>2550</c:v>
                </c:pt>
                <c:pt idx="121">
                  <c:v>2550</c:v>
                </c:pt>
                <c:pt idx="122">
                  <c:v>2550</c:v>
                </c:pt>
                <c:pt idx="123">
                  <c:v>2550</c:v>
                </c:pt>
                <c:pt idx="124">
                  <c:v>2550</c:v>
                </c:pt>
                <c:pt idx="125">
                  <c:v>2550</c:v>
                </c:pt>
                <c:pt idx="126">
                  <c:v>2550</c:v>
                </c:pt>
                <c:pt idx="127">
                  <c:v>2553</c:v>
                </c:pt>
                <c:pt idx="128">
                  <c:v>2553</c:v>
                </c:pt>
                <c:pt idx="129">
                  <c:v>2556</c:v>
                </c:pt>
                <c:pt idx="130">
                  <c:v>2556</c:v>
                </c:pt>
                <c:pt idx="131">
                  <c:v>2556</c:v>
                </c:pt>
                <c:pt idx="132">
                  <c:v>2556</c:v>
                </c:pt>
                <c:pt idx="133">
                  <c:v>2556</c:v>
                </c:pt>
                <c:pt idx="134">
                  <c:v>2556</c:v>
                </c:pt>
                <c:pt idx="135">
                  <c:v>2556</c:v>
                </c:pt>
                <c:pt idx="136">
                  <c:v>2556</c:v>
                </c:pt>
                <c:pt idx="137">
                  <c:v>2556</c:v>
                </c:pt>
                <c:pt idx="138">
                  <c:v>2556</c:v>
                </c:pt>
                <c:pt idx="139">
                  <c:v>2556</c:v>
                </c:pt>
                <c:pt idx="140">
                  <c:v>2556</c:v>
                </c:pt>
                <c:pt idx="141">
                  <c:v>2556</c:v>
                </c:pt>
                <c:pt idx="142">
                  <c:v>2556</c:v>
                </c:pt>
                <c:pt idx="143">
                  <c:v>2556</c:v>
                </c:pt>
                <c:pt idx="144">
                  <c:v>2556</c:v>
                </c:pt>
                <c:pt idx="145">
                  <c:v>2556</c:v>
                </c:pt>
                <c:pt idx="146">
                  <c:v>2556</c:v>
                </c:pt>
                <c:pt idx="147">
                  <c:v>2566</c:v>
                </c:pt>
                <c:pt idx="148">
                  <c:v>2578</c:v>
                </c:pt>
                <c:pt idx="149">
                  <c:v>2592</c:v>
                </c:pt>
                <c:pt idx="150">
                  <c:v>2600</c:v>
                </c:pt>
                <c:pt idx="151">
                  <c:v>2600</c:v>
                </c:pt>
                <c:pt idx="152">
                  <c:v>2600</c:v>
                </c:pt>
                <c:pt idx="153">
                  <c:v>2602</c:v>
                </c:pt>
                <c:pt idx="154">
                  <c:v>2604</c:v>
                </c:pt>
                <c:pt idx="155">
                  <c:v>2622</c:v>
                </c:pt>
                <c:pt idx="156">
                  <c:v>2660</c:v>
                </c:pt>
                <c:pt idx="157">
                  <c:v>2664</c:v>
                </c:pt>
                <c:pt idx="158">
                  <c:v>2680</c:v>
                </c:pt>
                <c:pt idx="159">
                  <c:v>2681</c:v>
                </c:pt>
                <c:pt idx="160">
                  <c:v>2700</c:v>
                </c:pt>
                <c:pt idx="161">
                  <c:v>2702</c:v>
                </c:pt>
                <c:pt idx="162">
                  <c:v>2702</c:v>
                </c:pt>
                <c:pt idx="163">
                  <c:v>2702</c:v>
                </c:pt>
                <c:pt idx="164">
                  <c:v>2710</c:v>
                </c:pt>
                <c:pt idx="165">
                  <c:v>2714</c:v>
                </c:pt>
                <c:pt idx="166">
                  <c:v>2724</c:v>
                </c:pt>
                <c:pt idx="167">
                  <c:v>2724</c:v>
                </c:pt>
                <c:pt idx="168">
                  <c:v>2732</c:v>
                </c:pt>
                <c:pt idx="169">
                  <c:v>2732</c:v>
                </c:pt>
                <c:pt idx="170">
                  <c:v>2732</c:v>
                </c:pt>
                <c:pt idx="171">
                  <c:v>2732</c:v>
                </c:pt>
                <c:pt idx="172">
                  <c:v>2732</c:v>
                </c:pt>
                <c:pt idx="173">
                  <c:v>2732</c:v>
                </c:pt>
                <c:pt idx="174">
                  <c:v>2741</c:v>
                </c:pt>
                <c:pt idx="175">
                  <c:v>2742</c:v>
                </c:pt>
                <c:pt idx="176">
                  <c:v>2742</c:v>
                </c:pt>
                <c:pt idx="177">
                  <c:v>2742</c:v>
                </c:pt>
                <c:pt idx="178">
                  <c:v>2742</c:v>
                </c:pt>
                <c:pt idx="179">
                  <c:v>2742</c:v>
                </c:pt>
                <c:pt idx="180">
                  <c:v>2747</c:v>
                </c:pt>
                <c:pt idx="181">
                  <c:v>2750</c:v>
                </c:pt>
                <c:pt idx="182">
                  <c:v>2750</c:v>
                </c:pt>
                <c:pt idx="183">
                  <c:v>2750</c:v>
                </c:pt>
                <c:pt idx="184">
                  <c:v>2750</c:v>
                </c:pt>
                <c:pt idx="185">
                  <c:v>2758</c:v>
                </c:pt>
                <c:pt idx="186">
                  <c:v>2758</c:v>
                </c:pt>
                <c:pt idx="187">
                  <c:v>2764</c:v>
                </c:pt>
                <c:pt idx="188">
                  <c:v>2764</c:v>
                </c:pt>
                <c:pt idx="189">
                  <c:v>2764</c:v>
                </c:pt>
                <c:pt idx="190">
                  <c:v>2785</c:v>
                </c:pt>
                <c:pt idx="191">
                  <c:v>2785</c:v>
                </c:pt>
                <c:pt idx="192">
                  <c:v>2790</c:v>
                </c:pt>
                <c:pt idx="193">
                  <c:v>2790</c:v>
                </c:pt>
                <c:pt idx="194">
                  <c:v>2797</c:v>
                </c:pt>
                <c:pt idx="195">
                  <c:v>2808</c:v>
                </c:pt>
                <c:pt idx="196">
                  <c:v>2808</c:v>
                </c:pt>
                <c:pt idx="197">
                  <c:v>2809</c:v>
                </c:pt>
                <c:pt idx="198">
                  <c:v>2824</c:v>
                </c:pt>
                <c:pt idx="199">
                  <c:v>2824</c:v>
                </c:pt>
                <c:pt idx="200">
                  <c:v>2824</c:v>
                </c:pt>
                <c:pt idx="201">
                  <c:v>2824</c:v>
                </c:pt>
                <c:pt idx="202">
                  <c:v>2824</c:v>
                </c:pt>
                <c:pt idx="203">
                  <c:v>2824</c:v>
                </c:pt>
                <c:pt idx="204">
                  <c:v>2824</c:v>
                </c:pt>
                <c:pt idx="205">
                  <c:v>2824</c:v>
                </c:pt>
                <c:pt idx="206">
                  <c:v>2824</c:v>
                </c:pt>
                <c:pt idx="207">
                  <c:v>2824</c:v>
                </c:pt>
                <c:pt idx="208">
                  <c:v>2824</c:v>
                </c:pt>
                <c:pt idx="209">
                  <c:v>2824</c:v>
                </c:pt>
                <c:pt idx="210">
                  <c:v>2824</c:v>
                </c:pt>
                <c:pt idx="211">
                  <c:v>2824</c:v>
                </c:pt>
                <c:pt idx="212">
                  <c:v>2824</c:v>
                </c:pt>
                <c:pt idx="213">
                  <c:v>2824</c:v>
                </c:pt>
                <c:pt idx="214">
                  <c:v>2824</c:v>
                </c:pt>
                <c:pt idx="215">
                  <c:v>2824</c:v>
                </c:pt>
                <c:pt idx="216">
                  <c:v>2824</c:v>
                </c:pt>
                <c:pt idx="217">
                  <c:v>2824</c:v>
                </c:pt>
                <c:pt idx="218">
                  <c:v>2824</c:v>
                </c:pt>
                <c:pt idx="219">
                  <c:v>2824</c:v>
                </c:pt>
                <c:pt idx="220">
                  <c:v>2824</c:v>
                </c:pt>
                <c:pt idx="221">
                  <c:v>2824</c:v>
                </c:pt>
                <c:pt idx="222">
                  <c:v>2824</c:v>
                </c:pt>
                <c:pt idx="223">
                  <c:v>2824</c:v>
                </c:pt>
                <c:pt idx="224">
                  <c:v>2825</c:v>
                </c:pt>
                <c:pt idx="225">
                  <c:v>2840</c:v>
                </c:pt>
                <c:pt idx="226">
                  <c:v>2872</c:v>
                </c:pt>
                <c:pt idx="227">
                  <c:v>2872</c:v>
                </c:pt>
                <c:pt idx="228">
                  <c:v>2890</c:v>
                </c:pt>
                <c:pt idx="229">
                  <c:v>2900</c:v>
                </c:pt>
                <c:pt idx="230">
                  <c:v>2908</c:v>
                </c:pt>
                <c:pt idx="231">
                  <c:v>2908</c:v>
                </c:pt>
                <c:pt idx="232">
                  <c:v>2932</c:v>
                </c:pt>
                <c:pt idx="233">
                  <c:v>2959</c:v>
                </c:pt>
                <c:pt idx="234">
                  <c:v>2986</c:v>
                </c:pt>
                <c:pt idx="235">
                  <c:v>3005</c:v>
                </c:pt>
                <c:pt idx="236">
                  <c:v>3005</c:v>
                </c:pt>
                <c:pt idx="237">
                  <c:v>3005</c:v>
                </c:pt>
                <c:pt idx="238">
                  <c:v>3005</c:v>
                </c:pt>
                <c:pt idx="239">
                  <c:v>3005</c:v>
                </c:pt>
                <c:pt idx="240">
                  <c:v>3029</c:v>
                </c:pt>
                <c:pt idx="241">
                  <c:v>3032</c:v>
                </c:pt>
                <c:pt idx="242">
                  <c:v>3091</c:v>
                </c:pt>
                <c:pt idx="243">
                  <c:v>3091</c:v>
                </c:pt>
                <c:pt idx="244">
                  <c:v>3091</c:v>
                </c:pt>
                <c:pt idx="245">
                  <c:v>3091</c:v>
                </c:pt>
                <c:pt idx="246">
                  <c:v>3091</c:v>
                </c:pt>
                <c:pt idx="247">
                  <c:v>3100</c:v>
                </c:pt>
                <c:pt idx="248">
                  <c:v>3100</c:v>
                </c:pt>
                <c:pt idx="249">
                  <c:v>3100</c:v>
                </c:pt>
                <c:pt idx="250">
                  <c:v>3100</c:v>
                </c:pt>
                <c:pt idx="251">
                  <c:v>3108</c:v>
                </c:pt>
                <c:pt idx="252">
                  <c:v>3237</c:v>
                </c:pt>
                <c:pt idx="253">
                  <c:v>3237</c:v>
                </c:pt>
                <c:pt idx="254">
                  <c:v>3237</c:v>
                </c:pt>
                <c:pt idx="255">
                  <c:v>3237</c:v>
                </c:pt>
                <c:pt idx="256">
                  <c:v>3237</c:v>
                </c:pt>
                <c:pt idx="257">
                  <c:v>3300</c:v>
                </c:pt>
                <c:pt idx="258">
                  <c:v>3300</c:v>
                </c:pt>
                <c:pt idx="259">
                  <c:v>3388</c:v>
                </c:pt>
                <c:pt idx="260">
                  <c:v>3398</c:v>
                </c:pt>
                <c:pt idx="261">
                  <c:v>3398</c:v>
                </c:pt>
                <c:pt idx="262">
                  <c:v>3398</c:v>
                </c:pt>
                <c:pt idx="263">
                  <c:v>3400</c:v>
                </c:pt>
                <c:pt idx="264">
                  <c:v>3400</c:v>
                </c:pt>
                <c:pt idx="265">
                  <c:v>3400</c:v>
                </c:pt>
                <c:pt idx="266">
                  <c:v>3400</c:v>
                </c:pt>
                <c:pt idx="267">
                  <c:v>3414</c:v>
                </c:pt>
                <c:pt idx="268">
                  <c:v>3424</c:v>
                </c:pt>
                <c:pt idx="269">
                  <c:v>3424</c:v>
                </c:pt>
                <c:pt idx="270">
                  <c:v>3424</c:v>
                </c:pt>
                <c:pt idx="271">
                  <c:v>3424</c:v>
                </c:pt>
                <c:pt idx="272">
                  <c:v>3426</c:v>
                </c:pt>
                <c:pt idx="273">
                  <c:v>3426</c:v>
                </c:pt>
                <c:pt idx="274">
                  <c:v>3429</c:v>
                </c:pt>
                <c:pt idx="275">
                  <c:v>3429</c:v>
                </c:pt>
                <c:pt idx="276">
                  <c:v>3429</c:v>
                </c:pt>
                <c:pt idx="277">
                  <c:v>3429</c:v>
                </c:pt>
                <c:pt idx="278">
                  <c:v>3430</c:v>
                </c:pt>
                <c:pt idx="279">
                  <c:v>3430</c:v>
                </c:pt>
                <c:pt idx="280">
                  <c:v>3430</c:v>
                </c:pt>
                <c:pt idx="281">
                  <c:v>3430</c:v>
                </c:pt>
                <c:pt idx="282">
                  <c:v>3469</c:v>
                </c:pt>
                <c:pt idx="283">
                  <c:v>3469</c:v>
                </c:pt>
                <c:pt idx="284">
                  <c:v>3500</c:v>
                </c:pt>
                <c:pt idx="285">
                  <c:v>3500</c:v>
                </c:pt>
                <c:pt idx="286">
                  <c:v>3510</c:v>
                </c:pt>
                <c:pt idx="287">
                  <c:v>3534</c:v>
                </c:pt>
                <c:pt idx="288">
                  <c:v>3534</c:v>
                </c:pt>
                <c:pt idx="289">
                  <c:v>3534</c:v>
                </c:pt>
                <c:pt idx="290">
                  <c:v>3534</c:v>
                </c:pt>
                <c:pt idx="291">
                  <c:v>3534</c:v>
                </c:pt>
                <c:pt idx="292">
                  <c:v>3534</c:v>
                </c:pt>
                <c:pt idx="293">
                  <c:v>3534</c:v>
                </c:pt>
                <c:pt idx="294">
                  <c:v>3534</c:v>
                </c:pt>
                <c:pt idx="295">
                  <c:v>3534</c:v>
                </c:pt>
                <c:pt idx="296">
                  <c:v>3534</c:v>
                </c:pt>
                <c:pt idx="297">
                  <c:v>3586</c:v>
                </c:pt>
                <c:pt idx="298">
                  <c:v>3586</c:v>
                </c:pt>
                <c:pt idx="299">
                  <c:v>3586</c:v>
                </c:pt>
                <c:pt idx="300">
                  <c:v>3600</c:v>
                </c:pt>
                <c:pt idx="301">
                  <c:v>3606</c:v>
                </c:pt>
                <c:pt idx="302">
                  <c:v>3607</c:v>
                </c:pt>
                <c:pt idx="303">
                  <c:v>3630</c:v>
                </c:pt>
                <c:pt idx="304">
                  <c:v>3630</c:v>
                </c:pt>
                <c:pt idx="305">
                  <c:v>3635</c:v>
                </c:pt>
                <c:pt idx="306">
                  <c:v>3635</c:v>
                </c:pt>
                <c:pt idx="307">
                  <c:v>3646</c:v>
                </c:pt>
                <c:pt idx="308">
                  <c:v>3646</c:v>
                </c:pt>
                <c:pt idx="309">
                  <c:v>3649</c:v>
                </c:pt>
                <c:pt idx="310">
                  <c:v>3660</c:v>
                </c:pt>
                <c:pt idx="311">
                  <c:v>3700</c:v>
                </c:pt>
                <c:pt idx="312">
                  <c:v>3700</c:v>
                </c:pt>
                <c:pt idx="313">
                  <c:v>3700</c:v>
                </c:pt>
                <c:pt idx="314">
                  <c:v>3739</c:v>
                </c:pt>
                <c:pt idx="315">
                  <c:v>3739</c:v>
                </c:pt>
                <c:pt idx="316">
                  <c:v>3739</c:v>
                </c:pt>
                <c:pt idx="317">
                  <c:v>3739</c:v>
                </c:pt>
                <c:pt idx="318">
                  <c:v>3753</c:v>
                </c:pt>
                <c:pt idx="319">
                  <c:v>3800</c:v>
                </c:pt>
                <c:pt idx="320">
                  <c:v>3800</c:v>
                </c:pt>
                <c:pt idx="321">
                  <c:v>3800</c:v>
                </c:pt>
                <c:pt idx="322">
                  <c:v>3802</c:v>
                </c:pt>
                <c:pt idx="323">
                  <c:v>3802</c:v>
                </c:pt>
                <c:pt idx="324">
                  <c:v>3802</c:v>
                </c:pt>
                <c:pt idx="325">
                  <c:v>3802</c:v>
                </c:pt>
                <c:pt idx="326">
                  <c:v>3808</c:v>
                </c:pt>
                <c:pt idx="327">
                  <c:v>3842</c:v>
                </c:pt>
                <c:pt idx="328">
                  <c:v>3853</c:v>
                </c:pt>
                <c:pt idx="329">
                  <c:v>3853</c:v>
                </c:pt>
                <c:pt idx="330">
                  <c:v>3853</c:v>
                </c:pt>
                <c:pt idx="331">
                  <c:v>3868</c:v>
                </c:pt>
                <c:pt idx="332">
                  <c:v>3868</c:v>
                </c:pt>
                <c:pt idx="333">
                  <c:v>3884</c:v>
                </c:pt>
                <c:pt idx="334">
                  <c:v>3884</c:v>
                </c:pt>
                <c:pt idx="335">
                  <c:v>3884</c:v>
                </c:pt>
                <c:pt idx="336">
                  <c:v>3884</c:v>
                </c:pt>
                <c:pt idx="337">
                  <c:v>3937</c:v>
                </c:pt>
                <c:pt idx="338">
                  <c:v>3937</c:v>
                </c:pt>
                <c:pt idx="339">
                  <c:v>3961</c:v>
                </c:pt>
                <c:pt idx="340">
                  <c:v>3963</c:v>
                </c:pt>
                <c:pt idx="341">
                  <c:v>3963</c:v>
                </c:pt>
                <c:pt idx="342">
                  <c:v>4000</c:v>
                </c:pt>
                <c:pt idx="343">
                  <c:v>4000</c:v>
                </c:pt>
                <c:pt idx="344">
                  <c:v>4024</c:v>
                </c:pt>
                <c:pt idx="345">
                  <c:v>4038</c:v>
                </c:pt>
                <c:pt idx="346">
                  <c:v>4038</c:v>
                </c:pt>
                <c:pt idx="347">
                  <c:v>4043</c:v>
                </c:pt>
                <c:pt idx="348">
                  <c:v>4043</c:v>
                </c:pt>
                <c:pt idx="349">
                  <c:v>4045</c:v>
                </c:pt>
                <c:pt idx="350">
                  <c:v>4045</c:v>
                </c:pt>
                <c:pt idx="351">
                  <c:v>4045</c:v>
                </c:pt>
                <c:pt idx="352">
                  <c:v>4045</c:v>
                </c:pt>
                <c:pt idx="353">
                  <c:v>4050</c:v>
                </c:pt>
                <c:pt idx="354">
                  <c:v>4056</c:v>
                </c:pt>
                <c:pt idx="355">
                  <c:v>4112</c:v>
                </c:pt>
                <c:pt idx="356">
                  <c:v>4112</c:v>
                </c:pt>
                <c:pt idx="357">
                  <c:v>4112</c:v>
                </c:pt>
                <c:pt idx="358">
                  <c:v>4112</c:v>
                </c:pt>
                <c:pt idx="359">
                  <c:v>4112</c:v>
                </c:pt>
                <c:pt idx="360">
                  <c:v>4115</c:v>
                </c:pt>
                <c:pt idx="361">
                  <c:v>4115</c:v>
                </c:pt>
                <c:pt idx="362">
                  <c:v>4115</c:v>
                </c:pt>
                <c:pt idx="363">
                  <c:v>4132</c:v>
                </c:pt>
                <c:pt idx="364">
                  <c:v>4132</c:v>
                </c:pt>
                <c:pt idx="365">
                  <c:v>4132</c:v>
                </c:pt>
                <c:pt idx="366">
                  <c:v>4132</c:v>
                </c:pt>
                <c:pt idx="367">
                  <c:v>4154</c:v>
                </c:pt>
                <c:pt idx="368">
                  <c:v>4158</c:v>
                </c:pt>
                <c:pt idx="369">
                  <c:v>4173</c:v>
                </c:pt>
                <c:pt idx="370">
                  <c:v>4178</c:v>
                </c:pt>
                <c:pt idx="371">
                  <c:v>4196</c:v>
                </c:pt>
                <c:pt idx="372">
                  <c:v>4248</c:v>
                </c:pt>
                <c:pt idx="373">
                  <c:v>4248</c:v>
                </c:pt>
                <c:pt idx="374">
                  <c:v>4248</c:v>
                </c:pt>
                <c:pt idx="375">
                  <c:v>4250</c:v>
                </c:pt>
                <c:pt idx="376">
                  <c:v>4250</c:v>
                </c:pt>
                <c:pt idx="377">
                  <c:v>4250</c:v>
                </c:pt>
                <c:pt idx="378">
                  <c:v>4250</c:v>
                </c:pt>
                <c:pt idx="379">
                  <c:v>4250</c:v>
                </c:pt>
                <c:pt idx="380">
                  <c:v>4250</c:v>
                </c:pt>
                <c:pt idx="381">
                  <c:v>4250</c:v>
                </c:pt>
                <c:pt idx="382">
                  <c:v>4250</c:v>
                </c:pt>
                <c:pt idx="383">
                  <c:v>4250</c:v>
                </c:pt>
                <c:pt idx="384">
                  <c:v>4250</c:v>
                </c:pt>
                <c:pt idx="385">
                  <c:v>4250</c:v>
                </c:pt>
                <c:pt idx="386">
                  <c:v>4250</c:v>
                </c:pt>
                <c:pt idx="387">
                  <c:v>4250</c:v>
                </c:pt>
                <c:pt idx="388">
                  <c:v>4250</c:v>
                </c:pt>
                <c:pt idx="389">
                  <c:v>4250</c:v>
                </c:pt>
                <c:pt idx="390">
                  <c:v>4250</c:v>
                </c:pt>
                <c:pt idx="391">
                  <c:v>4250</c:v>
                </c:pt>
                <c:pt idx="392">
                  <c:v>4250</c:v>
                </c:pt>
                <c:pt idx="393">
                  <c:v>4250</c:v>
                </c:pt>
                <c:pt idx="394">
                  <c:v>4250</c:v>
                </c:pt>
                <c:pt idx="395">
                  <c:v>4250</c:v>
                </c:pt>
                <c:pt idx="396">
                  <c:v>4250</c:v>
                </c:pt>
                <c:pt idx="397">
                  <c:v>4250</c:v>
                </c:pt>
                <c:pt idx="398">
                  <c:v>4250</c:v>
                </c:pt>
                <c:pt idx="399">
                  <c:v>4250</c:v>
                </c:pt>
                <c:pt idx="400">
                  <c:v>4250</c:v>
                </c:pt>
                <c:pt idx="401">
                  <c:v>4250</c:v>
                </c:pt>
                <c:pt idx="402">
                  <c:v>4250</c:v>
                </c:pt>
                <c:pt idx="403">
                  <c:v>4250</c:v>
                </c:pt>
                <c:pt idx="404">
                  <c:v>4250</c:v>
                </c:pt>
                <c:pt idx="405">
                  <c:v>4250</c:v>
                </c:pt>
                <c:pt idx="406">
                  <c:v>4252</c:v>
                </c:pt>
                <c:pt idx="407">
                  <c:v>4252</c:v>
                </c:pt>
                <c:pt idx="408">
                  <c:v>4252</c:v>
                </c:pt>
                <c:pt idx="409">
                  <c:v>4252</c:v>
                </c:pt>
                <c:pt idx="410">
                  <c:v>4253</c:v>
                </c:pt>
                <c:pt idx="411">
                  <c:v>4253</c:v>
                </c:pt>
                <c:pt idx="412">
                  <c:v>4253</c:v>
                </c:pt>
                <c:pt idx="413">
                  <c:v>4253</c:v>
                </c:pt>
                <c:pt idx="414">
                  <c:v>4253</c:v>
                </c:pt>
                <c:pt idx="415">
                  <c:v>4253</c:v>
                </c:pt>
                <c:pt idx="416">
                  <c:v>4253</c:v>
                </c:pt>
                <c:pt idx="417">
                  <c:v>4253</c:v>
                </c:pt>
                <c:pt idx="418">
                  <c:v>4253</c:v>
                </c:pt>
                <c:pt idx="419">
                  <c:v>4253</c:v>
                </c:pt>
                <c:pt idx="420">
                  <c:v>4253</c:v>
                </c:pt>
                <c:pt idx="421">
                  <c:v>4253</c:v>
                </c:pt>
                <c:pt idx="422">
                  <c:v>4253</c:v>
                </c:pt>
                <c:pt idx="423">
                  <c:v>4253</c:v>
                </c:pt>
                <c:pt idx="424">
                  <c:v>4253</c:v>
                </c:pt>
                <c:pt idx="425">
                  <c:v>4253</c:v>
                </c:pt>
                <c:pt idx="426">
                  <c:v>4254</c:v>
                </c:pt>
                <c:pt idx="427">
                  <c:v>4254</c:v>
                </c:pt>
                <c:pt idx="428">
                  <c:v>4254</c:v>
                </c:pt>
                <c:pt idx="429">
                  <c:v>4254</c:v>
                </c:pt>
                <c:pt idx="430">
                  <c:v>4254</c:v>
                </c:pt>
                <c:pt idx="431">
                  <c:v>4255</c:v>
                </c:pt>
                <c:pt idx="432">
                  <c:v>4255</c:v>
                </c:pt>
                <c:pt idx="433">
                  <c:v>4255</c:v>
                </c:pt>
                <c:pt idx="434">
                  <c:v>4255</c:v>
                </c:pt>
                <c:pt idx="435">
                  <c:v>4256</c:v>
                </c:pt>
                <c:pt idx="436">
                  <c:v>4292</c:v>
                </c:pt>
                <c:pt idx="437">
                  <c:v>4292</c:v>
                </c:pt>
                <c:pt idx="438">
                  <c:v>4294</c:v>
                </c:pt>
                <c:pt idx="439">
                  <c:v>4298</c:v>
                </c:pt>
                <c:pt idx="440">
                  <c:v>4298</c:v>
                </c:pt>
                <c:pt idx="441">
                  <c:v>4298</c:v>
                </c:pt>
                <c:pt idx="442">
                  <c:v>4300</c:v>
                </c:pt>
                <c:pt idx="443">
                  <c:v>4300</c:v>
                </c:pt>
                <c:pt idx="444">
                  <c:v>4300</c:v>
                </c:pt>
                <c:pt idx="445">
                  <c:v>4300</c:v>
                </c:pt>
                <c:pt idx="446">
                  <c:v>4300</c:v>
                </c:pt>
                <c:pt idx="447">
                  <c:v>4300</c:v>
                </c:pt>
                <c:pt idx="448">
                  <c:v>4300</c:v>
                </c:pt>
                <c:pt idx="449">
                  <c:v>4308</c:v>
                </c:pt>
                <c:pt idx="450">
                  <c:v>4308</c:v>
                </c:pt>
                <c:pt idx="451">
                  <c:v>4315</c:v>
                </c:pt>
                <c:pt idx="452">
                  <c:v>4319</c:v>
                </c:pt>
                <c:pt idx="453">
                  <c:v>4319</c:v>
                </c:pt>
                <c:pt idx="454">
                  <c:v>4322</c:v>
                </c:pt>
                <c:pt idx="455">
                  <c:v>4330</c:v>
                </c:pt>
                <c:pt idx="456">
                  <c:v>4350</c:v>
                </c:pt>
                <c:pt idx="457">
                  <c:v>4360</c:v>
                </c:pt>
                <c:pt idx="458">
                  <c:v>4360</c:v>
                </c:pt>
                <c:pt idx="459">
                  <c:v>4367</c:v>
                </c:pt>
                <c:pt idx="460">
                  <c:v>4380</c:v>
                </c:pt>
                <c:pt idx="461">
                  <c:v>4389</c:v>
                </c:pt>
                <c:pt idx="462">
                  <c:v>4389</c:v>
                </c:pt>
                <c:pt idx="463">
                  <c:v>4400</c:v>
                </c:pt>
                <c:pt idx="464">
                  <c:v>4400</c:v>
                </c:pt>
                <c:pt idx="465">
                  <c:v>4400</c:v>
                </c:pt>
                <c:pt idx="466">
                  <c:v>4400</c:v>
                </c:pt>
                <c:pt idx="467">
                  <c:v>4400</c:v>
                </c:pt>
                <c:pt idx="468">
                  <c:v>4400</c:v>
                </c:pt>
                <c:pt idx="469">
                  <c:v>4400</c:v>
                </c:pt>
                <c:pt idx="470">
                  <c:v>4402</c:v>
                </c:pt>
                <c:pt idx="471">
                  <c:v>4402</c:v>
                </c:pt>
                <c:pt idx="472">
                  <c:v>4402</c:v>
                </c:pt>
                <c:pt idx="473">
                  <c:v>4409</c:v>
                </c:pt>
                <c:pt idx="474">
                  <c:v>4437</c:v>
                </c:pt>
                <c:pt idx="475">
                  <c:v>4437</c:v>
                </c:pt>
                <c:pt idx="476">
                  <c:v>4437</c:v>
                </c:pt>
                <c:pt idx="477">
                  <c:v>4437</c:v>
                </c:pt>
                <c:pt idx="478">
                  <c:v>4437</c:v>
                </c:pt>
                <c:pt idx="479">
                  <c:v>4444</c:v>
                </c:pt>
                <c:pt idx="480">
                  <c:v>4469</c:v>
                </c:pt>
                <c:pt idx="481">
                  <c:v>4492</c:v>
                </c:pt>
                <c:pt idx="482">
                  <c:v>4500</c:v>
                </c:pt>
                <c:pt idx="483">
                  <c:v>4500</c:v>
                </c:pt>
                <c:pt idx="484">
                  <c:v>4504</c:v>
                </c:pt>
                <c:pt idx="485">
                  <c:v>4507</c:v>
                </c:pt>
                <c:pt idx="486">
                  <c:v>4507</c:v>
                </c:pt>
                <c:pt idx="487">
                  <c:v>4520</c:v>
                </c:pt>
                <c:pt idx="488">
                  <c:v>4520</c:v>
                </c:pt>
                <c:pt idx="489">
                  <c:v>4520</c:v>
                </c:pt>
                <c:pt idx="490">
                  <c:v>4520</c:v>
                </c:pt>
                <c:pt idx="491">
                  <c:v>4544</c:v>
                </c:pt>
                <c:pt idx="492">
                  <c:v>4545</c:v>
                </c:pt>
                <c:pt idx="493">
                  <c:v>4545</c:v>
                </c:pt>
                <c:pt idx="494">
                  <c:v>4546</c:v>
                </c:pt>
                <c:pt idx="495">
                  <c:v>4571</c:v>
                </c:pt>
                <c:pt idx="496">
                  <c:v>4571</c:v>
                </c:pt>
                <c:pt idx="497">
                  <c:v>4578</c:v>
                </c:pt>
                <c:pt idx="498">
                  <c:v>4578</c:v>
                </c:pt>
                <c:pt idx="499">
                  <c:v>4578</c:v>
                </c:pt>
                <c:pt idx="500">
                  <c:v>4600</c:v>
                </c:pt>
                <c:pt idx="501">
                  <c:v>4600</c:v>
                </c:pt>
                <c:pt idx="502">
                  <c:v>4612</c:v>
                </c:pt>
                <c:pt idx="503">
                  <c:v>4612</c:v>
                </c:pt>
                <c:pt idx="504">
                  <c:v>4616</c:v>
                </c:pt>
                <c:pt idx="505">
                  <c:v>4639</c:v>
                </c:pt>
                <c:pt idx="506">
                  <c:v>4639</c:v>
                </c:pt>
                <c:pt idx="507">
                  <c:v>4639</c:v>
                </c:pt>
                <c:pt idx="508">
                  <c:v>4651</c:v>
                </c:pt>
                <c:pt idx="509">
                  <c:v>4658</c:v>
                </c:pt>
                <c:pt idx="510">
                  <c:v>4662</c:v>
                </c:pt>
                <c:pt idx="511">
                  <c:v>4662</c:v>
                </c:pt>
                <c:pt idx="512">
                  <c:v>4662</c:v>
                </c:pt>
                <c:pt idx="513">
                  <c:v>4662</c:v>
                </c:pt>
                <c:pt idx="514">
                  <c:v>4700</c:v>
                </c:pt>
                <c:pt idx="515">
                  <c:v>4700</c:v>
                </c:pt>
                <c:pt idx="516">
                  <c:v>4700</c:v>
                </c:pt>
                <c:pt idx="517">
                  <c:v>4706</c:v>
                </c:pt>
                <c:pt idx="518">
                  <c:v>4728</c:v>
                </c:pt>
                <c:pt idx="519">
                  <c:v>4728</c:v>
                </c:pt>
                <c:pt idx="520">
                  <c:v>4738</c:v>
                </c:pt>
                <c:pt idx="521">
                  <c:v>4738</c:v>
                </c:pt>
                <c:pt idx="522">
                  <c:v>4738</c:v>
                </c:pt>
                <c:pt idx="523">
                  <c:v>4738</c:v>
                </c:pt>
                <c:pt idx="524">
                  <c:v>4743</c:v>
                </c:pt>
                <c:pt idx="525">
                  <c:v>4803</c:v>
                </c:pt>
                <c:pt idx="526">
                  <c:v>4814</c:v>
                </c:pt>
                <c:pt idx="527">
                  <c:v>4839</c:v>
                </c:pt>
                <c:pt idx="528">
                  <c:v>4839</c:v>
                </c:pt>
                <c:pt idx="529">
                  <c:v>4843</c:v>
                </c:pt>
                <c:pt idx="530">
                  <c:v>4846</c:v>
                </c:pt>
                <c:pt idx="531">
                  <c:v>4860</c:v>
                </c:pt>
                <c:pt idx="532">
                  <c:v>4860</c:v>
                </c:pt>
                <c:pt idx="533">
                  <c:v>4860</c:v>
                </c:pt>
                <c:pt idx="534">
                  <c:v>4860</c:v>
                </c:pt>
                <c:pt idx="535">
                  <c:v>4860</c:v>
                </c:pt>
                <c:pt idx="536">
                  <c:v>4860</c:v>
                </c:pt>
                <c:pt idx="537">
                  <c:v>4870</c:v>
                </c:pt>
                <c:pt idx="538">
                  <c:v>4872</c:v>
                </c:pt>
                <c:pt idx="539">
                  <c:v>4872</c:v>
                </c:pt>
                <c:pt idx="540">
                  <c:v>4884</c:v>
                </c:pt>
                <c:pt idx="541">
                  <c:v>4888</c:v>
                </c:pt>
                <c:pt idx="542">
                  <c:v>4888</c:v>
                </c:pt>
                <c:pt idx="543">
                  <c:v>4888</c:v>
                </c:pt>
                <c:pt idx="544">
                  <c:v>4888</c:v>
                </c:pt>
                <c:pt idx="545">
                  <c:v>4888</c:v>
                </c:pt>
                <c:pt idx="546">
                  <c:v>4888</c:v>
                </c:pt>
                <c:pt idx="547">
                  <c:v>4888</c:v>
                </c:pt>
                <c:pt idx="548">
                  <c:v>4888</c:v>
                </c:pt>
                <c:pt idx="549">
                  <c:v>4888</c:v>
                </c:pt>
                <c:pt idx="550">
                  <c:v>4888</c:v>
                </c:pt>
                <c:pt idx="551">
                  <c:v>4890</c:v>
                </c:pt>
                <c:pt idx="552">
                  <c:v>4890</c:v>
                </c:pt>
                <c:pt idx="553">
                  <c:v>4890</c:v>
                </c:pt>
                <c:pt idx="554">
                  <c:v>4890</c:v>
                </c:pt>
                <c:pt idx="555">
                  <c:v>4890</c:v>
                </c:pt>
                <c:pt idx="556">
                  <c:v>4900</c:v>
                </c:pt>
                <c:pt idx="557">
                  <c:v>4922</c:v>
                </c:pt>
                <c:pt idx="558">
                  <c:v>4922</c:v>
                </c:pt>
                <c:pt idx="559">
                  <c:v>4943</c:v>
                </c:pt>
                <c:pt idx="560">
                  <c:v>4944</c:v>
                </c:pt>
                <c:pt idx="561">
                  <c:v>4953</c:v>
                </c:pt>
                <c:pt idx="562">
                  <c:v>4953</c:v>
                </c:pt>
                <c:pt idx="563">
                  <c:v>4975</c:v>
                </c:pt>
                <c:pt idx="564">
                  <c:v>5015</c:v>
                </c:pt>
                <c:pt idx="565">
                  <c:v>5018</c:v>
                </c:pt>
                <c:pt idx="566">
                  <c:v>5018</c:v>
                </c:pt>
                <c:pt idx="567">
                  <c:v>5023</c:v>
                </c:pt>
                <c:pt idx="568">
                  <c:v>5029</c:v>
                </c:pt>
                <c:pt idx="569">
                  <c:v>5040</c:v>
                </c:pt>
                <c:pt idx="570">
                  <c:v>5041</c:v>
                </c:pt>
                <c:pt idx="571">
                  <c:v>5041</c:v>
                </c:pt>
                <c:pt idx="572">
                  <c:v>5041</c:v>
                </c:pt>
                <c:pt idx="573">
                  <c:v>5041</c:v>
                </c:pt>
                <c:pt idx="574">
                  <c:v>5042</c:v>
                </c:pt>
                <c:pt idx="575">
                  <c:v>5042</c:v>
                </c:pt>
                <c:pt idx="576">
                  <c:v>5042</c:v>
                </c:pt>
                <c:pt idx="577">
                  <c:v>5050</c:v>
                </c:pt>
                <c:pt idx="578">
                  <c:v>5050</c:v>
                </c:pt>
                <c:pt idx="579">
                  <c:v>5050</c:v>
                </c:pt>
                <c:pt idx="580">
                  <c:v>5050</c:v>
                </c:pt>
                <c:pt idx="581">
                  <c:v>5059</c:v>
                </c:pt>
                <c:pt idx="582">
                  <c:v>5059</c:v>
                </c:pt>
                <c:pt idx="583">
                  <c:v>5059</c:v>
                </c:pt>
                <c:pt idx="584">
                  <c:v>5059</c:v>
                </c:pt>
                <c:pt idx="585">
                  <c:v>5060</c:v>
                </c:pt>
                <c:pt idx="586">
                  <c:v>5060</c:v>
                </c:pt>
                <c:pt idx="587">
                  <c:v>5060</c:v>
                </c:pt>
                <c:pt idx="588">
                  <c:v>5060</c:v>
                </c:pt>
                <c:pt idx="589">
                  <c:v>5078</c:v>
                </c:pt>
                <c:pt idx="590">
                  <c:v>5086</c:v>
                </c:pt>
                <c:pt idx="591">
                  <c:v>5086</c:v>
                </c:pt>
                <c:pt idx="592">
                  <c:v>5089</c:v>
                </c:pt>
                <c:pt idx="593">
                  <c:v>5100</c:v>
                </c:pt>
                <c:pt idx="594">
                  <c:v>5100</c:v>
                </c:pt>
                <c:pt idx="595">
                  <c:v>5294</c:v>
                </c:pt>
                <c:pt idx="596">
                  <c:v>5294</c:v>
                </c:pt>
                <c:pt idx="597">
                  <c:v>5303</c:v>
                </c:pt>
                <c:pt idx="598">
                  <c:v>5303</c:v>
                </c:pt>
                <c:pt idx="599">
                  <c:v>5344</c:v>
                </c:pt>
                <c:pt idx="600">
                  <c:v>5344</c:v>
                </c:pt>
                <c:pt idx="601">
                  <c:v>5364</c:v>
                </c:pt>
                <c:pt idx="602">
                  <c:v>5418</c:v>
                </c:pt>
                <c:pt idx="603">
                  <c:v>5466</c:v>
                </c:pt>
                <c:pt idx="604">
                  <c:v>5468</c:v>
                </c:pt>
                <c:pt idx="605">
                  <c:v>5510</c:v>
                </c:pt>
                <c:pt idx="606">
                  <c:v>5512</c:v>
                </c:pt>
                <c:pt idx="607">
                  <c:v>5512</c:v>
                </c:pt>
                <c:pt idx="608">
                  <c:v>5514</c:v>
                </c:pt>
                <c:pt idx="609">
                  <c:v>5527</c:v>
                </c:pt>
                <c:pt idx="610">
                  <c:v>5527</c:v>
                </c:pt>
                <c:pt idx="611">
                  <c:v>5527</c:v>
                </c:pt>
                <c:pt idx="612">
                  <c:v>5527</c:v>
                </c:pt>
                <c:pt idx="613">
                  <c:v>5527</c:v>
                </c:pt>
                <c:pt idx="614">
                  <c:v>5527</c:v>
                </c:pt>
                <c:pt idx="615">
                  <c:v>5527</c:v>
                </c:pt>
                <c:pt idx="616">
                  <c:v>5550</c:v>
                </c:pt>
                <c:pt idx="617">
                  <c:v>5550</c:v>
                </c:pt>
                <c:pt idx="618">
                  <c:v>5550</c:v>
                </c:pt>
                <c:pt idx="619">
                  <c:v>5550</c:v>
                </c:pt>
                <c:pt idx="620">
                  <c:v>5550</c:v>
                </c:pt>
                <c:pt idx="621">
                  <c:v>5551</c:v>
                </c:pt>
                <c:pt idx="622">
                  <c:v>5551</c:v>
                </c:pt>
                <c:pt idx="623">
                  <c:v>5551</c:v>
                </c:pt>
                <c:pt idx="624">
                  <c:v>5551</c:v>
                </c:pt>
                <c:pt idx="625">
                  <c:v>5551</c:v>
                </c:pt>
                <c:pt idx="626">
                  <c:v>5551</c:v>
                </c:pt>
                <c:pt idx="627">
                  <c:v>5552</c:v>
                </c:pt>
                <c:pt idx="628">
                  <c:v>5552</c:v>
                </c:pt>
                <c:pt idx="629">
                  <c:v>5552</c:v>
                </c:pt>
                <c:pt idx="630">
                  <c:v>5552</c:v>
                </c:pt>
                <c:pt idx="631">
                  <c:v>5560</c:v>
                </c:pt>
                <c:pt idx="632">
                  <c:v>5568</c:v>
                </c:pt>
                <c:pt idx="633">
                  <c:v>5568</c:v>
                </c:pt>
                <c:pt idx="634">
                  <c:v>5572</c:v>
                </c:pt>
                <c:pt idx="635">
                  <c:v>5576</c:v>
                </c:pt>
                <c:pt idx="636">
                  <c:v>5576</c:v>
                </c:pt>
                <c:pt idx="637">
                  <c:v>5576</c:v>
                </c:pt>
                <c:pt idx="638">
                  <c:v>5576</c:v>
                </c:pt>
                <c:pt idx="639">
                  <c:v>5599</c:v>
                </c:pt>
                <c:pt idx="640">
                  <c:v>5605</c:v>
                </c:pt>
                <c:pt idx="641">
                  <c:v>5605</c:v>
                </c:pt>
                <c:pt idx="642">
                  <c:v>5605</c:v>
                </c:pt>
                <c:pt idx="643">
                  <c:v>5605</c:v>
                </c:pt>
                <c:pt idx="644">
                  <c:v>5606</c:v>
                </c:pt>
                <c:pt idx="645">
                  <c:v>5606</c:v>
                </c:pt>
                <c:pt idx="646">
                  <c:v>5606</c:v>
                </c:pt>
                <c:pt idx="647">
                  <c:v>5610</c:v>
                </c:pt>
                <c:pt idx="648">
                  <c:v>5618</c:v>
                </c:pt>
                <c:pt idx="649">
                  <c:v>5618</c:v>
                </c:pt>
                <c:pt idx="650">
                  <c:v>5618</c:v>
                </c:pt>
                <c:pt idx="651">
                  <c:v>5624</c:v>
                </c:pt>
                <c:pt idx="652">
                  <c:v>5648</c:v>
                </c:pt>
                <c:pt idx="653">
                  <c:v>5652</c:v>
                </c:pt>
                <c:pt idx="654">
                  <c:v>5652</c:v>
                </c:pt>
                <c:pt idx="655">
                  <c:v>5652</c:v>
                </c:pt>
                <c:pt idx="656">
                  <c:v>5668</c:v>
                </c:pt>
                <c:pt idx="657">
                  <c:v>5668</c:v>
                </c:pt>
                <c:pt idx="658">
                  <c:v>5668</c:v>
                </c:pt>
                <c:pt idx="659">
                  <c:v>5668</c:v>
                </c:pt>
                <c:pt idx="660">
                  <c:v>5680</c:v>
                </c:pt>
                <c:pt idx="661">
                  <c:v>5711</c:v>
                </c:pt>
                <c:pt idx="662">
                  <c:v>5711</c:v>
                </c:pt>
                <c:pt idx="663">
                  <c:v>5711</c:v>
                </c:pt>
                <c:pt idx="664">
                  <c:v>5714</c:v>
                </c:pt>
                <c:pt idx="665">
                  <c:v>5714</c:v>
                </c:pt>
                <c:pt idx="666">
                  <c:v>5752</c:v>
                </c:pt>
                <c:pt idx="667">
                  <c:v>5762</c:v>
                </c:pt>
                <c:pt idx="668">
                  <c:v>5762</c:v>
                </c:pt>
                <c:pt idx="669">
                  <c:v>5762</c:v>
                </c:pt>
                <c:pt idx="670">
                  <c:v>5762</c:v>
                </c:pt>
                <c:pt idx="671">
                  <c:v>5762</c:v>
                </c:pt>
                <c:pt idx="672">
                  <c:v>5762</c:v>
                </c:pt>
                <c:pt idx="673">
                  <c:v>5762</c:v>
                </c:pt>
                <c:pt idx="674">
                  <c:v>5762</c:v>
                </c:pt>
                <c:pt idx="675">
                  <c:v>5762</c:v>
                </c:pt>
                <c:pt idx="676">
                  <c:v>5762</c:v>
                </c:pt>
                <c:pt idx="677">
                  <c:v>5762</c:v>
                </c:pt>
                <c:pt idx="678">
                  <c:v>5762</c:v>
                </c:pt>
                <c:pt idx="679">
                  <c:v>5762</c:v>
                </c:pt>
                <c:pt idx="680">
                  <c:v>5770</c:v>
                </c:pt>
                <c:pt idx="681">
                  <c:v>5782</c:v>
                </c:pt>
                <c:pt idx="682">
                  <c:v>5782</c:v>
                </c:pt>
                <c:pt idx="683">
                  <c:v>5782</c:v>
                </c:pt>
                <c:pt idx="684">
                  <c:v>5782</c:v>
                </c:pt>
                <c:pt idx="685">
                  <c:v>5782</c:v>
                </c:pt>
                <c:pt idx="686">
                  <c:v>5782</c:v>
                </c:pt>
                <c:pt idx="687">
                  <c:v>5782</c:v>
                </c:pt>
                <c:pt idx="688">
                  <c:v>5782</c:v>
                </c:pt>
                <c:pt idx="689">
                  <c:v>5800</c:v>
                </c:pt>
                <c:pt idx="690">
                  <c:v>5800</c:v>
                </c:pt>
                <c:pt idx="691">
                  <c:v>5888</c:v>
                </c:pt>
                <c:pt idx="692">
                  <c:v>5888</c:v>
                </c:pt>
                <c:pt idx="693">
                  <c:v>5888</c:v>
                </c:pt>
                <c:pt idx="694">
                  <c:v>5888</c:v>
                </c:pt>
                <c:pt idx="695">
                  <c:v>5888</c:v>
                </c:pt>
                <c:pt idx="696">
                  <c:v>5896</c:v>
                </c:pt>
                <c:pt idx="697">
                  <c:v>5905</c:v>
                </c:pt>
                <c:pt idx="698">
                  <c:v>5905</c:v>
                </c:pt>
                <c:pt idx="699">
                  <c:v>5905</c:v>
                </c:pt>
                <c:pt idx="700">
                  <c:v>5905</c:v>
                </c:pt>
                <c:pt idx="701">
                  <c:v>5905</c:v>
                </c:pt>
                <c:pt idx="702">
                  <c:v>5905</c:v>
                </c:pt>
                <c:pt idx="703">
                  <c:v>5928</c:v>
                </c:pt>
                <c:pt idx="704">
                  <c:v>5928</c:v>
                </c:pt>
                <c:pt idx="705">
                  <c:v>6000</c:v>
                </c:pt>
                <c:pt idx="706">
                  <c:v>6000</c:v>
                </c:pt>
                <c:pt idx="707">
                  <c:v>6148</c:v>
                </c:pt>
                <c:pt idx="708">
                  <c:v>6178</c:v>
                </c:pt>
                <c:pt idx="709">
                  <c:v>6178</c:v>
                </c:pt>
                <c:pt idx="710">
                  <c:v>6178</c:v>
                </c:pt>
                <c:pt idx="711">
                  <c:v>6188</c:v>
                </c:pt>
                <c:pt idx="712">
                  <c:v>6200</c:v>
                </c:pt>
                <c:pt idx="713">
                  <c:v>6214</c:v>
                </c:pt>
                <c:pt idx="714">
                  <c:v>6214</c:v>
                </c:pt>
                <c:pt idx="715">
                  <c:v>6310</c:v>
                </c:pt>
                <c:pt idx="716">
                  <c:v>6332</c:v>
                </c:pt>
                <c:pt idx="717">
                  <c:v>6332</c:v>
                </c:pt>
                <c:pt idx="718">
                  <c:v>6332</c:v>
                </c:pt>
                <c:pt idx="719">
                  <c:v>6350</c:v>
                </c:pt>
                <c:pt idx="720">
                  <c:v>6350</c:v>
                </c:pt>
                <c:pt idx="721">
                  <c:v>6350</c:v>
                </c:pt>
                <c:pt idx="722">
                  <c:v>6350</c:v>
                </c:pt>
                <c:pt idx="723">
                  <c:v>6350</c:v>
                </c:pt>
                <c:pt idx="724">
                  <c:v>6350</c:v>
                </c:pt>
                <c:pt idx="725">
                  <c:v>6350</c:v>
                </c:pt>
                <c:pt idx="726">
                  <c:v>6350</c:v>
                </c:pt>
                <c:pt idx="727">
                  <c:v>6350</c:v>
                </c:pt>
                <c:pt idx="728">
                  <c:v>6350</c:v>
                </c:pt>
                <c:pt idx="729">
                  <c:v>6350</c:v>
                </c:pt>
                <c:pt idx="730">
                  <c:v>6350</c:v>
                </c:pt>
                <c:pt idx="731">
                  <c:v>6350</c:v>
                </c:pt>
                <c:pt idx="732">
                  <c:v>6350</c:v>
                </c:pt>
                <c:pt idx="733">
                  <c:v>6350</c:v>
                </c:pt>
                <c:pt idx="734">
                  <c:v>6350</c:v>
                </c:pt>
                <c:pt idx="735">
                  <c:v>6350</c:v>
                </c:pt>
                <c:pt idx="736">
                  <c:v>6402</c:v>
                </c:pt>
                <c:pt idx="737">
                  <c:v>6402</c:v>
                </c:pt>
                <c:pt idx="738">
                  <c:v>6402</c:v>
                </c:pt>
                <c:pt idx="739">
                  <c:v>6402</c:v>
                </c:pt>
                <c:pt idx="740">
                  <c:v>6402</c:v>
                </c:pt>
                <c:pt idx="741">
                  <c:v>6402</c:v>
                </c:pt>
                <c:pt idx="742">
                  <c:v>6402</c:v>
                </c:pt>
                <c:pt idx="743">
                  <c:v>6402</c:v>
                </c:pt>
                <c:pt idx="744">
                  <c:v>6402</c:v>
                </c:pt>
                <c:pt idx="745">
                  <c:v>6402</c:v>
                </c:pt>
                <c:pt idx="746">
                  <c:v>6418</c:v>
                </c:pt>
                <c:pt idx="747">
                  <c:v>6418</c:v>
                </c:pt>
                <c:pt idx="748">
                  <c:v>6418</c:v>
                </c:pt>
                <c:pt idx="749">
                  <c:v>6418</c:v>
                </c:pt>
                <c:pt idx="750">
                  <c:v>6420</c:v>
                </c:pt>
                <c:pt idx="751">
                  <c:v>6435</c:v>
                </c:pt>
                <c:pt idx="752">
                  <c:v>6435</c:v>
                </c:pt>
                <c:pt idx="753">
                  <c:v>6435</c:v>
                </c:pt>
                <c:pt idx="754">
                  <c:v>6435</c:v>
                </c:pt>
                <c:pt idx="755">
                  <c:v>6435</c:v>
                </c:pt>
                <c:pt idx="756">
                  <c:v>6435</c:v>
                </c:pt>
                <c:pt idx="757">
                  <c:v>6456</c:v>
                </c:pt>
                <c:pt idx="758">
                  <c:v>6456</c:v>
                </c:pt>
                <c:pt idx="759">
                  <c:v>6477</c:v>
                </c:pt>
                <c:pt idx="760">
                  <c:v>6478</c:v>
                </c:pt>
                <c:pt idx="761">
                  <c:v>6478</c:v>
                </c:pt>
                <c:pt idx="762">
                  <c:v>6492</c:v>
                </c:pt>
                <c:pt idx="763">
                  <c:v>6492</c:v>
                </c:pt>
                <c:pt idx="764">
                  <c:v>6492</c:v>
                </c:pt>
                <c:pt idx="765">
                  <c:v>6500</c:v>
                </c:pt>
                <c:pt idx="766">
                  <c:v>6500</c:v>
                </c:pt>
                <c:pt idx="767">
                  <c:v>6500</c:v>
                </c:pt>
                <c:pt idx="768">
                  <c:v>6500</c:v>
                </c:pt>
                <c:pt idx="769">
                  <c:v>6500</c:v>
                </c:pt>
                <c:pt idx="770">
                  <c:v>6500</c:v>
                </c:pt>
                <c:pt idx="771">
                  <c:v>6539</c:v>
                </c:pt>
                <c:pt idx="772">
                  <c:v>6539</c:v>
                </c:pt>
                <c:pt idx="773">
                  <c:v>6539</c:v>
                </c:pt>
                <c:pt idx="774">
                  <c:v>6539</c:v>
                </c:pt>
                <c:pt idx="775">
                  <c:v>6570</c:v>
                </c:pt>
                <c:pt idx="776">
                  <c:v>6570</c:v>
                </c:pt>
                <c:pt idx="777">
                  <c:v>6570</c:v>
                </c:pt>
                <c:pt idx="778">
                  <c:v>6570</c:v>
                </c:pt>
                <c:pt idx="779">
                  <c:v>6572</c:v>
                </c:pt>
                <c:pt idx="780">
                  <c:v>6572</c:v>
                </c:pt>
                <c:pt idx="781">
                  <c:v>6586</c:v>
                </c:pt>
                <c:pt idx="782">
                  <c:v>6586</c:v>
                </c:pt>
                <c:pt idx="783">
                  <c:v>6588</c:v>
                </c:pt>
                <c:pt idx="784">
                  <c:v>6588</c:v>
                </c:pt>
                <c:pt idx="785">
                  <c:v>6589</c:v>
                </c:pt>
                <c:pt idx="786">
                  <c:v>6589</c:v>
                </c:pt>
                <c:pt idx="787">
                  <c:v>6589</c:v>
                </c:pt>
                <c:pt idx="788">
                  <c:v>6589</c:v>
                </c:pt>
                <c:pt idx="789">
                  <c:v>6589</c:v>
                </c:pt>
                <c:pt idx="790">
                  <c:v>6612</c:v>
                </c:pt>
                <c:pt idx="791">
                  <c:v>6612</c:v>
                </c:pt>
                <c:pt idx="792">
                  <c:v>6622</c:v>
                </c:pt>
                <c:pt idx="793">
                  <c:v>6627</c:v>
                </c:pt>
                <c:pt idx="794">
                  <c:v>6627</c:v>
                </c:pt>
                <c:pt idx="795">
                  <c:v>6627</c:v>
                </c:pt>
                <c:pt idx="796">
                  <c:v>6627</c:v>
                </c:pt>
                <c:pt idx="797">
                  <c:v>6644</c:v>
                </c:pt>
                <c:pt idx="798">
                  <c:v>6655</c:v>
                </c:pt>
                <c:pt idx="799">
                  <c:v>6655</c:v>
                </c:pt>
                <c:pt idx="800">
                  <c:v>6655</c:v>
                </c:pt>
                <c:pt idx="801">
                  <c:v>6655</c:v>
                </c:pt>
                <c:pt idx="802">
                  <c:v>6655</c:v>
                </c:pt>
                <c:pt idx="803">
                  <c:v>6655</c:v>
                </c:pt>
                <c:pt idx="804">
                  <c:v>6661</c:v>
                </c:pt>
                <c:pt idx="805">
                  <c:v>6661</c:v>
                </c:pt>
                <c:pt idx="806">
                  <c:v>6724</c:v>
                </c:pt>
                <c:pt idx="807">
                  <c:v>6724</c:v>
                </c:pt>
                <c:pt idx="808">
                  <c:v>6724</c:v>
                </c:pt>
                <c:pt idx="809">
                  <c:v>6724</c:v>
                </c:pt>
                <c:pt idx="810">
                  <c:v>6724</c:v>
                </c:pt>
                <c:pt idx="811">
                  <c:v>6724</c:v>
                </c:pt>
                <c:pt idx="812">
                  <c:v>6724</c:v>
                </c:pt>
                <c:pt idx="813">
                  <c:v>6724</c:v>
                </c:pt>
                <c:pt idx="814">
                  <c:v>6724</c:v>
                </c:pt>
                <c:pt idx="815">
                  <c:v>6724</c:v>
                </c:pt>
                <c:pt idx="816">
                  <c:v>6730</c:v>
                </c:pt>
                <c:pt idx="817">
                  <c:v>6732</c:v>
                </c:pt>
                <c:pt idx="818">
                  <c:v>6732</c:v>
                </c:pt>
                <c:pt idx="819">
                  <c:v>6732</c:v>
                </c:pt>
                <c:pt idx="820">
                  <c:v>6732</c:v>
                </c:pt>
                <c:pt idx="821">
                  <c:v>6732</c:v>
                </c:pt>
                <c:pt idx="822">
                  <c:v>6732</c:v>
                </c:pt>
                <c:pt idx="823">
                  <c:v>6732</c:v>
                </c:pt>
                <c:pt idx="824">
                  <c:v>6732</c:v>
                </c:pt>
                <c:pt idx="825">
                  <c:v>6732</c:v>
                </c:pt>
                <c:pt idx="826">
                  <c:v>6732</c:v>
                </c:pt>
                <c:pt idx="827">
                  <c:v>6732</c:v>
                </c:pt>
                <c:pt idx="828">
                  <c:v>6750</c:v>
                </c:pt>
                <c:pt idx="829">
                  <c:v>6763</c:v>
                </c:pt>
                <c:pt idx="830">
                  <c:v>6763</c:v>
                </c:pt>
                <c:pt idx="831">
                  <c:v>6763</c:v>
                </c:pt>
                <c:pt idx="832">
                  <c:v>6763</c:v>
                </c:pt>
                <c:pt idx="833">
                  <c:v>6763</c:v>
                </c:pt>
                <c:pt idx="834">
                  <c:v>6845</c:v>
                </c:pt>
                <c:pt idx="835">
                  <c:v>6877</c:v>
                </c:pt>
                <c:pt idx="836">
                  <c:v>6882</c:v>
                </c:pt>
                <c:pt idx="837">
                  <c:v>6900</c:v>
                </c:pt>
                <c:pt idx="838">
                  <c:v>6900</c:v>
                </c:pt>
                <c:pt idx="839">
                  <c:v>6900</c:v>
                </c:pt>
                <c:pt idx="840">
                  <c:v>6921</c:v>
                </c:pt>
                <c:pt idx="841">
                  <c:v>6921</c:v>
                </c:pt>
                <c:pt idx="842">
                  <c:v>6966</c:v>
                </c:pt>
                <c:pt idx="843">
                  <c:v>6969</c:v>
                </c:pt>
                <c:pt idx="844">
                  <c:v>7000</c:v>
                </c:pt>
                <c:pt idx="845">
                  <c:v>7024</c:v>
                </c:pt>
                <c:pt idx="846">
                  <c:v>7024</c:v>
                </c:pt>
                <c:pt idx="847">
                  <c:v>7024</c:v>
                </c:pt>
                <c:pt idx="848">
                  <c:v>7024</c:v>
                </c:pt>
                <c:pt idx="849">
                  <c:v>7024</c:v>
                </c:pt>
                <c:pt idx="850">
                  <c:v>7024</c:v>
                </c:pt>
                <c:pt idx="851">
                  <c:v>7030</c:v>
                </c:pt>
                <c:pt idx="852">
                  <c:v>7030</c:v>
                </c:pt>
                <c:pt idx="853">
                  <c:v>7030</c:v>
                </c:pt>
                <c:pt idx="854">
                  <c:v>7030</c:v>
                </c:pt>
                <c:pt idx="855">
                  <c:v>7090</c:v>
                </c:pt>
                <c:pt idx="856">
                  <c:v>7090</c:v>
                </c:pt>
                <c:pt idx="857">
                  <c:v>7100</c:v>
                </c:pt>
                <c:pt idx="858">
                  <c:v>7100</c:v>
                </c:pt>
                <c:pt idx="859">
                  <c:v>7100</c:v>
                </c:pt>
                <c:pt idx="860">
                  <c:v>7154</c:v>
                </c:pt>
                <c:pt idx="861">
                  <c:v>7154</c:v>
                </c:pt>
                <c:pt idx="862">
                  <c:v>7226</c:v>
                </c:pt>
                <c:pt idx="863">
                  <c:v>7226</c:v>
                </c:pt>
                <c:pt idx="864">
                  <c:v>7226</c:v>
                </c:pt>
                <c:pt idx="865">
                  <c:v>7370</c:v>
                </c:pt>
                <c:pt idx="866">
                  <c:v>7370</c:v>
                </c:pt>
                <c:pt idx="867">
                  <c:v>7370</c:v>
                </c:pt>
                <c:pt idx="868">
                  <c:v>7370</c:v>
                </c:pt>
                <c:pt idx="869">
                  <c:v>7450</c:v>
                </c:pt>
                <c:pt idx="870">
                  <c:v>7450</c:v>
                </c:pt>
                <c:pt idx="871">
                  <c:v>7455</c:v>
                </c:pt>
                <c:pt idx="872">
                  <c:v>7455</c:v>
                </c:pt>
                <c:pt idx="873">
                  <c:v>7455</c:v>
                </c:pt>
                <c:pt idx="874">
                  <c:v>7455</c:v>
                </c:pt>
                <c:pt idx="875">
                  <c:v>7455</c:v>
                </c:pt>
                <c:pt idx="876">
                  <c:v>7471</c:v>
                </c:pt>
                <c:pt idx="877">
                  <c:v>7488</c:v>
                </c:pt>
                <c:pt idx="878">
                  <c:v>7500</c:v>
                </c:pt>
                <c:pt idx="879">
                  <c:v>7506</c:v>
                </c:pt>
                <c:pt idx="880">
                  <c:v>7506</c:v>
                </c:pt>
                <c:pt idx="881">
                  <c:v>7721</c:v>
                </c:pt>
                <c:pt idx="882">
                  <c:v>7747</c:v>
                </c:pt>
                <c:pt idx="883">
                  <c:v>7747</c:v>
                </c:pt>
                <c:pt idx="884">
                  <c:v>7747</c:v>
                </c:pt>
                <c:pt idx="885">
                  <c:v>7747</c:v>
                </c:pt>
                <c:pt idx="886">
                  <c:v>7943</c:v>
                </c:pt>
                <c:pt idx="887">
                  <c:v>7943</c:v>
                </c:pt>
                <c:pt idx="888">
                  <c:v>8000</c:v>
                </c:pt>
                <c:pt idx="889">
                  <c:v>8000</c:v>
                </c:pt>
                <c:pt idx="890">
                  <c:v>8000</c:v>
                </c:pt>
                <c:pt idx="891">
                  <c:v>8000</c:v>
                </c:pt>
                <c:pt idx="892">
                  <c:v>8000</c:v>
                </c:pt>
                <c:pt idx="893">
                  <c:v>8000</c:v>
                </c:pt>
                <c:pt idx="894">
                  <c:v>8034</c:v>
                </c:pt>
                <c:pt idx="895">
                  <c:v>8034</c:v>
                </c:pt>
                <c:pt idx="896">
                  <c:v>8034</c:v>
                </c:pt>
                <c:pt idx="897">
                  <c:v>8034</c:v>
                </c:pt>
                <c:pt idx="898">
                  <c:v>8034</c:v>
                </c:pt>
                <c:pt idx="899">
                  <c:v>8034</c:v>
                </c:pt>
                <c:pt idx="900">
                  <c:v>8034</c:v>
                </c:pt>
                <c:pt idx="901">
                  <c:v>8034</c:v>
                </c:pt>
                <c:pt idx="902">
                  <c:v>8063</c:v>
                </c:pt>
                <c:pt idx="903">
                  <c:v>8063</c:v>
                </c:pt>
                <c:pt idx="904">
                  <c:v>8063</c:v>
                </c:pt>
                <c:pt idx="905">
                  <c:v>8063</c:v>
                </c:pt>
                <c:pt idx="906">
                  <c:v>8063</c:v>
                </c:pt>
                <c:pt idx="907">
                  <c:v>8063</c:v>
                </c:pt>
                <c:pt idx="908">
                  <c:v>8063</c:v>
                </c:pt>
                <c:pt idx="909">
                  <c:v>8063</c:v>
                </c:pt>
                <c:pt idx="910">
                  <c:v>8063</c:v>
                </c:pt>
                <c:pt idx="911">
                  <c:v>8063</c:v>
                </c:pt>
                <c:pt idx="912">
                  <c:v>8069</c:v>
                </c:pt>
                <c:pt idx="913">
                  <c:v>8069</c:v>
                </c:pt>
                <c:pt idx="914">
                  <c:v>8073</c:v>
                </c:pt>
                <c:pt idx="915">
                  <c:v>8073</c:v>
                </c:pt>
                <c:pt idx="916">
                  <c:v>8073</c:v>
                </c:pt>
                <c:pt idx="917">
                  <c:v>8073</c:v>
                </c:pt>
                <c:pt idx="918">
                  <c:v>8073</c:v>
                </c:pt>
                <c:pt idx="919">
                  <c:v>8073</c:v>
                </c:pt>
                <c:pt idx="920">
                  <c:v>8084</c:v>
                </c:pt>
                <c:pt idx="921">
                  <c:v>8084</c:v>
                </c:pt>
                <c:pt idx="922">
                  <c:v>8086</c:v>
                </c:pt>
                <c:pt idx="923">
                  <c:v>8086</c:v>
                </c:pt>
                <c:pt idx="924">
                  <c:v>8100</c:v>
                </c:pt>
                <c:pt idx="925">
                  <c:v>8100</c:v>
                </c:pt>
                <c:pt idx="926">
                  <c:v>8100</c:v>
                </c:pt>
                <c:pt idx="927">
                  <c:v>8100</c:v>
                </c:pt>
                <c:pt idx="928">
                  <c:v>8102</c:v>
                </c:pt>
                <c:pt idx="929">
                  <c:v>8102</c:v>
                </c:pt>
                <c:pt idx="930">
                  <c:v>8110</c:v>
                </c:pt>
                <c:pt idx="931">
                  <c:v>8110</c:v>
                </c:pt>
                <c:pt idx="932">
                  <c:v>8110</c:v>
                </c:pt>
                <c:pt idx="933">
                  <c:v>8110</c:v>
                </c:pt>
                <c:pt idx="934">
                  <c:v>8112</c:v>
                </c:pt>
                <c:pt idx="935">
                  <c:v>8189</c:v>
                </c:pt>
                <c:pt idx="936">
                  <c:v>8204</c:v>
                </c:pt>
                <c:pt idx="937">
                  <c:v>8204</c:v>
                </c:pt>
                <c:pt idx="938">
                  <c:v>8204</c:v>
                </c:pt>
                <c:pt idx="939">
                  <c:v>8204</c:v>
                </c:pt>
                <c:pt idx="940">
                  <c:v>8204</c:v>
                </c:pt>
                <c:pt idx="941">
                  <c:v>8204</c:v>
                </c:pt>
                <c:pt idx="942">
                  <c:v>8204</c:v>
                </c:pt>
                <c:pt idx="943">
                  <c:v>8204</c:v>
                </c:pt>
                <c:pt idx="944">
                  <c:v>8208</c:v>
                </c:pt>
                <c:pt idx="945">
                  <c:v>8208</c:v>
                </c:pt>
                <c:pt idx="946">
                  <c:v>8208</c:v>
                </c:pt>
                <c:pt idx="947">
                  <c:v>8208</c:v>
                </c:pt>
                <c:pt idx="948">
                  <c:v>8212</c:v>
                </c:pt>
                <c:pt idx="949">
                  <c:v>8212</c:v>
                </c:pt>
                <c:pt idx="950">
                  <c:v>8212</c:v>
                </c:pt>
                <c:pt idx="951">
                  <c:v>8212</c:v>
                </c:pt>
                <c:pt idx="952">
                  <c:v>8212</c:v>
                </c:pt>
                <c:pt idx="953">
                  <c:v>8212</c:v>
                </c:pt>
                <c:pt idx="954">
                  <c:v>8212</c:v>
                </c:pt>
                <c:pt idx="955">
                  <c:v>8212</c:v>
                </c:pt>
                <c:pt idx="956">
                  <c:v>8238</c:v>
                </c:pt>
                <c:pt idx="957">
                  <c:v>8238</c:v>
                </c:pt>
                <c:pt idx="958">
                  <c:v>8240</c:v>
                </c:pt>
                <c:pt idx="959">
                  <c:v>8240</c:v>
                </c:pt>
                <c:pt idx="960">
                  <c:v>8241</c:v>
                </c:pt>
                <c:pt idx="961">
                  <c:v>8241</c:v>
                </c:pt>
                <c:pt idx="962">
                  <c:v>8241</c:v>
                </c:pt>
                <c:pt idx="963">
                  <c:v>8241</c:v>
                </c:pt>
                <c:pt idx="964">
                  <c:v>8379</c:v>
                </c:pt>
                <c:pt idx="965">
                  <c:v>8379</c:v>
                </c:pt>
                <c:pt idx="966">
                  <c:v>8379</c:v>
                </c:pt>
                <c:pt idx="967">
                  <c:v>8400</c:v>
                </c:pt>
                <c:pt idx="968">
                  <c:v>8400</c:v>
                </c:pt>
                <c:pt idx="969">
                  <c:v>8400</c:v>
                </c:pt>
                <c:pt idx="970">
                  <c:v>8400</c:v>
                </c:pt>
                <c:pt idx="971">
                  <c:v>8400</c:v>
                </c:pt>
                <c:pt idx="972">
                  <c:v>8400</c:v>
                </c:pt>
                <c:pt idx="973">
                  <c:v>8401</c:v>
                </c:pt>
                <c:pt idx="974">
                  <c:v>8401</c:v>
                </c:pt>
                <c:pt idx="975">
                  <c:v>8401</c:v>
                </c:pt>
                <c:pt idx="976">
                  <c:v>8401</c:v>
                </c:pt>
                <c:pt idx="977">
                  <c:v>8401</c:v>
                </c:pt>
                <c:pt idx="978">
                  <c:v>8411</c:v>
                </c:pt>
                <c:pt idx="979">
                  <c:v>8411</c:v>
                </c:pt>
                <c:pt idx="980">
                  <c:v>8411</c:v>
                </c:pt>
                <c:pt idx="981">
                  <c:v>8411</c:v>
                </c:pt>
                <c:pt idx="982">
                  <c:v>8440</c:v>
                </c:pt>
                <c:pt idx="983">
                  <c:v>8440</c:v>
                </c:pt>
                <c:pt idx="984">
                  <c:v>8450</c:v>
                </c:pt>
                <c:pt idx="985">
                  <c:v>8450</c:v>
                </c:pt>
                <c:pt idx="986">
                  <c:v>8452</c:v>
                </c:pt>
                <c:pt idx="987">
                  <c:v>8452</c:v>
                </c:pt>
                <c:pt idx="988">
                  <c:v>8452</c:v>
                </c:pt>
                <c:pt idx="989">
                  <c:v>8452</c:v>
                </c:pt>
                <c:pt idx="990">
                  <c:v>8452</c:v>
                </c:pt>
                <c:pt idx="991">
                  <c:v>8452</c:v>
                </c:pt>
                <c:pt idx="992">
                  <c:v>8452</c:v>
                </c:pt>
                <c:pt idx="993">
                  <c:v>8452</c:v>
                </c:pt>
                <c:pt idx="994">
                  <c:v>8452</c:v>
                </c:pt>
                <c:pt idx="995">
                  <c:v>8452</c:v>
                </c:pt>
                <c:pt idx="996">
                  <c:v>8452</c:v>
                </c:pt>
                <c:pt idx="997">
                  <c:v>8452</c:v>
                </c:pt>
                <c:pt idx="998">
                  <c:v>8452</c:v>
                </c:pt>
                <c:pt idx="999">
                  <c:v>8452</c:v>
                </c:pt>
                <c:pt idx="1000">
                  <c:v>8452</c:v>
                </c:pt>
                <c:pt idx="1001">
                  <c:v>8452</c:v>
                </c:pt>
                <c:pt idx="1002">
                  <c:v>8452</c:v>
                </c:pt>
                <c:pt idx="1003">
                  <c:v>8466</c:v>
                </c:pt>
                <c:pt idx="1004">
                  <c:v>8466</c:v>
                </c:pt>
                <c:pt idx="1005">
                  <c:v>8466</c:v>
                </c:pt>
                <c:pt idx="1006">
                  <c:v>8466</c:v>
                </c:pt>
                <c:pt idx="1007">
                  <c:v>8468</c:v>
                </c:pt>
                <c:pt idx="1008">
                  <c:v>8468</c:v>
                </c:pt>
                <c:pt idx="1009">
                  <c:v>8468</c:v>
                </c:pt>
                <c:pt idx="1010">
                  <c:v>8468</c:v>
                </c:pt>
                <c:pt idx="1011">
                  <c:v>8488</c:v>
                </c:pt>
                <c:pt idx="1012">
                  <c:v>8488</c:v>
                </c:pt>
                <c:pt idx="1013">
                  <c:v>8488</c:v>
                </c:pt>
                <c:pt idx="1014">
                  <c:v>8488</c:v>
                </c:pt>
                <c:pt idx="1015">
                  <c:v>8488</c:v>
                </c:pt>
                <c:pt idx="1016">
                  <c:v>8495</c:v>
                </c:pt>
                <c:pt idx="1017">
                  <c:v>8495</c:v>
                </c:pt>
                <c:pt idx="1018">
                  <c:v>8500</c:v>
                </c:pt>
                <c:pt idx="1019">
                  <c:v>8500</c:v>
                </c:pt>
                <c:pt idx="1020">
                  <c:v>8500</c:v>
                </c:pt>
                <c:pt idx="1021">
                  <c:v>8500</c:v>
                </c:pt>
                <c:pt idx="1022">
                  <c:v>8501</c:v>
                </c:pt>
                <c:pt idx="1023">
                  <c:v>8508</c:v>
                </c:pt>
                <c:pt idx="1024">
                  <c:v>8508</c:v>
                </c:pt>
                <c:pt idx="1025">
                  <c:v>8508</c:v>
                </c:pt>
                <c:pt idx="1026">
                  <c:v>8528</c:v>
                </c:pt>
                <c:pt idx="1027">
                  <c:v>8528</c:v>
                </c:pt>
                <c:pt idx="1028">
                  <c:v>8528</c:v>
                </c:pt>
                <c:pt idx="1029">
                  <c:v>8530</c:v>
                </c:pt>
                <c:pt idx="1030">
                  <c:v>8530</c:v>
                </c:pt>
                <c:pt idx="1031">
                  <c:v>8530</c:v>
                </c:pt>
                <c:pt idx="1032">
                  <c:v>8540</c:v>
                </c:pt>
                <c:pt idx="1033">
                  <c:v>8540</c:v>
                </c:pt>
                <c:pt idx="1034">
                  <c:v>8540</c:v>
                </c:pt>
                <c:pt idx="1035">
                  <c:v>8562</c:v>
                </c:pt>
                <c:pt idx="1036">
                  <c:v>8562</c:v>
                </c:pt>
                <c:pt idx="1037">
                  <c:v>8562</c:v>
                </c:pt>
                <c:pt idx="1038">
                  <c:v>8562</c:v>
                </c:pt>
                <c:pt idx="1039">
                  <c:v>8566</c:v>
                </c:pt>
                <c:pt idx="1040">
                  <c:v>8566</c:v>
                </c:pt>
                <c:pt idx="1041">
                  <c:v>8566</c:v>
                </c:pt>
                <c:pt idx="1042">
                  <c:v>8566</c:v>
                </c:pt>
                <c:pt idx="1043">
                  <c:v>8580</c:v>
                </c:pt>
                <c:pt idx="1044">
                  <c:v>8580</c:v>
                </c:pt>
                <c:pt idx="1045">
                  <c:v>8586</c:v>
                </c:pt>
                <c:pt idx="1046">
                  <c:v>8600</c:v>
                </c:pt>
                <c:pt idx="1047">
                  <c:v>8600</c:v>
                </c:pt>
                <c:pt idx="1048">
                  <c:v>8600</c:v>
                </c:pt>
                <c:pt idx="1049">
                  <c:v>8600</c:v>
                </c:pt>
                <c:pt idx="1050">
                  <c:v>8600</c:v>
                </c:pt>
                <c:pt idx="1051">
                  <c:v>8600</c:v>
                </c:pt>
                <c:pt idx="1052">
                  <c:v>8600</c:v>
                </c:pt>
                <c:pt idx="1053">
                  <c:v>8600</c:v>
                </c:pt>
                <c:pt idx="1054">
                  <c:v>8600</c:v>
                </c:pt>
                <c:pt idx="1055">
                  <c:v>8626</c:v>
                </c:pt>
                <c:pt idx="1056">
                  <c:v>8626</c:v>
                </c:pt>
                <c:pt idx="1057">
                  <c:v>8628</c:v>
                </c:pt>
                <c:pt idx="1058">
                  <c:v>8628</c:v>
                </c:pt>
                <c:pt idx="1059">
                  <c:v>8633</c:v>
                </c:pt>
                <c:pt idx="1060">
                  <c:v>8700</c:v>
                </c:pt>
                <c:pt idx="1061">
                  <c:v>8700</c:v>
                </c:pt>
                <c:pt idx="1062">
                  <c:v>8700</c:v>
                </c:pt>
                <c:pt idx="1063">
                  <c:v>8714</c:v>
                </c:pt>
                <c:pt idx="1064">
                  <c:v>8749</c:v>
                </c:pt>
                <c:pt idx="1065">
                  <c:v>8749</c:v>
                </c:pt>
                <c:pt idx="1066">
                  <c:v>8749</c:v>
                </c:pt>
                <c:pt idx="1067">
                  <c:v>8749</c:v>
                </c:pt>
                <c:pt idx="1068">
                  <c:v>8749</c:v>
                </c:pt>
                <c:pt idx="1069">
                  <c:v>8749</c:v>
                </c:pt>
                <c:pt idx="1070">
                  <c:v>8749</c:v>
                </c:pt>
                <c:pt idx="1071">
                  <c:v>8749</c:v>
                </c:pt>
                <c:pt idx="1072">
                  <c:v>8749</c:v>
                </c:pt>
                <c:pt idx="1073">
                  <c:v>8749</c:v>
                </c:pt>
                <c:pt idx="1074">
                  <c:v>8749</c:v>
                </c:pt>
                <c:pt idx="1075">
                  <c:v>8749</c:v>
                </c:pt>
                <c:pt idx="1076">
                  <c:v>8749</c:v>
                </c:pt>
                <c:pt idx="1077">
                  <c:v>8749</c:v>
                </c:pt>
                <c:pt idx="1078">
                  <c:v>8762</c:v>
                </c:pt>
                <c:pt idx="1079">
                  <c:v>8762</c:v>
                </c:pt>
                <c:pt idx="1080">
                  <c:v>8762</c:v>
                </c:pt>
                <c:pt idx="1081">
                  <c:v>8762</c:v>
                </c:pt>
                <c:pt idx="1082">
                  <c:v>8772</c:v>
                </c:pt>
                <c:pt idx="1083">
                  <c:v>8800</c:v>
                </c:pt>
                <c:pt idx="1084">
                  <c:v>8800</c:v>
                </c:pt>
                <c:pt idx="1085">
                  <c:v>8800</c:v>
                </c:pt>
                <c:pt idx="1086">
                  <c:v>8800</c:v>
                </c:pt>
                <c:pt idx="1087">
                  <c:v>8800</c:v>
                </c:pt>
                <c:pt idx="1088">
                  <c:v>8800</c:v>
                </c:pt>
                <c:pt idx="1089">
                  <c:v>8800</c:v>
                </c:pt>
                <c:pt idx="1090">
                  <c:v>8800</c:v>
                </c:pt>
                <c:pt idx="1091">
                  <c:v>8800</c:v>
                </c:pt>
                <c:pt idx="1092">
                  <c:v>8800</c:v>
                </c:pt>
                <c:pt idx="1093">
                  <c:v>8800</c:v>
                </c:pt>
                <c:pt idx="1094">
                  <c:v>8800</c:v>
                </c:pt>
                <c:pt idx="1095">
                  <c:v>8800</c:v>
                </c:pt>
                <c:pt idx="1096">
                  <c:v>8814</c:v>
                </c:pt>
                <c:pt idx="1097">
                  <c:v>8819</c:v>
                </c:pt>
                <c:pt idx="1098">
                  <c:v>8819</c:v>
                </c:pt>
                <c:pt idx="1099">
                  <c:v>8825</c:v>
                </c:pt>
                <c:pt idx="1100">
                  <c:v>8827</c:v>
                </c:pt>
                <c:pt idx="1101">
                  <c:v>8827</c:v>
                </c:pt>
                <c:pt idx="1102">
                  <c:v>8948</c:v>
                </c:pt>
                <c:pt idx="1103">
                  <c:v>8962</c:v>
                </c:pt>
                <c:pt idx="1104">
                  <c:v>9000</c:v>
                </c:pt>
                <c:pt idx="1105">
                  <c:v>9000</c:v>
                </c:pt>
                <c:pt idx="1106">
                  <c:v>9000</c:v>
                </c:pt>
                <c:pt idx="1107">
                  <c:v>9000</c:v>
                </c:pt>
                <c:pt idx="1108">
                  <c:v>9000</c:v>
                </c:pt>
                <c:pt idx="1109">
                  <c:v>9000</c:v>
                </c:pt>
                <c:pt idx="1110">
                  <c:v>9000</c:v>
                </c:pt>
                <c:pt idx="1111">
                  <c:v>9000</c:v>
                </c:pt>
                <c:pt idx="1112">
                  <c:v>9000</c:v>
                </c:pt>
                <c:pt idx="1113">
                  <c:v>9000</c:v>
                </c:pt>
                <c:pt idx="1114">
                  <c:v>9012</c:v>
                </c:pt>
                <c:pt idx="1115">
                  <c:v>9012</c:v>
                </c:pt>
                <c:pt idx="1116">
                  <c:v>9012</c:v>
                </c:pt>
                <c:pt idx="1117">
                  <c:v>9030</c:v>
                </c:pt>
                <c:pt idx="1118">
                  <c:v>9030</c:v>
                </c:pt>
                <c:pt idx="1119">
                  <c:v>9030</c:v>
                </c:pt>
                <c:pt idx="1120">
                  <c:v>9034</c:v>
                </c:pt>
                <c:pt idx="1121">
                  <c:v>9034</c:v>
                </c:pt>
                <c:pt idx="1122">
                  <c:v>9040</c:v>
                </c:pt>
                <c:pt idx="1123">
                  <c:v>9040</c:v>
                </c:pt>
                <c:pt idx="1124">
                  <c:v>9040</c:v>
                </c:pt>
                <c:pt idx="1125">
                  <c:v>9113</c:v>
                </c:pt>
                <c:pt idx="1126">
                  <c:v>9113</c:v>
                </c:pt>
                <c:pt idx="1127">
                  <c:v>9162</c:v>
                </c:pt>
                <c:pt idx="1128">
                  <c:v>9162</c:v>
                </c:pt>
                <c:pt idx="1129">
                  <c:v>9178</c:v>
                </c:pt>
                <c:pt idx="1130">
                  <c:v>9178</c:v>
                </c:pt>
                <c:pt idx="1131">
                  <c:v>9178</c:v>
                </c:pt>
                <c:pt idx="1132">
                  <c:v>9178</c:v>
                </c:pt>
                <c:pt idx="1133">
                  <c:v>9178</c:v>
                </c:pt>
                <c:pt idx="1134">
                  <c:v>9178</c:v>
                </c:pt>
                <c:pt idx="1135">
                  <c:v>9178</c:v>
                </c:pt>
                <c:pt idx="1136">
                  <c:v>9178</c:v>
                </c:pt>
                <c:pt idx="1137">
                  <c:v>9178</c:v>
                </c:pt>
                <c:pt idx="1138">
                  <c:v>9178</c:v>
                </c:pt>
                <c:pt idx="1139">
                  <c:v>9178</c:v>
                </c:pt>
                <c:pt idx="1140">
                  <c:v>9200</c:v>
                </c:pt>
                <c:pt idx="1141">
                  <c:v>9200</c:v>
                </c:pt>
                <c:pt idx="1142">
                  <c:v>9200</c:v>
                </c:pt>
                <c:pt idx="1143">
                  <c:v>9200</c:v>
                </c:pt>
                <c:pt idx="1144">
                  <c:v>9200</c:v>
                </c:pt>
                <c:pt idx="1145">
                  <c:v>9200</c:v>
                </c:pt>
                <c:pt idx="1146">
                  <c:v>9200</c:v>
                </c:pt>
                <c:pt idx="1147">
                  <c:v>9200</c:v>
                </c:pt>
                <c:pt idx="1148">
                  <c:v>9300</c:v>
                </c:pt>
                <c:pt idx="1149">
                  <c:v>9300</c:v>
                </c:pt>
                <c:pt idx="1150">
                  <c:v>9300</c:v>
                </c:pt>
                <c:pt idx="1151">
                  <c:v>9400</c:v>
                </c:pt>
                <c:pt idx="1152">
                  <c:v>9400</c:v>
                </c:pt>
                <c:pt idx="1153">
                  <c:v>9400</c:v>
                </c:pt>
                <c:pt idx="1154">
                  <c:v>9400</c:v>
                </c:pt>
                <c:pt idx="1155">
                  <c:v>9400</c:v>
                </c:pt>
                <c:pt idx="1156">
                  <c:v>9400</c:v>
                </c:pt>
                <c:pt idx="1157">
                  <c:v>9400</c:v>
                </c:pt>
                <c:pt idx="1158">
                  <c:v>9400</c:v>
                </c:pt>
                <c:pt idx="1159">
                  <c:v>9400</c:v>
                </c:pt>
                <c:pt idx="1160">
                  <c:v>9400</c:v>
                </c:pt>
                <c:pt idx="1161">
                  <c:v>9400</c:v>
                </c:pt>
                <c:pt idx="1162">
                  <c:v>9400</c:v>
                </c:pt>
                <c:pt idx="1163">
                  <c:v>9400</c:v>
                </c:pt>
                <c:pt idx="1164">
                  <c:v>9400</c:v>
                </c:pt>
                <c:pt idx="1165">
                  <c:v>9400</c:v>
                </c:pt>
                <c:pt idx="1166">
                  <c:v>9403</c:v>
                </c:pt>
                <c:pt idx="1167">
                  <c:v>9408</c:v>
                </c:pt>
                <c:pt idx="1168">
                  <c:v>9411</c:v>
                </c:pt>
                <c:pt idx="1169">
                  <c:v>9411</c:v>
                </c:pt>
                <c:pt idx="1170">
                  <c:v>9411</c:v>
                </c:pt>
                <c:pt idx="1171">
                  <c:v>9415</c:v>
                </c:pt>
                <c:pt idx="1172">
                  <c:v>9415</c:v>
                </c:pt>
                <c:pt idx="1173">
                  <c:v>9415</c:v>
                </c:pt>
                <c:pt idx="1174">
                  <c:v>9415</c:v>
                </c:pt>
                <c:pt idx="1175">
                  <c:v>9443</c:v>
                </c:pt>
                <c:pt idx="1176">
                  <c:v>9469</c:v>
                </c:pt>
                <c:pt idx="1177">
                  <c:v>9469</c:v>
                </c:pt>
                <c:pt idx="1178">
                  <c:v>9469</c:v>
                </c:pt>
                <c:pt idx="1179">
                  <c:v>9469</c:v>
                </c:pt>
                <c:pt idx="1180">
                  <c:v>9469</c:v>
                </c:pt>
                <c:pt idx="1181">
                  <c:v>9500</c:v>
                </c:pt>
                <c:pt idx="1182">
                  <c:v>9500</c:v>
                </c:pt>
                <c:pt idx="1183">
                  <c:v>9500</c:v>
                </c:pt>
                <c:pt idx="1184">
                  <c:v>9500</c:v>
                </c:pt>
                <c:pt idx="1185">
                  <c:v>9500</c:v>
                </c:pt>
                <c:pt idx="1186">
                  <c:v>9500</c:v>
                </c:pt>
                <c:pt idx="1187">
                  <c:v>9500</c:v>
                </c:pt>
                <c:pt idx="1188">
                  <c:v>9500</c:v>
                </c:pt>
                <c:pt idx="1189">
                  <c:v>9572</c:v>
                </c:pt>
                <c:pt idx="1190">
                  <c:v>9572</c:v>
                </c:pt>
                <c:pt idx="1191">
                  <c:v>9572</c:v>
                </c:pt>
                <c:pt idx="1192">
                  <c:v>9572</c:v>
                </c:pt>
                <c:pt idx="1193">
                  <c:v>9572</c:v>
                </c:pt>
                <c:pt idx="1194">
                  <c:v>9572</c:v>
                </c:pt>
                <c:pt idx="1195">
                  <c:v>9572</c:v>
                </c:pt>
                <c:pt idx="1196">
                  <c:v>9573</c:v>
                </c:pt>
                <c:pt idx="1197">
                  <c:v>9574</c:v>
                </c:pt>
                <c:pt idx="1198">
                  <c:v>9592</c:v>
                </c:pt>
                <c:pt idx="1199">
                  <c:v>9592</c:v>
                </c:pt>
                <c:pt idx="1200">
                  <c:v>9592</c:v>
                </c:pt>
                <c:pt idx="1201">
                  <c:v>9600</c:v>
                </c:pt>
                <c:pt idx="1202">
                  <c:v>9600</c:v>
                </c:pt>
                <c:pt idx="1203">
                  <c:v>9661</c:v>
                </c:pt>
                <c:pt idx="1204">
                  <c:v>9661</c:v>
                </c:pt>
                <c:pt idx="1205">
                  <c:v>9661</c:v>
                </c:pt>
                <c:pt idx="1206">
                  <c:v>9700</c:v>
                </c:pt>
                <c:pt idx="1207">
                  <c:v>9700</c:v>
                </c:pt>
                <c:pt idx="1208">
                  <c:v>9700</c:v>
                </c:pt>
                <c:pt idx="1209">
                  <c:v>9814</c:v>
                </c:pt>
                <c:pt idx="1210">
                  <c:v>9814</c:v>
                </c:pt>
                <c:pt idx="1211">
                  <c:v>9814</c:v>
                </c:pt>
                <c:pt idx="1212">
                  <c:v>9814</c:v>
                </c:pt>
                <c:pt idx="1213">
                  <c:v>9814</c:v>
                </c:pt>
                <c:pt idx="1214">
                  <c:v>9814</c:v>
                </c:pt>
                <c:pt idx="1215">
                  <c:v>9814</c:v>
                </c:pt>
                <c:pt idx="1216">
                  <c:v>9894</c:v>
                </c:pt>
                <c:pt idx="1217">
                  <c:v>9954</c:v>
                </c:pt>
                <c:pt idx="1218">
                  <c:v>9954</c:v>
                </c:pt>
                <c:pt idx="1219">
                  <c:v>9954</c:v>
                </c:pt>
                <c:pt idx="1220">
                  <c:v>9954</c:v>
                </c:pt>
                <c:pt idx="1221">
                  <c:v>9954</c:v>
                </c:pt>
                <c:pt idx="1222">
                  <c:v>9962</c:v>
                </c:pt>
                <c:pt idx="1223">
                  <c:v>9962</c:v>
                </c:pt>
                <c:pt idx="1224">
                  <c:v>9962</c:v>
                </c:pt>
                <c:pt idx="1225">
                  <c:v>9962</c:v>
                </c:pt>
                <c:pt idx="1226">
                  <c:v>10000</c:v>
                </c:pt>
                <c:pt idx="1227">
                  <c:v>10000</c:v>
                </c:pt>
                <c:pt idx="1228">
                  <c:v>10000</c:v>
                </c:pt>
                <c:pt idx="1229">
                  <c:v>10001</c:v>
                </c:pt>
                <c:pt idx="1230">
                  <c:v>10010</c:v>
                </c:pt>
                <c:pt idx="1231">
                  <c:v>10010</c:v>
                </c:pt>
                <c:pt idx="1232">
                  <c:v>10010</c:v>
                </c:pt>
                <c:pt idx="1233">
                  <c:v>10010</c:v>
                </c:pt>
                <c:pt idx="1234">
                  <c:v>10010</c:v>
                </c:pt>
                <c:pt idx="1235">
                  <c:v>10010</c:v>
                </c:pt>
                <c:pt idx="1236">
                  <c:v>10036</c:v>
                </c:pt>
                <c:pt idx="1237">
                  <c:v>10036</c:v>
                </c:pt>
                <c:pt idx="1238">
                  <c:v>10050</c:v>
                </c:pt>
                <c:pt idx="1239">
                  <c:v>10055</c:v>
                </c:pt>
                <c:pt idx="1240">
                  <c:v>10060</c:v>
                </c:pt>
                <c:pt idx="1241">
                  <c:v>10060</c:v>
                </c:pt>
                <c:pt idx="1242">
                  <c:v>10061</c:v>
                </c:pt>
                <c:pt idx="1243">
                  <c:v>10062</c:v>
                </c:pt>
                <c:pt idx="1244">
                  <c:v>10062</c:v>
                </c:pt>
                <c:pt idx="1245">
                  <c:v>10062</c:v>
                </c:pt>
                <c:pt idx="1246">
                  <c:v>10062</c:v>
                </c:pt>
                <c:pt idx="1247">
                  <c:v>10062</c:v>
                </c:pt>
                <c:pt idx="1248">
                  <c:v>10062</c:v>
                </c:pt>
                <c:pt idx="1249">
                  <c:v>10062</c:v>
                </c:pt>
                <c:pt idx="1250">
                  <c:v>10070</c:v>
                </c:pt>
                <c:pt idx="1251">
                  <c:v>10070</c:v>
                </c:pt>
                <c:pt idx="1252">
                  <c:v>10070</c:v>
                </c:pt>
                <c:pt idx="1253">
                  <c:v>10070</c:v>
                </c:pt>
                <c:pt idx="1254">
                  <c:v>10070</c:v>
                </c:pt>
                <c:pt idx="1255">
                  <c:v>10081</c:v>
                </c:pt>
                <c:pt idx="1256">
                  <c:v>10100</c:v>
                </c:pt>
                <c:pt idx="1257">
                  <c:v>10100</c:v>
                </c:pt>
                <c:pt idx="1258">
                  <c:v>10100</c:v>
                </c:pt>
                <c:pt idx="1259">
                  <c:v>10100</c:v>
                </c:pt>
                <c:pt idx="1260">
                  <c:v>10100</c:v>
                </c:pt>
                <c:pt idx="1261">
                  <c:v>10100</c:v>
                </c:pt>
                <c:pt idx="1262">
                  <c:v>10100</c:v>
                </c:pt>
                <c:pt idx="1263">
                  <c:v>10100</c:v>
                </c:pt>
                <c:pt idx="1264">
                  <c:v>10100</c:v>
                </c:pt>
                <c:pt idx="1265">
                  <c:v>10100</c:v>
                </c:pt>
                <c:pt idx="1266">
                  <c:v>10100</c:v>
                </c:pt>
                <c:pt idx="1267">
                  <c:v>10114</c:v>
                </c:pt>
                <c:pt idx="1268">
                  <c:v>10114</c:v>
                </c:pt>
                <c:pt idx="1269">
                  <c:v>10114</c:v>
                </c:pt>
                <c:pt idx="1270">
                  <c:v>10500</c:v>
                </c:pt>
                <c:pt idx="1271">
                  <c:v>10500</c:v>
                </c:pt>
                <c:pt idx="1272">
                  <c:v>10500</c:v>
                </c:pt>
                <c:pt idx="1273">
                  <c:v>10589</c:v>
                </c:pt>
                <c:pt idx="1274">
                  <c:v>10589</c:v>
                </c:pt>
                <c:pt idx="1275">
                  <c:v>10600</c:v>
                </c:pt>
                <c:pt idx="1276">
                  <c:v>10600</c:v>
                </c:pt>
                <c:pt idx="1277">
                  <c:v>10700</c:v>
                </c:pt>
                <c:pt idx="1278">
                  <c:v>10700</c:v>
                </c:pt>
                <c:pt idx="1279">
                  <c:v>10700</c:v>
                </c:pt>
                <c:pt idx="1280">
                  <c:v>10700</c:v>
                </c:pt>
                <c:pt idx="1281">
                  <c:v>10700</c:v>
                </c:pt>
                <c:pt idx="1282">
                  <c:v>10776</c:v>
                </c:pt>
                <c:pt idx="1283">
                  <c:v>10818</c:v>
                </c:pt>
                <c:pt idx="1284">
                  <c:v>10818</c:v>
                </c:pt>
                <c:pt idx="1285">
                  <c:v>10960</c:v>
                </c:pt>
                <c:pt idx="1286">
                  <c:v>10960</c:v>
                </c:pt>
                <c:pt idx="1287">
                  <c:v>11000</c:v>
                </c:pt>
                <c:pt idx="1288">
                  <c:v>11000</c:v>
                </c:pt>
                <c:pt idx="1289">
                  <c:v>11000</c:v>
                </c:pt>
                <c:pt idx="1290">
                  <c:v>11000</c:v>
                </c:pt>
                <c:pt idx="1291">
                  <c:v>11000</c:v>
                </c:pt>
                <c:pt idx="1292">
                  <c:v>11038</c:v>
                </c:pt>
                <c:pt idx="1293">
                  <c:v>11040</c:v>
                </c:pt>
                <c:pt idx="1294">
                  <c:v>11312</c:v>
                </c:pt>
                <c:pt idx="1295">
                  <c:v>11312</c:v>
                </c:pt>
                <c:pt idx="1296">
                  <c:v>11312</c:v>
                </c:pt>
                <c:pt idx="1297">
                  <c:v>11312</c:v>
                </c:pt>
                <c:pt idx="1298">
                  <c:v>11356</c:v>
                </c:pt>
                <c:pt idx="1299">
                  <c:v>11356</c:v>
                </c:pt>
                <c:pt idx="1300">
                  <c:v>11388</c:v>
                </c:pt>
                <c:pt idx="1301">
                  <c:v>11388</c:v>
                </c:pt>
                <c:pt idx="1302">
                  <c:v>11388</c:v>
                </c:pt>
                <c:pt idx="1303">
                  <c:v>11388</c:v>
                </c:pt>
                <c:pt idx="1304">
                  <c:v>11400</c:v>
                </c:pt>
                <c:pt idx="1305">
                  <c:v>11400</c:v>
                </c:pt>
                <c:pt idx="1306">
                  <c:v>11400</c:v>
                </c:pt>
                <c:pt idx="1307">
                  <c:v>11400</c:v>
                </c:pt>
                <c:pt idx="1308">
                  <c:v>11400</c:v>
                </c:pt>
                <c:pt idx="1309">
                  <c:v>11400</c:v>
                </c:pt>
                <c:pt idx="1310">
                  <c:v>11500</c:v>
                </c:pt>
                <c:pt idx="1311">
                  <c:v>11500</c:v>
                </c:pt>
                <c:pt idx="1312">
                  <c:v>12400</c:v>
                </c:pt>
                <c:pt idx="1313">
                  <c:v>12400</c:v>
                </c:pt>
                <c:pt idx="1314">
                  <c:v>12400</c:v>
                </c:pt>
                <c:pt idx="1315">
                  <c:v>12552</c:v>
                </c:pt>
                <c:pt idx="1316">
                  <c:v>12562</c:v>
                </c:pt>
                <c:pt idx="1317">
                  <c:v>12562</c:v>
                </c:pt>
                <c:pt idx="1318">
                  <c:v>12562</c:v>
                </c:pt>
                <c:pt idx="1319">
                  <c:v>13000</c:v>
                </c:pt>
                <c:pt idx="1320">
                  <c:v>13000</c:v>
                </c:pt>
                <c:pt idx="1321">
                  <c:v>13000</c:v>
                </c:pt>
                <c:pt idx="1322">
                  <c:v>13000</c:v>
                </c:pt>
                <c:pt idx="1323">
                  <c:v>13000</c:v>
                </c:pt>
                <c:pt idx="1324">
                  <c:v>13050</c:v>
                </c:pt>
                <c:pt idx="1325">
                  <c:v>13050</c:v>
                </c:pt>
                <c:pt idx="1326">
                  <c:v>13050</c:v>
                </c:pt>
                <c:pt idx="1327">
                  <c:v>13050</c:v>
                </c:pt>
                <c:pt idx="1328">
                  <c:v>13050</c:v>
                </c:pt>
                <c:pt idx="1329">
                  <c:v>13050</c:v>
                </c:pt>
                <c:pt idx="1330">
                  <c:v>13092</c:v>
                </c:pt>
                <c:pt idx="1331">
                  <c:v>13092</c:v>
                </c:pt>
                <c:pt idx="1332">
                  <c:v>13092</c:v>
                </c:pt>
                <c:pt idx="1333">
                  <c:v>13092</c:v>
                </c:pt>
                <c:pt idx="1334">
                  <c:v>13092</c:v>
                </c:pt>
                <c:pt idx="1335">
                  <c:v>13092</c:v>
                </c:pt>
                <c:pt idx="1336">
                  <c:v>13092</c:v>
                </c:pt>
                <c:pt idx="1337">
                  <c:v>13092</c:v>
                </c:pt>
                <c:pt idx="1338">
                  <c:v>13092</c:v>
                </c:pt>
                <c:pt idx="1339">
                  <c:v>13092</c:v>
                </c:pt>
                <c:pt idx="1340">
                  <c:v>13092</c:v>
                </c:pt>
                <c:pt idx="1341">
                  <c:v>13092</c:v>
                </c:pt>
                <c:pt idx="1342">
                  <c:v>13092</c:v>
                </c:pt>
                <c:pt idx="1343">
                  <c:v>13092</c:v>
                </c:pt>
                <c:pt idx="1344">
                  <c:v>13092</c:v>
                </c:pt>
                <c:pt idx="1345">
                  <c:v>13092</c:v>
                </c:pt>
                <c:pt idx="1346">
                  <c:v>13092</c:v>
                </c:pt>
                <c:pt idx="1347">
                  <c:v>13092</c:v>
                </c:pt>
                <c:pt idx="1348">
                  <c:v>13092</c:v>
                </c:pt>
                <c:pt idx="1349">
                  <c:v>13092</c:v>
                </c:pt>
                <c:pt idx="1350">
                  <c:v>13092</c:v>
                </c:pt>
                <c:pt idx="1351">
                  <c:v>13092</c:v>
                </c:pt>
                <c:pt idx="1352">
                  <c:v>13092</c:v>
                </c:pt>
                <c:pt idx="1353">
                  <c:v>13092</c:v>
                </c:pt>
                <c:pt idx="1354">
                  <c:v>13092</c:v>
                </c:pt>
                <c:pt idx="1355">
                  <c:v>13092</c:v>
                </c:pt>
                <c:pt idx="1356">
                  <c:v>13100</c:v>
                </c:pt>
                <c:pt idx="1357">
                  <c:v>13100</c:v>
                </c:pt>
                <c:pt idx="1358">
                  <c:v>13100</c:v>
                </c:pt>
                <c:pt idx="1359">
                  <c:v>13100</c:v>
                </c:pt>
                <c:pt idx="1360">
                  <c:v>13100</c:v>
                </c:pt>
                <c:pt idx="1361">
                  <c:v>13100</c:v>
                </c:pt>
                <c:pt idx="1362">
                  <c:v>13100</c:v>
                </c:pt>
                <c:pt idx="1363">
                  <c:v>13100</c:v>
                </c:pt>
                <c:pt idx="1364">
                  <c:v>13100</c:v>
                </c:pt>
                <c:pt idx="1365">
                  <c:v>13100</c:v>
                </c:pt>
                <c:pt idx="1366">
                  <c:v>13100</c:v>
                </c:pt>
                <c:pt idx="1367">
                  <c:v>13100</c:v>
                </c:pt>
                <c:pt idx="1368">
                  <c:v>13100</c:v>
                </c:pt>
                <c:pt idx="1369">
                  <c:v>13102</c:v>
                </c:pt>
                <c:pt idx="1370">
                  <c:v>13102</c:v>
                </c:pt>
                <c:pt idx="1371">
                  <c:v>13102</c:v>
                </c:pt>
                <c:pt idx="1372">
                  <c:v>13102</c:v>
                </c:pt>
                <c:pt idx="1373">
                  <c:v>13102</c:v>
                </c:pt>
                <c:pt idx="1374">
                  <c:v>13102</c:v>
                </c:pt>
                <c:pt idx="1375">
                  <c:v>13102</c:v>
                </c:pt>
                <c:pt idx="1376">
                  <c:v>13102</c:v>
                </c:pt>
                <c:pt idx="1377">
                  <c:v>13102</c:v>
                </c:pt>
                <c:pt idx="1378">
                  <c:v>13150</c:v>
                </c:pt>
                <c:pt idx="1379">
                  <c:v>13154</c:v>
                </c:pt>
                <c:pt idx="1380">
                  <c:v>13154</c:v>
                </c:pt>
                <c:pt idx="1381">
                  <c:v>13154</c:v>
                </c:pt>
                <c:pt idx="1382">
                  <c:v>13169</c:v>
                </c:pt>
                <c:pt idx="1383">
                  <c:v>13169</c:v>
                </c:pt>
                <c:pt idx="1384">
                  <c:v>13169</c:v>
                </c:pt>
                <c:pt idx="1385">
                  <c:v>13169</c:v>
                </c:pt>
                <c:pt idx="1386">
                  <c:v>13169</c:v>
                </c:pt>
                <c:pt idx="1387">
                  <c:v>13169</c:v>
                </c:pt>
                <c:pt idx="1388">
                  <c:v>13169</c:v>
                </c:pt>
                <c:pt idx="1389">
                  <c:v>13169</c:v>
                </c:pt>
                <c:pt idx="1390">
                  <c:v>13169</c:v>
                </c:pt>
                <c:pt idx="1391">
                  <c:v>13200</c:v>
                </c:pt>
                <c:pt idx="1392">
                  <c:v>13200</c:v>
                </c:pt>
                <c:pt idx="1393">
                  <c:v>13208</c:v>
                </c:pt>
                <c:pt idx="1394">
                  <c:v>13208</c:v>
                </c:pt>
                <c:pt idx="1395">
                  <c:v>13208</c:v>
                </c:pt>
                <c:pt idx="1396">
                  <c:v>13208</c:v>
                </c:pt>
                <c:pt idx="1397">
                  <c:v>13208</c:v>
                </c:pt>
                <c:pt idx="1398">
                  <c:v>13208</c:v>
                </c:pt>
                <c:pt idx="1399">
                  <c:v>13208</c:v>
                </c:pt>
                <c:pt idx="1400">
                  <c:v>13208</c:v>
                </c:pt>
                <c:pt idx="1401">
                  <c:v>13208</c:v>
                </c:pt>
                <c:pt idx="1402">
                  <c:v>13208</c:v>
                </c:pt>
                <c:pt idx="1403">
                  <c:v>13296</c:v>
                </c:pt>
                <c:pt idx="1404">
                  <c:v>13344</c:v>
                </c:pt>
                <c:pt idx="1405">
                  <c:v>13360</c:v>
                </c:pt>
                <c:pt idx="1406">
                  <c:v>13371</c:v>
                </c:pt>
                <c:pt idx="1407">
                  <c:v>13380</c:v>
                </c:pt>
                <c:pt idx="1408">
                  <c:v>13386</c:v>
                </c:pt>
                <c:pt idx="1409">
                  <c:v>13386</c:v>
                </c:pt>
                <c:pt idx="1410">
                  <c:v>13386</c:v>
                </c:pt>
                <c:pt idx="1411">
                  <c:v>13386</c:v>
                </c:pt>
                <c:pt idx="1412">
                  <c:v>13386</c:v>
                </c:pt>
                <c:pt idx="1413">
                  <c:v>13386</c:v>
                </c:pt>
                <c:pt idx="1414">
                  <c:v>13500</c:v>
                </c:pt>
                <c:pt idx="1415">
                  <c:v>13636</c:v>
                </c:pt>
                <c:pt idx="1416">
                  <c:v>13636</c:v>
                </c:pt>
                <c:pt idx="1417">
                  <c:v>13798</c:v>
                </c:pt>
                <c:pt idx="1418">
                  <c:v>13798</c:v>
                </c:pt>
                <c:pt idx="1419">
                  <c:v>13798</c:v>
                </c:pt>
                <c:pt idx="1420">
                  <c:v>13798</c:v>
                </c:pt>
                <c:pt idx="1421">
                  <c:v>13798</c:v>
                </c:pt>
                <c:pt idx="1422">
                  <c:v>13798</c:v>
                </c:pt>
                <c:pt idx="1423">
                  <c:v>13798</c:v>
                </c:pt>
                <c:pt idx="1424">
                  <c:v>13798</c:v>
                </c:pt>
                <c:pt idx="1425">
                  <c:v>13800</c:v>
                </c:pt>
                <c:pt idx="1426">
                  <c:v>13800</c:v>
                </c:pt>
                <c:pt idx="1427">
                  <c:v>13800</c:v>
                </c:pt>
                <c:pt idx="1428">
                  <c:v>13800</c:v>
                </c:pt>
                <c:pt idx="1429">
                  <c:v>13800</c:v>
                </c:pt>
                <c:pt idx="1430">
                  <c:v>13800</c:v>
                </c:pt>
                <c:pt idx="1431">
                  <c:v>13800</c:v>
                </c:pt>
                <c:pt idx="1432">
                  <c:v>13800</c:v>
                </c:pt>
                <c:pt idx="1433">
                  <c:v>13800</c:v>
                </c:pt>
                <c:pt idx="1434">
                  <c:v>13808</c:v>
                </c:pt>
                <c:pt idx="1435">
                  <c:v>13808</c:v>
                </c:pt>
                <c:pt idx="1436">
                  <c:v>13808</c:v>
                </c:pt>
                <c:pt idx="1437">
                  <c:v>13808</c:v>
                </c:pt>
                <c:pt idx="1438">
                  <c:v>13808</c:v>
                </c:pt>
                <c:pt idx="1439">
                  <c:v>13808</c:v>
                </c:pt>
                <c:pt idx="1440">
                  <c:v>13808</c:v>
                </c:pt>
                <c:pt idx="1441">
                  <c:v>13808</c:v>
                </c:pt>
                <c:pt idx="1442">
                  <c:v>13808</c:v>
                </c:pt>
                <c:pt idx="1443">
                  <c:v>13808</c:v>
                </c:pt>
                <c:pt idx="1444">
                  <c:v>13830</c:v>
                </c:pt>
                <c:pt idx="1445">
                  <c:v>13830</c:v>
                </c:pt>
                <c:pt idx="1446">
                  <c:v>13830</c:v>
                </c:pt>
                <c:pt idx="1447">
                  <c:v>13830</c:v>
                </c:pt>
                <c:pt idx="1448">
                  <c:v>13870</c:v>
                </c:pt>
                <c:pt idx="1449">
                  <c:v>13870</c:v>
                </c:pt>
                <c:pt idx="1450">
                  <c:v>13870</c:v>
                </c:pt>
                <c:pt idx="1451">
                  <c:v>13870</c:v>
                </c:pt>
                <c:pt idx="1452">
                  <c:v>13870</c:v>
                </c:pt>
                <c:pt idx="1453">
                  <c:v>13870</c:v>
                </c:pt>
                <c:pt idx="1454">
                  <c:v>13870</c:v>
                </c:pt>
                <c:pt idx="1455">
                  <c:v>13870</c:v>
                </c:pt>
                <c:pt idx="1456">
                  <c:v>13870</c:v>
                </c:pt>
                <c:pt idx="1457">
                  <c:v>13870</c:v>
                </c:pt>
                <c:pt idx="1458">
                  <c:v>13870</c:v>
                </c:pt>
                <c:pt idx="1459">
                  <c:v>13892</c:v>
                </c:pt>
                <c:pt idx="1460">
                  <c:v>13892</c:v>
                </c:pt>
                <c:pt idx="1461">
                  <c:v>13900</c:v>
                </c:pt>
                <c:pt idx="1462">
                  <c:v>14000</c:v>
                </c:pt>
                <c:pt idx="1463">
                  <c:v>14000</c:v>
                </c:pt>
                <c:pt idx="1464">
                  <c:v>14000</c:v>
                </c:pt>
                <c:pt idx="1465">
                  <c:v>14000</c:v>
                </c:pt>
                <c:pt idx="1466">
                  <c:v>14000</c:v>
                </c:pt>
                <c:pt idx="1467">
                  <c:v>14000</c:v>
                </c:pt>
                <c:pt idx="1468">
                  <c:v>14000</c:v>
                </c:pt>
                <c:pt idx="1469">
                  <c:v>14000</c:v>
                </c:pt>
                <c:pt idx="1470">
                  <c:v>14000</c:v>
                </c:pt>
                <c:pt idx="1471">
                  <c:v>14000</c:v>
                </c:pt>
                <c:pt idx="1472">
                  <c:v>14000</c:v>
                </c:pt>
                <c:pt idx="1473">
                  <c:v>14000</c:v>
                </c:pt>
                <c:pt idx="1474">
                  <c:v>14000</c:v>
                </c:pt>
                <c:pt idx="1475">
                  <c:v>14000</c:v>
                </c:pt>
                <c:pt idx="1476">
                  <c:v>14000</c:v>
                </c:pt>
                <c:pt idx="1477">
                  <c:v>14000</c:v>
                </c:pt>
                <c:pt idx="1478">
                  <c:v>14000</c:v>
                </c:pt>
                <c:pt idx="1479">
                  <c:v>14000</c:v>
                </c:pt>
                <c:pt idx="1480">
                  <c:v>14000</c:v>
                </c:pt>
                <c:pt idx="1481">
                  <c:v>14000</c:v>
                </c:pt>
                <c:pt idx="1482">
                  <c:v>14000</c:v>
                </c:pt>
                <c:pt idx="1483">
                  <c:v>14000</c:v>
                </c:pt>
                <c:pt idx="1484">
                  <c:v>14000</c:v>
                </c:pt>
                <c:pt idx="1485">
                  <c:v>14000</c:v>
                </c:pt>
                <c:pt idx="1486">
                  <c:v>14000</c:v>
                </c:pt>
                <c:pt idx="1487">
                  <c:v>14000</c:v>
                </c:pt>
                <c:pt idx="1488">
                  <c:v>14000</c:v>
                </c:pt>
                <c:pt idx="1489">
                  <c:v>14000</c:v>
                </c:pt>
                <c:pt idx="1490">
                  <c:v>14026</c:v>
                </c:pt>
                <c:pt idx="1491">
                  <c:v>14026</c:v>
                </c:pt>
                <c:pt idx="1492">
                  <c:v>14026</c:v>
                </c:pt>
                <c:pt idx="1493">
                  <c:v>14026</c:v>
                </c:pt>
                <c:pt idx="1494">
                  <c:v>14026</c:v>
                </c:pt>
                <c:pt idx="1495">
                  <c:v>14052</c:v>
                </c:pt>
                <c:pt idx="1496">
                  <c:v>14052</c:v>
                </c:pt>
                <c:pt idx="1497">
                  <c:v>14052</c:v>
                </c:pt>
                <c:pt idx="1498">
                  <c:v>14074</c:v>
                </c:pt>
                <c:pt idx="1499">
                  <c:v>14074</c:v>
                </c:pt>
                <c:pt idx="1500">
                  <c:v>14074</c:v>
                </c:pt>
                <c:pt idx="1501">
                  <c:v>14074</c:v>
                </c:pt>
                <c:pt idx="1502">
                  <c:v>14074</c:v>
                </c:pt>
                <c:pt idx="1503">
                  <c:v>14074</c:v>
                </c:pt>
                <c:pt idx="1504">
                  <c:v>14080</c:v>
                </c:pt>
                <c:pt idx="1505">
                  <c:v>14080</c:v>
                </c:pt>
                <c:pt idx="1506">
                  <c:v>14080</c:v>
                </c:pt>
                <c:pt idx="1507">
                  <c:v>14080</c:v>
                </c:pt>
                <c:pt idx="1508">
                  <c:v>14080</c:v>
                </c:pt>
                <c:pt idx="1509">
                  <c:v>14080</c:v>
                </c:pt>
                <c:pt idx="1510">
                  <c:v>14220</c:v>
                </c:pt>
                <c:pt idx="1511">
                  <c:v>14354</c:v>
                </c:pt>
                <c:pt idx="1512">
                  <c:v>14420</c:v>
                </c:pt>
                <c:pt idx="1513">
                  <c:v>14424</c:v>
                </c:pt>
                <c:pt idx="1514">
                  <c:v>14424</c:v>
                </c:pt>
                <c:pt idx="1515">
                  <c:v>14424</c:v>
                </c:pt>
                <c:pt idx="1516">
                  <c:v>14424</c:v>
                </c:pt>
                <c:pt idx="1517">
                  <c:v>14500</c:v>
                </c:pt>
                <c:pt idx="1518">
                  <c:v>14502</c:v>
                </c:pt>
                <c:pt idx="1519">
                  <c:v>14566</c:v>
                </c:pt>
                <c:pt idx="1520">
                  <c:v>14568</c:v>
                </c:pt>
                <c:pt idx="1521">
                  <c:v>14812</c:v>
                </c:pt>
                <c:pt idx="1522">
                  <c:v>14993</c:v>
                </c:pt>
                <c:pt idx="1523">
                  <c:v>14993</c:v>
                </c:pt>
                <c:pt idx="1524">
                  <c:v>14993</c:v>
                </c:pt>
                <c:pt idx="1525">
                  <c:v>14993</c:v>
                </c:pt>
                <c:pt idx="1526">
                  <c:v>14993</c:v>
                </c:pt>
                <c:pt idx="1527">
                  <c:v>14993</c:v>
                </c:pt>
                <c:pt idx="1528">
                  <c:v>14993</c:v>
                </c:pt>
                <c:pt idx="1529">
                  <c:v>14993</c:v>
                </c:pt>
                <c:pt idx="1530">
                  <c:v>14993</c:v>
                </c:pt>
                <c:pt idx="1531">
                  <c:v>15000</c:v>
                </c:pt>
                <c:pt idx="1532">
                  <c:v>15052</c:v>
                </c:pt>
                <c:pt idx="1533">
                  <c:v>15128</c:v>
                </c:pt>
                <c:pt idx="1534">
                  <c:v>15128</c:v>
                </c:pt>
                <c:pt idx="1535">
                  <c:v>15128</c:v>
                </c:pt>
                <c:pt idx="1536">
                  <c:v>15282</c:v>
                </c:pt>
                <c:pt idx="1537">
                  <c:v>15500</c:v>
                </c:pt>
                <c:pt idx="1538">
                  <c:v>15500</c:v>
                </c:pt>
                <c:pt idx="1539">
                  <c:v>15500</c:v>
                </c:pt>
                <c:pt idx="1540">
                  <c:v>15500</c:v>
                </c:pt>
                <c:pt idx="1541">
                  <c:v>15500</c:v>
                </c:pt>
                <c:pt idx="1542">
                  <c:v>15550</c:v>
                </c:pt>
                <c:pt idx="1543">
                  <c:v>15550</c:v>
                </c:pt>
                <c:pt idx="1544">
                  <c:v>15550</c:v>
                </c:pt>
                <c:pt idx="1545">
                  <c:v>15908</c:v>
                </c:pt>
                <c:pt idx="1546">
                  <c:v>15908</c:v>
                </c:pt>
                <c:pt idx="1547">
                  <c:v>15908</c:v>
                </c:pt>
                <c:pt idx="1548">
                  <c:v>15909</c:v>
                </c:pt>
              </c:numCache>
            </c:numRef>
          </c:xVal>
          <c:yVal>
            <c:numRef>
              <c:f>'Schätzung Schiff'!$D$31:$D$1579</c:f>
              <c:numCache>
                <c:formatCode>General</c:formatCode>
                <c:ptCount val="1549"/>
                <c:pt idx="0">
                  <c:v>11388</c:v>
                </c:pt>
                <c:pt idx="1">
                  <c:v>11433</c:v>
                </c:pt>
                <c:pt idx="2">
                  <c:v>21370</c:v>
                </c:pt>
                <c:pt idx="3">
                  <c:v>17230</c:v>
                </c:pt>
                <c:pt idx="4">
                  <c:v>21370</c:v>
                </c:pt>
                <c:pt idx="5">
                  <c:v>21370</c:v>
                </c:pt>
                <c:pt idx="6">
                  <c:v>21370</c:v>
                </c:pt>
                <c:pt idx="7">
                  <c:v>18779</c:v>
                </c:pt>
                <c:pt idx="8">
                  <c:v>23896</c:v>
                </c:pt>
                <c:pt idx="9">
                  <c:v>22308</c:v>
                </c:pt>
                <c:pt idx="10">
                  <c:v>22310</c:v>
                </c:pt>
                <c:pt idx="11">
                  <c:v>22248</c:v>
                </c:pt>
                <c:pt idx="12">
                  <c:v>23978</c:v>
                </c:pt>
                <c:pt idx="13">
                  <c:v>16450</c:v>
                </c:pt>
                <c:pt idx="14">
                  <c:v>19131</c:v>
                </c:pt>
                <c:pt idx="15">
                  <c:v>22749</c:v>
                </c:pt>
                <c:pt idx="16">
                  <c:v>22746</c:v>
                </c:pt>
                <c:pt idx="17">
                  <c:v>22967</c:v>
                </c:pt>
                <c:pt idx="18">
                  <c:v>23045</c:v>
                </c:pt>
                <c:pt idx="19">
                  <c:v>23027</c:v>
                </c:pt>
                <c:pt idx="20">
                  <c:v>22967</c:v>
                </c:pt>
                <c:pt idx="21">
                  <c:v>23732</c:v>
                </c:pt>
                <c:pt idx="22">
                  <c:v>23690</c:v>
                </c:pt>
                <c:pt idx="23">
                  <c:v>23295</c:v>
                </c:pt>
                <c:pt idx="24">
                  <c:v>23664</c:v>
                </c:pt>
                <c:pt idx="25">
                  <c:v>22300</c:v>
                </c:pt>
                <c:pt idx="26">
                  <c:v>22308</c:v>
                </c:pt>
                <c:pt idx="27">
                  <c:v>25900</c:v>
                </c:pt>
                <c:pt idx="28">
                  <c:v>28220</c:v>
                </c:pt>
                <c:pt idx="29">
                  <c:v>28187</c:v>
                </c:pt>
                <c:pt idx="30">
                  <c:v>28203</c:v>
                </c:pt>
                <c:pt idx="31">
                  <c:v>28179</c:v>
                </c:pt>
                <c:pt idx="32">
                  <c:v>28142</c:v>
                </c:pt>
                <c:pt idx="33">
                  <c:v>28123</c:v>
                </c:pt>
                <c:pt idx="34">
                  <c:v>28186</c:v>
                </c:pt>
                <c:pt idx="35">
                  <c:v>28156</c:v>
                </c:pt>
                <c:pt idx="36">
                  <c:v>28197</c:v>
                </c:pt>
                <c:pt idx="37">
                  <c:v>29098</c:v>
                </c:pt>
                <c:pt idx="38">
                  <c:v>26811</c:v>
                </c:pt>
                <c:pt idx="39">
                  <c:v>26000</c:v>
                </c:pt>
                <c:pt idx="40">
                  <c:v>24084</c:v>
                </c:pt>
                <c:pt idx="41">
                  <c:v>22263</c:v>
                </c:pt>
                <c:pt idx="42">
                  <c:v>22243</c:v>
                </c:pt>
                <c:pt idx="43">
                  <c:v>27131</c:v>
                </c:pt>
                <c:pt idx="44">
                  <c:v>22267</c:v>
                </c:pt>
                <c:pt idx="45">
                  <c:v>22254</c:v>
                </c:pt>
                <c:pt idx="46">
                  <c:v>29266</c:v>
                </c:pt>
                <c:pt idx="47">
                  <c:v>26337</c:v>
                </c:pt>
                <c:pt idx="48">
                  <c:v>24750</c:v>
                </c:pt>
                <c:pt idx="49">
                  <c:v>28520</c:v>
                </c:pt>
                <c:pt idx="50">
                  <c:v>27155</c:v>
                </c:pt>
                <c:pt idx="51">
                  <c:v>27244</c:v>
                </c:pt>
                <c:pt idx="52">
                  <c:v>31160</c:v>
                </c:pt>
                <c:pt idx="53">
                  <c:v>30258</c:v>
                </c:pt>
                <c:pt idx="54">
                  <c:v>30188</c:v>
                </c:pt>
                <c:pt idx="55">
                  <c:v>30173</c:v>
                </c:pt>
                <c:pt idx="56">
                  <c:v>30201</c:v>
                </c:pt>
                <c:pt idx="57">
                  <c:v>30095</c:v>
                </c:pt>
                <c:pt idx="58">
                  <c:v>30781</c:v>
                </c:pt>
                <c:pt idx="59">
                  <c:v>30259</c:v>
                </c:pt>
                <c:pt idx="60">
                  <c:v>30375</c:v>
                </c:pt>
                <c:pt idx="61">
                  <c:v>28370</c:v>
                </c:pt>
                <c:pt idx="62">
                  <c:v>31200</c:v>
                </c:pt>
                <c:pt idx="63">
                  <c:v>30573</c:v>
                </c:pt>
                <c:pt idx="64">
                  <c:v>28917</c:v>
                </c:pt>
                <c:pt idx="65">
                  <c:v>28879</c:v>
                </c:pt>
                <c:pt idx="66">
                  <c:v>28876</c:v>
                </c:pt>
                <c:pt idx="67">
                  <c:v>30029</c:v>
                </c:pt>
                <c:pt idx="68">
                  <c:v>30239</c:v>
                </c:pt>
                <c:pt idx="69">
                  <c:v>30554</c:v>
                </c:pt>
                <c:pt idx="70">
                  <c:v>30450</c:v>
                </c:pt>
                <c:pt idx="71">
                  <c:v>37400</c:v>
                </c:pt>
                <c:pt idx="72">
                  <c:v>30705</c:v>
                </c:pt>
                <c:pt idx="73">
                  <c:v>30781</c:v>
                </c:pt>
                <c:pt idx="74">
                  <c:v>30725</c:v>
                </c:pt>
                <c:pt idx="75">
                  <c:v>30804</c:v>
                </c:pt>
                <c:pt idx="76">
                  <c:v>30194</c:v>
                </c:pt>
                <c:pt idx="77">
                  <c:v>30194</c:v>
                </c:pt>
                <c:pt idx="78">
                  <c:v>36377</c:v>
                </c:pt>
                <c:pt idx="79">
                  <c:v>30450</c:v>
                </c:pt>
                <c:pt idx="80">
                  <c:v>30804</c:v>
                </c:pt>
                <c:pt idx="81">
                  <c:v>30804</c:v>
                </c:pt>
                <c:pt idx="82">
                  <c:v>32984</c:v>
                </c:pt>
                <c:pt idx="83">
                  <c:v>33659</c:v>
                </c:pt>
                <c:pt idx="84">
                  <c:v>30079</c:v>
                </c:pt>
                <c:pt idx="85">
                  <c:v>34330</c:v>
                </c:pt>
                <c:pt idx="86">
                  <c:v>44541</c:v>
                </c:pt>
                <c:pt idx="87">
                  <c:v>30714</c:v>
                </c:pt>
                <c:pt idx="88">
                  <c:v>33894</c:v>
                </c:pt>
                <c:pt idx="89">
                  <c:v>12454</c:v>
                </c:pt>
                <c:pt idx="90">
                  <c:v>33900</c:v>
                </c:pt>
                <c:pt idx="91">
                  <c:v>33899</c:v>
                </c:pt>
                <c:pt idx="92">
                  <c:v>33594</c:v>
                </c:pt>
                <c:pt idx="93">
                  <c:v>33796</c:v>
                </c:pt>
                <c:pt idx="94">
                  <c:v>33853</c:v>
                </c:pt>
                <c:pt idx="95">
                  <c:v>33850</c:v>
                </c:pt>
                <c:pt idx="96">
                  <c:v>33812</c:v>
                </c:pt>
                <c:pt idx="97">
                  <c:v>33914</c:v>
                </c:pt>
                <c:pt idx="98">
                  <c:v>33850</c:v>
                </c:pt>
                <c:pt idx="99">
                  <c:v>33742</c:v>
                </c:pt>
                <c:pt idx="100">
                  <c:v>33750</c:v>
                </c:pt>
                <c:pt idx="101">
                  <c:v>33781</c:v>
                </c:pt>
                <c:pt idx="102">
                  <c:v>33390</c:v>
                </c:pt>
                <c:pt idx="103">
                  <c:v>34973</c:v>
                </c:pt>
                <c:pt idx="104">
                  <c:v>33662</c:v>
                </c:pt>
                <c:pt idx="105">
                  <c:v>34350</c:v>
                </c:pt>
                <c:pt idx="106">
                  <c:v>34444</c:v>
                </c:pt>
                <c:pt idx="107">
                  <c:v>34409</c:v>
                </c:pt>
                <c:pt idx="108">
                  <c:v>34393</c:v>
                </c:pt>
                <c:pt idx="109">
                  <c:v>35586</c:v>
                </c:pt>
                <c:pt idx="110">
                  <c:v>34220</c:v>
                </c:pt>
                <c:pt idx="111">
                  <c:v>34191</c:v>
                </c:pt>
                <c:pt idx="112">
                  <c:v>32321</c:v>
                </c:pt>
                <c:pt idx="113">
                  <c:v>32299</c:v>
                </c:pt>
                <c:pt idx="114">
                  <c:v>33657</c:v>
                </c:pt>
                <c:pt idx="115">
                  <c:v>34654</c:v>
                </c:pt>
                <c:pt idx="116">
                  <c:v>33879</c:v>
                </c:pt>
                <c:pt idx="117">
                  <c:v>33771</c:v>
                </c:pt>
                <c:pt idx="118">
                  <c:v>33771</c:v>
                </c:pt>
                <c:pt idx="119">
                  <c:v>33819</c:v>
                </c:pt>
                <c:pt idx="120">
                  <c:v>34662</c:v>
                </c:pt>
                <c:pt idx="121">
                  <c:v>33460</c:v>
                </c:pt>
                <c:pt idx="122">
                  <c:v>33413</c:v>
                </c:pt>
                <c:pt idx="123">
                  <c:v>33460</c:v>
                </c:pt>
                <c:pt idx="124">
                  <c:v>33448</c:v>
                </c:pt>
                <c:pt idx="125">
                  <c:v>33460</c:v>
                </c:pt>
                <c:pt idx="126">
                  <c:v>33871</c:v>
                </c:pt>
                <c:pt idx="127">
                  <c:v>33100</c:v>
                </c:pt>
                <c:pt idx="128">
                  <c:v>33508</c:v>
                </c:pt>
                <c:pt idx="129">
                  <c:v>34567</c:v>
                </c:pt>
                <c:pt idx="130">
                  <c:v>34287</c:v>
                </c:pt>
                <c:pt idx="131">
                  <c:v>34282</c:v>
                </c:pt>
                <c:pt idx="132">
                  <c:v>34289</c:v>
                </c:pt>
                <c:pt idx="133">
                  <c:v>34263</c:v>
                </c:pt>
                <c:pt idx="134">
                  <c:v>34273</c:v>
                </c:pt>
                <c:pt idx="135">
                  <c:v>34295</c:v>
                </c:pt>
                <c:pt idx="136">
                  <c:v>34315</c:v>
                </c:pt>
                <c:pt idx="137">
                  <c:v>34251</c:v>
                </c:pt>
                <c:pt idx="138">
                  <c:v>34649</c:v>
                </c:pt>
                <c:pt idx="139">
                  <c:v>34248</c:v>
                </c:pt>
                <c:pt idx="140">
                  <c:v>34253</c:v>
                </c:pt>
                <c:pt idx="141">
                  <c:v>34643</c:v>
                </c:pt>
                <c:pt idx="142">
                  <c:v>33800</c:v>
                </c:pt>
                <c:pt idx="143">
                  <c:v>34677</c:v>
                </c:pt>
                <c:pt idx="144">
                  <c:v>34300</c:v>
                </c:pt>
                <c:pt idx="145">
                  <c:v>34314</c:v>
                </c:pt>
                <c:pt idx="146">
                  <c:v>34244</c:v>
                </c:pt>
                <c:pt idx="147">
                  <c:v>34629</c:v>
                </c:pt>
                <c:pt idx="148">
                  <c:v>34325</c:v>
                </c:pt>
                <c:pt idx="149">
                  <c:v>33450</c:v>
                </c:pt>
                <c:pt idx="150">
                  <c:v>34704</c:v>
                </c:pt>
                <c:pt idx="151">
                  <c:v>34396</c:v>
                </c:pt>
                <c:pt idx="152">
                  <c:v>34457</c:v>
                </c:pt>
                <c:pt idx="153">
                  <c:v>34638</c:v>
                </c:pt>
                <c:pt idx="154">
                  <c:v>41583</c:v>
                </c:pt>
                <c:pt idx="155">
                  <c:v>34622</c:v>
                </c:pt>
                <c:pt idx="156">
                  <c:v>39128</c:v>
                </c:pt>
                <c:pt idx="157">
                  <c:v>34578</c:v>
                </c:pt>
                <c:pt idx="158">
                  <c:v>45668</c:v>
                </c:pt>
                <c:pt idx="159">
                  <c:v>35977</c:v>
                </c:pt>
                <c:pt idx="160">
                  <c:v>38122</c:v>
                </c:pt>
                <c:pt idx="161">
                  <c:v>38080</c:v>
                </c:pt>
                <c:pt idx="162">
                  <c:v>38104</c:v>
                </c:pt>
                <c:pt idx="163">
                  <c:v>38117</c:v>
                </c:pt>
                <c:pt idx="164">
                  <c:v>30562</c:v>
                </c:pt>
                <c:pt idx="165">
                  <c:v>38700</c:v>
                </c:pt>
                <c:pt idx="166">
                  <c:v>37875</c:v>
                </c:pt>
                <c:pt idx="167">
                  <c:v>37894</c:v>
                </c:pt>
                <c:pt idx="168">
                  <c:v>39216</c:v>
                </c:pt>
                <c:pt idx="169">
                  <c:v>39350</c:v>
                </c:pt>
                <c:pt idx="170">
                  <c:v>38975</c:v>
                </c:pt>
                <c:pt idx="171">
                  <c:v>38636</c:v>
                </c:pt>
                <c:pt idx="172">
                  <c:v>38975</c:v>
                </c:pt>
                <c:pt idx="173">
                  <c:v>39000</c:v>
                </c:pt>
                <c:pt idx="174">
                  <c:v>37909</c:v>
                </c:pt>
                <c:pt idx="175">
                  <c:v>37883</c:v>
                </c:pt>
                <c:pt idx="176">
                  <c:v>37938</c:v>
                </c:pt>
                <c:pt idx="177">
                  <c:v>37934</c:v>
                </c:pt>
                <c:pt idx="178">
                  <c:v>37800</c:v>
                </c:pt>
                <c:pt idx="179">
                  <c:v>37800</c:v>
                </c:pt>
                <c:pt idx="180">
                  <c:v>35925</c:v>
                </c:pt>
                <c:pt idx="181">
                  <c:v>35555</c:v>
                </c:pt>
                <c:pt idx="182">
                  <c:v>35471</c:v>
                </c:pt>
                <c:pt idx="183">
                  <c:v>42513</c:v>
                </c:pt>
                <c:pt idx="184">
                  <c:v>34700</c:v>
                </c:pt>
                <c:pt idx="185">
                  <c:v>41411</c:v>
                </c:pt>
                <c:pt idx="186">
                  <c:v>41253</c:v>
                </c:pt>
                <c:pt idx="187">
                  <c:v>35814</c:v>
                </c:pt>
                <c:pt idx="188">
                  <c:v>35768</c:v>
                </c:pt>
                <c:pt idx="189">
                  <c:v>35653</c:v>
                </c:pt>
                <c:pt idx="190">
                  <c:v>37274</c:v>
                </c:pt>
                <c:pt idx="191">
                  <c:v>37125</c:v>
                </c:pt>
                <c:pt idx="192">
                  <c:v>39164</c:v>
                </c:pt>
                <c:pt idx="193">
                  <c:v>39267</c:v>
                </c:pt>
                <c:pt idx="194">
                  <c:v>35534</c:v>
                </c:pt>
                <c:pt idx="195">
                  <c:v>40881</c:v>
                </c:pt>
                <c:pt idx="196">
                  <c:v>40879</c:v>
                </c:pt>
                <c:pt idx="197">
                  <c:v>47272</c:v>
                </c:pt>
                <c:pt idx="198">
                  <c:v>39266</c:v>
                </c:pt>
                <c:pt idx="199">
                  <c:v>39374</c:v>
                </c:pt>
                <c:pt idx="200">
                  <c:v>39426</c:v>
                </c:pt>
                <c:pt idx="201">
                  <c:v>39316</c:v>
                </c:pt>
                <c:pt idx="202">
                  <c:v>39200</c:v>
                </c:pt>
                <c:pt idx="203">
                  <c:v>39200</c:v>
                </c:pt>
                <c:pt idx="204">
                  <c:v>39200</c:v>
                </c:pt>
                <c:pt idx="205">
                  <c:v>39200</c:v>
                </c:pt>
                <c:pt idx="206">
                  <c:v>39262</c:v>
                </c:pt>
                <c:pt idx="207">
                  <c:v>39356</c:v>
                </c:pt>
                <c:pt idx="208">
                  <c:v>39418</c:v>
                </c:pt>
                <c:pt idx="209">
                  <c:v>39345</c:v>
                </c:pt>
                <c:pt idx="210">
                  <c:v>39269</c:v>
                </c:pt>
                <c:pt idx="211">
                  <c:v>39420</c:v>
                </c:pt>
                <c:pt idx="212">
                  <c:v>39382</c:v>
                </c:pt>
                <c:pt idx="213">
                  <c:v>39418</c:v>
                </c:pt>
                <c:pt idx="214">
                  <c:v>39295</c:v>
                </c:pt>
                <c:pt idx="215">
                  <c:v>39446</c:v>
                </c:pt>
                <c:pt idx="216">
                  <c:v>39333</c:v>
                </c:pt>
                <c:pt idx="217">
                  <c:v>39200</c:v>
                </c:pt>
                <c:pt idx="218">
                  <c:v>39339</c:v>
                </c:pt>
                <c:pt idx="219">
                  <c:v>39418</c:v>
                </c:pt>
                <c:pt idx="220">
                  <c:v>39277</c:v>
                </c:pt>
                <c:pt idx="221">
                  <c:v>39383</c:v>
                </c:pt>
                <c:pt idx="222">
                  <c:v>39360</c:v>
                </c:pt>
                <c:pt idx="223">
                  <c:v>39200</c:v>
                </c:pt>
                <c:pt idx="224">
                  <c:v>35966</c:v>
                </c:pt>
                <c:pt idx="225">
                  <c:v>35097</c:v>
                </c:pt>
                <c:pt idx="226">
                  <c:v>34700</c:v>
                </c:pt>
                <c:pt idx="227">
                  <c:v>35391</c:v>
                </c:pt>
                <c:pt idx="228">
                  <c:v>38380</c:v>
                </c:pt>
                <c:pt idx="229">
                  <c:v>35097</c:v>
                </c:pt>
                <c:pt idx="230">
                  <c:v>35021</c:v>
                </c:pt>
                <c:pt idx="231">
                  <c:v>40117</c:v>
                </c:pt>
                <c:pt idx="232">
                  <c:v>43170</c:v>
                </c:pt>
                <c:pt idx="233">
                  <c:v>34670</c:v>
                </c:pt>
                <c:pt idx="234">
                  <c:v>44013</c:v>
                </c:pt>
                <c:pt idx="235">
                  <c:v>46975</c:v>
                </c:pt>
                <c:pt idx="236">
                  <c:v>46852</c:v>
                </c:pt>
                <c:pt idx="237">
                  <c:v>46600</c:v>
                </c:pt>
                <c:pt idx="238">
                  <c:v>47120</c:v>
                </c:pt>
                <c:pt idx="239">
                  <c:v>47120</c:v>
                </c:pt>
                <c:pt idx="240">
                  <c:v>45725</c:v>
                </c:pt>
                <c:pt idx="241">
                  <c:v>42976</c:v>
                </c:pt>
                <c:pt idx="242">
                  <c:v>41647</c:v>
                </c:pt>
                <c:pt idx="243">
                  <c:v>42211</c:v>
                </c:pt>
                <c:pt idx="244">
                  <c:v>42200</c:v>
                </c:pt>
                <c:pt idx="245">
                  <c:v>41802</c:v>
                </c:pt>
                <c:pt idx="246">
                  <c:v>41748</c:v>
                </c:pt>
                <c:pt idx="247">
                  <c:v>35886</c:v>
                </c:pt>
                <c:pt idx="248">
                  <c:v>43239</c:v>
                </c:pt>
                <c:pt idx="249">
                  <c:v>43177</c:v>
                </c:pt>
                <c:pt idx="250">
                  <c:v>42200</c:v>
                </c:pt>
                <c:pt idx="251">
                  <c:v>42213</c:v>
                </c:pt>
                <c:pt idx="252">
                  <c:v>40478</c:v>
                </c:pt>
                <c:pt idx="253">
                  <c:v>40478</c:v>
                </c:pt>
                <c:pt idx="254">
                  <c:v>40478</c:v>
                </c:pt>
                <c:pt idx="255">
                  <c:v>40478</c:v>
                </c:pt>
                <c:pt idx="256">
                  <c:v>40478</c:v>
                </c:pt>
                <c:pt idx="257">
                  <c:v>50855</c:v>
                </c:pt>
                <c:pt idx="258">
                  <c:v>51210</c:v>
                </c:pt>
                <c:pt idx="259">
                  <c:v>44239</c:v>
                </c:pt>
                <c:pt idx="260">
                  <c:v>44174</c:v>
                </c:pt>
                <c:pt idx="261">
                  <c:v>42966</c:v>
                </c:pt>
                <c:pt idx="262">
                  <c:v>44022</c:v>
                </c:pt>
                <c:pt idx="263">
                  <c:v>44052</c:v>
                </c:pt>
                <c:pt idx="264">
                  <c:v>42082</c:v>
                </c:pt>
                <c:pt idx="265">
                  <c:v>42566</c:v>
                </c:pt>
                <c:pt idx="266">
                  <c:v>44135</c:v>
                </c:pt>
                <c:pt idx="267">
                  <c:v>42614</c:v>
                </c:pt>
                <c:pt idx="268">
                  <c:v>43618</c:v>
                </c:pt>
                <c:pt idx="269">
                  <c:v>56902</c:v>
                </c:pt>
                <c:pt idx="270">
                  <c:v>42954</c:v>
                </c:pt>
                <c:pt idx="271">
                  <c:v>43604</c:v>
                </c:pt>
                <c:pt idx="272">
                  <c:v>46500</c:v>
                </c:pt>
                <c:pt idx="273">
                  <c:v>42454</c:v>
                </c:pt>
                <c:pt idx="274">
                  <c:v>45850</c:v>
                </c:pt>
                <c:pt idx="275">
                  <c:v>46850</c:v>
                </c:pt>
                <c:pt idx="276">
                  <c:v>45850</c:v>
                </c:pt>
                <c:pt idx="277">
                  <c:v>46350</c:v>
                </c:pt>
                <c:pt idx="278">
                  <c:v>40018</c:v>
                </c:pt>
                <c:pt idx="279">
                  <c:v>40125</c:v>
                </c:pt>
                <c:pt idx="280">
                  <c:v>40059</c:v>
                </c:pt>
                <c:pt idx="281">
                  <c:v>40102</c:v>
                </c:pt>
                <c:pt idx="282">
                  <c:v>44510</c:v>
                </c:pt>
                <c:pt idx="283">
                  <c:v>44510</c:v>
                </c:pt>
                <c:pt idx="284">
                  <c:v>46311</c:v>
                </c:pt>
                <c:pt idx="285">
                  <c:v>46309</c:v>
                </c:pt>
                <c:pt idx="286">
                  <c:v>45530</c:v>
                </c:pt>
                <c:pt idx="287">
                  <c:v>42074</c:v>
                </c:pt>
                <c:pt idx="288">
                  <c:v>41973</c:v>
                </c:pt>
                <c:pt idx="289">
                  <c:v>42102</c:v>
                </c:pt>
                <c:pt idx="290">
                  <c:v>42186</c:v>
                </c:pt>
                <c:pt idx="291">
                  <c:v>42183</c:v>
                </c:pt>
                <c:pt idx="292">
                  <c:v>42183</c:v>
                </c:pt>
                <c:pt idx="293">
                  <c:v>42121</c:v>
                </c:pt>
                <c:pt idx="294">
                  <c:v>42002</c:v>
                </c:pt>
                <c:pt idx="295">
                  <c:v>41964</c:v>
                </c:pt>
                <c:pt idx="296">
                  <c:v>41974</c:v>
                </c:pt>
                <c:pt idx="297">
                  <c:v>45000</c:v>
                </c:pt>
                <c:pt idx="298">
                  <c:v>46345</c:v>
                </c:pt>
                <c:pt idx="299">
                  <c:v>46321</c:v>
                </c:pt>
                <c:pt idx="300">
                  <c:v>42000</c:v>
                </c:pt>
                <c:pt idx="301">
                  <c:v>45240</c:v>
                </c:pt>
                <c:pt idx="302">
                  <c:v>45217</c:v>
                </c:pt>
                <c:pt idx="303">
                  <c:v>53139</c:v>
                </c:pt>
                <c:pt idx="304">
                  <c:v>53483</c:v>
                </c:pt>
                <c:pt idx="305">
                  <c:v>47000</c:v>
                </c:pt>
                <c:pt idx="306">
                  <c:v>46925</c:v>
                </c:pt>
                <c:pt idx="307">
                  <c:v>46956</c:v>
                </c:pt>
                <c:pt idx="308">
                  <c:v>47000</c:v>
                </c:pt>
                <c:pt idx="309">
                  <c:v>47267</c:v>
                </c:pt>
                <c:pt idx="310">
                  <c:v>53124</c:v>
                </c:pt>
                <c:pt idx="311">
                  <c:v>63400</c:v>
                </c:pt>
                <c:pt idx="312">
                  <c:v>63400</c:v>
                </c:pt>
                <c:pt idx="313">
                  <c:v>42000</c:v>
                </c:pt>
                <c:pt idx="314">
                  <c:v>51060</c:v>
                </c:pt>
                <c:pt idx="315">
                  <c:v>51087</c:v>
                </c:pt>
                <c:pt idx="316">
                  <c:v>51101</c:v>
                </c:pt>
                <c:pt idx="317">
                  <c:v>51087</c:v>
                </c:pt>
                <c:pt idx="318">
                  <c:v>53274</c:v>
                </c:pt>
                <c:pt idx="319">
                  <c:v>51059</c:v>
                </c:pt>
                <c:pt idx="320">
                  <c:v>52156</c:v>
                </c:pt>
                <c:pt idx="321">
                  <c:v>52023</c:v>
                </c:pt>
                <c:pt idx="322">
                  <c:v>49844</c:v>
                </c:pt>
                <c:pt idx="323">
                  <c:v>50004</c:v>
                </c:pt>
                <c:pt idx="324">
                  <c:v>49993</c:v>
                </c:pt>
                <c:pt idx="325">
                  <c:v>49844</c:v>
                </c:pt>
                <c:pt idx="326">
                  <c:v>59567</c:v>
                </c:pt>
                <c:pt idx="327">
                  <c:v>48304</c:v>
                </c:pt>
                <c:pt idx="328">
                  <c:v>50638</c:v>
                </c:pt>
                <c:pt idx="329">
                  <c:v>50532</c:v>
                </c:pt>
                <c:pt idx="330">
                  <c:v>50689</c:v>
                </c:pt>
                <c:pt idx="331">
                  <c:v>52161</c:v>
                </c:pt>
                <c:pt idx="332">
                  <c:v>52103</c:v>
                </c:pt>
                <c:pt idx="333">
                  <c:v>52101</c:v>
                </c:pt>
                <c:pt idx="334">
                  <c:v>52120</c:v>
                </c:pt>
                <c:pt idx="335">
                  <c:v>52056</c:v>
                </c:pt>
                <c:pt idx="336">
                  <c:v>55000</c:v>
                </c:pt>
                <c:pt idx="337">
                  <c:v>60640</c:v>
                </c:pt>
                <c:pt idx="338">
                  <c:v>67639</c:v>
                </c:pt>
                <c:pt idx="339">
                  <c:v>49238</c:v>
                </c:pt>
                <c:pt idx="340">
                  <c:v>48847</c:v>
                </c:pt>
                <c:pt idx="341">
                  <c:v>48874</c:v>
                </c:pt>
                <c:pt idx="342">
                  <c:v>50604</c:v>
                </c:pt>
                <c:pt idx="343">
                  <c:v>60350</c:v>
                </c:pt>
                <c:pt idx="344">
                  <c:v>62742</c:v>
                </c:pt>
                <c:pt idx="345">
                  <c:v>52248</c:v>
                </c:pt>
                <c:pt idx="346">
                  <c:v>52329</c:v>
                </c:pt>
                <c:pt idx="347">
                  <c:v>52683</c:v>
                </c:pt>
                <c:pt idx="348">
                  <c:v>51845</c:v>
                </c:pt>
                <c:pt idx="349">
                  <c:v>63200</c:v>
                </c:pt>
                <c:pt idx="350">
                  <c:v>63000</c:v>
                </c:pt>
                <c:pt idx="351">
                  <c:v>63150</c:v>
                </c:pt>
                <c:pt idx="352">
                  <c:v>62994</c:v>
                </c:pt>
                <c:pt idx="353">
                  <c:v>51870</c:v>
                </c:pt>
                <c:pt idx="354">
                  <c:v>56889</c:v>
                </c:pt>
                <c:pt idx="355">
                  <c:v>53328</c:v>
                </c:pt>
                <c:pt idx="356">
                  <c:v>53081</c:v>
                </c:pt>
                <c:pt idx="357">
                  <c:v>53410</c:v>
                </c:pt>
                <c:pt idx="358">
                  <c:v>53171</c:v>
                </c:pt>
                <c:pt idx="359">
                  <c:v>53462</c:v>
                </c:pt>
                <c:pt idx="360">
                  <c:v>54157</c:v>
                </c:pt>
                <c:pt idx="361">
                  <c:v>54157</c:v>
                </c:pt>
                <c:pt idx="362">
                  <c:v>54155</c:v>
                </c:pt>
                <c:pt idx="363">
                  <c:v>52786</c:v>
                </c:pt>
                <c:pt idx="364">
                  <c:v>52828</c:v>
                </c:pt>
                <c:pt idx="365">
                  <c:v>52806</c:v>
                </c:pt>
                <c:pt idx="366">
                  <c:v>52785</c:v>
                </c:pt>
                <c:pt idx="367">
                  <c:v>61454</c:v>
                </c:pt>
                <c:pt idx="368">
                  <c:v>60200</c:v>
                </c:pt>
                <c:pt idx="369">
                  <c:v>52788</c:v>
                </c:pt>
                <c:pt idx="370">
                  <c:v>52788</c:v>
                </c:pt>
                <c:pt idx="371">
                  <c:v>53890</c:v>
                </c:pt>
                <c:pt idx="372">
                  <c:v>50869</c:v>
                </c:pt>
                <c:pt idx="373">
                  <c:v>50500</c:v>
                </c:pt>
                <c:pt idx="374">
                  <c:v>50500</c:v>
                </c:pt>
                <c:pt idx="375">
                  <c:v>50300</c:v>
                </c:pt>
                <c:pt idx="376">
                  <c:v>55387</c:v>
                </c:pt>
                <c:pt idx="377">
                  <c:v>49857</c:v>
                </c:pt>
                <c:pt idx="378">
                  <c:v>50000</c:v>
                </c:pt>
                <c:pt idx="379">
                  <c:v>50000</c:v>
                </c:pt>
                <c:pt idx="380">
                  <c:v>50269</c:v>
                </c:pt>
                <c:pt idx="381">
                  <c:v>50278</c:v>
                </c:pt>
                <c:pt idx="382">
                  <c:v>50466</c:v>
                </c:pt>
                <c:pt idx="383">
                  <c:v>50525</c:v>
                </c:pt>
                <c:pt idx="384">
                  <c:v>50596</c:v>
                </c:pt>
                <c:pt idx="385">
                  <c:v>50629</c:v>
                </c:pt>
                <c:pt idx="386">
                  <c:v>50700</c:v>
                </c:pt>
                <c:pt idx="387">
                  <c:v>50638</c:v>
                </c:pt>
                <c:pt idx="388">
                  <c:v>50629</c:v>
                </c:pt>
                <c:pt idx="389">
                  <c:v>50739</c:v>
                </c:pt>
                <c:pt idx="390">
                  <c:v>50769</c:v>
                </c:pt>
                <c:pt idx="391">
                  <c:v>50629</c:v>
                </c:pt>
                <c:pt idx="392">
                  <c:v>50769</c:v>
                </c:pt>
                <c:pt idx="393">
                  <c:v>50497</c:v>
                </c:pt>
                <c:pt idx="394">
                  <c:v>50276</c:v>
                </c:pt>
                <c:pt idx="395">
                  <c:v>50591</c:v>
                </c:pt>
                <c:pt idx="396">
                  <c:v>52146</c:v>
                </c:pt>
                <c:pt idx="397">
                  <c:v>52214</c:v>
                </c:pt>
                <c:pt idx="398">
                  <c:v>52210</c:v>
                </c:pt>
                <c:pt idx="399">
                  <c:v>52216</c:v>
                </c:pt>
                <c:pt idx="400">
                  <c:v>52200</c:v>
                </c:pt>
                <c:pt idx="401">
                  <c:v>52279</c:v>
                </c:pt>
                <c:pt idx="402">
                  <c:v>52000</c:v>
                </c:pt>
                <c:pt idx="403">
                  <c:v>50608</c:v>
                </c:pt>
                <c:pt idx="404">
                  <c:v>50629</c:v>
                </c:pt>
                <c:pt idx="405">
                  <c:v>50532</c:v>
                </c:pt>
                <c:pt idx="406">
                  <c:v>50790</c:v>
                </c:pt>
                <c:pt idx="407">
                  <c:v>52249</c:v>
                </c:pt>
                <c:pt idx="408">
                  <c:v>51300</c:v>
                </c:pt>
                <c:pt idx="409">
                  <c:v>52146</c:v>
                </c:pt>
                <c:pt idx="410">
                  <c:v>50800</c:v>
                </c:pt>
                <c:pt idx="411">
                  <c:v>50700</c:v>
                </c:pt>
                <c:pt idx="412">
                  <c:v>50953</c:v>
                </c:pt>
                <c:pt idx="413">
                  <c:v>50789</c:v>
                </c:pt>
                <c:pt idx="414">
                  <c:v>50790</c:v>
                </c:pt>
                <c:pt idx="415">
                  <c:v>50869</c:v>
                </c:pt>
                <c:pt idx="416">
                  <c:v>50500</c:v>
                </c:pt>
                <c:pt idx="417">
                  <c:v>50790</c:v>
                </c:pt>
                <c:pt idx="418">
                  <c:v>50869</c:v>
                </c:pt>
                <c:pt idx="419">
                  <c:v>50869</c:v>
                </c:pt>
                <c:pt idx="420">
                  <c:v>50500</c:v>
                </c:pt>
                <c:pt idx="421">
                  <c:v>50790</c:v>
                </c:pt>
                <c:pt idx="422">
                  <c:v>50500</c:v>
                </c:pt>
                <c:pt idx="423">
                  <c:v>50813</c:v>
                </c:pt>
                <c:pt idx="424">
                  <c:v>50842</c:v>
                </c:pt>
                <c:pt idx="425">
                  <c:v>50689</c:v>
                </c:pt>
                <c:pt idx="426">
                  <c:v>50420</c:v>
                </c:pt>
                <c:pt idx="427">
                  <c:v>50244</c:v>
                </c:pt>
                <c:pt idx="428">
                  <c:v>50568</c:v>
                </c:pt>
                <c:pt idx="429">
                  <c:v>50547</c:v>
                </c:pt>
                <c:pt idx="430">
                  <c:v>50446</c:v>
                </c:pt>
                <c:pt idx="431">
                  <c:v>51699</c:v>
                </c:pt>
                <c:pt idx="432">
                  <c:v>51779</c:v>
                </c:pt>
                <c:pt idx="433">
                  <c:v>51745</c:v>
                </c:pt>
                <c:pt idx="434">
                  <c:v>51744</c:v>
                </c:pt>
                <c:pt idx="435">
                  <c:v>50353</c:v>
                </c:pt>
                <c:pt idx="436">
                  <c:v>59940</c:v>
                </c:pt>
                <c:pt idx="437">
                  <c:v>59840</c:v>
                </c:pt>
                <c:pt idx="438">
                  <c:v>53870</c:v>
                </c:pt>
                <c:pt idx="439">
                  <c:v>53663</c:v>
                </c:pt>
                <c:pt idx="440">
                  <c:v>53682</c:v>
                </c:pt>
                <c:pt idx="441">
                  <c:v>41899</c:v>
                </c:pt>
                <c:pt idx="442">
                  <c:v>52513</c:v>
                </c:pt>
                <c:pt idx="443">
                  <c:v>52408</c:v>
                </c:pt>
                <c:pt idx="444">
                  <c:v>51671</c:v>
                </c:pt>
                <c:pt idx="445">
                  <c:v>62994</c:v>
                </c:pt>
                <c:pt idx="446">
                  <c:v>52427</c:v>
                </c:pt>
                <c:pt idx="447">
                  <c:v>55301</c:v>
                </c:pt>
                <c:pt idx="448">
                  <c:v>51687</c:v>
                </c:pt>
                <c:pt idx="449">
                  <c:v>52427</c:v>
                </c:pt>
                <c:pt idx="450">
                  <c:v>52366</c:v>
                </c:pt>
                <c:pt idx="451">
                  <c:v>61468</c:v>
                </c:pt>
                <c:pt idx="452">
                  <c:v>53870</c:v>
                </c:pt>
                <c:pt idx="453">
                  <c:v>53874</c:v>
                </c:pt>
                <c:pt idx="454">
                  <c:v>62422</c:v>
                </c:pt>
                <c:pt idx="455">
                  <c:v>51400</c:v>
                </c:pt>
                <c:pt idx="456">
                  <c:v>58486</c:v>
                </c:pt>
                <c:pt idx="457">
                  <c:v>52513</c:v>
                </c:pt>
                <c:pt idx="458">
                  <c:v>52513</c:v>
                </c:pt>
                <c:pt idx="459">
                  <c:v>58724</c:v>
                </c:pt>
                <c:pt idx="460">
                  <c:v>54344</c:v>
                </c:pt>
                <c:pt idx="461">
                  <c:v>58213</c:v>
                </c:pt>
                <c:pt idx="462">
                  <c:v>58512</c:v>
                </c:pt>
                <c:pt idx="463">
                  <c:v>54384</c:v>
                </c:pt>
                <c:pt idx="464">
                  <c:v>50200</c:v>
                </c:pt>
                <c:pt idx="465">
                  <c:v>67615</c:v>
                </c:pt>
                <c:pt idx="466">
                  <c:v>67795</c:v>
                </c:pt>
                <c:pt idx="467">
                  <c:v>57790</c:v>
                </c:pt>
                <c:pt idx="468">
                  <c:v>57790</c:v>
                </c:pt>
                <c:pt idx="469">
                  <c:v>54325</c:v>
                </c:pt>
                <c:pt idx="470">
                  <c:v>47828</c:v>
                </c:pt>
                <c:pt idx="471">
                  <c:v>47840</c:v>
                </c:pt>
                <c:pt idx="472">
                  <c:v>47840</c:v>
                </c:pt>
                <c:pt idx="473">
                  <c:v>67727</c:v>
                </c:pt>
                <c:pt idx="474">
                  <c:v>60350</c:v>
                </c:pt>
                <c:pt idx="475">
                  <c:v>60639</c:v>
                </c:pt>
                <c:pt idx="476">
                  <c:v>60639</c:v>
                </c:pt>
                <c:pt idx="477">
                  <c:v>60639</c:v>
                </c:pt>
                <c:pt idx="478">
                  <c:v>60639</c:v>
                </c:pt>
                <c:pt idx="479">
                  <c:v>58287</c:v>
                </c:pt>
                <c:pt idx="480">
                  <c:v>61777</c:v>
                </c:pt>
                <c:pt idx="481">
                  <c:v>67164</c:v>
                </c:pt>
                <c:pt idx="482">
                  <c:v>63395</c:v>
                </c:pt>
                <c:pt idx="483">
                  <c:v>67678</c:v>
                </c:pt>
                <c:pt idx="484">
                  <c:v>53634</c:v>
                </c:pt>
                <c:pt idx="485">
                  <c:v>60348</c:v>
                </c:pt>
                <c:pt idx="486">
                  <c:v>60348</c:v>
                </c:pt>
                <c:pt idx="487">
                  <c:v>58200</c:v>
                </c:pt>
                <c:pt idx="488">
                  <c:v>58200</c:v>
                </c:pt>
                <c:pt idx="489">
                  <c:v>58200</c:v>
                </c:pt>
                <c:pt idx="490">
                  <c:v>58200</c:v>
                </c:pt>
                <c:pt idx="491">
                  <c:v>62007</c:v>
                </c:pt>
                <c:pt idx="492">
                  <c:v>63645</c:v>
                </c:pt>
                <c:pt idx="493">
                  <c:v>63537</c:v>
                </c:pt>
                <c:pt idx="494">
                  <c:v>58281</c:v>
                </c:pt>
                <c:pt idx="495">
                  <c:v>63439</c:v>
                </c:pt>
                <c:pt idx="496">
                  <c:v>63439</c:v>
                </c:pt>
                <c:pt idx="497">
                  <c:v>50554</c:v>
                </c:pt>
                <c:pt idx="498">
                  <c:v>50501</c:v>
                </c:pt>
                <c:pt idx="499">
                  <c:v>50489</c:v>
                </c:pt>
                <c:pt idx="500">
                  <c:v>59266</c:v>
                </c:pt>
                <c:pt idx="501">
                  <c:v>59346</c:v>
                </c:pt>
                <c:pt idx="502">
                  <c:v>66771</c:v>
                </c:pt>
                <c:pt idx="503">
                  <c:v>66577</c:v>
                </c:pt>
                <c:pt idx="504">
                  <c:v>66525</c:v>
                </c:pt>
                <c:pt idx="505">
                  <c:v>67686</c:v>
                </c:pt>
                <c:pt idx="506">
                  <c:v>53815</c:v>
                </c:pt>
                <c:pt idx="507">
                  <c:v>65815</c:v>
                </c:pt>
                <c:pt idx="508">
                  <c:v>61153</c:v>
                </c:pt>
                <c:pt idx="509">
                  <c:v>61986</c:v>
                </c:pt>
                <c:pt idx="510">
                  <c:v>57320</c:v>
                </c:pt>
                <c:pt idx="511">
                  <c:v>57320</c:v>
                </c:pt>
                <c:pt idx="512">
                  <c:v>57320</c:v>
                </c:pt>
                <c:pt idx="513">
                  <c:v>57320</c:v>
                </c:pt>
                <c:pt idx="514">
                  <c:v>63254</c:v>
                </c:pt>
                <c:pt idx="515">
                  <c:v>63439</c:v>
                </c:pt>
                <c:pt idx="516">
                  <c:v>63439</c:v>
                </c:pt>
                <c:pt idx="517">
                  <c:v>61489</c:v>
                </c:pt>
                <c:pt idx="518">
                  <c:v>63157</c:v>
                </c:pt>
                <c:pt idx="519">
                  <c:v>64220</c:v>
                </c:pt>
                <c:pt idx="520">
                  <c:v>65002</c:v>
                </c:pt>
                <c:pt idx="521">
                  <c:v>64983</c:v>
                </c:pt>
                <c:pt idx="522">
                  <c:v>65038</c:v>
                </c:pt>
                <c:pt idx="523">
                  <c:v>64989</c:v>
                </c:pt>
                <c:pt idx="524">
                  <c:v>63179</c:v>
                </c:pt>
                <c:pt idx="525">
                  <c:v>62953</c:v>
                </c:pt>
                <c:pt idx="526">
                  <c:v>60189</c:v>
                </c:pt>
                <c:pt idx="527">
                  <c:v>67310</c:v>
                </c:pt>
                <c:pt idx="528">
                  <c:v>67222</c:v>
                </c:pt>
                <c:pt idx="529">
                  <c:v>66818</c:v>
                </c:pt>
                <c:pt idx="530">
                  <c:v>66818</c:v>
                </c:pt>
                <c:pt idx="531">
                  <c:v>63428</c:v>
                </c:pt>
                <c:pt idx="532">
                  <c:v>63352</c:v>
                </c:pt>
                <c:pt idx="533">
                  <c:v>63505</c:v>
                </c:pt>
                <c:pt idx="534">
                  <c:v>63411</c:v>
                </c:pt>
                <c:pt idx="535">
                  <c:v>63377</c:v>
                </c:pt>
                <c:pt idx="536">
                  <c:v>63427</c:v>
                </c:pt>
                <c:pt idx="537">
                  <c:v>63638</c:v>
                </c:pt>
                <c:pt idx="538">
                  <c:v>63400</c:v>
                </c:pt>
                <c:pt idx="539">
                  <c:v>63300</c:v>
                </c:pt>
                <c:pt idx="540">
                  <c:v>67150</c:v>
                </c:pt>
                <c:pt idx="541">
                  <c:v>65919</c:v>
                </c:pt>
                <c:pt idx="542">
                  <c:v>65867</c:v>
                </c:pt>
                <c:pt idx="543">
                  <c:v>65950</c:v>
                </c:pt>
                <c:pt idx="544">
                  <c:v>65600</c:v>
                </c:pt>
                <c:pt idx="545">
                  <c:v>65935</c:v>
                </c:pt>
                <c:pt idx="546">
                  <c:v>65600</c:v>
                </c:pt>
                <c:pt idx="547">
                  <c:v>65981</c:v>
                </c:pt>
                <c:pt idx="548">
                  <c:v>66051</c:v>
                </c:pt>
                <c:pt idx="549">
                  <c:v>65883</c:v>
                </c:pt>
                <c:pt idx="550">
                  <c:v>66171</c:v>
                </c:pt>
                <c:pt idx="551">
                  <c:v>67145</c:v>
                </c:pt>
                <c:pt idx="552">
                  <c:v>59587</c:v>
                </c:pt>
                <c:pt idx="553">
                  <c:v>54437</c:v>
                </c:pt>
                <c:pt idx="554">
                  <c:v>66975</c:v>
                </c:pt>
                <c:pt idx="555">
                  <c:v>67145</c:v>
                </c:pt>
                <c:pt idx="556">
                  <c:v>67529</c:v>
                </c:pt>
                <c:pt idx="557">
                  <c:v>63384</c:v>
                </c:pt>
                <c:pt idx="558">
                  <c:v>64513</c:v>
                </c:pt>
                <c:pt idx="559">
                  <c:v>67601</c:v>
                </c:pt>
                <c:pt idx="560">
                  <c:v>67679</c:v>
                </c:pt>
                <c:pt idx="561">
                  <c:v>63163</c:v>
                </c:pt>
                <c:pt idx="562">
                  <c:v>63014</c:v>
                </c:pt>
                <c:pt idx="563">
                  <c:v>63007</c:v>
                </c:pt>
                <c:pt idx="564">
                  <c:v>66633</c:v>
                </c:pt>
                <c:pt idx="565">
                  <c:v>66821</c:v>
                </c:pt>
                <c:pt idx="566">
                  <c:v>66799</c:v>
                </c:pt>
                <c:pt idx="567">
                  <c:v>63010</c:v>
                </c:pt>
                <c:pt idx="568">
                  <c:v>67033</c:v>
                </c:pt>
                <c:pt idx="569">
                  <c:v>66694</c:v>
                </c:pt>
                <c:pt idx="570">
                  <c:v>65890</c:v>
                </c:pt>
                <c:pt idx="571">
                  <c:v>53911</c:v>
                </c:pt>
                <c:pt idx="572">
                  <c:v>67170</c:v>
                </c:pt>
                <c:pt idx="573">
                  <c:v>67170</c:v>
                </c:pt>
                <c:pt idx="574">
                  <c:v>67273</c:v>
                </c:pt>
                <c:pt idx="575">
                  <c:v>67247</c:v>
                </c:pt>
                <c:pt idx="576">
                  <c:v>67255</c:v>
                </c:pt>
                <c:pt idx="577">
                  <c:v>68120</c:v>
                </c:pt>
                <c:pt idx="578">
                  <c:v>68254</c:v>
                </c:pt>
                <c:pt idx="579">
                  <c:v>68209</c:v>
                </c:pt>
                <c:pt idx="580">
                  <c:v>68126</c:v>
                </c:pt>
                <c:pt idx="581">
                  <c:v>68599</c:v>
                </c:pt>
                <c:pt idx="582">
                  <c:v>68577</c:v>
                </c:pt>
                <c:pt idx="583">
                  <c:v>68178</c:v>
                </c:pt>
                <c:pt idx="584">
                  <c:v>68209</c:v>
                </c:pt>
                <c:pt idx="585">
                  <c:v>68042</c:v>
                </c:pt>
                <c:pt idx="586">
                  <c:v>68282</c:v>
                </c:pt>
                <c:pt idx="587">
                  <c:v>68168</c:v>
                </c:pt>
                <c:pt idx="588">
                  <c:v>68187</c:v>
                </c:pt>
                <c:pt idx="589">
                  <c:v>65930</c:v>
                </c:pt>
                <c:pt idx="590">
                  <c:v>63059</c:v>
                </c:pt>
                <c:pt idx="591">
                  <c:v>63069</c:v>
                </c:pt>
                <c:pt idx="592">
                  <c:v>68282</c:v>
                </c:pt>
                <c:pt idx="593">
                  <c:v>68579</c:v>
                </c:pt>
                <c:pt idx="594">
                  <c:v>63000</c:v>
                </c:pt>
                <c:pt idx="595">
                  <c:v>65550</c:v>
                </c:pt>
                <c:pt idx="596">
                  <c:v>65550</c:v>
                </c:pt>
                <c:pt idx="597">
                  <c:v>65710</c:v>
                </c:pt>
                <c:pt idx="598">
                  <c:v>64500</c:v>
                </c:pt>
                <c:pt idx="599">
                  <c:v>67741</c:v>
                </c:pt>
                <c:pt idx="600">
                  <c:v>67765</c:v>
                </c:pt>
                <c:pt idx="601">
                  <c:v>62386</c:v>
                </c:pt>
                <c:pt idx="602">
                  <c:v>67712</c:v>
                </c:pt>
                <c:pt idx="603">
                  <c:v>65165</c:v>
                </c:pt>
                <c:pt idx="604">
                  <c:v>67515</c:v>
                </c:pt>
                <c:pt idx="605">
                  <c:v>67500</c:v>
                </c:pt>
                <c:pt idx="606">
                  <c:v>52683</c:v>
                </c:pt>
                <c:pt idx="607">
                  <c:v>52600</c:v>
                </c:pt>
                <c:pt idx="608">
                  <c:v>67796</c:v>
                </c:pt>
                <c:pt idx="609">
                  <c:v>68228</c:v>
                </c:pt>
                <c:pt idx="610">
                  <c:v>67680</c:v>
                </c:pt>
                <c:pt idx="611">
                  <c:v>67797</c:v>
                </c:pt>
                <c:pt idx="612">
                  <c:v>68228</c:v>
                </c:pt>
                <c:pt idx="613">
                  <c:v>68228</c:v>
                </c:pt>
                <c:pt idx="614">
                  <c:v>68228</c:v>
                </c:pt>
                <c:pt idx="615">
                  <c:v>68228</c:v>
                </c:pt>
                <c:pt idx="616">
                  <c:v>74477</c:v>
                </c:pt>
                <c:pt idx="617">
                  <c:v>74456</c:v>
                </c:pt>
                <c:pt idx="618">
                  <c:v>74506</c:v>
                </c:pt>
                <c:pt idx="619">
                  <c:v>74375</c:v>
                </c:pt>
                <c:pt idx="620">
                  <c:v>73800</c:v>
                </c:pt>
                <c:pt idx="621">
                  <c:v>68363</c:v>
                </c:pt>
                <c:pt idx="622">
                  <c:v>67955</c:v>
                </c:pt>
                <c:pt idx="623">
                  <c:v>68379</c:v>
                </c:pt>
                <c:pt idx="624">
                  <c:v>68122</c:v>
                </c:pt>
                <c:pt idx="625">
                  <c:v>68122</c:v>
                </c:pt>
                <c:pt idx="626">
                  <c:v>68086</c:v>
                </c:pt>
                <c:pt idx="627">
                  <c:v>71256</c:v>
                </c:pt>
                <c:pt idx="628">
                  <c:v>64963</c:v>
                </c:pt>
                <c:pt idx="629">
                  <c:v>64730</c:v>
                </c:pt>
                <c:pt idx="630">
                  <c:v>65066</c:v>
                </c:pt>
                <c:pt idx="631">
                  <c:v>65005</c:v>
                </c:pt>
                <c:pt idx="632">
                  <c:v>71256</c:v>
                </c:pt>
                <c:pt idx="633">
                  <c:v>64887</c:v>
                </c:pt>
                <c:pt idx="634">
                  <c:v>68228</c:v>
                </c:pt>
                <c:pt idx="635">
                  <c:v>67170</c:v>
                </c:pt>
                <c:pt idx="636">
                  <c:v>67197</c:v>
                </c:pt>
                <c:pt idx="637">
                  <c:v>67164</c:v>
                </c:pt>
                <c:pt idx="638">
                  <c:v>67270</c:v>
                </c:pt>
                <c:pt idx="639">
                  <c:v>72044</c:v>
                </c:pt>
                <c:pt idx="640">
                  <c:v>71416</c:v>
                </c:pt>
                <c:pt idx="641">
                  <c:v>71339</c:v>
                </c:pt>
                <c:pt idx="642">
                  <c:v>70590</c:v>
                </c:pt>
                <c:pt idx="643">
                  <c:v>71416</c:v>
                </c:pt>
                <c:pt idx="644">
                  <c:v>72037</c:v>
                </c:pt>
                <c:pt idx="645">
                  <c:v>72064</c:v>
                </c:pt>
                <c:pt idx="646">
                  <c:v>71949</c:v>
                </c:pt>
                <c:pt idx="647">
                  <c:v>71359</c:v>
                </c:pt>
                <c:pt idx="648">
                  <c:v>68790</c:v>
                </c:pt>
                <c:pt idx="649">
                  <c:v>68824</c:v>
                </c:pt>
                <c:pt idx="650">
                  <c:v>68819</c:v>
                </c:pt>
                <c:pt idx="651">
                  <c:v>71309</c:v>
                </c:pt>
                <c:pt idx="652">
                  <c:v>85250</c:v>
                </c:pt>
                <c:pt idx="653">
                  <c:v>63216</c:v>
                </c:pt>
                <c:pt idx="654">
                  <c:v>63216</c:v>
                </c:pt>
                <c:pt idx="655">
                  <c:v>63216</c:v>
                </c:pt>
                <c:pt idx="656">
                  <c:v>66452</c:v>
                </c:pt>
                <c:pt idx="657">
                  <c:v>69303</c:v>
                </c:pt>
                <c:pt idx="658">
                  <c:v>69423</c:v>
                </c:pt>
                <c:pt idx="659">
                  <c:v>69225</c:v>
                </c:pt>
                <c:pt idx="660">
                  <c:v>68250</c:v>
                </c:pt>
                <c:pt idx="661">
                  <c:v>68363</c:v>
                </c:pt>
                <c:pt idx="662">
                  <c:v>68363</c:v>
                </c:pt>
                <c:pt idx="663">
                  <c:v>68363</c:v>
                </c:pt>
                <c:pt idx="664">
                  <c:v>67278</c:v>
                </c:pt>
                <c:pt idx="665">
                  <c:v>67286</c:v>
                </c:pt>
                <c:pt idx="666">
                  <c:v>68263</c:v>
                </c:pt>
                <c:pt idx="667">
                  <c:v>73235</c:v>
                </c:pt>
                <c:pt idx="668">
                  <c:v>68196</c:v>
                </c:pt>
                <c:pt idx="669">
                  <c:v>67557</c:v>
                </c:pt>
                <c:pt idx="670">
                  <c:v>67580</c:v>
                </c:pt>
                <c:pt idx="671">
                  <c:v>67935</c:v>
                </c:pt>
                <c:pt idx="672">
                  <c:v>67564</c:v>
                </c:pt>
                <c:pt idx="673">
                  <c:v>67591</c:v>
                </c:pt>
                <c:pt idx="674">
                  <c:v>67566</c:v>
                </c:pt>
                <c:pt idx="675">
                  <c:v>68196</c:v>
                </c:pt>
                <c:pt idx="676">
                  <c:v>67737</c:v>
                </c:pt>
                <c:pt idx="677">
                  <c:v>67660</c:v>
                </c:pt>
                <c:pt idx="678">
                  <c:v>67644</c:v>
                </c:pt>
                <c:pt idx="679">
                  <c:v>67584</c:v>
                </c:pt>
                <c:pt idx="680">
                  <c:v>73355</c:v>
                </c:pt>
                <c:pt idx="681">
                  <c:v>73235</c:v>
                </c:pt>
                <c:pt idx="682">
                  <c:v>73235</c:v>
                </c:pt>
                <c:pt idx="683">
                  <c:v>73235</c:v>
                </c:pt>
                <c:pt idx="684">
                  <c:v>73235</c:v>
                </c:pt>
                <c:pt idx="685">
                  <c:v>73235</c:v>
                </c:pt>
                <c:pt idx="686">
                  <c:v>73235</c:v>
                </c:pt>
                <c:pt idx="687">
                  <c:v>73235</c:v>
                </c:pt>
                <c:pt idx="688">
                  <c:v>72900</c:v>
                </c:pt>
                <c:pt idx="689">
                  <c:v>72900</c:v>
                </c:pt>
                <c:pt idx="690">
                  <c:v>73262</c:v>
                </c:pt>
                <c:pt idx="691">
                  <c:v>66940</c:v>
                </c:pt>
                <c:pt idx="692">
                  <c:v>66940</c:v>
                </c:pt>
                <c:pt idx="693">
                  <c:v>66940</c:v>
                </c:pt>
                <c:pt idx="694">
                  <c:v>66940</c:v>
                </c:pt>
                <c:pt idx="695">
                  <c:v>66940</c:v>
                </c:pt>
                <c:pt idx="696">
                  <c:v>67170</c:v>
                </c:pt>
                <c:pt idx="697">
                  <c:v>80115</c:v>
                </c:pt>
                <c:pt idx="698">
                  <c:v>80226</c:v>
                </c:pt>
                <c:pt idx="699">
                  <c:v>80899</c:v>
                </c:pt>
                <c:pt idx="700">
                  <c:v>80455</c:v>
                </c:pt>
                <c:pt idx="701">
                  <c:v>80293</c:v>
                </c:pt>
                <c:pt idx="702">
                  <c:v>80226</c:v>
                </c:pt>
                <c:pt idx="703">
                  <c:v>67009</c:v>
                </c:pt>
                <c:pt idx="704">
                  <c:v>67009</c:v>
                </c:pt>
                <c:pt idx="705">
                  <c:v>84900</c:v>
                </c:pt>
                <c:pt idx="706">
                  <c:v>84900</c:v>
                </c:pt>
                <c:pt idx="707">
                  <c:v>62080</c:v>
                </c:pt>
                <c:pt idx="708">
                  <c:v>77900</c:v>
                </c:pt>
                <c:pt idx="709">
                  <c:v>77950</c:v>
                </c:pt>
                <c:pt idx="710">
                  <c:v>77950</c:v>
                </c:pt>
                <c:pt idx="711">
                  <c:v>84704</c:v>
                </c:pt>
                <c:pt idx="712">
                  <c:v>78243</c:v>
                </c:pt>
                <c:pt idx="713">
                  <c:v>81819</c:v>
                </c:pt>
                <c:pt idx="714">
                  <c:v>81819</c:v>
                </c:pt>
                <c:pt idx="715">
                  <c:v>72807</c:v>
                </c:pt>
                <c:pt idx="716">
                  <c:v>75873</c:v>
                </c:pt>
                <c:pt idx="717">
                  <c:v>75898</c:v>
                </c:pt>
                <c:pt idx="718">
                  <c:v>75898</c:v>
                </c:pt>
                <c:pt idx="719">
                  <c:v>72807</c:v>
                </c:pt>
                <c:pt idx="720">
                  <c:v>72912</c:v>
                </c:pt>
                <c:pt idx="721">
                  <c:v>72912</c:v>
                </c:pt>
                <c:pt idx="722">
                  <c:v>72912</c:v>
                </c:pt>
                <c:pt idx="723">
                  <c:v>72912</c:v>
                </c:pt>
                <c:pt idx="724">
                  <c:v>72912</c:v>
                </c:pt>
                <c:pt idx="725">
                  <c:v>72982</c:v>
                </c:pt>
                <c:pt idx="726">
                  <c:v>71987</c:v>
                </c:pt>
                <c:pt idx="727">
                  <c:v>77665</c:v>
                </c:pt>
                <c:pt idx="728">
                  <c:v>73063</c:v>
                </c:pt>
                <c:pt idx="729">
                  <c:v>72968</c:v>
                </c:pt>
                <c:pt idx="730">
                  <c:v>72982</c:v>
                </c:pt>
                <c:pt idx="731">
                  <c:v>72912</c:v>
                </c:pt>
                <c:pt idx="732">
                  <c:v>72890</c:v>
                </c:pt>
                <c:pt idx="733">
                  <c:v>72890</c:v>
                </c:pt>
                <c:pt idx="734">
                  <c:v>72370</c:v>
                </c:pt>
                <c:pt idx="735">
                  <c:v>72982</c:v>
                </c:pt>
                <c:pt idx="736">
                  <c:v>85250</c:v>
                </c:pt>
                <c:pt idx="737">
                  <c:v>74453</c:v>
                </c:pt>
                <c:pt idx="738">
                  <c:v>85801</c:v>
                </c:pt>
                <c:pt idx="739">
                  <c:v>85806</c:v>
                </c:pt>
                <c:pt idx="740">
                  <c:v>85250</c:v>
                </c:pt>
                <c:pt idx="741">
                  <c:v>85824</c:v>
                </c:pt>
                <c:pt idx="742">
                  <c:v>85797</c:v>
                </c:pt>
                <c:pt idx="743">
                  <c:v>85680</c:v>
                </c:pt>
                <c:pt idx="744">
                  <c:v>74453</c:v>
                </c:pt>
                <c:pt idx="745">
                  <c:v>74453</c:v>
                </c:pt>
                <c:pt idx="746">
                  <c:v>84900</c:v>
                </c:pt>
                <c:pt idx="747">
                  <c:v>90456</c:v>
                </c:pt>
                <c:pt idx="748">
                  <c:v>84900</c:v>
                </c:pt>
                <c:pt idx="749">
                  <c:v>84900</c:v>
                </c:pt>
                <c:pt idx="750">
                  <c:v>81574</c:v>
                </c:pt>
                <c:pt idx="751">
                  <c:v>85614</c:v>
                </c:pt>
                <c:pt idx="752">
                  <c:v>85517</c:v>
                </c:pt>
                <c:pt idx="753">
                  <c:v>85436</c:v>
                </c:pt>
                <c:pt idx="754">
                  <c:v>85437</c:v>
                </c:pt>
                <c:pt idx="755">
                  <c:v>85463</c:v>
                </c:pt>
                <c:pt idx="756">
                  <c:v>85517</c:v>
                </c:pt>
                <c:pt idx="757">
                  <c:v>79501</c:v>
                </c:pt>
                <c:pt idx="758">
                  <c:v>79559</c:v>
                </c:pt>
                <c:pt idx="759">
                  <c:v>85450</c:v>
                </c:pt>
                <c:pt idx="760">
                  <c:v>84676</c:v>
                </c:pt>
                <c:pt idx="761">
                  <c:v>84897</c:v>
                </c:pt>
                <c:pt idx="762">
                  <c:v>81171</c:v>
                </c:pt>
                <c:pt idx="763">
                  <c:v>81171</c:v>
                </c:pt>
                <c:pt idx="764">
                  <c:v>81171</c:v>
                </c:pt>
                <c:pt idx="765">
                  <c:v>90443</c:v>
                </c:pt>
                <c:pt idx="766">
                  <c:v>85408</c:v>
                </c:pt>
                <c:pt idx="767">
                  <c:v>85446</c:v>
                </c:pt>
                <c:pt idx="768">
                  <c:v>85523</c:v>
                </c:pt>
                <c:pt idx="769">
                  <c:v>85626</c:v>
                </c:pt>
                <c:pt idx="770">
                  <c:v>83200</c:v>
                </c:pt>
                <c:pt idx="771">
                  <c:v>81236</c:v>
                </c:pt>
                <c:pt idx="772">
                  <c:v>81247</c:v>
                </c:pt>
                <c:pt idx="773">
                  <c:v>81099</c:v>
                </c:pt>
                <c:pt idx="774">
                  <c:v>81250</c:v>
                </c:pt>
                <c:pt idx="775">
                  <c:v>83294</c:v>
                </c:pt>
                <c:pt idx="776">
                  <c:v>83264</c:v>
                </c:pt>
                <c:pt idx="777">
                  <c:v>83318</c:v>
                </c:pt>
                <c:pt idx="778">
                  <c:v>83317</c:v>
                </c:pt>
                <c:pt idx="779">
                  <c:v>82200</c:v>
                </c:pt>
                <c:pt idx="780">
                  <c:v>83200</c:v>
                </c:pt>
                <c:pt idx="781">
                  <c:v>80270</c:v>
                </c:pt>
                <c:pt idx="782">
                  <c:v>80270</c:v>
                </c:pt>
                <c:pt idx="783">
                  <c:v>84153</c:v>
                </c:pt>
                <c:pt idx="784">
                  <c:v>84660</c:v>
                </c:pt>
                <c:pt idx="785">
                  <c:v>81002</c:v>
                </c:pt>
                <c:pt idx="786">
                  <c:v>81002</c:v>
                </c:pt>
                <c:pt idx="787">
                  <c:v>81002</c:v>
                </c:pt>
                <c:pt idx="788">
                  <c:v>79870</c:v>
                </c:pt>
                <c:pt idx="789">
                  <c:v>81145</c:v>
                </c:pt>
                <c:pt idx="790">
                  <c:v>80547</c:v>
                </c:pt>
                <c:pt idx="791">
                  <c:v>80550</c:v>
                </c:pt>
                <c:pt idx="792">
                  <c:v>80578</c:v>
                </c:pt>
                <c:pt idx="793">
                  <c:v>80250</c:v>
                </c:pt>
                <c:pt idx="794">
                  <c:v>77946</c:v>
                </c:pt>
                <c:pt idx="795">
                  <c:v>77941</c:v>
                </c:pt>
                <c:pt idx="796">
                  <c:v>80238</c:v>
                </c:pt>
                <c:pt idx="797">
                  <c:v>81142</c:v>
                </c:pt>
                <c:pt idx="798">
                  <c:v>80855</c:v>
                </c:pt>
                <c:pt idx="799">
                  <c:v>80811</c:v>
                </c:pt>
                <c:pt idx="800">
                  <c:v>85855</c:v>
                </c:pt>
                <c:pt idx="801">
                  <c:v>80855</c:v>
                </c:pt>
                <c:pt idx="802">
                  <c:v>80855</c:v>
                </c:pt>
                <c:pt idx="803">
                  <c:v>80855</c:v>
                </c:pt>
                <c:pt idx="804">
                  <c:v>80227</c:v>
                </c:pt>
                <c:pt idx="805">
                  <c:v>80282</c:v>
                </c:pt>
                <c:pt idx="806">
                  <c:v>79423</c:v>
                </c:pt>
                <c:pt idx="807">
                  <c:v>79417</c:v>
                </c:pt>
                <c:pt idx="808">
                  <c:v>79443</c:v>
                </c:pt>
                <c:pt idx="809">
                  <c:v>78830</c:v>
                </c:pt>
                <c:pt idx="810">
                  <c:v>78830</c:v>
                </c:pt>
                <c:pt idx="811">
                  <c:v>79312</c:v>
                </c:pt>
                <c:pt idx="812">
                  <c:v>78830</c:v>
                </c:pt>
                <c:pt idx="813">
                  <c:v>78830</c:v>
                </c:pt>
                <c:pt idx="814">
                  <c:v>78830</c:v>
                </c:pt>
                <c:pt idx="815">
                  <c:v>78830</c:v>
                </c:pt>
                <c:pt idx="816">
                  <c:v>85250</c:v>
                </c:pt>
                <c:pt idx="817">
                  <c:v>85810</c:v>
                </c:pt>
                <c:pt idx="818">
                  <c:v>85400</c:v>
                </c:pt>
                <c:pt idx="819">
                  <c:v>85891</c:v>
                </c:pt>
                <c:pt idx="820">
                  <c:v>85823</c:v>
                </c:pt>
                <c:pt idx="821">
                  <c:v>85832</c:v>
                </c:pt>
                <c:pt idx="822">
                  <c:v>85890</c:v>
                </c:pt>
                <c:pt idx="823">
                  <c:v>85928</c:v>
                </c:pt>
                <c:pt idx="824">
                  <c:v>85882</c:v>
                </c:pt>
                <c:pt idx="825">
                  <c:v>85927</c:v>
                </c:pt>
                <c:pt idx="826">
                  <c:v>85810</c:v>
                </c:pt>
                <c:pt idx="827">
                  <c:v>85844</c:v>
                </c:pt>
                <c:pt idx="828">
                  <c:v>75590</c:v>
                </c:pt>
                <c:pt idx="829">
                  <c:v>80108</c:v>
                </c:pt>
                <c:pt idx="830">
                  <c:v>80102</c:v>
                </c:pt>
                <c:pt idx="831">
                  <c:v>80102</c:v>
                </c:pt>
                <c:pt idx="832">
                  <c:v>85250</c:v>
                </c:pt>
                <c:pt idx="833">
                  <c:v>80102</c:v>
                </c:pt>
                <c:pt idx="834">
                  <c:v>80087</c:v>
                </c:pt>
                <c:pt idx="835">
                  <c:v>79275</c:v>
                </c:pt>
                <c:pt idx="836">
                  <c:v>79294</c:v>
                </c:pt>
                <c:pt idx="837">
                  <c:v>80295</c:v>
                </c:pt>
                <c:pt idx="838">
                  <c:v>80229</c:v>
                </c:pt>
                <c:pt idx="839">
                  <c:v>80274</c:v>
                </c:pt>
                <c:pt idx="840">
                  <c:v>85517</c:v>
                </c:pt>
                <c:pt idx="841">
                  <c:v>79030</c:v>
                </c:pt>
                <c:pt idx="842">
                  <c:v>85622</c:v>
                </c:pt>
                <c:pt idx="843">
                  <c:v>85622</c:v>
                </c:pt>
                <c:pt idx="844">
                  <c:v>115993</c:v>
                </c:pt>
                <c:pt idx="845">
                  <c:v>78618</c:v>
                </c:pt>
                <c:pt idx="846">
                  <c:v>78733</c:v>
                </c:pt>
                <c:pt idx="847">
                  <c:v>78664</c:v>
                </c:pt>
                <c:pt idx="848">
                  <c:v>78715</c:v>
                </c:pt>
                <c:pt idx="849">
                  <c:v>78612</c:v>
                </c:pt>
                <c:pt idx="850">
                  <c:v>78661</c:v>
                </c:pt>
                <c:pt idx="851">
                  <c:v>78693</c:v>
                </c:pt>
                <c:pt idx="852">
                  <c:v>78636</c:v>
                </c:pt>
                <c:pt idx="853">
                  <c:v>78716</c:v>
                </c:pt>
                <c:pt idx="854">
                  <c:v>78796</c:v>
                </c:pt>
                <c:pt idx="855">
                  <c:v>93603</c:v>
                </c:pt>
                <c:pt idx="856">
                  <c:v>93404</c:v>
                </c:pt>
                <c:pt idx="857">
                  <c:v>93592</c:v>
                </c:pt>
                <c:pt idx="858">
                  <c:v>93424</c:v>
                </c:pt>
                <c:pt idx="859">
                  <c:v>93591</c:v>
                </c:pt>
                <c:pt idx="860">
                  <c:v>93552</c:v>
                </c:pt>
                <c:pt idx="861">
                  <c:v>93398</c:v>
                </c:pt>
                <c:pt idx="862">
                  <c:v>104750</c:v>
                </c:pt>
                <c:pt idx="863">
                  <c:v>104600</c:v>
                </c:pt>
                <c:pt idx="864">
                  <c:v>104696</c:v>
                </c:pt>
                <c:pt idx="865">
                  <c:v>109000</c:v>
                </c:pt>
                <c:pt idx="866">
                  <c:v>109000</c:v>
                </c:pt>
                <c:pt idx="867">
                  <c:v>109000</c:v>
                </c:pt>
                <c:pt idx="868">
                  <c:v>109000</c:v>
                </c:pt>
                <c:pt idx="869">
                  <c:v>106043</c:v>
                </c:pt>
                <c:pt idx="870">
                  <c:v>106043</c:v>
                </c:pt>
                <c:pt idx="871">
                  <c:v>93570</c:v>
                </c:pt>
                <c:pt idx="872">
                  <c:v>93638</c:v>
                </c:pt>
                <c:pt idx="873">
                  <c:v>93545</c:v>
                </c:pt>
                <c:pt idx="874">
                  <c:v>93572</c:v>
                </c:pt>
                <c:pt idx="875">
                  <c:v>93542</c:v>
                </c:pt>
                <c:pt idx="876">
                  <c:v>92964</c:v>
                </c:pt>
                <c:pt idx="877">
                  <c:v>93728</c:v>
                </c:pt>
                <c:pt idx="878">
                  <c:v>93572</c:v>
                </c:pt>
                <c:pt idx="879">
                  <c:v>100006</c:v>
                </c:pt>
                <c:pt idx="880">
                  <c:v>100016</c:v>
                </c:pt>
                <c:pt idx="881">
                  <c:v>103607</c:v>
                </c:pt>
                <c:pt idx="882">
                  <c:v>101906</c:v>
                </c:pt>
                <c:pt idx="883">
                  <c:v>101661</c:v>
                </c:pt>
                <c:pt idx="884">
                  <c:v>101898</c:v>
                </c:pt>
                <c:pt idx="885">
                  <c:v>101874</c:v>
                </c:pt>
                <c:pt idx="886">
                  <c:v>103717</c:v>
                </c:pt>
                <c:pt idx="887">
                  <c:v>103773</c:v>
                </c:pt>
                <c:pt idx="888">
                  <c:v>104620</c:v>
                </c:pt>
                <c:pt idx="889">
                  <c:v>104367</c:v>
                </c:pt>
                <c:pt idx="890">
                  <c:v>94649</c:v>
                </c:pt>
                <c:pt idx="891">
                  <c:v>94526</c:v>
                </c:pt>
                <c:pt idx="892">
                  <c:v>94600</c:v>
                </c:pt>
                <c:pt idx="893">
                  <c:v>94661</c:v>
                </c:pt>
                <c:pt idx="894">
                  <c:v>105034</c:v>
                </c:pt>
                <c:pt idx="895">
                  <c:v>105014</c:v>
                </c:pt>
                <c:pt idx="896">
                  <c:v>105082</c:v>
                </c:pt>
                <c:pt idx="897">
                  <c:v>104954</c:v>
                </c:pt>
                <c:pt idx="898">
                  <c:v>105008</c:v>
                </c:pt>
                <c:pt idx="899">
                  <c:v>104850</c:v>
                </c:pt>
                <c:pt idx="900">
                  <c:v>105084</c:v>
                </c:pt>
                <c:pt idx="901">
                  <c:v>105101</c:v>
                </c:pt>
                <c:pt idx="902">
                  <c:v>99600</c:v>
                </c:pt>
                <c:pt idx="903">
                  <c:v>99602</c:v>
                </c:pt>
                <c:pt idx="904">
                  <c:v>99618</c:v>
                </c:pt>
                <c:pt idx="905">
                  <c:v>99500</c:v>
                </c:pt>
                <c:pt idx="906">
                  <c:v>99600</c:v>
                </c:pt>
                <c:pt idx="907">
                  <c:v>99522</c:v>
                </c:pt>
                <c:pt idx="908">
                  <c:v>99518</c:v>
                </c:pt>
                <c:pt idx="909">
                  <c:v>99678</c:v>
                </c:pt>
                <c:pt idx="910">
                  <c:v>99631</c:v>
                </c:pt>
                <c:pt idx="911">
                  <c:v>99508</c:v>
                </c:pt>
                <c:pt idx="912">
                  <c:v>99500</c:v>
                </c:pt>
                <c:pt idx="913">
                  <c:v>99635</c:v>
                </c:pt>
                <c:pt idx="914">
                  <c:v>101007</c:v>
                </c:pt>
                <c:pt idx="915">
                  <c:v>101007</c:v>
                </c:pt>
                <c:pt idx="916">
                  <c:v>100936</c:v>
                </c:pt>
                <c:pt idx="917">
                  <c:v>100909</c:v>
                </c:pt>
                <c:pt idx="918">
                  <c:v>100883</c:v>
                </c:pt>
                <c:pt idx="919">
                  <c:v>100863</c:v>
                </c:pt>
                <c:pt idx="920">
                  <c:v>100887</c:v>
                </c:pt>
                <c:pt idx="921">
                  <c:v>100902</c:v>
                </c:pt>
                <c:pt idx="922">
                  <c:v>107329</c:v>
                </c:pt>
                <c:pt idx="923">
                  <c:v>107266</c:v>
                </c:pt>
                <c:pt idx="924">
                  <c:v>107404</c:v>
                </c:pt>
                <c:pt idx="925">
                  <c:v>90649</c:v>
                </c:pt>
                <c:pt idx="926">
                  <c:v>90678</c:v>
                </c:pt>
                <c:pt idx="927">
                  <c:v>103284</c:v>
                </c:pt>
                <c:pt idx="928">
                  <c:v>90466</c:v>
                </c:pt>
                <c:pt idx="929">
                  <c:v>90466</c:v>
                </c:pt>
                <c:pt idx="930">
                  <c:v>90630</c:v>
                </c:pt>
                <c:pt idx="931">
                  <c:v>90613</c:v>
                </c:pt>
                <c:pt idx="932">
                  <c:v>90613</c:v>
                </c:pt>
                <c:pt idx="933">
                  <c:v>90634</c:v>
                </c:pt>
                <c:pt idx="934">
                  <c:v>107266</c:v>
                </c:pt>
                <c:pt idx="935">
                  <c:v>101847</c:v>
                </c:pt>
                <c:pt idx="936">
                  <c:v>101570</c:v>
                </c:pt>
                <c:pt idx="937">
                  <c:v>101491</c:v>
                </c:pt>
                <c:pt idx="938">
                  <c:v>101532</c:v>
                </c:pt>
                <c:pt idx="939">
                  <c:v>100680</c:v>
                </c:pt>
                <c:pt idx="940">
                  <c:v>101496</c:v>
                </c:pt>
                <c:pt idx="941">
                  <c:v>100680</c:v>
                </c:pt>
                <c:pt idx="942">
                  <c:v>101477</c:v>
                </c:pt>
                <c:pt idx="943">
                  <c:v>102761</c:v>
                </c:pt>
                <c:pt idx="944">
                  <c:v>101500</c:v>
                </c:pt>
                <c:pt idx="945">
                  <c:v>101597</c:v>
                </c:pt>
                <c:pt idx="946">
                  <c:v>101411</c:v>
                </c:pt>
                <c:pt idx="947">
                  <c:v>101597</c:v>
                </c:pt>
                <c:pt idx="948">
                  <c:v>99214</c:v>
                </c:pt>
                <c:pt idx="949">
                  <c:v>99214</c:v>
                </c:pt>
                <c:pt idx="950">
                  <c:v>99214</c:v>
                </c:pt>
                <c:pt idx="951">
                  <c:v>98849</c:v>
                </c:pt>
                <c:pt idx="952">
                  <c:v>98847</c:v>
                </c:pt>
                <c:pt idx="953">
                  <c:v>99214</c:v>
                </c:pt>
                <c:pt idx="954">
                  <c:v>98849</c:v>
                </c:pt>
                <c:pt idx="955">
                  <c:v>99214</c:v>
                </c:pt>
                <c:pt idx="956">
                  <c:v>102759</c:v>
                </c:pt>
                <c:pt idx="957">
                  <c:v>102756</c:v>
                </c:pt>
                <c:pt idx="958">
                  <c:v>85000</c:v>
                </c:pt>
                <c:pt idx="959">
                  <c:v>103600</c:v>
                </c:pt>
                <c:pt idx="960">
                  <c:v>103614</c:v>
                </c:pt>
                <c:pt idx="961">
                  <c:v>103614</c:v>
                </c:pt>
                <c:pt idx="962">
                  <c:v>103614</c:v>
                </c:pt>
                <c:pt idx="963">
                  <c:v>103614</c:v>
                </c:pt>
                <c:pt idx="964">
                  <c:v>102311</c:v>
                </c:pt>
                <c:pt idx="965">
                  <c:v>102367</c:v>
                </c:pt>
                <c:pt idx="966">
                  <c:v>91427</c:v>
                </c:pt>
                <c:pt idx="967">
                  <c:v>108804</c:v>
                </c:pt>
                <c:pt idx="968">
                  <c:v>108448</c:v>
                </c:pt>
                <c:pt idx="969">
                  <c:v>108351</c:v>
                </c:pt>
                <c:pt idx="970">
                  <c:v>107915</c:v>
                </c:pt>
                <c:pt idx="971">
                  <c:v>108677</c:v>
                </c:pt>
                <c:pt idx="972">
                  <c:v>108770</c:v>
                </c:pt>
                <c:pt idx="973">
                  <c:v>108251</c:v>
                </c:pt>
                <c:pt idx="974">
                  <c:v>108180</c:v>
                </c:pt>
                <c:pt idx="975">
                  <c:v>108212</c:v>
                </c:pt>
                <c:pt idx="976">
                  <c:v>107898</c:v>
                </c:pt>
                <c:pt idx="977">
                  <c:v>107964</c:v>
                </c:pt>
                <c:pt idx="978">
                  <c:v>108828</c:v>
                </c:pt>
                <c:pt idx="979">
                  <c:v>108106</c:v>
                </c:pt>
                <c:pt idx="980">
                  <c:v>108731</c:v>
                </c:pt>
                <c:pt idx="981">
                  <c:v>108180</c:v>
                </c:pt>
                <c:pt idx="982">
                  <c:v>108574</c:v>
                </c:pt>
                <c:pt idx="983">
                  <c:v>91158</c:v>
                </c:pt>
                <c:pt idx="984">
                  <c:v>97499</c:v>
                </c:pt>
                <c:pt idx="985">
                  <c:v>97535</c:v>
                </c:pt>
                <c:pt idx="986">
                  <c:v>105000</c:v>
                </c:pt>
                <c:pt idx="987">
                  <c:v>104408</c:v>
                </c:pt>
                <c:pt idx="988">
                  <c:v>104409</c:v>
                </c:pt>
                <c:pt idx="989">
                  <c:v>105000</c:v>
                </c:pt>
                <c:pt idx="990">
                  <c:v>104409</c:v>
                </c:pt>
                <c:pt idx="991">
                  <c:v>105000</c:v>
                </c:pt>
                <c:pt idx="992">
                  <c:v>105000</c:v>
                </c:pt>
                <c:pt idx="993">
                  <c:v>105000</c:v>
                </c:pt>
                <c:pt idx="994">
                  <c:v>104409</c:v>
                </c:pt>
                <c:pt idx="995">
                  <c:v>105000</c:v>
                </c:pt>
                <c:pt idx="996">
                  <c:v>105000</c:v>
                </c:pt>
                <c:pt idx="997">
                  <c:v>105000</c:v>
                </c:pt>
                <c:pt idx="998">
                  <c:v>105000</c:v>
                </c:pt>
                <c:pt idx="999">
                  <c:v>105000</c:v>
                </c:pt>
                <c:pt idx="1000">
                  <c:v>105000</c:v>
                </c:pt>
                <c:pt idx="1001">
                  <c:v>105000</c:v>
                </c:pt>
                <c:pt idx="1002">
                  <c:v>105000</c:v>
                </c:pt>
                <c:pt idx="1003">
                  <c:v>97552</c:v>
                </c:pt>
                <c:pt idx="1004">
                  <c:v>97536</c:v>
                </c:pt>
                <c:pt idx="1005">
                  <c:v>97552</c:v>
                </c:pt>
                <c:pt idx="1006">
                  <c:v>97550</c:v>
                </c:pt>
                <c:pt idx="1007">
                  <c:v>101612</c:v>
                </c:pt>
                <c:pt idx="1008">
                  <c:v>101612</c:v>
                </c:pt>
                <c:pt idx="1009">
                  <c:v>101612</c:v>
                </c:pt>
                <c:pt idx="1010">
                  <c:v>101810</c:v>
                </c:pt>
                <c:pt idx="1011">
                  <c:v>101779</c:v>
                </c:pt>
                <c:pt idx="1012">
                  <c:v>101810</c:v>
                </c:pt>
                <c:pt idx="1013">
                  <c:v>101500</c:v>
                </c:pt>
                <c:pt idx="1014">
                  <c:v>101818</c:v>
                </c:pt>
                <c:pt idx="1015">
                  <c:v>101612</c:v>
                </c:pt>
                <c:pt idx="1016">
                  <c:v>101000</c:v>
                </c:pt>
                <c:pt idx="1017">
                  <c:v>83400</c:v>
                </c:pt>
                <c:pt idx="1018">
                  <c:v>101200</c:v>
                </c:pt>
                <c:pt idx="1019">
                  <c:v>83700</c:v>
                </c:pt>
                <c:pt idx="1020">
                  <c:v>101200</c:v>
                </c:pt>
                <c:pt idx="1021">
                  <c:v>103235</c:v>
                </c:pt>
                <c:pt idx="1022">
                  <c:v>102800</c:v>
                </c:pt>
                <c:pt idx="1023">
                  <c:v>105000</c:v>
                </c:pt>
                <c:pt idx="1024">
                  <c:v>104409</c:v>
                </c:pt>
                <c:pt idx="1025">
                  <c:v>105000</c:v>
                </c:pt>
                <c:pt idx="1026">
                  <c:v>101000</c:v>
                </c:pt>
                <c:pt idx="1027">
                  <c:v>102460</c:v>
                </c:pt>
                <c:pt idx="1028">
                  <c:v>102396</c:v>
                </c:pt>
                <c:pt idx="1029">
                  <c:v>102418</c:v>
                </c:pt>
                <c:pt idx="1030">
                  <c:v>102379</c:v>
                </c:pt>
                <c:pt idx="1031">
                  <c:v>102453</c:v>
                </c:pt>
                <c:pt idx="1032">
                  <c:v>90600</c:v>
                </c:pt>
                <c:pt idx="1033">
                  <c:v>90388</c:v>
                </c:pt>
                <c:pt idx="1034">
                  <c:v>90414</c:v>
                </c:pt>
                <c:pt idx="1035">
                  <c:v>99086</c:v>
                </c:pt>
                <c:pt idx="1036">
                  <c:v>95810</c:v>
                </c:pt>
                <c:pt idx="1037">
                  <c:v>95810</c:v>
                </c:pt>
                <c:pt idx="1038">
                  <c:v>98968</c:v>
                </c:pt>
                <c:pt idx="1039">
                  <c:v>99123</c:v>
                </c:pt>
                <c:pt idx="1040">
                  <c:v>99052</c:v>
                </c:pt>
                <c:pt idx="1041">
                  <c:v>98967</c:v>
                </c:pt>
                <c:pt idx="1042">
                  <c:v>99043</c:v>
                </c:pt>
                <c:pt idx="1043">
                  <c:v>102250</c:v>
                </c:pt>
                <c:pt idx="1044">
                  <c:v>103845</c:v>
                </c:pt>
                <c:pt idx="1045">
                  <c:v>101310</c:v>
                </c:pt>
                <c:pt idx="1046">
                  <c:v>83400</c:v>
                </c:pt>
                <c:pt idx="1047">
                  <c:v>116058</c:v>
                </c:pt>
                <c:pt idx="1048">
                  <c:v>102455</c:v>
                </c:pt>
                <c:pt idx="1049">
                  <c:v>99500</c:v>
                </c:pt>
                <c:pt idx="1050">
                  <c:v>102148</c:v>
                </c:pt>
                <c:pt idx="1051">
                  <c:v>102148</c:v>
                </c:pt>
                <c:pt idx="1052">
                  <c:v>89870</c:v>
                </c:pt>
                <c:pt idx="1053">
                  <c:v>101310</c:v>
                </c:pt>
                <c:pt idx="1054">
                  <c:v>101310</c:v>
                </c:pt>
                <c:pt idx="1055">
                  <c:v>103000</c:v>
                </c:pt>
                <c:pt idx="1056">
                  <c:v>90532</c:v>
                </c:pt>
                <c:pt idx="1057">
                  <c:v>99563</c:v>
                </c:pt>
                <c:pt idx="1058">
                  <c:v>99563</c:v>
                </c:pt>
                <c:pt idx="1059">
                  <c:v>101383</c:v>
                </c:pt>
                <c:pt idx="1060">
                  <c:v>99792</c:v>
                </c:pt>
                <c:pt idx="1061">
                  <c:v>115356</c:v>
                </c:pt>
                <c:pt idx="1062">
                  <c:v>115181</c:v>
                </c:pt>
                <c:pt idx="1063">
                  <c:v>115414</c:v>
                </c:pt>
                <c:pt idx="1064">
                  <c:v>103567</c:v>
                </c:pt>
                <c:pt idx="1065">
                  <c:v>84300</c:v>
                </c:pt>
                <c:pt idx="1066">
                  <c:v>103691</c:v>
                </c:pt>
                <c:pt idx="1067">
                  <c:v>103800</c:v>
                </c:pt>
                <c:pt idx="1068">
                  <c:v>84300</c:v>
                </c:pt>
                <c:pt idx="1069">
                  <c:v>103800</c:v>
                </c:pt>
                <c:pt idx="1070">
                  <c:v>103538</c:v>
                </c:pt>
                <c:pt idx="1071">
                  <c:v>103800</c:v>
                </c:pt>
                <c:pt idx="1072">
                  <c:v>84300</c:v>
                </c:pt>
                <c:pt idx="1073">
                  <c:v>103681</c:v>
                </c:pt>
                <c:pt idx="1074">
                  <c:v>103600</c:v>
                </c:pt>
                <c:pt idx="1075">
                  <c:v>84300</c:v>
                </c:pt>
                <c:pt idx="1076">
                  <c:v>103631</c:v>
                </c:pt>
                <c:pt idx="1077">
                  <c:v>103648</c:v>
                </c:pt>
                <c:pt idx="1078">
                  <c:v>112000</c:v>
                </c:pt>
                <c:pt idx="1079">
                  <c:v>112516</c:v>
                </c:pt>
                <c:pt idx="1080">
                  <c:v>112000</c:v>
                </c:pt>
                <c:pt idx="1081">
                  <c:v>112516</c:v>
                </c:pt>
                <c:pt idx="1082">
                  <c:v>110805</c:v>
                </c:pt>
                <c:pt idx="1083">
                  <c:v>100400</c:v>
                </c:pt>
                <c:pt idx="1084">
                  <c:v>105000</c:v>
                </c:pt>
                <c:pt idx="1085">
                  <c:v>104580</c:v>
                </c:pt>
                <c:pt idx="1086">
                  <c:v>104357</c:v>
                </c:pt>
                <c:pt idx="1087">
                  <c:v>104372</c:v>
                </c:pt>
                <c:pt idx="1088">
                  <c:v>110617</c:v>
                </c:pt>
                <c:pt idx="1089">
                  <c:v>110800</c:v>
                </c:pt>
                <c:pt idx="1090">
                  <c:v>109619</c:v>
                </c:pt>
                <c:pt idx="1091">
                  <c:v>110852</c:v>
                </c:pt>
                <c:pt idx="1092">
                  <c:v>109581</c:v>
                </c:pt>
                <c:pt idx="1093">
                  <c:v>109576</c:v>
                </c:pt>
                <c:pt idx="1094">
                  <c:v>109542</c:v>
                </c:pt>
                <c:pt idx="1095">
                  <c:v>110039</c:v>
                </c:pt>
                <c:pt idx="1096">
                  <c:v>108622</c:v>
                </c:pt>
                <c:pt idx="1097">
                  <c:v>109832</c:v>
                </c:pt>
                <c:pt idx="1098">
                  <c:v>109587</c:v>
                </c:pt>
                <c:pt idx="1099">
                  <c:v>101279</c:v>
                </c:pt>
                <c:pt idx="1100">
                  <c:v>110000</c:v>
                </c:pt>
                <c:pt idx="1101">
                  <c:v>110544</c:v>
                </c:pt>
                <c:pt idx="1102">
                  <c:v>111800</c:v>
                </c:pt>
                <c:pt idx="1103">
                  <c:v>112516</c:v>
                </c:pt>
                <c:pt idx="1104">
                  <c:v>113227</c:v>
                </c:pt>
                <c:pt idx="1105">
                  <c:v>113073</c:v>
                </c:pt>
                <c:pt idx="1106">
                  <c:v>113173</c:v>
                </c:pt>
                <c:pt idx="1107">
                  <c:v>116079</c:v>
                </c:pt>
                <c:pt idx="1108">
                  <c:v>110271</c:v>
                </c:pt>
                <c:pt idx="1109">
                  <c:v>110972</c:v>
                </c:pt>
                <c:pt idx="1110">
                  <c:v>112233</c:v>
                </c:pt>
                <c:pt idx="1111">
                  <c:v>112231</c:v>
                </c:pt>
                <c:pt idx="1112">
                  <c:v>112171</c:v>
                </c:pt>
                <c:pt idx="1113">
                  <c:v>111029</c:v>
                </c:pt>
                <c:pt idx="1114">
                  <c:v>103310</c:v>
                </c:pt>
                <c:pt idx="1115">
                  <c:v>103207</c:v>
                </c:pt>
                <c:pt idx="1116">
                  <c:v>103260</c:v>
                </c:pt>
                <c:pt idx="1117">
                  <c:v>110401</c:v>
                </c:pt>
                <c:pt idx="1118">
                  <c:v>110228</c:v>
                </c:pt>
                <c:pt idx="1119">
                  <c:v>110295</c:v>
                </c:pt>
                <c:pt idx="1120">
                  <c:v>112171</c:v>
                </c:pt>
                <c:pt idx="1121">
                  <c:v>112171</c:v>
                </c:pt>
                <c:pt idx="1122">
                  <c:v>111650</c:v>
                </c:pt>
                <c:pt idx="1123">
                  <c:v>99563</c:v>
                </c:pt>
                <c:pt idx="1124">
                  <c:v>99563</c:v>
                </c:pt>
                <c:pt idx="1125">
                  <c:v>108461</c:v>
                </c:pt>
                <c:pt idx="1126">
                  <c:v>108637</c:v>
                </c:pt>
                <c:pt idx="1127">
                  <c:v>115145</c:v>
                </c:pt>
                <c:pt idx="1128">
                  <c:v>115145</c:v>
                </c:pt>
                <c:pt idx="1129">
                  <c:v>112063</c:v>
                </c:pt>
                <c:pt idx="1130">
                  <c:v>116932</c:v>
                </c:pt>
                <c:pt idx="1131">
                  <c:v>109835</c:v>
                </c:pt>
                <c:pt idx="1132">
                  <c:v>110800</c:v>
                </c:pt>
                <c:pt idx="1133">
                  <c:v>110697</c:v>
                </c:pt>
                <c:pt idx="1134">
                  <c:v>117205</c:v>
                </c:pt>
                <c:pt idx="1135">
                  <c:v>117063</c:v>
                </c:pt>
                <c:pt idx="1136">
                  <c:v>112053</c:v>
                </c:pt>
                <c:pt idx="1137">
                  <c:v>110634</c:v>
                </c:pt>
                <c:pt idx="1138">
                  <c:v>111894</c:v>
                </c:pt>
                <c:pt idx="1139">
                  <c:v>110623</c:v>
                </c:pt>
                <c:pt idx="1140">
                  <c:v>112580</c:v>
                </c:pt>
                <c:pt idx="1141">
                  <c:v>115019</c:v>
                </c:pt>
                <c:pt idx="1142">
                  <c:v>115024</c:v>
                </c:pt>
                <c:pt idx="1143">
                  <c:v>108577</c:v>
                </c:pt>
                <c:pt idx="1144">
                  <c:v>108615</c:v>
                </c:pt>
                <c:pt idx="1145">
                  <c:v>115026</c:v>
                </c:pt>
                <c:pt idx="1146">
                  <c:v>113800</c:v>
                </c:pt>
                <c:pt idx="1147">
                  <c:v>110838</c:v>
                </c:pt>
                <c:pt idx="1148">
                  <c:v>110501</c:v>
                </c:pt>
                <c:pt idx="1149">
                  <c:v>99500</c:v>
                </c:pt>
                <c:pt idx="1150">
                  <c:v>99500</c:v>
                </c:pt>
                <c:pt idx="1151">
                  <c:v>110200</c:v>
                </c:pt>
                <c:pt idx="1152">
                  <c:v>113800</c:v>
                </c:pt>
                <c:pt idx="1153">
                  <c:v>111290</c:v>
                </c:pt>
                <c:pt idx="1154">
                  <c:v>111189</c:v>
                </c:pt>
                <c:pt idx="1155">
                  <c:v>112230</c:v>
                </c:pt>
                <c:pt idx="1156">
                  <c:v>111000</c:v>
                </c:pt>
                <c:pt idx="1157">
                  <c:v>111862</c:v>
                </c:pt>
                <c:pt idx="1158">
                  <c:v>112434</c:v>
                </c:pt>
                <c:pt idx="1159">
                  <c:v>110442</c:v>
                </c:pt>
                <c:pt idx="1160">
                  <c:v>110800</c:v>
                </c:pt>
                <c:pt idx="1161">
                  <c:v>110699</c:v>
                </c:pt>
                <c:pt idx="1162">
                  <c:v>110103</c:v>
                </c:pt>
                <c:pt idx="1163">
                  <c:v>110412</c:v>
                </c:pt>
                <c:pt idx="1164">
                  <c:v>109802</c:v>
                </c:pt>
                <c:pt idx="1165">
                  <c:v>110697</c:v>
                </c:pt>
                <c:pt idx="1166">
                  <c:v>112359</c:v>
                </c:pt>
                <c:pt idx="1167">
                  <c:v>111000</c:v>
                </c:pt>
                <c:pt idx="1168">
                  <c:v>110000</c:v>
                </c:pt>
                <c:pt idx="1169">
                  <c:v>110829</c:v>
                </c:pt>
                <c:pt idx="1170">
                  <c:v>109520</c:v>
                </c:pt>
                <c:pt idx="1171">
                  <c:v>108000</c:v>
                </c:pt>
                <c:pt idx="1172">
                  <c:v>113964</c:v>
                </c:pt>
                <c:pt idx="1173">
                  <c:v>113909</c:v>
                </c:pt>
                <c:pt idx="1174">
                  <c:v>114004</c:v>
                </c:pt>
                <c:pt idx="1175">
                  <c:v>111614</c:v>
                </c:pt>
                <c:pt idx="1176">
                  <c:v>107504</c:v>
                </c:pt>
                <c:pt idx="1177">
                  <c:v>107277</c:v>
                </c:pt>
                <c:pt idx="1178">
                  <c:v>107483</c:v>
                </c:pt>
                <c:pt idx="1179">
                  <c:v>107492</c:v>
                </c:pt>
                <c:pt idx="1180">
                  <c:v>107498</c:v>
                </c:pt>
                <c:pt idx="1181">
                  <c:v>115700</c:v>
                </c:pt>
                <c:pt idx="1182">
                  <c:v>115700</c:v>
                </c:pt>
                <c:pt idx="1183">
                  <c:v>115700</c:v>
                </c:pt>
                <c:pt idx="1184">
                  <c:v>115700</c:v>
                </c:pt>
                <c:pt idx="1185">
                  <c:v>115700</c:v>
                </c:pt>
                <c:pt idx="1186">
                  <c:v>115993</c:v>
                </c:pt>
                <c:pt idx="1187">
                  <c:v>115700</c:v>
                </c:pt>
                <c:pt idx="1188">
                  <c:v>115993</c:v>
                </c:pt>
                <c:pt idx="1189">
                  <c:v>111737</c:v>
                </c:pt>
                <c:pt idx="1190">
                  <c:v>111737</c:v>
                </c:pt>
                <c:pt idx="1191">
                  <c:v>111737</c:v>
                </c:pt>
                <c:pt idx="1192">
                  <c:v>111737</c:v>
                </c:pt>
                <c:pt idx="1193">
                  <c:v>111571</c:v>
                </c:pt>
                <c:pt idx="1194">
                  <c:v>111746</c:v>
                </c:pt>
                <c:pt idx="1195">
                  <c:v>111889</c:v>
                </c:pt>
                <c:pt idx="1196">
                  <c:v>111737</c:v>
                </c:pt>
                <c:pt idx="1197">
                  <c:v>117737</c:v>
                </c:pt>
                <c:pt idx="1198">
                  <c:v>97000</c:v>
                </c:pt>
                <c:pt idx="1199">
                  <c:v>97000</c:v>
                </c:pt>
                <c:pt idx="1200">
                  <c:v>99500</c:v>
                </c:pt>
                <c:pt idx="1201">
                  <c:v>124426</c:v>
                </c:pt>
                <c:pt idx="1202">
                  <c:v>106000</c:v>
                </c:pt>
                <c:pt idx="1203">
                  <c:v>120934</c:v>
                </c:pt>
                <c:pt idx="1204">
                  <c:v>120944</c:v>
                </c:pt>
                <c:pt idx="1205">
                  <c:v>120853</c:v>
                </c:pt>
                <c:pt idx="1206">
                  <c:v>116100</c:v>
                </c:pt>
                <c:pt idx="1207">
                  <c:v>115993</c:v>
                </c:pt>
                <c:pt idx="1208">
                  <c:v>115993</c:v>
                </c:pt>
                <c:pt idx="1209">
                  <c:v>124500</c:v>
                </c:pt>
                <c:pt idx="1210">
                  <c:v>124500</c:v>
                </c:pt>
                <c:pt idx="1211">
                  <c:v>124500</c:v>
                </c:pt>
                <c:pt idx="1212">
                  <c:v>124500</c:v>
                </c:pt>
                <c:pt idx="1213">
                  <c:v>124500</c:v>
                </c:pt>
                <c:pt idx="1214">
                  <c:v>124458</c:v>
                </c:pt>
                <c:pt idx="1215">
                  <c:v>124500</c:v>
                </c:pt>
                <c:pt idx="1216">
                  <c:v>110525</c:v>
                </c:pt>
                <c:pt idx="1217">
                  <c:v>117000</c:v>
                </c:pt>
                <c:pt idx="1218">
                  <c:v>117000</c:v>
                </c:pt>
                <c:pt idx="1219">
                  <c:v>118712</c:v>
                </c:pt>
                <c:pt idx="1220">
                  <c:v>117000</c:v>
                </c:pt>
                <c:pt idx="1221">
                  <c:v>118000</c:v>
                </c:pt>
                <c:pt idx="1222">
                  <c:v>117176</c:v>
                </c:pt>
                <c:pt idx="1223">
                  <c:v>117172</c:v>
                </c:pt>
                <c:pt idx="1224">
                  <c:v>120500</c:v>
                </c:pt>
                <c:pt idx="1225">
                  <c:v>120500</c:v>
                </c:pt>
                <c:pt idx="1226">
                  <c:v>117158</c:v>
                </c:pt>
                <c:pt idx="1227">
                  <c:v>119106</c:v>
                </c:pt>
                <c:pt idx="1228">
                  <c:v>119137</c:v>
                </c:pt>
                <c:pt idx="1229">
                  <c:v>111414</c:v>
                </c:pt>
                <c:pt idx="1230">
                  <c:v>119324</c:v>
                </c:pt>
                <c:pt idx="1231">
                  <c:v>115231</c:v>
                </c:pt>
                <c:pt idx="1232">
                  <c:v>115000</c:v>
                </c:pt>
                <c:pt idx="1233">
                  <c:v>111500</c:v>
                </c:pt>
                <c:pt idx="1234">
                  <c:v>115000</c:v>
                </c:pt>
                <c:pt idx="1235">
                  <c:v>115177</c:v>
                </c:pt>
                <c:pt idx="1236">
                  <c:v>121800</c:v>
                </c:pt>
                <c:pt idx="1237">
                  <c:v>121800</c:v>
                </c:pt>
                <c:pt idx="1238">
                  <c:v>109950</c:v>
                </c:pt>
                <c:pt idx="1239">
                  <c:v>124092</c:v>
                </c:pt>
                <c:pt idx="1240">
                  <c:v>109968</c:v>
                </c:pt>
                <c:pt idx="1241">
                  <c:v>109968</c:v>
                </c:pt>
                <c:pt idx="1242">
                  <c:v>110338</c:v>
                </c:pt>
                <c:pt idx="1243">
                  <c:v>111385</c:v>
                </c:pt>
                <c:pt idx="1244">
                  <c:v>111315</c:v>
                </c:pt>
                <c:pt idx="1245">
                  <c:v>111499</c:v>
                </c:pt>
                <c:pt idx="1246">
                  <c:v>116400</c:v>
                </c:pt>
                <c:pt idx="1247">
                  <c:v>116294</c:v>
                </c:pt>
                <c:pt idx="1248">
                  <c:v>116440</c:v>
                </c:pt>
                <c:pt idx="1249">
                  <c:v>116499</c:v>
                </c:pt>
                <c:pt idx="1250">
                  <c:v>122000</c:v>
                </c:pt>
                <c:pt idx="1251">
                  <c:v>113735</c:v>
                </c:pt>
                <c:pt idx="1252">
                  <c:v>120000</c:v>
                </c:pt>
                <c:pt idx="1253">
                  <c:v>122000</c:v>
                </c:pt>
                <c:pt idx="1254">
                  <c:v>131358</c:v>
                </c:pt>
                <c:pt idx="1255">
                  <c:v>124092</c:v>
                </c:pt>
                <c:pt idx="1256">
                  <c:v>119000</c:v>
                </c:pt>
                <c:pt idx="1257">
                  <c:v>118000</c:v>
                </c:pt>
                <c:pt idx="1258">
                  <c:v>118000</c:v>
                </c:pt>
                <c:pt idx="1259">
                  <c:v>119510</c:v>
                </c:pt>
                <c:pt idx="1260">
                  <c:v>119359</c:v>
                </c:pt>
                <c:pt idx="1261">
                  <c:v>119368</c:v>
                </c:pt>
                <c:pt idx="1262">
                  <c:v>115260</c:v>
                </c:pt>
                <c:pt idx="1263">
                  <c:v>115159</c:v>
                </c:pt>
                <c:pt idx="1264">
                  <c:v>115304</c:v>
                </c:pt>
                <c:pt idx="1265">
                  <c:v>115318</c:v>
                </c:pt>
                <c:pt idx="1266">
                  <c:v>115086</c:v>
                </c:pt>
                <c:pt idx="1267">
                  <c:v>121960</c:v>
                </c:pt>
                <c:pt idx="1268">
                  <c:v>121960</c:v>
                </c:pt>
                <c:pt idx="1269">
                  <c:v>121960</c:v>
                </c:pt>
                <c:pt idx="1270">
                  <c:v>124500</c:v>
                </c:pt>
                <c:pt idx="1271">
                  <c:v>124426</c:v>
                </c:pt>
                <c:pt idx="1272">
                  <c:v>120000</c:v>
                </c:pt>
                <c:pt idx="1273">
                  <c:v>120000</c:v>
                </c:pt>
                <c:pt idx="1274">
                  <c:v>120000</c:v>
                </c:pt>
                <c:pt idx="1275">
                  <c:v>123101</c:v>
                </c:pt>
                <c:pt idx="1276">
                  <c:v>123205</c:v>
                </c:pt>
                <c:pt idx="1277">
                  <c:v>131400</c:v>
                </c:pt>
                <c:pt idx="1278">
                  <c:v>131400</c:v>
                </c:pt>
                <c:pt idx="1279">
                  <c:v>131400</c:v>
                </c:pt>
                <c:pt idx="1280">
                  <c:v>128760</c:v>
                </c:pt>
                <c:pt idx="1281">
                  <c:v>131400</c:v>
                </c:pt>
                <c:pt idx="1282">
                  <c:v>120500</c:v>
                </c:pt>
                <c:pt idx="1283">
                  <c:v>123490</c:v>
                </c:pt>
                <c:pt idx="1284">
                  <c:v>52240</c:v>
                </c:pt>
                <c:pt idx="1285">
                  <c:v>131830</c:v>
                </c:pt>
                <c:pt idx="1286">
                  <c:v>131831</c:v>
                </c:pt>
                <c:pt idx="1287">
                  <c:v>133000</c:v>
                </c:pt>
                <c:pt idx="1288">
                  <c:v>133000</c:v>
                </c:pt>
                <c:pt idx="1289">
                  <c:v>133000</c:v>
                </c:pt>
                <c:pt idx="1290">
                  <c:v>110000</c:v>
                </c:pt>
                <c:pt idx="1291">
                  <c:v>133000</c:v>
                </c:pt>
                <c:pt idx="1292">
                  <c:v>131938</c:v>
                </c:pt>
                <c:pt idx="1293">
                  <c:v>131831</c:v>
                </c:pt>
                <c:pt idx="1294">
                  <c:v>131356</c:v>
                </c:pt>
                <c:pt idx="1295">
                  <c:v>131489</c:v>
                </c:pt>
                <c:pt idx="1296">
                  <c:v>131463</c:v>
                </c:pt>
                <c:pt idx="1297">
                  <c:v>130804</c:v>
                </c:pt>
                <c:pt idx="1298">
                  <c:v>131260</c:v>
                </c:pt>
                <c:pt idx="1299">
                  <c:v>128000</c:v>
                </c:pt>
                <c:pt idx="1300">
                  <c:v>94060</c:v>
                </c:pt>
                <c:pt idx="1301">
                  <c:v>128550</c:v>
                </c:pt>
                <c:pt idx="1302">
                  <c:v>128550</c:v>
                </c:pt>
                <c:pt idx="1303">
                  <c:v>128550</c:v>
                </c:pt>
                <c:pt idx="1304">
                  <c:v>128760</c:v>
                </c:pt>
                <c:pt idx="1305">
                  <c:v>130000</c:v>
                </c:pt>
                <c:pt idx="1306">
                  <c:v>128760</c:v>
                </c:pt>
                <c:pt idx="1307">
                  <c:v>128760</c:v>
                </c:pt>
                <c:pt idx="1308">
                  <c:v>128760</c:v>
                </c:pt>
                <c:pt idx="1309">
                  <c:v>128550</c:v>
                </c:pt>
                <c:pt idx="1310">
                  <c:v>128688</c:v>
                </c:pt>
                <c:pt idx="1311">
                  <c:v>122400</c:v>
                </c:pt>
                <c:pt idx="1312">
                  <c:v>139419</c:v>
                </c:pt>
                <c:pt idx="1313">
                  <c:v>139439</c:v>
                </c:pt>
                <c:pt idx="1314">
                  <c:v>142500</c:v>
                </c:pt>
                <c:pt idx="1315">
                  <c:v>146093</c:v>
                </c:pt>
                <c:pt idx="1316">
                  <c:v>142500</c:v>
                </c:pt>
                <c:pt idx="1317">
                  <c:v>146000</c:v>
                </c:pt>
                <c:pt idx="1318">
                  <c:v>146148</c:v>
                </c:pt>
                <c:pt idx="1319">
                  <c:v>139500</c:v>
                </c:pt>
                <c:pt idx="1320">
                  <c:v>139500</c:v>
                </c:pt>
                <c:pt idx="1321">
                  <c:v>142500</c:v>
                </c:pt>
                <c:pt idx="1322">
                  <c:v>142500</c:v>
                </c:pt>
                <c:pt idx="1323">
                  <c:v>165300</c:v>
                </c:pt>
                <c:pt idx="1324">
                  <c:v>152700</c:v>
                </c:pt>
                <c:pt idx="1325">
                  <c:v>154494</c:v>
                </c:pt>
                <c:pt idx="1326">
                  <c:v>165300</c:v>
                </c:pt>
                <c:pt idx="1327">
                  <c:v>152700</c:v>
                </c:pt>
                <c:pt idx="1328">
                  <c:v>154664</c:v>
                </c:pt>
                <c:pt idx="1329">
                  <c:v>154185</c:v>
                </c:pt>
                <c:pt idx="1330">
                  <c:v>141820</c:v>
                </c:pt>
                <c:pt idx="1331">
                  <c:v>140700</c:v>
                </c:pt>
                <c:pt idx="1332">
                  <c:v>140609</c:v>
                </c:pt>
                <c:pt idx="1333">
                  <c:v>140542</c:v>
                </c:pt>
                <c:pt idx="1334">
                  <c:v>141716</c:v>
                </c:pt>
                <c:pt idx="1335">
                  <c:v>141820</c:v>
                </c:pt>
                <c:pt idx="1336">
                  <c:v>141649</c:v>
                </c:pt>
                <c:pt idx="1337">
                  <c:v>141820</c:v>
                </c:pt>
                <c:pt idx="1338">
                  <c:v>113900</c:v>
                </c:pt>
                <c:pt idx="1339">
                  <c:v>113900</c:v>
                </c:pt>
                <c:pt idx="1340">
                  <c:v>141550</c:v>
                </c:pt>
                <c:pt idx="1341">
                  <c:v>141550</c:v>
                </c:pt>
                <c:pt idx="1342">
                  <c:v>141550</c:v>
                </c:pt>
                <c:pt idx="1343">
                  <c:v>141550</c:v>
                </c:pt>
                <c:pt idx="1344">
                  <c:v>140565</c:v>
                </c:pt>
                <c:pt idx="1345">
                  <c:v>142500</c:v>
                </c:pt>
                <c:pt idx="1346">
                  <c:v>141649</c:v>
                </c:pt>
                <c:pt idx="1347">
                  <c:v>142105</c:v>
                </c:pt>
                <c:pt idx="1348">
                  <c:v>142105</c:v>
                </c:pt>
                <c:pt idx="1349">
                  <c:v>141820</c:v>
                </c:pt>
                <c:pt idx="1350">
                  <c:v>141000</c:v>
                </c:pt>
                <c:pt idx="1351">
                  <c:v>142105</c:v>
                </c:pt>
                <c:pt idx="1352">
                  <c:v>140991</c:v>
                </c:pt>
                <c:pt idx="1353">
                  <c:v>113900</c:v>
                </c:pt>
                <c:pt idx="1354">
                  <c:v>140900</c:v>
                </c:pt>
                <c:pt idx="1355">
                  <c:v>140700</c:v>
                </c:pt>
                <c:pt idx="1356">
                  <c:v>145274</c:v>
                </c:pt>
                <c:pt idx="1357">
                  <c:v>145237</c:v>
                </c:pt>
                <c:pt idx="1358">
                  <c:v>145528</c:v>
                </c:pt>
                <c:pt idx="1359">
                  <c:v>152700</c:v>
                </c:pt>
                <c:pt idx="1360">
                  <c:v>145000</c:v>
                </c:pt>
                <c:pt idx="1361">
                  <c:v>140530</c:v>
                </c:pt>
                <c:pt idx="1362">
                  <c:v>142105</c:v>
                </c:pt>
                <c:pt idx="1363">
                  <c:v>142105</c:v>
                </c:pt>
                <c:pt idx="1364">
                  <c:v>142105</c:v>
                </c:pt>
                <c:pt idx="1365">
                  <c:v>145000</c:v>
                </c:pt>
                <c:pt idx="1366">
                  <c:v>148642</c:v>
                </c:pt>
                <c:pt idx="1367">
                  <c:v>148542</c:v>
                </c:pt>
                <c:pt idx="1368">
                  <c:v>148549</c:v>
                </c:pt>
                <c:pt idx="1369">
                  <c:v>140900</c:v>
                </c:pt>
                <c:pt idx="1370">
                  <c:v>140973</c:v>
                </c:pt>
                <c:pt idx="1371">
                  <c:v>140900</c:v>
                </c:pt>
                <c:pt idx="1372">
                  <c:v>140900</c:v>
                </c:pt>
                <c:pt idx="1373">
                  <c:v>126048</c:v>
                </c:pt>
                <c:pt idx="1374">
                  <c:v>141184</c:v>
                </c:pt>
                <c:pt idx="1375">
                  <c:v>140900</c:v>
                </c:pt>
                <c:pt idx="1376">
                  <c:v>140900</c:v>
                </c:pt>
                <c:pt idx="1377">
                  <c:v>140973</c:v>
                </c:pt>
                <c:pt idx="1378">
                  <c:v>152700</c:v>
                </c:pt>
                <c:pt idx="1379">
                  <c:v>145979</c:v>
                </c:pt>
                <c:pt idx="1380">
                  <c:v>146000</c:v>
                </c:pt>
                <c:pt idx="1381">
                  <c:v>146000</c:v>
                </c:pt>
                <c:pt idx="1382">
                  <c:v>142000</c:v>
                </c:pt>
                <c:pt idx="1383">
                  <c:v>142100</c:v>
                </c:pt>
                <c:pt idx="1384">
                  <c:v>142000</c:v>
                </c:pt>
                <c:pt idx="1385">
                  <c:v>142018</c:v>
                </c:pt>
                <c:pt idx="1386">
                  <c:v>140000</c:v>
                </c:pt>
                <c:pt idx="1387">
                  <c:v>142000</c:v>
                </c:pt>
                <c:pt idx="1388">
                  <c:v>142000</c:v>
                </c:pt>
                <c:pt idx="1389">
                  <c:v>142000</c:v>
                </c:pt>
                <c:pt idx="1390">
                  <c:v>142295</c:v>
                </c:pt>
                <c:pt idx="1391">
                  <c:v>140000</c:v>
                </c:pt>
                <c:pt idx="1392">
                  <c:v>165478</c:v>
                </c:pt>
                <c:pt idx="1393">
                  <c:v>143521</c:v>
                </c:pt>
                <c:pt idx="1394">
                  <c:v>144000</c:v>
                </c:pt>
                <c:pt idx="1395">
                  <c:v>144342</c:v>
                </c:pt>
                <c:pt idx="1396">
                  <c:v>144342</c:v>
                </c:pt>
                <c:pt idx="1397">
                  <c:v>144000</c:v>
                </c:pt>
                <c:pt idx="1398">
                  <c:v>144000</c:v>
                </c:pt>
                <c:pt idx="1399">
                  <c:v>144000</c:v>
                </c:pt>
                <c:pt idx="1400">
                  <c:v>144000</c:v>
                </c:pt>
                <c:pt idx="1401">
                  <c:v>144321</c:v>
                </c:pt>
                <c:pt idx="1402">
                  <c:v>144000</c:v>
                </c:pt>
                <c:pt idx="1403">
                  <c:v>145451</c:v>
                </c:pt>
                <c:pt idx="1404">
                  <c:v>157000</c:v>
                </c:pt>
                <c:pt idx="1405">
                  <c:v>157000</c:v>
                </c:pt>
                <c:pt idx="1406">
                  <c:v>146161</c:v>
                </c:pt>
                <c:pt idx="1407">
                  <c:v>152860</c:v>
                </c:pt>
                <c:pt idx="1408">
                  <c:v>156618</c:v>
                </c:pt>
                <c:pt idx="1409">
                  <c:v>160000</c:v>
                </c:pt>
                <c:pt idx="1410">
                  <c:v>156610</c:v>
                </c:pt>
                <c:pt idx="1411">
                  <c:v>156600</c:v>
                </c:pt>
                <c:pt idx="1412">
                  <c:v>156600</c:v>
                </c:pt>
                <c:pt idx="1413">
                  <c:v>156600</c:v>
                </c:pt>
                <c:pt idx="1414">
                  <c:v>145000</c:v>
                </c:pt>
                <c:pt idx="1415">
                  <c:v>153500</c:v>
                </c:pt>
                <c:pt idx="1416">
                  <c:v>153500</c:v>
                </c:pt>
                <c:pt idx="1417">
                  <c:v>162867</c:v>
                </c:pt>
                <c:pt idx="1418">
                  <c:v>156300</c:v>
                </c:pt>
                <c:pt idx="1419">
                  <c:v>165300</c:v>
                </c:pt>
                <c:pt idx="1420">
                  <c:v>156097</c:v>
                </c:pt>
                <c:pt idx="1421">
                  <c:v>156082</c:v>
                </c:pt>
                <c:pt idx="1422">
                  <c:v>155438</c:v>
                </c:pt>
                <c:pt idx="1423">
                  <c:v>165300</c:v>
                </c:pt>
                <c:pt idx="1424">
                  <c:v>165691</c:v>
                </c:pt>
                <c:pt idx="1425">
                  <c:v>145534</c:v>
                </c:pt>
                <c:pt idx="1426">
                  <c:v>145000</c:v>
                </c:pt>
                <c:pt idx="1427">
                  <c:v>150000</c:v>
                </c:pt>
                <c:pt idx="1428">
                  <c:v>145557</c:v>
                </c:pt>
                <c:pt idx="1429">
                  <c:v>122625</c:v>
                </c:pt>
                <c:pt idx="1430">
                  <c:v>146214</c:v>
                </c:pt>
                <c:pt idx="1431">
                  <c:v>146073</c:v>
                </c:pt>
                <c:pt idx="1432">
                  <c:v>122625</c:v>
                </c:pt>
                <c:pt idx="1433">
                  <c:v>145784</c:v>
                </c:pt>
                <c:pt idx="1434">
                  <c:v>152344</c:v>
                </c:pt>
                <c:pt idx="1435">
                  <c:v>152200</c:v>
                </c:pt>
                <c:pt idx="1436">
                  <c:v>152200</c:v>
                </c:pt>
                <c:pt idx="1437">
                  <c:v>152200</c:v>
                </c:pt>
                <c:pt idx="1438">
                  <c:v>152210</c:v>
                </c:pt>
                <c:pt idx="1439">
                  <c:v>152000</c:v>
                </c:pt>
                <c:pt idx="1440">
                  <c:v>152200</c:v>
                </c:pt>
                <c:pt idx="1441">
                  <c:v>152000</c:v>
                </c:pt>
                <c:pt idx="1442">
                  <c:v>152344</c:v>
                </c:pt>
                <c:pt idx="1443">
                  <c:v>152000</c:v>
                </c:pt>
                <c:pt idx="1444">
                  <c:v>108000</c:v>
                </c:pt>
                <c:pt idx="1445">
                  <c:v>156800</c:v>
                </c:pt>
                <c:pt idx="1446">
                  <c:v>108000</c:v>
                </c:pt>
                <c:pt idx="1447">
                  <c:v>157000</c:v>
                </c:pt>
                <c:pt idx="1448">
                  <c:v>155000</c:v>
                </c:pt>
                <c:pt idx="1449">
                  <c:v>150000</c:v>
                </c:pt>
                <c:pt idx="1450">
                  <c:v>145500</c:v>
                </c:pt>
                <c:pt idx="1451">
                  <c:v>147021</c:v>
                </c:pt>
                <c:pt idx="1452">
                  <c:v>147500</c:v>
                </c:pt>
                <c:pt idx="1453">
                  <c:v>144735</c:v>
                </c:pt>
                <c:pt idx="1454">
                  <c:v>147500</c:v>
                </c:pt>
                <c:pt idx="1455">
                  <c:v>147500</c:v>
                </c:pt>
                <c:pt idx="1456">
                  <c:v>146722</c:v>
                </c:pt>
                <c:pt idx="1457">
                  <c:v>147500</c:v>
                </c:pt>
                <c:pt idx="1458">
                  <c:v>147500</c:v>
                </c:pt>
                <c:pt idx="1459">
                  <c:v>150100</c:v>
                </c:pt>
                <c:pt idx="1460">
                  <c:v>150100</c:v>
                </c:pt>
                <c:pt idx="1461">
                  <c:v>147404</c:v>
                </c:pt>
                <c:pt idx="1462">
                  <c:v>150100</c:v>
                </c:pt>
                <c:pt idx="1463">
                  <c:v>150100</c:v>
                </c:pt>
                <c:pt idx="1464">
                  <c:v>150100</c:v>
                </c:pt>
                <c:pt idx="1465">
                  <c:v>150100</c:v>
                </c:pt>
                <c:pt idx="1466">
                  <c:v>150100</c:v>
                </c:pt>
                <c:pt idx="1467">
                  <c:v>165300</c:v>
                </c:pt>
                <c:pt idx="1468">
                  <c:v>146778</c:v>
                </c:pt>
                <c:pt idx="1469">
                  <c:v>165300</c:v>
                </c:pt>
                <c:pt idx="1470">
                  <c:v>165181</c:v>
                </c:pt>
                <c:pt idx="1471">
                  <c:v>165960</c:v>
                </c:pt>
                <c:pt idx="1472">
                  <c:v>152600</c:v>
                </c:pt>
                <c:pt idx="1473">
                  <c:v>166093</c:v>
                </c:pt>
                <c:pt idx="1474">
                  <c:v>155438</c:v>
                </c:pt>
                <c:pt idx="1475">
                  <c:v>166041</c:v>
                </c:pt>
                <c:pt idx="1476">
                  <c:v>165900</c:v>
                </c:pt>
                <c:pt idx="1477">
                  <c:v>165300</c:v>
                </c:pt>
                <c:pt idx="1478">
                  <c:v>145000</c:v>
                </c:pt>
                <c:pt idx="1479">
                  <c:v>165887</c:v>
                </c:pt>
                <c:pt idx="1480">
                  <c:v>165300</c:v>
                </c:pt>
                <c:pt idx="1481">
                  <c:v>139335</c:v>
                </c:pt>
                <c:pt idx="1482">
                  <c:v>139335</c:v>
                </c:pt>
                <c:pt idx="1483">
                  <c:v>139500</c:v>
                </c:pt>
                <c:pt idx="1484">
                  <c:v>144285</c:v>
                </c:pt>
                <c:pt idx="1485">
                  <c:v>139335</c:v>
                </c:pt>
                <c:pt idx="1486">
                  <c:v>155000</c:v>
                </c:pt>
                <c:pt idx="1487">
                  <c:v>146074</c:v>
                </c:pt>
                <c:pt idx="1488">
                  <c:v>145077</c:v>
                </c:pt>
                <c:pt idx="1489">
                  <c:v>146749</c:v>
                </c:pt>
                <c:pt idx="1490">
                  <c:v>138611</c:v>
                </c:pt>
                <c:pt idx="1491">
                  <c:v>139335</c:v>
                </c:pt>
                <c:pt idx="1492">
                  <c:v>139335</c:v>
                </c:pt>
                <c:pt idx="1493">
                  <c:v>155000</c:v>
                </c:pt>
                <c:pt idx="1494">
                  <c:v>155000</c:v>
                </c:pt>
                <c:pt idx="1495">
                  <c:v>160000</c:v>
                </c:pt>
                <c:pt idx="1496">
                  <c:v>139500</c:v>
                </c:pt>
                <c:pt idx="1497">
                  <c:v>160000</c:v>
                </c:pt>
                <c:pt idx="1498">
                  <c:v>165300</c:v>
                </c:pt>
                <c:pt idx="1499">
                  <c:v>155470</c:v>
                </c:pt>
                <c:pt idx="1500">
                  <c:v>155374</c:v>
                </c:pt>
                <c:pt idx="1501">
                  <c:v>165300</c:v>
                </c:pt>
                <c:pt idx="1502">
                  <c:v>165300</c:v>
                </c:pt>
                <c:pt idx="1503">
                  <c:v>155628</c:v>
                </c:pt>
                <c:pt idx="1504">
                  <c:v>145559</c:v>
                </c:pt>
                <c:pt idx="1505">
                  <c:v>144943</c:v>
                </c:pt>
                <c:pt idx="1506">
                  <c:v>145000</c:v>
                </c:pt>
                <c:pt idx="1507">
                  <c:v>122625</c:v>
                </c:pt>
                <c:pt idx="1508">
                  <c:v>122625</c:v>
                </c:pt>
                <c:pt idx="1509">
                  <c:v>122625</c:v>
                </c:pt>
                <c:pt idx="1510">
                  <c:v>147500</c:v>
                </c:pt>
                <c:pt idx="1511">
                  <c:v>153520</c:v>
                </c:pt>
                <c:pt idx="1512">
                  <c:v>145500</c:v>
                </c:pt>
                <c:pt idx="1513">
                  <c:v>153500</c:v>
                </c:pt>
                <c:pt idx="1514">
                  <c:v>153500</c:v>
                </c:pt>
                <c:pt idx="1515">
                  <c:v>151200</c:v>
                </c:pt>
                <c:pt idx="1516">
                  <c:v>153500</c:v>
                </c:pt>
                <c:pt idx="1517">
                  <c:v>149000</c:v>
                </c:pt>
                <c:pt idx="1518">
                  <c:v>139500</c:v>
                </c:pt>
                <c:pt idx="1519">
                  <c:v>153500</c:v>
                </c:pt>
                <c:pt idx="1520">
                  <c:v>153811</c:v>
                </c:pt>
                <c:pt idx="1521">
                  <c:v>156920</c:v>
                </c:pt>
                <c:pt idx="1522">
                  <c:v>140000</c:v>
                </c:pt>
                <c:pt idx="1523">
                  <c:v>149360</c:v>
                </c:pt>
                <c:pt idx="1524">
                  <c:v>140000</c:v>
                </c:pt>
                <c:pt idx="1525">
                  <c:v>140000</c:v>
                </c:pt>
                <c:pt idx="1526">
                  <c:v>150000</c:v>
                </c:pt>
                <c:pt idx="1527">
                  <c:v>134300</c:v>
                </c:pt>
                <c:pt idx="1528">
                  <c:v>150000</c:v>
                </c:pt>
                <c:pt idx="1529">
                  <c:v>150000</c:v>
                </c:pt>
                <c:pt idx="1530">
                  <c:v>149360</c:v>
                </c:pt>
                <c:pt idx="1531">
                  <c:v>149360</c:v>
                </c:pt>
                <c:pt idx="1532">
                  <c:v>157076</c:v>
                </c:pt>
                <c:pt idx="1533">
                  <c:v>156983</c:v>
                </c:pt>
                <c:pt idx="1534">
                  <c:v>147966</c:v>
                </c:pt>
                <c:pt idx="1535">
                  <c:v>147966</c:v>
                </c:pt>
                <c:pt idx="1536">
                  <c:v>162051</c:v>
                </c:pt>
                <c:pt idx="1537">
                  <c:v>158200</c:v>
                </c:pt>
                <c:pt idx="1538">
                  <c:v>158200</c:v>
                </c:pt>
                <c:pt idx="1539">
                  <c:v>158200</c:v>
                </c:pt>
                <c:pt idx="1540">
                  <c:v>168100</c:v>
                </c:pt>
                <c:pt idx="1541">
                  <c:v>174000</c:v>
                </c:pt>
                <c:pt idx="1542">
                  <c:v>158200</c:v>
                </c:pt>
                <c:pt idx="1543">
                  <c:v>158200</c:v>
                </c:pt>
                <c:pt idx="1544">
                  <c:v>158200</c:v>
                </c:pt>
                <c:pt idx="1545">
                  <c:v>136800</c:v>
                </c:pt>
                <c:pt idx="1546">
                  <c:v>186765</c:v>
                </c:pt>
                <c:pt idx="1547">
                  <c:v>186650</c:v>
                </c:pt>
                <c:pt idx="1548">
                  <c:v>200148</c:v>
                </c:pt>
              </c:numCache>
            </c:numRef>
          </c:yVal>
          <c:smooth val="0"/>
          <c:extLst>
            <c:ext xmlns:c16="http://schemas.microsoft.com/office/drawing/2014/chart" uri="{C3380CC4-5D6E-409C-BE32-E72D297353CC}">
              <c16:uniqueId val="{00000000-097C-49B8-8327-3FD6C9F9B856}"/>
            </c:ext>
          </c:extLst>
        </c:ser>
        <c:dLbls>
          <c:showLegendKey val="0"/>
          <c:showVal val="0"/>
          <c:showCatName val="0"/>
          <c:showSerName val="0"/>
          <c:showPercent val="0"/>
          <c:showBubbleSize val="0"/>
        </c:dLbls>
        <c:axId val="418084776"/>
        <c:axId val="418088384"/>
      </c:scatterChart>
      <c:scatterChart>
        <c:scatterStyle val="lineMarker"/>
        <c:varyColors val="0"/>
        <c:ser>
          <c:idx val="0"/>
          <c:order val="0"/>
          <c:tx>
            <c:strRef>
              <c:f>'Schätzung Schiff'!$F$30</c:f>
              <c:strCache>
                <c:ptCount val="1"/>
                <c:pt idx="0">
                  <c:v>Länge</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4"/>
            <c:dispRSqr val="0"/>
            <c:dispEq val="1"/>
            <c:trendlineLbl>
              <c:layout>
                <c:manualLayout>
                  <c:x val="9.385476815398075E-2"/>
                  <c:y val="-4.9682276557535571E-2"/>
                </c:manualLayout>
              </c:layout>
              <c:numFmt formatCode="0.000000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'Schätzung Schiff'!$E$31:$E$1579</c:f>
              <c:numCache>
                <c:formatCode>General</c:formatCode>
                <c:ptCount val="1549"/>
                <c:pt idx="0">
                  <c:v>868</c:v>
                </c:pt>
                <c:pt idx="1">
                  <c:v>868</c:v>
                </c:pt>
                <c:pt idx="2">
                  <c:v>1254</c:v>
                </c:pt>
                <c:pt idx="3">
                  <c:v>1338</c:v>
                </c:pt>
                <c:pt idx="4">
                  <c:v>1438</c:v>
                </c:pt>
                <c:pt idx="5">
                  <c:v>1438</c:v>
                </c:pt>
                <c:pt idx="6">
                  <c:v>1438</c:v>
                </c:pt>
                <c:pt idx="7">
                  <c:v>1658</c:v>
                </c:pt>
                <c:pt idx="8">
                  <c:v>1674</c:v>
                </c:pt>
                <c:pt idx="9">
                  <c:v>1678</c:v>
                </c:pt>
                <c:pt idx="10">
                  <c:v>1678</c:v>
                </c:pt>
                <c:pt idx="11">
                  <c:v>1678</c:v>
                </c:pt>
                <c:pt idx="12">
                  <c:v>1698</c:v>
                </c:pt>
                <c:pt idx="13">
                  <c:v>1712</c:v>
                </c:pt>
                <c:pt idx="14">
                  <c:v>1716</c:v>
                </c:pt>
                <c:pt idx="15">
                  <c:v>1728</c:v>
                </c:pt>
                <c:pt idx="16">
                  <c:v>1728</c:v>
                </c:pt>
                <c:pt idx="17">
                  <c:v>1730</c:v>
                </c:pt>
                <c:pt idx="18">
                  <c:v>1730</c:v>
                </c:pt>
                <c:pt idx="19">
                  <c:v>1730</c:v>
                </c:pt>
                <c:pt idx="20">
                  <c:v>1730</c:v>
                </c:pt>
                <c:pt idx="21">
                  <c:v>1732</c:v>
                </c:pt>
                <c:pt idx="22">
                  <c:v>1732</c:v>
                </c:pt>
                <c:pt idx="23">
                  <c:v>1740</c:v>
                </c:pt>
                <c:pt idx="24">
                  <c:v>1740</c:v>
                </c:pt>
                <c:pt idx="25">
                  <c:v>1768</c:v>
                </c:pt>
                <c:pt idx="26">
                  <c:v>1768</c:v>
                </c:pt>
                <c:pt idx="27">
                  <c:v>1795</c:v>
                </c:pt>
                <c:pt idx="28">
                  <c:v>1819</c:v>
                </c:pt>
                <c:pt idx="29">
                  <c:v>1819</c:v>
                </c:pt>
                <c:pt idx="30">
                  <c:v>1819</c:v>
                </c:pt>
                <c:pt idx="31">
                  <c:v>1819</c:v>
                </c:pt>
                <c:pt idx="32">
                  <c:v>1819</c:v>
                </c:pt>
                <c:pt idx="33">
                  <c:v>1819</c:v>
                </c:pt>
                <c:pt idx="34">
                  <c:v>1819</c:v>
                </c:pt>
                <c:pt idx="35">
                  <c:v>1819</c:v>
                </c:pt>
                <c:pt idx="36">
                  <c:v>1819</c:v>
                </c:pt>
                <c:pt idx="37">
                  <c:v>1835</c:v>
                </c:pt>
                <c:pt idx="38">
                  <c:v>1845</c:v>
                </c:pt>
                <c:pt idx="39">
                  <c:v>1849</c:v>
                </c:pt>
                <c:pt idx="40">
                  <c:v>1850</c:v>
                </c:pt>
                <c:pt idx="41">
                  <c:v>1852</c:v>
                </c:pt>
                <c:pt idx="42">
                  <c:v>1853</c:v>
                </c:pt>
                <c:pt idx="43">
                  <c:v>1853</c:v>
                </c:pt>
                <c:pt idx="44">
                  <c:v>1853</c:v>
                </c:pt>
                <c:pt idx="45">
                  <c:v>1875</c:v>
                </c:pt>
                <c:pt idx="46">
                  <c:v>1876</c:v>
                </c:pt>
                <c:pt idx="47">
                  <c:v>1900</c:v>
                </c:pt>
                <c:pt idx="48">
                  <c:v>1924</c:v>
                </c:pt>
                <c:pt idx="49">
                  <c:v>1970</c:v>
                </c:pt>
                <c:pt idx="50">
                  <c:v>2007</c:v>
                </c:pt>
                <c:pt idx="51">
                  <c:v>2007</c:v>
                </c:pt>
                <c:pt idx="52">
                  <c:v>2017</c:v>
                </c:pt>
                <c:pt idx="53">
                  <c:v>2048</c:v>
                </c:pt>
                <c:pt idx="54">
                  <c:v>2061</c:v>
                </c:pt>
                <c:pt idx="55">
                  <c:v>2061</c:v>
                </c:pt>
                <c:pt idx="56">
                  <c:v>2061</c:v>
                </c:pt>
                <c:pt idx="57">
                  <c:v>2061</c:v>
                </c:pt>
                <c:pt idx="58">
                  <c:v>2065</c:v>
                </c:pt>
                <c:pt idx="59">
                  <c:v>2072</c:v>
                </c:pt>
                <c:pt idx="60">
                  <c:v>2078</c:v>
                </c:pt>
                <c:pt idx="61">
                  <c:v>2109</c:v>
                </c:pt>
                <c:pt idx="62">
                  <c:v>2122</c:v>
                </c:pt>
                <c:pt idx="63">
                  <c:v>2127</c:v>
                </c:pt>
                <c:pt idx="64">
                  <c:v>2135</c:v>
                </c:pt>
                <c:pt idx="65">
                  <c:v>2135</c:v>
                </c:pt>
                <c:pt idx="66">
                  <c:v>2135</c:v>
                </c:pt>
                <c:pt idx="67">
                  <c:v>2169</c:v>
                </c:pt>
                <c:pt idx="68">
                  <c:v>2200</c:v>
                </c:pt>
                <c:pt idx="69">
                  <c:v>2205</c:v>
                </c:pt>
                <c:pt idx="70">
                  <c:v>2207</c:v>
                </c:pt>
                <c:pt idx="71">
                  <c:v>2208</c:v>
                </c:pt>
                <c:pt idx="72">
                  <c:v>2225</c:v>
                </c:pt>
                <c:pt idx="73">
                  <c:v>2226</c:v>
                </c:pt>
                <c:pt idx="74">
                  <c:v>2226</c:v>
                </c:pt>
                <c:pt idx="75">
                  <c:v>2226</c:v>
                </c:pt>
                <c:pt idx="76">
                  <c:v>2226</c:v>
                </c:pt>
                <c:pt idx="77">
                  <c:v>2240</c:v>
                </c:pt>
                <c:pt idx="78">
                  <c:v>2245</c:v>
                </c:pt>
                <c:pt idx="79">
                  <c:v>2260</c:v>
                </c:pt>
                <c:pt idx="80">
                  <c:v>2260</c:v>
                </c:pt>
                <c:pt idx="81">
                  <c:v>2260</c:v>
                </c:pt>
                <c:pt idx="82">
                  <c:v>2303</c:v>
                </c:pt>
                <c:pt idx="83">
                  <c:v>2330</c:v>
                </c:pt>
                <c:pt idx="84">
                  <c:v>2339</c:v>
                </c:pt>
                <c:pt idx="85">
                  <c:v>2400</c:v>
                </c:pt>
                <c:pt idx="86">
                  <c:v>2440</c:v>
                </c:pt>
                <c:pt idx="87">
                  <c:v>2450</c:v>
                </c:pt>
                <c:pt idx="88">
                  <c:v>2452</c:v>
                </c:pt>
                <c:pt idx="89">
                  <c:v>2452</c:v>
                </c:pt>
                <c:pt idx="90">
                  <c:v>2470</c:v>
                </c:pt>
                <c:pt idx="91">
                  <c:v>2470</c:v>
                </c:pt>
                <c:pt idx="92">
                  <c:v>2474</c:v>
                </c:pt>
                <c:pt idx="93">
                  <c:v>2474</c:v>
                </c:pt>
                <c:pt idx="94">
                  <c:v>2478</c:v>
                </c:pt>
                <c:pt idx="95">
                  <c:v>2478</c:v>
                </c:pt>
                <c:pt idx="96">
                  <c:v>2478</c:v>
                </c:pt>
                <c:pt idx="97">
                  <c:v>2478</c:v>
                </c:pt>
                <c:pt idx="98">
                  <c:v>2478</c:v>
                </c:pt>
                <c:pt idx="99">
                  <c:v>2478</c:v>
                </c:pt>
                <c:pt idx="100">
                  <c:v>2478</c:v>
                </c:pt>
                <c:pt idx="101">
                  <c:v>2478</c:v>
                </c:pt>
                <c:pt idx="102">
                  <c:v>2478</c:v>
                </c:pt>
                <c:pt idx="103">
                  <c:v>2478</c:v>
                </c:pt>
                <c:pt idx="104">
                  <c:v>2483</c:v>
                </c:pt>
                <c:pt idx="105">
                  <c:v>2487</c:v>
                </c:pt>
                <c:pt idx="106">
                  <c:v>2490</c:v>
                </c:pt>
                <c:pt idx="107">
                  <c:v>2490</c:v>
                </c:pt>
                <c:pt idx="108">
                  <c:v>2490</c:v>
                </c:pt>
                <c:pt idx="109">
                  <c:v>2500</c:v>
                </c:pt>
                <c:pt idx="110">
                  <c:v>2500</c:v>
                </c:pt>
                <c:pt idx="111">
                  <c:v>2504</c:v>
                </c:pt>
                <c:pt idx="112">
                  <c:v>2506</c:v>
                </c:pt>
                <c:pt idx="113">
                  <c:v>2506</c:v>
                </c:pt>
                <c:pt idx="114">
                  <c:v>2524</c:v>
                </c:pt>
                <c:pt idx="115">
                  <c:v>2530</c:v>
                </c:pt>
                <c:pt idx="116">
                  <c:v>2532</c:v>
                </c:pt>
                <c:pt idx="117">
                  <c:v>2532</c:v>
                </c:pt>
                <c:pt idx="118">
                  <c:v>2532</c:v>
                </c:pt>
                <c:pt idx="119">
                  <c:v>2546</c:v>
                </c:pt>
                <c:pt idx="120">
                  <c:v>2550</c:v>
                </c:pt>
                <c:pt idx="121">
                  <c:v>2550</c:v>
                </c:pt>
                <c:pt idx="122">
                  <c:v>2550</c:v>
                </c:pt>
                <c:pt idx="123">
                  <c:v>2550</c:v>
                </c:pt>
                <c:pt idx="124">
                  <c:v>2550</c:v>
                </c:pt>
                <c:pt idx="125">
                  <c:v>2550</c:v>
                </c:pt>
                <c:pt idx="126">
                  <c:v>2550</c:v>
                </c:pt>
                <c:pt idx="127">
                  <c:v>2553</c:v>
                </c:pt>
                <c:pt idx="128">
                  <c:v>2553</c:v>
                </c:pt>
                <c:pt idx="129">
                  <c:v>2556</c:v>
                </c:pt>
                <c:pt idx="130">
                  <c:v>2556</c:v>
                </c:pt>
                <c:pt idx="131">
                  <c:v>2556</c:v>
                </c:pt>
                <c:pt idx="132">
                  <c:v>2556</c:v>
                </c:pt>
                <c:pt idx="133">
                  <c:v>2556</c:v>
                </c:pt>
                <c:pt idx="134">
                  <c:v>2556</c:v>
                </c:pt>
                <c:pt idx="135">
                  <c:v>2556</c:v>
                </c:pt>
                <c:pt idx="136">
                  <c:v>2556</c:v>
                </c:pt>
                <c:pt idx="137">
                  <c:v>2556</c:v>
                </c:pt>
                <c:pt idx="138">
                  <c:v>2556</c:v>
                </c:pt>
                <c:pt idx="139">
                  <c:v>2556</c:v>
                </c:pt>
                <c:pt idx="140">
                  <c:v>2556</c:v>
                </c:pt>
                <c:pt idx="141">
                  <c:v>2556</c:v>
                </c:pt>
                <c:pt idx="142">
                  <c:v>2556</c:v>
                </c:pt>
                <c:pt idx="143">
                  <c:v>2556</c:v>
                </c:pt>
                <c:pt idx="144">
                  <c:v>2556</c:v>
                </c:pt>
                <c:pt idx="145">
                  <c:v>2556</c:v>
                </c:pt>
                <c:pt idx="146">
                  <c:v>2556</c:v>
                </c:pt>
                <c:pt idx="147">
                  <c:v>2566</c:v>
                </c:pt>
                <c:pt idx="148">
                  <c:v>2578</c:v>
                </c:pt>
                <c:pt idx="149">
                  <c:v>2592</c:v>
                </c:pt>
                <c:pt idx="150">
                  <c:v>2600</c:v>
                </c:pt>
                <c:pt idx="151">
                  <c:v>2600</c:v>
                </c:pt>
                <c:pt idx="152">
                  <c:v>2600</c:v>
                </c:pt>
                <c:pt idx="153">
                  <c:v>2602</c:v>
                </c:pt>
                <c:pt idx="154">
                  <c:v>2604</c:v>
                </c:pt>
                <c:pt idx="155">
                  <c:v>2622</c:v>
                </c:pt>
                <c:pt idx="156">
                  <c:v>2660</c:v>
                </c:pt>
                <c:pt idx="157">
                  <c:v>2664</c:v>
                </c:pt>
                <c:pt idx="158">
                  <c:v>2680</c:v>
                </c:pt>
                <c:pt idx="159">
                  <c:v>2681</c:v>
                </c:pt>
                <c:pt idx="160">
                  <c:v>2700</c:v>
                </c:pt>
                <c:pt idx="161">
                  <c:v>2702</c:v>
                </c:pt>
                <c:pt idx="162">
                  <c:v>2702</c:v>
                </c:pt>
                <c:pt idx="163">
                  <c:v>2702</c:v>
                </c:pt>
                <c:pt idx="164">
                  <c:v>2710</c:v>
                </c:pt>
                <c:pt idx="165">
                  <c:v>2714</c:v>
                </c:pt>
                <c:pt idx="166">
                  <c:v>2724</c:v>
                </c:pt>
                <c:pt idx="167">
                  <c:v>2724</c:v>
                </c:pt>
                <c:pt idx="168">
                  <c:v>2732</c:v>
                </c:pt>
                <c:pt idx="169">
                  <c:v>2732</c:v>
                </c:pt>
                <c:pt idx="170">
                  <c:v>2732</c:v>
                </c:pt>
                <c:pt idx="171">
                  <c:v>2732</c:v>
                </c:pt>
                <c:pt idx="172">
                  <c:v>2732</c:v>
                </c:pt>
                <c:pt idx="173">
                  <c:v>2732</c:v>
                </c:pt>
                <c:pt idx="174">
                  <c:v>2741</c:v>
                </c:pt>
                <c:pt idx="175">
                  <c:v>2742</c:v>
                </c:pt>
                <c:pt idx="176">
                  <c:v>2742</c:v>
                </c:pt>
                <c:pt idx="177">
                  <c:v>2742</c:v>
                </c:pt>
                <c:pt idx="178">
                  <c:v>2742</c:v>
                </c:pt>
                <c:pt idx="179">
                  <c:v>2742</c:v>
                </c:pt>
                <c:pt idx="180">
                  <c:v>2747</c:v>
                </c:pt>
                <c:pt idx="181">
                  <c:v>2750</c:v>
                </c:pt>
                <c:pt idx="182">
                  <c:v>2750</c:v>
                </c:pt>
                <c:pt idx="183">
                  <c:v>2750</c:v>
                </c:pt>
                <c:pt idx="184">
                  <c:v>2750</c:v>
                </c:pt>
                <c:pt idx="185">
                  <c:v>2758</c:v>
                </c:pt>
                <c:pt idx="186">
                  <c:v>2758</c:v>
                </c:pt>
                <c:pt idx="187">
                  <c:v>2764</c:v>
                </c:pt>
                <c:pt idx="188">
                  <c:v>2764</c:v>
                </c:pt>
                <c:pt idx="189">
                  <c:v>2764</c:v>
                </c:pt>
                <c:pt idx="190">
                  <c:v>2785</c:v>
                </c:pt>
                <c:pt idx="191">
                  <c:v>2785</c:v>
                </c:pt>
                <c:pt idx="192">
                  <c:v>2790</c:v>
                </c:pt>
                <c:pt idx="193">
                  <c:v>2790</c:v>
                </c:pt>
                <c:pt idx="194">
                  <c:v>2797</c:v>
                </c:pt>
                <c:pt idx="195">
                  <c:v>2808</c:v>
                </c:pt>
                <c:pt idx="196">
                  <c:v>2808</c:v>
                </c:pt>
                <c:pt idx="197">
                  <c:v>2809</c:v>
                </c:pt>
                <c:pt idx="198">
                  <c:v>2824</c:v>
                </c:pt>
                <c:pt idx="199">
                  <c:v>2824</c:v>
                </c:pt>
                <c:pt idx="200">
                  <c:v>2824</c:v>
                </c:pt>
                <c:pt idx="201">
                  <c:v>2824</c:v>
                </c:pt>
                <c:pt idx="202">
                  <c:v>2824</c:v>
                </c:pt>
                <c:pt idx="203">
                  <c:v>2824</c:v>
                </c:pt>
                <c:pt idx="204">
                  <c:v>2824</c:v>
                </c:pt>
                <c:pt idx="205">
                  <c:v>2824</c:v>
                </c:pt>
                <c:pt idx="206">
                  <c:v>2824</c:v>
                </c:pt>
                <c:pt idx="207">
                  <c:v>2824</c:v>
                </c:pt>
                <c:pt idx="208">
                  <c:v>2824</c:v>
                </c:pt>
                <c:pt idx="209">
                  <c:v>2824</c:v>
                </c:pt>
                <c:pt idx="210">
                  <c:v>2824</c:v>
                </c:pt>
                <c:pt idx="211">
                  <c:v>2824</c:v>
                </c:pt>
                <c:pt idx="212">
                  <c:v>2824</c:v>
                </c:pt>
                <c:pt idx="213">
                  <c:v>2824</c:v>
                </c:pt>
                <c:pt idx="214">
                  <c:v>2824</c:v>
                </c:pt>
                <c:pt idx="215">
                  <c:v>2824</c:v>
                </c:pt>
                <c:pt idx="216">
                  <c:v>2824</c:v>
                </c:pt>
                <c:pt idx="217">
                  <c:v>2824</c:v>
                </c:pt>
                <c:pt idx="218">
                  <c:v>2824</c:v>
                </c:pt>
                <c:pt idx="219">
                  <c:v>2824</c:v>
                </c:pt>
                <c:pt idx="220">
                  <c:v>2824</c:v>
                </c:pt>
                <c:pt idx="221">
                  <c:v>2824</c:v>
                </c:pt>
                <c:pt idx="222">
                  <c:v>2824</c:v>
                </c:pt>
                <c:pt idx="223">
                  <c:v>2824</c:v>
                </c:pt>
                <c:pt idx="224">
                  <c:v>2825</c:v>
                </c:pt>
                <c:pt idx="225">
                  <c:v>2840</c:v>
                </c:pt>
                <c:pt idx="226">
                  <c:v>2872</c:v>
                </c:pt>
                <c:pt idx="227">
                  <c:v>2872</c:v>
                </c:pt>
                <c:pt idx="228">
                  <c:v>2890</c:v>
                </c:pt>
                <c:pt idx="229">
                  <c:v>2900</c:v>
                </c:pt>
                <c:pt idx="230">
                  <c:v>2908</c:v>
                </c:pt>
                <c:pt idx="231">
                  <c:v>2908</c:v>
                </c:pt>
                <c:pt idx="232">
                  <c:v>2932</c:v>
                </c:pt>
                <c:pt idx="233">
                  <c:v>2959</c:v>
                </c:pt>
                <c:pt idx="234">
                  <c:v>2986</c:v>
                </c:pt>
                <c:pt idx="235">
                  <c:v>3005</c:v>
                </c:pt>
                <c:pt idx="236">
                  <c:v>3005</c:v>
                </c:pt>
                <c:pt idx="237">
                  <c:v>3005</c:v>
                </c:pt>
                <c:pt idx="238">
                  <c:v>3005</c:v>
                </c:pt>
                <c:pt idx="239">
                  <c:v>3005</c:v>
                </c:pt>
                <c:pt idx="240">
                  <c:v>3029</c:v>
                </c:pt>
                <c:pt idx="241">
                  <c:v>3032</c:v>
                </c:pt>
                <c:pt idx="242">
                  <c:v>3091</c:v>
                </c:pt>
                <c:pt idx="243">
                  <c:v>3091</c:v>
                </c:pt>
                <c:pt idx="244">
                  <c:v>3091</c:v>
                </c:pt>
                <c:pt idx="245">
                  <c:v>3091</c:v>
                </c:pt>
                <c:pt idx="246">
                  <c:v>3091</c:v>
                </c:pt>
                <c:pt idx="247">
                  <c:v>3100</c:v>
                </c:pt>
                <c:pt idx="248">
                  <c:v>3100</c:v>
                </c:pt>
                <c:pt idx="249">
                  <c:v>3100</c:v>
                </c:pt>
                <c:pt idx="250">
                  <c:v>3100</c:v>
                </c:pt>
                <c:pt idx="251">
                  <c:v>3108</c:v>
                </c:pt>
                <c:pt idx="252">
                  <c:v>3237</c:v>
                </c:pt>
                <c:pt idx="253">
                  <c:v>3237</c:v>
                </c:pt>
                <c:pt idx="254">
                  <c:v>3237</c:v>
                </c:pt>
                <c:pt idx="255">
                  <c:v>3237</c:v>
                </c:pt>
                <c:pt idx="256">
                  <c:v>3237</c:v>
                </c:pt>
                <c:pt idx="257">
                  <c:v>3300</c:v>
                </c:pt>
                <c:pt idx="258">
                  <c:v>3300</c:v>
                </c:pt>
                <c:pt idx="259">
                  <c:v>3388</c:v>
                </c:pt>
                <c:pt idx="260">
                  <c:v>3398</c:v>
                </c:pt>
                <c:pt idx="261">
                  <c:v>3398</c:v>
                </c:pt>
                <c:pt idx="262">
                  <c:v>3398</c:v>
                </c:pt>
                <c:pt idx="263">
                  <c:v>3400</c:v>
                </c:pt>
                <c:pt idx="264">
                  <c:v>3400</c:v>
                </c:pt>
                <c:pt idx="265">
                  <c:v>3400</c:v>
                </c:pt>
                <c:pt idx="266">
                  <c:v>3400</c:v>
                </c:pt>
                <c:pt idx="267">
                  <c:v>3414</c:v>
                </c:pt>
                <c:pt idx="268">
                  <c:v>3424</c:v>
                </c:pt>
                <c:pt idx="269">
                  <c:v>3424</c:v>
                </c:pt>
                <c:pt idx="270">
                  <c:v>3424</c:v>
                </c:pt>
                <c:pt idx="271">
                  <c:v>3424</c:v>
                </c:pt>
                <c:pt idx="272">
                  <c:v>3426</c:v>
                </c:pt>
                <c:pt idx="273">
                  <c:v>3426</c:v>
                </c:pt>
                <c:pt idx="274">
                  <c:v>3429</c:v>
                </c:pt>
                <c:pt idx="275">
                  <c:v>3429</c:v>
                </c:pt>
                <c:pt idx="276">
                  <c:v>3429</c:v>
                </c:pt>
                <c:pt idx="277">
                  <c:v>3429</c:v>
                </c:pt>
                <c:pt idx="278">
                  <c:v>3430</c:v>
                </c:pt>
                <c:pt idx="279">
                  <c:v>3430</c:v>
                </c:pt>
                <c:pt idx="280">
                  <c:v>3430</c:v>
                </c:pt>
                <c:pt idx="281">
                  <c:v>3430</c:v>
                </c:pt>
                <c:pt idx="282">
                  <c:v>3469</c:v>
                </c:pt>
                <c:pt idx="283">
                  <c:v>3469</c:v>
                </c:pt>
                <c:pt idx="284">
                  <c:v>3500</c:v>
                </c:pt>
                <c:pt idx="285">
                  <c:v>3500</c:v>
                </c:pt>
                <c:pt idx="286">
                  <c:v>3510</c:v>
                </c:pt>
                <c:pt idx="287">
                  <c:v>3534</c:v>
                </c:pt>
                <c:pt idx="288">
                  <c:v>3534</c:v>
                </c:pt>
                <c:pt idx="289">
                  <c:v>3534</c:v>
                </c:pt>
                <c:pt idx="290">
                  <c:v>3534</c:v>
                </c:pt>
                <c:pt idx="291">
                  <c:v>3534</c:v>
                </c:pt>
                <c:pt idx="292">
                  <c:v>3534</c:v>
                </c:pt>
                <c:pt idx="293">
                  <c:v>3534</c:v>
                </c:pt>
                <c:pt idx="294">
                  <c:v>3534</c:v>
                </c:pt>
                <c:pt idx="295">
                  <c:v>3534</c:v>
                </c:pt>
                <c:pt idx="296">
                  <c:v>3534</c:v>
                </c:pt>
                <c:pt idx="297">
                  <c:v>3586</c:v>
                </c:pt>
                <c:pt idx="298">
                  <c:v>3586</c:v>
                </c:pt>
                <c:pt idx="299">
                  <c:v>3586</c:v>
                </c:pt>
                <c:pt idx="300">
                  <c:v>3600</c:v>
                </c:pt>
                <c:pt idx="301">
                  <c:v>3606</c:v>
                </c:pt>
                <c:pt idx="302">
                  <c:v>3607</c:v>
                </c:pt>
                <c:pt idx="303">
                  <c:v>3630</c:v>
                </c:pt>
                <c:pt idx="304">
                  <c:v>3630</c:v>
                </c:pt>
                <c:pt idx="305">
                  <c:v>3635</c:v>
                </c:pt>
                <c:pt idx="306">
                  <c:v>3635</c:v>
                </c:pt>
                <c:pt idx="307">
                  <c:v>3646</c:v>
                </c:pt>
                <c:pt idx="308">
                  <c:v>3646</c:v>
                </c:pt>
                <c:pt idx="309">
                  <c:v>3649</c:v>
                </c:pt>
                <c:pt idx="310">
                  <c:v>3660</c:v>
                </c:pt>
                <c:pt idx="311">
                  <c:v>3700</c:v>
                </c:pt>
                <c:pt idx="312">
                  <c:v>3700</c:v>
                </c:pt>
                <c:pt idx="313">
                  <c:v>3700</c:v>
                </c:pt>
                <c:pt idx="314">
                  <c:v>3739</c:v>
                </c:pt>
                <c:pt idx="315">
                  <c:v>3739</c:v>
                </c:pt>
                <c:pt idx="316">
                  <c:v>3739</c:v>
                </c:pt>
                <c:pt idx="317">
                  <c:v>3739</c:v>
                </c:pt>
                <c:pt idx="318">
                  <c:v>3753</c:v>
                </c:pt>
                <c:pt idx="319">
                  <c:v>3800</c:v>
                </c:pt>
                <c:pt idx="320">
                  <c:v>3800</c:v>
                </c:pt>
                <c:pt idx="321">
                  <c:v>3800</c:v>
                </c:pt>
                <c:pt idx="322">
                  <c:v>3802</c:v>
                </c:pt>
                <c:pt idx="323">
                  <c:v>3802</c:v>
                </c:pt>
                <c:pt idx="324">
                  <c:v>3802</c:v>
                </c:pt>
                <c:pt idx="325">
                  <c:v>3802</c:v>
                </c:pt>
                <c:pt idx="326">
                  <c:v>3808</c:v>
                </c:pt>
                <c:pt idx="327">
                  <c:v>3842</c:v>
                </c:pt>
                <c:pt idx="328">
                  <c:v>3853</c:v>
                </c:pt>
                <c:pt idx="329">
                  <c:v>3853</c:v>
                </c:pt>
                <c:pt idx="330">
                  <c:v>3853</c:v>
                </c:pt>
                <c:pt idx="331">
                  <c:v>3868</c:v>
                </c:pt>
                <c:pt idx="332">
                  <c:v>3868</c:v>
                </c:pt>
                <c:pt idx="333">
                  <c:v>3884</c:v>
                </c:pt>
                <c:pt idx="334">
                  <c:v>3884</c:v>
                </c:pt>
                <c:pt idx="335">
                  <c:v>3884</c:v>
                </c:pt>
                <c:pt idx="336">
                  <c:v>3884</c:v>
                </c:pt>
                <c:pt idx="337">
                  <c:v>3937</c:v>
                </c:pt>
                <c:pt idx="338">
                  <c:v>3937</c:v>
                </c:pt>
                <c:pt idx="339">
                  <c:v>3961</c:v>
                </c:pt>
                <c:pt idx="340">
                  <c:v>3963</c:v>
                </c:pt>
                <c:pt idx="341">
                  <c:v>3963</c:v>
                </c:pt>
                <c:pt idx="342">
                  <c:v>4000</c:v>
                </c:pt>
                <c:pt idx="343">
                  <c:v>4000</c:v>
                </c:pt>
                <c:pt idx="344">
                  <c:v>4024</c:v>
                </c:pt>
                <c:pt idx="345">
                  <c:v>4038</c:v>
                </c:pt>
                <c:pt idx="346">
                  <c:v>4038</c:v>
                </c:pt>
                <c:pt idx="347">
                  <c:v>4043</c:v>
                </c:pt>
                <c:pt idx="348">
                  <c:v>4043</c:v>
                </c:pt>
                <c:pt idx="349">
                  <c:v>4045</c:v>
                </c:pt>
                <c:pt idx="350">
                  <c:v>4045</c:v>
                </c:pt>
                <c:pt idx="351">
                  <c:v>4045</c:v>
                </c:pt>
                <c:pt idx="352">
                  <c:v>4045</c:v>
                </c:pt>
                <c:pt idx="353">
                  <c:v>4050</c:v>
                </c:pt>
                <c:pt idx="354">
                  <c:v>4056</c:v>
                </c:pt>
                <c:pt idx="355">
                  <c:v>4112</c:v>
                </c:pt>
                <c:pt idx="356">
                  <c:v>4112</c:v>
                </c:pt>
                <c:pt idx="357">
                  <c:v>4112</c:v>
                </c:pt>
                <c:pt idx="358">
                  <c:v>4112</c:v>
                </c:pt>
                <c:pt idx="359">
                  <c:v>4112</c:v>
                </c:pt>
                <c:pt idx="360">
                  <c:v>4115</c:v>
                </c:pt>
                <c:pt idx="361">
                  <c:v>4115</c:v>
                </c:pt>
                <c:pt idx="362">
                  <c:v>4115</c:v>
                </c:pt>
                <c:pt idx="363">
                  <c:v>4132</c:v>
                </c:pt>
                <c:pt idx="364">
                  <c:v>4132</c:v>
                </c:pt>
                <c:pt idx="365">
                  <c:v>4132</c:v>
                </c:pt>
                <c:pt idx="366">
                  <c:v>4132</c:v>
                </c:pt>
                <c:pt idx="367">
                  <c:v>4154</c:v>
                </c:pt>
                <c:pt idx="368">
                  <c:v>4158</c:v>
                </c:pt>
                <c:pt idx="369">
                  <c:v>4173</c:v>
                </c:pt>
                <c:pt idx="370">
                  <c:v>4178</c:v>
                </c:pt>
                <c:pt idx="371">
                  <c:v>4196</c:v>
                </c:pt>
                <c:pt idx="372">
                  <c:v>4248</c:v>
                </c:pt>
                <c:pt idx="373">
                  <c:v>4248</c:v>
                </c:pt>
                <c:pt idx="374">
                  <c:v>4248</c:v>
                </c:pt>
                <c:pt idx="375">
                  <c:v>4250</c:v>
                </c:pt>
                <c:pt idx="376">
                  <c:v>4250</c:v>
                </c:pt>
                <c:pt idx="377">
                  <c:v>4250</c:v>
                </c:pt>
                <c:pt idx="378">
                  <c:v>4250</c:v>
                </c:pt>
                <c:pt idx="379">
                  <c:v>4250</c:v>
                </c:pt>
                <c:pt idx="380">
                  <c:v>4250</c:v>
                </c:pt>
                <c:pt idx="381">
                  <c:v>4250</c:v>
                </c:pt>
                <c:pt idx="382">
                  <c:v>4250</c:v>
                </c:pt>
                <c:pt idx="383">
                  <c:v>4250</c:v>
                </c:pt>
                <c:pt idx="384">
                  <c:v>4250</c:v>
                </c:pt>
                <c:pt idx="385">
                  <c:v>4250</c:v>
                </c:pt>
                <c:pt idx="386">
                  <c:v>4250</c:v>
                </c:pt>
                <c:pt idx="387">
                  <c:v>4250</c:v>
                </c:pt>
                <c:pt idx="388">
                  <c:v>4250</c:v>
                </c:pt>
                <c:pt idx="389">
                  <c:v>4250</c:v>
                </c:pt>
                <c:pt idx="390">
                  <c:v>4250</c:v>
                </c:pt>
                <c:pt idx="391">
                  <c:v>4250</c:v>
                </c:pt>
                <c:pt idx="392">
                  <c:v>4250</c:v>
                </c:pt>
                <c:pt idx="393">
                  <c:v>4250</c:v>
                </c:pt>
                <c:pt idx="394">
                  <c:v>4250</c:v>
                </c:pt>
                <c:pt idx="395">
                  <c:v>4250</c:v>
                </c:pt>
                <c:pt idx="396">
                  <c:v>4250</c:v>
                </c:pt>
                <c:pt idx="397">
                  <c:v>4250</c:v>
                </c:pt>
                <c:pt idx="398">
                  <c:v>4250</c:v>
                </c:pt>
                <c:pt idx="399">
                  <c:v>4250</c:v>
                </c:pt>
                <c:pt idx="400">
                  <c:v>4250</c:v>
                </c:pt>
                <c:pt idx="401">
                  <c:v>4250</c:v>
                </c:pt>
                <c:pt idx="402">
                  <c:v>4250</c:v>
                </c:pt>
                <c:pt idx="403">
                  <c:v>4250</c:v>
                </c:pt>
                <c:pt idx="404">
                  <c:v>4250</c:v>
                </c:pt>
                <c:pt idx="405">
                  <c:v>4250</c:v>
                </c:pt>
                <c:pt idx="406">
                  <c:v>4252</c:v>
                </c:pt>
                <c:pt idx="407">
                  <c:v>4252</c:v>
                </c:pt>
                <c:pt idx="408">
                  <c:v>4252</c:v>
                </c:pt>
                <c:pt idx="409">
                  <c:v>4252</c:v>
                </c:pt>
                <c:pt idx="410">
                  <c:v>4253</c:v>
                </c:pt>
                <c:pt idx="411">
                  <c:v>4253</c:v>
                </c:pt>
                <c:pt idx="412">
                  <c:v>4253</c:v>
                </c:pt>
                <c:pt idx="413">
                  <c:v>4253</c:v>
                </c:pt>
                <c:pt idx="414">
                  <c:v>4253</c:v>
                </c:pt>
                <c:pt idx="415">
                  <c:v>4253</c:v>
                </c:pt>
                <c:pt idx="416">
                  <c:v>4253</c:v>
                </c:pt>
                <c:pt idx="417">
                  <c:v>4253</c:v>
                </c:pt>
                <c:pt idx="418">
                  <c:v>4253</c:v>
                </c:pt>
                <c:pt idx="419">
                  <c:v>4253</c:v>
                </c:pt>
                <c:pt idx="420">
                  <c:v>4253</c:v>
                </c:pt>
                <c:pt idx="421">
                  <c:v>4253</c:v>
                </c:pt>
                <c:pt idx="422">
                  <c:v>4253</c:v>
                </c:pt>
                <c:pt idx="423">
                  <c:v>4253</c:v>
                </c:pt>
                <c:pt idx="424">
                  <c:v>4253</c:v>
                </c:pt>
                <c:pt idx="425">
                  <c:v>4253</c:v>
                </c:pt>
                <c:pt idx="426">
                  <c:v>4254</c:v>
                </c:pt>
                <c:pt idx="427">
                  <c:v>4254</c:v>
                </c:pt>
                <c:pt idx="428">
                  <c:v>4254</c:v>
                </c:pt>
                <c:pt idx="429">
                  <c:v>4254</c:v>
                </c:pt>
                <c:pt idx="430">
                  <c:v>4254</c:v>
                </c:pt>
                <c:pt idx="431">
                  <c:v>4255</c:v>
                </c:pt>
                <c:pt idx="432">
                  <c:v>4255</c:v>
                </c:pt>
                <c:pt idx="433">
                  <c:v>4255</c:v>
                </c:pt>
                <c:pt idx="434">
                  <c:v>4255</c:v>
                </c:pt>
                <c:pt idx="435">
                  <c:v>4256</c:v>
                </c:pt>
                <c:pt idx="436">
                  <c:v>4292</c:v>
                </c:pt>
                <c:pt idx="437">
                  <c:v>4292</c:v>
                </c:pt>
                <c:pt idx="438">
                  <c:v>4294</c:v>
                </c:pt>
                <c:pt idx="439">
                  <c:v>4298</c:v>
                </c:pt>
                <c:pt idx="440">
                  <c:v>4298</c:v>
                </c:pt>
                <c:pt idx="441">
                  <c:v>4298</c:v>
                </c:pt>
                <c:pt idx="442">
                  <c:v>4300</c:v>
                </c:pt>
                <c:pt idx="443">
                  <c:v>4300</c:v>
                </c:pt>
                <c:pt idx="444">
                  <c:v>4300</c:v>
                </c:pt>
                <c:pt idx="445">
                  <c:v>4300</c:v>
                </c:pt>
                <c:pt idx="446">
                  <c:v>4300</c:v>
                </c:pt>
                <c:pt idx="447">
                  <c:v>4300</c:v>
                </c:pt>
                <c:pt idx="448">
                  <c:v>4300</c:v>
                </c:pt>
                <c:pt idx="449">
                  <c:v>4308</c:v>
                </c:pt>
                <c:pt idx="450">
                  <c:v>4308</c:v>
                </c:pt>
                <c:pt idx="451">
                  <c:v>4315</c:v>
                </c:pt>
                <c:pt idx="452">
                  <c:v>4319</c:v>
                </c:pt>
                <c:pt idx="453">
                  <c:v>4319</c:v>
                </c:pt>
                <c:pt idx="454">
                  <c:v>4322</c:v>
                </c:pt>
                <c:pt idx="455">
                  <c:v>4330</c:v>
                </c:pt>
                <c:pt idx="456">
                  <c:v>4350</c:v>
                </c:pt>
                <c:pt idx="457">
                  <c:v>4360</c:v>
                </c:pt>
                <c:pt idx="458">
                  <c:v>4360</c:v>
                </c:pt>
                <c:pt idx="459">
                  <c:v>4367</c:v>
                </c:pt>
                <c:pt idx="460">
                  <c:v>4380</c:v>
                </c:pt>
                <c:pt idx="461">
                  <c:v>4389</c:v>
                </c:pt>
                <c:pt idx="462">
                  <c:v>4389</c:v>
                </c:pt>
                <c:pt idx="463">
                  <c:v>4400</c:v>
                </c:pt>
                <c:pt idx="464">
                  <c:v>4400</c:v>
                </c:pt>
                <c:pt idx="465">
                  <c:v>4400</c:v>
                </c:pt>
                <c:pt idx="466">
                  <c:v>4400</c:v>
                </c:pt>
                <c:pt idx="467">
                  <c:v>4400</c:v>
                </c:pt>
                <c:pt idx="468">
                  <c:v>4400</c:v>
                </c:pt>
                <c:pt idx="469">
                  <c:v>4400</c:v>
                </c:pt>
                <c:pt idx="470">
                  <c:v>4402</c:v>
                </c:pt>
                <c:pt idx="471">
                  <c:v>4402</c:v>
                </c:pt>
                <c:pt idx="472">
                  <c:v>4402</c:v>
                </c:pt>
                <c:pt idx="473">
                  <c:v>4409</c:v>
                </c:pt>
                <c:pt idx="474">
                  <c:v>4437</c:v>
                </c:pt>
                <c:pt idx="475">
                  <c:v>4437</c:v>
                </c:pt>
                <c:pt idx="476">
                  <c:v>4437</c:v>
                </c:pt>
                <c:pt idx="477">
                  <c:v>4437</c:v>
                </c:pt>
                <c:pt idx="478">
                  <c:v>4437</c:v>
                </c:pt>
                <c:pt idx="479">
                  <c:v>4444</c:v>
                </c:pt>
                <c:pt idx="480">
                  <c:v>4469</c:v>
                </c:pt>
                <c:pt idx="481">
                  <c:v>4492</c:v>
                </c:pt>
                <c:pt idx="482">
                  <c:v>4500</c:v>
                </c:pt>
                <c:pt idx="483">
                  <c:v>4500</c:v>
                </c:pt>
                <c:pt idx="484">
                  <c:v>4504</c:v>
                </c:pt>
                <c:pt idx="485">
                  <c:v>4507</c:v>
                </c:pt>
                <c:pt idx="486">
                  <c:v>4507</c:v>
                </c:pt>
                <c:pt idx="487">
                  <c:v>4520</c:v>
                </c:pt>
                <c:pt idx="488">
                  <c:v>4520</c:v>
                </c:pt>
                <c:pt idx="489">
                  <c:v>4520</c:v>
                </c:pt>
                <c:pt idx="490">
                  <c:v>4520</c:v>
                </c:pt>
                <c:pt idx="491">
                  <c:v>4544</c:v>
                </c:pt>
                <c:pt idx="492">
                  <c:v>4545</c:v>
                </c:pt>
                <c:pt idx="493">
                  <c:v>4545</c:v>
                </c:pt>
                <c:pt idx="494">
                  <c:v>4546</c:v>
                </c:pt>
                <c:pt idx="495">
                  <c:v>4571</c:v>
                </c:pt>
                <c:pt idx="496">
                  <c:v>4571</c:v>
                </c:pt>
                <c:pt idx="497">
                  <c:v>4578</c:v>
                </c:pt>
                <c:pt idx="498">
                  <c:v>4578</c:v>
                </c:pt>
                <c:pt idx="499">
                  <c:v>4578</c:v>
                </c:pt>
                <c:pt idx="500">
                  <c:v>4600</c:v>
                </c:pt>
                <c:pt idx="501">
                  <c:v>4600</c:v>
                </c:pt>
                <c:pt idx="502">
                  <c:v>4612</c:v>
                </c:pt>
                <c:pt idx="503">
                  <c:v>4612</c:v>
                </c:pt>
                <c:pt idx="504">
                  <c:v>4616</c:v>
                </c:pt>
                <c:pt idx="505">
                  <c:v>4639</c:v>
                </c:pt>
                <c:pt idx="506">
                  <c:v>4639</c:v>
                </c:pt>
                <c:pt idx="507">
                  <c:v>4639</c:v>
                </c:pt>
                <c:pt idx="508">
                  <c:v>4651</c:v>
                </c:pt>
                <c:pt idx="509">
                  <c:v>4658</c:v>
                </c:pt>
                <c:pt idx="510">
                  <c:v>4662</c:v>
                </c:pt>
                <c:pt idx="511">
                  <c:v>4662</c:v>
                </c:pt>
                <c:pt idx="512">
                  <c:v>4662</c:v>
                </c:pt>
                <c:pt idx="513">
                  <c:v>4662</c:v>
                </c:pt>
                <c:pt idx="514">
                  <c:v>4700</c:v>
                </c:pt>
                <c:pt idx="515">
                  <c:v>4700</c:v>
                </c:pt>
                <c:pt idx="516">
                  <c:v>4700</c:v>
                </c:pt>
                <c:pt idx="517">
                  <c:v>4706</c:v>
                </c:pt>
                <c:pt idx="518">
                  <c:v>4728</c:v>
                </c:pt>
                <c:pt idx="519">
                  <c:v>4728</c:v>
                </c:pt>
                <c:pt idx="520">
                  <c:v>4738</c:v>
                </c:pt>
                <c:pt idx="521">
                  <c:v>4738</c:v>
                </c:pt>
                <c:pt idx="522">
                  <c:v>4738</c:v>
                </c:pt>
                <c:pt idx="523">
                  <c:v>4738</c:v>
                </c:pt>
                <c:pt idx="524">
                  <c:v>4743</c:v>
                </c:pt>
                <c:pt idx="525">
                  <c:v>4803</c:v>
                </c:pt>
                <c:pt idx="526">
                  <c:v>4814</c:v>
                </c:pt>
                <c:pt idx="527">
                  <c:v>4839</c:v>
                </c:pt>
                <c:pt idx="528">
                  <c:v>4839</c:v>
                </c:pt>
                <c:pt idx="529">
                  <c:v>4843</c:v>
                </c:pt>
                <c:pt idx="530">
                  <c:v>4846</c:v>
                </c:pt>
                <c:pt idx="531">
                  <c:v>4860</c:v>
                </c:pt>
                <c:pt idx="532">
                  <c:v>4860</c:v>
                </c:pt>
                <c:pt idx="533">
                  <c:v>4860</c:v>
                </c:pt>
                <c:pt idx="534">
                  <c:v>4860</c:v>
                </c:pt>
                <c:pt idx="535">
                  <c:v>4860</c:v>
                </c:pt>
                <c:pt idx="536">
                  <c:v>4860</c:v>
                </c:pt>
                <c:pt idx="537">
                  <c:v>4870</c:v>
                </c:pt>
                <c:pt idx="538">
                  <c:v>4872</c:v>
                </c:pt>
                <c:pt idx="539">
                  <c:v>4872</c:v>
                </c:pt>
                <c:pt idx="540">
                  <c:v>4884</c:v>
                </c:pt>
                <c:pt idx="541">
                  <c:v>4888</c:v>
                </c:pt>
                <c:pt idx="542">
                  <c:v>4888</c:v>
                </c:pt>
                <c:pt idx="543">
                  <c:v>4888</c:v>
                </c:pt>
                <c:pt idx="544">
                  <c:v>4888</c:v>
                </c:pt>
                <c:pt idx="545">
                  <c:v>4888</c:v>
                </c:pt>
                <c:pt idx="546">
                  <c:v>4888</c:v>
                </c:pt>
                <c:pt idx="547">
                  <c:v>4888</c:v>
                </c:pt>
                <c:pt idx="548">
                  <c:v>4888</c:v>
                </c:pt>
                <c:pt idx="549">
                  <c:v>4888</c:v>
                </c:pt>
                <c:pt idx="550">
                  <c:v>4888</c:v>
                </c:pt>
                <c:pt idx="551">
                  <c:v>4890</c:v>
                </c:pt>
                <c:pt idx="552">
                  <c:v>4890</c:v>
                </c:pt>
                <c:pt idx="553">
                  <c:v>4890</c:v>
                </c:pt>
                <c:pt idx="554">
                  <c:v>4890</c:v>
                </c:pt>
                <c:pt idx="555">
                  <c:v>4890</c:v>
                </c:pt>
                <c:pt idx="556">
                  <c:v>4900</c:v>
                </c:pt>
                <c:pt idx="557">
                  <c:v>4922</c:v>
                </c:pt>
                <c:pt idx="558">
                  <c:v>4922</c:v>
                </c:pt>
                <c:pt idx="559">
                  <c:v>4943</c:v>
                </c:pt>
                <c:pt idx="560">
                  <c:v>4944</c:v>
                </c:pt>
                <c:pt idx="561">
                  <c:v>4953</c:v>
                </c:pt>
                <c:pt idx="562">
                  <c:v>4953</c:v>
                </c:pt>
                <c:pt idx="563">
                  <c:v>4975</c:v>
                </c:pt>
                <c:pt idx="564">
                  <c:v>5015</c:v>
                </c:pt>
                <c:pt idx="565">
                  <c:v>5018</c:v>
                </c:pt>
                <c:pt idx="566">
                  <c:v>5018</c:v>
                </c:pt>
                <c:pt idx="567">
                  <c:v>5023</c:v>
                </c:pt>
                <c:pt idx="568">
                  <c:v>5029</c:v>
                </c:pt>
                <c:pt idx="569">
                  <c:v>5040</c:v>
                </c:pt>
                <c:pt idx="570">
                  <c:v>5041</c:v>
                </c:pt>
                <c:pt idx="571">
                  <c:v>5041</c:v>
                </c:pt>
                <c:pt idx="572">
                  <c:v>5041</c:v>
                </c:pt>
                <c:pt idx="573">
                  <c:v>5041</c:v>
                </c:pt>
                <c:pt idx="574">
                  <c:v>5042</c:v>
                </c:pt>
                <c:pt idx="575">
                  <c:v>5042</c:v>
                </c:pt>
                <c:pt idx="576">
                  <c:v>5042</c:v>
                </c:pt>
                <c:pt idx="577">
                  <c:v>5050</c:v>
                </c:pt>
                <c:pt idx="578">
                  <c:v>5050</c:v>
                </c:pt>
                <c:pt idx="579">
                  <c:v>5050</c:v>
                </c:pt>
                <c:pt idx="580">
                  <c:v>5050</c:v>
                </c:pt>
                <c:pt idx="581">
                  <c:v>5059</c:v>
                </c:pt>
                <c:pt idx="582">
                  <c:v>5059</c:v>
                </c:pt>
                <c:pt idx="583">
                  <c:v>5059</c:v>
                </c:pt>
                <c:pt idx="584">
                  <c:v>5059</c:v>
                </c:pt>
                <c:pt idx="585">
                  <c:v>5060</c:v>
                </c:pt>
                <c:pt idx="586">
                  <c:v>5060</c:v>
                </c:pt>
                <c:pt idx="587">
                  <c:v>5060</c:v>
                </c:pt>
                <c:pt idx="588">
                  <c:v>5060</c:v>
                </c:pt>
                <c:pt idx="589">
                  <c:v>5078</c:v>
                </c:pt>
                <c:pt idx="590">
                  <c:v>5086</c:v>
                </c:pt>
                <c:pt idx="591">
                  <c:v>5086</c:v>
                </c:pt>
                <c:pt idx="592">
                  <c:v>5089</c:v>
                </c:pt>
                <c:pt idx="593">
                  <c:v>5100</c:v>
                </c:pt>
                <c:pt idx="594">
                  <c:v>5100</c:v>
                </c:pt>
                <c:pt idx="595">
                  <c:v>5294</c:v>
                </c:pt>
                <c:pt idx="596">
                  <c:v>5294</c:v>
                </c:pt>
                <c:pt idx="597">
                  <c:v>5303</c:v>
                </c:pt>
                <c:pt idx="598">
                  <c:v>5303</c:v>
                </c:pt>
                <c:pt idx="599">
                  <c:v>5344</c:v>
                </c:pt>
                <c:pt idx="600">
                  <c:v>5344</c:v>
                </c:pt>
                <c:pt idx="601">
                  <c:v>5364</c:v>
                </c:pt>
                <c:pt idx="602">
                  <c:v>5418</c:v>
                </c:pt>
                <c:pt idx="603">
                  <c:v>5466</c:v>
                </c:pt>
                <c:pt idx="604">
                  <c:v>5468</c:v>
                </c:pt>
                <c:pt idx="605">
                  <c:v>5510</c:v>
                </c:pt>
                <c:pt idx="606">
                  <c:v>5512</c:v>
                </c:pt>
                <c:pt idx="607">
                  <c:v>5512</c:v>
                </c:pt>
                <c:pt idx="608">
                  <c:v>5514</c:v>
                </c:pt>
                <c:pt idx="609">
                  <c:v>5527</c:v>
                </c:pt>
                <c:pt idx="610">
                  <c:v>5527</c:v>
                </c:pt>
                <c:pt idx="611">
                  <c:v>5527</c:v>
                </c:pt>
                <c:pt idx="612">
                  <c:v>5527</c:v>
                </c:pt>
                <c:pt idx="613">
                  <c:v>5527</c:v>
                </c:pt>
                <c:pt idx="614">
                  <c:v>5527</c:v>
                </c:pt>
                <c:pt idx="615">
                  <c:v>5527</c:v>
                </c:pt>
                <c:pt idx="616">
                  <c:v>5550</c:v>
                </c:pt>
                <c:pt idx="617">
                  <c:v>5550</c:v>
                </c:pt>
                <c:pt idx="618">
                  <c:v>5550</c:v>
                </c:pt>
                <c:pt idx="619">
                  <c:v>5550</c:v>
                </c:pt>
                <c:pt idx="620">
                  <c:v>5550</c:v>
                </c:pt>
                <c:pt idx="621">
                  <c:v>5551</c:v>
                </c:pt>
                <c:pt idx="622">
                  <c:v>5551</c:v>
                </c:pt>
                <c:pt idx="623">
                  <c:v>5551</c:v>
                </c:pt>
                <c:pt idx="624">
                  <c:v>5551</c:v>
                </c:pt>
                <c:pt idx="625">
                  <c:v>5551</c:v>
                </c:pt>
                <c:pt idx="626">
                  <c:v>5551</c:v>
                </c:pt>
                <c:pt idx="627">
                  <c:v>5552</c:v>
                </c:pt>
                <c:pt idx="628">
                  <c:v>5552</c:v>
                </c:pt>
                <c:pt idx="629">
                  <c:v>5552</c:v>
                </c:pt>
                <c:pt idx="630">
                  <c:v>5552</c:v>
                </c:pt>
                <c:pt idx="631">
                  <c:v>5560</c:v>
                </c:pt>
                <c:pt idx="632">
                  <c:v>5568</c:v>
                </c:pt>
                <c:pt idx="633">
                  <c:v>5568</c:v>
                </c:pt>
                <c:pt idx="634">
                  <c:v>5572</c:v>
                </c:pt>
                <c:pt idx="635">
                  <c:v>5576</c:v>
                </c:pt>
                <c:pt idx="636">
                  <c:v>5576</c:v>
                </c:pt>
                <c:pt idx="637">
                  <c:v>5576</c:v>
                </c:pt>
                <c:pt idx="638">
                  <c:v>5576</c:v>
                </c:pt>
                <c:pt idx="639">
                  <c:v>5599</c:v>
                </c:pt>
                <c:pt idx="640">
                  <c:v>5605</c:v>
                </c:pt>
                <c:pt idx="641">
                  <c:v>5605</c:v>
                </c:pt>
                <c:pt idx="642">
                  <c:v>5605</c:v>
                </c:pt>
                <c:pt idx="643">
                  <c:v>5605</c:v>
                </c:pt>
                <c:pt idx="644">
                  <c:v>5606</c:v>
                </c:pt>
                <c:pt idx="645">
                  <c:v>5606</c:v>
                </c:pt>
                <c:pt idx="646">
                  <c:v>5606</c:v>
                </c:pt>
                <c:pt idx="647">
                  <c:v>5610</c:v>
                </c:pt>
                <c:pt idx="648">
                  <c:v>5618</c:v>
                </c:pt>
                <c:pt idx="649">
                  <c:v>5618</c:v>
                </c:pt>
                <c:pt idx="650">
                  <c:v>5618</c:v>
                </c:pt>
                <c:pt idx="651">
                  <c:v>5624</c:v>
                </c:pt>
                <c:pt idx="652">
                  <c:v>5648</c:v>
                </c:pt>
                <c:pt idx="653">
                  <c:v>5652</c:v>
                </c:pt>
                <c:pt idx="654">
                  <c:v>5652</c:v>
                </c:pt>
                <c:pt idx="655">
                  <c:v>5652</c:v>
                </c:pt>
                <c:pt idx="656">
                  <c:v>5668</c:v>
                </c:pt>
                <c:pt idx="657">
                  <c:v>5668</c:v>
                </c:pt>
                <c:pt idx="658">
                  <c:v>5668</c:v>
                </c:pt>
                <c:pt idx="659">
                  <c:v>5668</c:v>
                </c:pt>
                <c:pt idx="660">
                  <c:v>5680</c:v>
                </c:pt>
                <c:pt idx="661">
                  <c:v>5711</c:v>
                </c:pt>
                <c:pt idx="662">
                  <c:v>5711</c:v>
                </c:pt>
                <c:pt idx="663">
                  <c:v>5711</c:v>
                </c:pt>
                <c:pt idx="664">
                  <c:v>5714</c:v>
                </c:pt>
                <c:pt idx="665">
                  <c:v>5714</c:v>
                </c:pt>
                <c:pt idx="666">
                  <c:v>5752</c:v>
                </c:pt>
                <c:pt idx="667">
                  <c:v>5762</c:v>
                </c:pt>
                <c:pt idx="668">
                  <c:v>5762</c:v>
                </c:pt>
                <c:pt idx="669">
                  <c:v>5762</c:v>
                </c:pt>
                <c:pt idx="670">
                  <c:v>5762</c:v>
                </c:pt>
                <c:pt idx="671">
                  <c:v>5762</c:v>
                </c:pt>
                <c:pt idx="672">
                  <c:v>5762</c:v>
                </c:pt>
                <c:pt idx="673">
                  <c:v>5762</c:v>
                </c:pt>
                <c:pt idx="674">
                  <c:v>5762</c:v>
                </c:pt>
                <c:pt idx="675">
                  <c:v>5762</c:v>
                </c:pt>
                <c:pt idx="676">
                  <c:v>5762</c:v>
                </c:pt>
                <c:pt idx="677">
                  <c:v>5762</c:v>
                </c:pt>
                <c:pt idx="678">
                  <c:v>5762</c:v>
                </c:pt>
                <c:pt idx="679">
                  <c:v>5762</c:v>
                </c:pt>
                <c:pt idx="680">
                  <c:v>5770</c:v>
                </c:pt>
                <c:pt idx="681">
                  <c:v>5782</c:v>
                </c:pt>
                <c:pt idx="682">
                  <c:v>5782</c:v>
                </c:pt>
                <c:pt idx="683">
                  <c:v>5782</c:v>
                </c:pt>
                <c:pt idx="684">
                  <c:v>5782</c:v>
                </c:pt>
                <c:pt idx="685">
                  <c:v>5782</c:v>
                </c:pt>
                <c:pt idx="686">
                  <c:v>5782</c:v>
                </c:pt>
                <c:pt idx="687">
                  <c:v>5782</c:v>
                </c:pt>
                <c:pt idx="688">
                  <c:v>5782</c:v>
                </c:pt>
                <c:pt idx="689">
                  <c:v>5800</c:v>
                </c:pt>
                <c:pt idx="690">
                  <c:v>5800</c:v>
                </c:pt>
                <c:pt idx="691">
                  <c:v>5888</c:v>
                </c:pt>
                <c:pt idx="692">
                  <c:v>5888</c:v>
                </c:pt>
                <c:pt idx="693">
                  <c:v>5888</c:v>
                </c:pt>
                <c:pt idx="694">
                  <c:v>5888</c:v>
                </c:pt>
                <c:pt idx="695">
                  <c:v>5888</c:v>
                </c:pt>
                <c:pt idx="696">
                  <c:v>5896</c:v>
                </c:pt>
                <c:pt idx="697">
                  <c:v>5905</c:v>
                </c:pt>
                <c:pt idx="698">
                  <c:v>5905</c:v>
                </c:pt>
                <c:pt idx="699">
                  <c:v>5905</c:v>
                </c:pt>
                <c:pt idx="700">
                  <c:v>5905</c:v>
                </c:pt>
                <c:pt idx="701">
                  <c:v>5905</c:v>
                </c:pt>
                <c:pt idx="702">
                  <c:v>5905</c:v>
                </c:pt>
                <c:pt idx="703">
                  <c:v>5928</c:v>
                </c:pt>
                <c:pt idx="704">
                  <c:v>5928</c:v>
                </c:pt>
                <c:pt idx="705">
                  <c:v>6000</c:v>
                </c:pt>
                <c:pt idx="706">
                  <c:v>6000</c:v>
                </c:pt>
                <c:pt idx="707">
                  <c:v>6148</c:v>
                </c:pt>
                <c:pt idx="708">
                  <c:v>6178</c:v>
                </c:pt>
                <c:pt idx="709">
                  <c:v>6178</c:v>
                </c:pt>
                <c:pt idx="710">
                  <c:v>6178</c:v>
                </c:pt>
                <c:pt idx="711">
                  <c:v>6188</c:v>
                </c:pt>
                <c:pt idx="712">
                  <c:v>6200</c:v>
                </c:pt>
                <c:pt idx="713">
                  <c:v>6214</c:v>
                </c:pt>
                <c:pt idx="714">
                  <c:v>6214</c:v>
                </c:pt>
                <c:pt idx="715">
                  <c:v>6310</c:v>
                </c:pt>
                <c:pt idx="716">
                  <c:v>6332</c:v>
                </c:pt>
                <c:pt idx="717">
                  <c:v>6332</c:v>
                </c:pt>
                <c:pt idx="718">
                  <c:v>6332</c:v>
                </c:pt>
                <c:pt idx="719">
                  <c:v>6350</c:v>
                </c:pt>
                <c:pt idx="720">
                  <c:v>6350</c:v>
                </c:pt>
                <c:pt idx="721">
                  <c:v>6350</c:v>
                </c:pt>
                <c:pt idx="722">
                  <c:v>6350</c:v>
                </c:pt>
                <c:pt idx="723">
                  <c:v>6350</c:v>
                </c:pt>
                <c:pt idx="724">
                  <c:v>6350</c:v>
                </c:pt>
                <c:pt idx="725">
                  <c:v>6350</c:v>
                </c:pt>
                <c:pt idx="726">
                  <c:v>6350</c:v>
                </c:pt>
                <c:pt idx="727">
                  <c:v>6350</c:v>
                </c:pt>
                <c:pt idx="728">
                  <c:v>6350</c:v>
                </c:pt>
                <c:pt idx="729">
                  <c:v>6350</c:v>
                </c:pt>
                <c:pt idx="730">
                  <c:v>6350</c:v>
                </c:pt>
                <c:pt idx="731">
                  <c:v>6350</c:v>
                </c:pt>
                <c:pt idx="732">
                  <c:v>6350</c:v>
                </c:pt>
                <c:pt idx="733">
                  <c:v>6350</c:v>
                </c:pt>
                <c:pt idx="734">
                  <c:v>6350</c:v>
                </c:pt>
                <c:pt idx="735">
                  <c:v>6350</c:v>
                </c:pt>
                <c:pt idx="736">
                  <c:v>6402</c:v>
                </c:pt>
                <c:pt idx="737">
                  <c:v>6402</c:v>
                </c:pt>
                <c:pt idx="738">
                  <c:v>6402</c:v>
                </c:pt>
                <c:pt idx="739">
                  <c:v>6402</c:v>
                </c:pt>
                <c:pt idx="740">
                  <c:v>6402</c:v>
                </c:pt>
                <c:pt idx="741">
                  <c:v>6402</c:v>
                </c:pt>
                <c:pt idx="742">
                  <c:v>6402</c:v>
                </c:pt>
                <c:pt idx="743">
                  <c:v>6402</c:v>
                </c:pt>
                <c:pt idx="744">
                  <c:v>6402</c:v>
                </c:pt>
                <c:pt idx="745">
                  <c:v>6402</c:v>
                </c:pt>
                <c:pt idx="746">
                  <c:v>6418</c:v>
                </c:pt>
                <c:pt idx="747">
                  <c:v>6418</c:v>
                </c:pt>
                <c:pt idx="748">
                  <c:v>6418</c:v>
                </c:pt>
                <c:pt idx="749">
                  <c:v>6418</c:v>
                </c:pt>
                <c:pt idx="750">
                  <c:v>6420</c:v>
                </c:pt>
                <c:pt idx="751">
                  <c:v>6435</c:v>
                </c:pt>
                <c:pt idx="752">
                  <c:v>6435</c:v>
                </c:pt>
                <c:pt idx="753">
                  <c:v>6435</c:v>
                </c:pt>
                <c:pt idx="754">
                  <c:v>6435</c:v>
                </c:pt>
                <c:pt idx="755">
                  <c:v>6435</c:v>
                </c:pt>
                <c:pt idx="756">
                  <c:v>6435</c:v>
                </c:pt>
                <c:pt idx="757">
                  <c:v>6456</c:v>
                </c:pt>
                <c:pt idx="758">
                  <c:v>6456</c:v>
                </c:pt>
                <c:pt idx="759">
                  <c:v>6477</c:v>
                </c:pt>
                <c:pt idx="760">
                  <c:v>6478</c:v>
                </c:pt>
                <c:pt idx="761">
                  <c:v>6478</c:v>
                </c:pt>
                <c:pt idx="762">
                  <c:v>6492</c:v>
                </c:pt>
                <c:pt idx="763">
                  <c:v>6492</c:v>
                </c:pt>
                <c:pt idx="764">
                  <c:v>6492</c:v>
                </c:pt>
                <c:pt idx="765">
                  <c:v>6500</c:v>
                </c:pt>
                <c:pt idx="766">
                  <c:v>6500</c:v>
                </c:pt>
                <c:pt idx="767">
                  <c:v>6500</c:v>
                </c:pt>
                <c:pt idx="768">
                  <c:v>6500</c:v>
                </c:pt>
                <c:pt idx="769">
                  <c:v>6500</c:v>
                </c:pt>
                <c:pt idx="770">
                  <c:v>6500</c:v>
                </c:pt>
                <c:pt idx="771">
                  <c:v>6539</c:v>
                </c:pt>
                <c:pt idx="772">
                  <c:v>6539</c:v>
                </c:pt>
                <c:pt idx="773">
                  <c:v>6539</c:v>
                </c:pt>
                <c:pt idx="774">
                  <c:v>6539</c:v>
                </c:pt>
                <c:pt idx="775">
                  <c:v>6570</c:v>
                </c:pt>
                <c:pt idx="776">
                  <c:v>6570</c:v>
                </c:pt>
                <c:pt idx="777">
                  <c:v>6570</c:v>
                </c:pt>
                <c:pt idx="778">
                  <c:v>6570</c:v>
                </c:pt>
                <c:pt idx="779">
                  <c:v>6572</c:v>
                </c:pt>
                <c:pt idx="780">
                  <c:v>6572</c:v>
                </c:pt>
                <c:pt idx="781">
                  <c:v>6586</c:v>
                </c:pt>
                <c:pt idx="782">
                  <c:v>6586</c:v>
                </c:pt>
                <c:pt idx="783">
                  <c:v>6588</c:v>
                </c:pt>
                <c:pt idx="784">
                  <c:v>6588</c:v>
                </c:pt>
                <c:pt idx="785">
                  <c:v>6589</c:v>
                </c:pt>
                <c:pt idx="786">
                  <c:v>6589</c:v>
                </c:pt>
                <c:pt idx="787">
                  <c:v>6589</c:v>
                </c:pt>
                <c:pt idx="788">
                  <c:v>6589</c:v>
                </c:pt>
                <c:pt idx="789">
                  <c:v>6589</c:v>
                </c:pt>
                <c:pt idx="790">
                  <c:v>6612</c:v>
                </c:pt>
                <c:pt idx="791">
                  <c:v>6612</c:v>
                </c:pt>
                <c:pt idx="792">
                  <c:v>6622</c:v>
                </c:pt>
                <c:pt idx="793">
                  <c:v>6627</c:v>
                </c:pt>
                <c:pt idx="794">
                  <c:v>6627</c:v>
                </c:pt>
                <c:pt idx="795">
                  <c:v>6627</c:v>
                </c:pt>
                <c:pt idx="796">
                  <c:v>6627</c:v>
                </c:pt>
                <c:pt idx="797">
                  <c:v>6644</c:v>
                </c:pt>
                <c:pt idx="798">
                  <c:v>6655</c:v>
                </c:pt>
                <c:pt idx="799">
                  <c:v>6655</c:v>
                </c:pt>
                <c:pt idx="800">
                  <c:v>6655</c:v>
                </c:pt>
                <c:pt idx="801">
                  <c:v>6655</c:v>
                </c:pt>
                <c:pt idx="802">
                  <c:v>6655</c:v>
                </c:pt>
                <c:pt idx="803">
                  <c:v>6655</c:v>
                </c:pt>
                <c:pt idx="804">
                  <c:v>6661</c:v>
                </c:pt>
                <c:pt idx="805">
                  <c:v>6661</c:v>
                </c:pt>
                <c:pt idx="806">
                  <c:v>6724</c:v>
                </c:pt>
                <c:pt idx="807">
                  <c:v>6724</c:v>
                </c:pt>
                <c:pt idx="808">
                  <c:v>6724</c:v>
                </c:pt>
                <c:pt idx="809">
                  <c:v>6724</c:v>
                </c:pt>
                <c:pt idx="810">
                  <c:v>6724</c:v>
                </c:pt>
                <c:pt idx="811">
                  <c:v>6724</c:v>
                </c:pt>
                <c:pt idx="812">
                  <c:v>6724</c:v>
                </c:pt>
                <c:pt idx="813">
                  <c:v>6724</c:v>
                </c:pt>
                <c:pt idx="814">
                  <c:v>6724</c:v>
                </c:pt>
                <c:pt idx="815">
                  <c:v>6724</c:v>
                </c:pt>
                <c:pt idx="816">
                  <c:v>6730</c:v>
                </c:pt>
                <c:pt idx="817">
                  <c:v>6732</c:v>
                </c:pt>
                <c:pt idx="818">
                  <c:v>6732</c:v>
                </c:pt>
                <c:pt idx="819">
                  <c:v>6732</c:v>
                </c:pt>
                <c:pt idx="820">
                  <c:v>6732</c:v>
                </c:pt>
                <c:pt idx="821">
                  <c:v>6732</c:v>
                </c:pt>
                <c:pt idx="822">
                  <c:v>6732</c:v>
                </c:pt>
                <c:pt idx="823">
                  <c:v>6732</c:v>
                </c:pt>
                <c:pt idx="824">
                  <c:v>6732</c:v>
                </c:pt>
                <c:pt idx="825">
                  <c:v>6732</c:v>
                </c:pt>
                <c:pt idx="826">
                  <c:v>6732</c:v>
                </c:pt>
                <c:pt idx="827">
                  <c:v>6732</c:v>
                </c:pt>
                <c:pt idx="828">
                  <c:v>6750</c:v>
                </c:pt>
                <c:pt idx="829">
                  <c:v>6763</c:v>
                </c:pt>
                <c:pt idx="830">
                  <c:v>6763</c:v>
                </c:pt>
                <c:pt idx="831">
                  <c:v>6763</c:v>
                </c:pt>
                <c:pt idx="832">
                  <c:v>6763</c:v>
                </c:pt>
                <c:pt idx="833">
                  <c:v>6763</c:v>
                </c:pt>
                <c:pt idx="834">
                  <c:v>6845</c:v>
                </c:pt>
                <c:pt idx="835">
                  <c:v>6877</c:v>
                </c:pt>
                <c:pt idx="836">
                  <c:v>6882</c:v>
                </c:pt>
                <c:pt idx="837">
                  <c:v>6900</c:v>
                </c:pt>
                <c:pt idx="838">
                  <c:v>6900</c:v>
                </c:pt>
                <c:pt idx="839">
                  <c:v>6900</c:v>
                </c:pt>
                <c:pt idx="840">
                  <c:v>6921</c:v>
                </c:pt>
                <c:pt idx="841">
                  <c:v>6921</c:v>
                </c:pt>
                <c:pt idx="842">
                  <c:v>6966</c:v>
                </c:pt>
                <c:pt idx="843">
                  <c:v>6969</c:v>
                </c:pt>
                <c:pt idx="844">
                  <c:v>7000</c:v>
                </c:pt>
                <c:pt idx="845">
                  <c:v>7024</c:v>
                </c:pt>
                <c:pt idx="846">
                  <c:v>7024</c:v>
                </c:pt>
                <c:pt idx="847">
                  <c:v>7024</c:v>
                </c:pt>
                <c:pt idx="848">
                  <c:v>7024</c:v>
                </c:pt>
                <c:pt idx="849">
                  <c:v>7024</c:v>
                </c:pt>
                <c:pt idx="850">
                  <c:v>7024</c:v>
                </c:pt>
                <c:pt idx="851">
                  <c:v>7030</c:v>
                </c:pt>
                <c:pt idx="852">
                  <c:v>7030</c:v>
                </c:pt>
                <c:pt idx="853">
                  <c:v>7030</c:v>
                </c:pt>
                <c:pt idx="854">
                  <c:v>7030</c:v>
                </c:pt>
                <c:pt idx="855">
                  <c:v>7090</c:v>
                </c:pt>
                <c:pt idx="856">
                  <c:v>7090</c:v>
                </c:pt>
                <c:pt idx="857">
                  <c:v>7100</c:v>
                </c:pt>
                <c:pt idx="858">
                  <c:v>7100</c:v>
                </c:pt>
                <c:pt idx="859">
                  <c:v>7100</c:v>
                </c:pt>
                <c:pt idx="860">
                  <c:v>7154</c:v>
                </c:pt>
                <c:pt idx="861">
                  <c:v>7154</c:v>
                </c:pt>
                <c:pt idx="862">
                  <c:v>7226</c:v>
                </c:pt>
                <c:pt idx="863">
                  <c:v>7226</c:v>
                </c:pt>
                <c:pt idx="864">
                  <c:v>7226</c:v>
                </c:pt>
                <c:pt idx="865">
                  <c:v>7370</c:v>
                </c:pt>
                <c:pt idx="866">
                  <c:v>7370</c:v>
                </c:pt>
                <c:pt idx="867">
                  <c:v>7370</c:v>
                </c:pt>
                <c:pt idx="868">
                  <c:v>7370</c:v>
                </c:pt>
                <c:pt idx="869">
                  <c:v>7450</c:v>
                </c:pt>
                <c:pt idx="870">
                  <c:v>7450</c:v>
                </c:pt>
                <c:pt idx="871">
                  <c:v>7455</c:v>
                </c:pt>
                <c:pt idx="872">
                  <c:v>7455</c:v>
                </c:pt>
                <c:pt idx="873">
                  <c:v>7455</c:v>
                </c:pt>
                <c:pt idx="874">
                  <c:v>7455</c:v>
                </c:pt>
                <c:pt idx="875">
                  <c:v>7455</c:v>
                </c:pt>
                <c:pt idx="876">
                  <c:v>7471</c:v>
                </c:pt>
                <c:pt idx="877">
                  <c:v>7488</c:v>
                </c:pt>
                <c:pt idx="878">
                  <c:v>7500</c:v>
                </c:pt>
                <c:pt idx="879">
                  <c:v>7506</c:v>
                </c:pt>
                <c:pt idx="880">
                  <c:v>7506</c:v>
                </c:pt>
                <c:pt idx="881">
                  <c:v>7721</c:v>
                </c:pt>
                <c:pt idx="882">
                  <c:v>7747</c:v>
                </c:pt>
                <c:pt idx="883">
                  <c:v>7747</c:v>
                </c:pt>
                <c:pt idx="884">
                  <c:v>7747</c:v>
                </c:pt>
                <c:pt idx="885">
                  <c:v>7747</c:v>
                </c:pt>
                <c:pt idx="886">
                  <c:v>7943</c:v>
                </c:pt>
                <c:pt idx="887">
                  <c:v>7943</c:v>
                </c:pt>
                <c:pt idx="888">
                  <c:v>8000</c:v>
                </c:pt>
                <c:pt idx="889">
                  <c:v>8000</c:v>
                </c:pt>
                <c:pt idx="890">
                  <c:v>8000</c:v>
                </c:pt>
                <c:pt idx="891">
                  <c:v>8000</c:v>
                </c:pt>
                <c:pt idx="892">
                  <c:v>8000</c:v>
                </c:pt>
                <c:pt idx="893">
                  <c:v>8000</c:v>
                </c:pt>
                <c:pt idx="894">
                  <c:v>8034</c:v>
                </c:pt>
                <c:pt idx="895">
                  <c:v>8034</c:v>
                </c:pt>
                <c:pt idx="896">
                  <c:v>8034</c:v>
                </c:pt>
                <c:pt idx="897">
                  <c:v>8034</c:v>
                </c:pt>
                <c:pt idx="898">
                  <c:v>8034</c:v>
                </c:pt>
                <c:pt idx="899">
                  <c:v>8034</c:v>
                </c:pt>
                <c:pt idx="900">
                  <c:v>8034</c:v>
                </c:pt>
                <c:pt idx="901">
                  <c:v>8034</c:v>
                </c:pt>
                <c:pt idx="902">
                  <c:v>8063</c:v>
                </c:pt>
                <c:pt idx="903">
                  <c:v>8063</c:v>
                </c:pt>
                <c:pt idx="904">
                  <c:v>8063</c:v>
                </c:pt>
                <c:pt idx="905">
                  <c:v>8063</c:v>
                </c:pt>
                <c:pt idx="906">
                  <c:v>8063</c:v>
                </c:pt>
                <c:pt idx="907">
                  <c:v>8063</c:v>
                </c:pt>
                <c:pt idx="908">
                  <c:v>8063</c:v>
                </c:pt>
                <c:pt idx="909">
                  <c:v>8063</c:v>
                </c:pt>
                <c:pt idx="910">
                  <c:v>8063</c:v>
                </c:pt>
                <c:pt idx="911">
                  <c:v>8063</c:v>
                </c:pt>
                <c:pt idx="912">
                  <c:v>8069</c:v>
                </c:pt>
                <c:pt idx="913">
                  <c:v>8069</c:v>
                </c:pt>
                <c:pt idx="914">
                  <c:v>8073</c:v>
                </c:pt>
                <c:pt idx="915">
                  <c:v>8073</c:v>
                </c:pt>
                <c:pt idx="916">
                  <c:v>8073</c:v>
                </c:pt>
                <c:pt idx="917">
                  <c:v>8073</c:v>
                </c:pt>
                <c:pt idx="918">
                  <c:v>8073</c:v>
                </c:pt>
                <c:pt idx="919">
                  <c:v>8073</c:v>
                </c:pt>
                <c:pt idx="920">
                  <c:v>8084</c:v>
                </c:pt>
                <c:pt idx="921">
                  <c:v>8084</c:v>
                </c:pt>
                <c:pt idx="922">
                  <c:v>8086</c:v>
                </c:pt>
                <c:pt idx="923">
                  <c:v>8086</c:v>
                </c:pt>
                <c:pt idx="924">
                  <c:v>8100</c:v>
                </c:pt>
                <c:pt idx="925">
                  <c:v>8100</c:v>
                </c:pt>
                <c:pt idx="926">
                  <c:v>8100</c:v>
                </c:pt>
                <c:pt idx="927">
                  <c:v>8100</c:v>
                </c:pt>
                <c:pt idx="928">
                  <c:v>8102</c:v>
                </c:pt>
                <c:pt idx="929">
                  <c:v>8102</c:v>
                </c:pt>
                <c:pt idx="930">
                  <c:v>8110</c:v>
                </c:pt>
                <c:pt idx="931">
                  <c:v>8110</c:v>
                </c:pt>
                <c:pt idx="932">
                  <c:v>8110</c:v>
                </c:pt>
                <c:pt idx="933">
                  <c:v>8110</c:v>
                </c:pt>
                <c:pt idx="934">
                  <c:v>8112</c:v>
                </c:pt>
                <c:pt idx="935">
                  <c:v>8189</c:v>
                </c:pt>
                <c:pt idx="936">
                  <c:v>8204</c:v>
                </c:pt>
                <c:pt idx="937">
                  <c:v>8204</c:v>
                </c:pt>
                <c:pt idx="938">
                  <c:v>8204</c:v>
                </c:pt>
                <c:pt idx="939">
                  <c:v>8204</c:v>
                </c:pt>
                <c:pt idx="940">
                  <c:v>8204</c:v>
                </c:pt>
                <c:pt idx="941">
                  <c:v>8204</c:v>
                </c:pt>
                <c:pt idx="942">
                  <c:v>8204</c:v>
                </c:pt>
                <c:pt idx="943">
                  <c:v>8204</c:v>
                </c:pt>
                <c:pt idx="944">
                  <c:v>8208</c:v>
                </c:pt>
                <c:pt idx="945">
                  <c:v>8208</c:v>
                </c:pt>
                <c:pt idx="946">
                  <c:v>8208</c:v>
                </c:pt>
                <c:pt idx="947">
                  <c:v>8208</c:v>
                </c:pt>
                <c:pt idx="948">
                  <c:v>8212</c:v>
                </c:pt>
                <c:pt idx="949">
                  <c:v>8212</c:v>
                </c:pt>
                <c:pt idx="950">
                  <c:v>8212</c:v>
                </c:pt>
                <c:pt idx="951">
                  <c:v>8212</c:v>
                </c:pt>
                <c:pt idx="952">
                  <c:v>8212</c:v>
                </c:pt>
                <c:pt idx="953">
                  <c:v>8212</c:v>
                </c:pt>
                <c:pt idx="954">
                  <c:v>8212</c:v>
                </c:pt>
                <c:pt idx="955">
                  <c:v>8212</c:v>
                </c:pt>
                <c:pt idx="956">
                  <c:v>8238</c:v>
                </c:pt>
                <c:pt idx="957">
                  <c:v>8238</c:v>
                </c:pt>
                <c:pt idx="958">
                  <c:v>8240</c:v>
                </c:pt>
                <c:pt idx="959">
                  <c:v>8240</c:v>
                </c:pt>
                <c:pt idx="960">
                  <c:v>8241</c:v>
                </c:pt>
                <c:pt idx="961">
                  <c:v>8241</c:v>
                </c:pt>
                <c:pt idx="962">
                  <c:v>8241</c:v>
                </c:pt>
                <c:pt idx="963">
                  <c:v>8241</c:v>
                </c:pt>
                <c:pt idx="964">
                  <c:v>8379</c:v>
                </c:pt>
                <c:pt idx="965">
                  <c:v>8379</c:v>
                </c:pt>
                <c:pt idx="966">
                  <c:v>8379</c:v>
                </c:pt>
                <c:pt idx="967">
                  <c:v>8400</c:v>
                </c:pt>
                <c:pt idx="968">
                  <c:v>8400</c:v>
                </c:pt>
                <c:pt idx="969">
                  <c:v>8400</c:v>
                </c:pt>
                <c:pt idx="970">
                  <c:v>8400</c:v>
                </c:pt>
                <c:pt idx="971">
                  <c:v>8400</c:v>
                </c:pt>
                <c:pt idx="972">
                  <c:v>8400</c:v>
                </c:pt>
                <c:pt idx="973">
                  <c:v>8401</c:v>
                </c:pt>
                <c:pt idx="974">
                  <c:v>8401</c:v>
                </c:pt>
                <c:pt idx="975">
                  <c:v>8401</c:v>
                </c:pt>
                <c:pt idx="976">
                  <c:v>8401</c:v>
                </c:pt>
                <c:pt idx="977">
                  <c:v>8401</c:v>
                </c:pt>
                <c:pt idx="978">
                  <c:v>8411</c:v>
                </c:pt>
                <c:pt idx="979">
                  <c:v>8411</c:v>
                </c:pt>
                <c:pt idx="980">
                  <c:v>8411</c:v>
                </c:pt>
                <c:pt idx="981">
                  <c:v>8411</c:v>
                </c:pt>
                <c:pt idx="982">
                  <c:v>8440</c:v>
                </c:pt>
                <c:pt idx="983">
                  <c:v>8440</c:v>
                </c:pt>
                <c:pt idx="984">
                  <c:v>8450</c:v>
                </c:pt>
                <c:pt idx="985">
                  <c:v>8450</c:v>
                </c:pt>
                <c:pt idx="986">
                  <c:v>8452</c:v>
                </c:pt>
                <c:pt idx="987">
                  <c:v>8452</c:v>
                </c:pt>
                <c:pt idx="988">
                  <c:v>8452</c:v>
                </c:pt>
                <c:pt idx="989">
                  <c:v>8452</c:v>
                </c:pt>
                <c:pt idx="990">
                  <c:v>8452</c:v>
                </c:pt>
                <c:pt idx="991">
                  <c:v>8452</c:v>
                </c:pt>
                <c:pt idx="992">
                  <c:v>8452</c:v>
                </c:pt>
                <c:pt idx="993">
                  <c:v>8452</c:v>
                </c:pt>
                <c:pt idx="994">
                  <c:v>8452</c:v>
                </c:pt>
                <c:pt idx="995">
                  <c:v>8452</c:v>
                </c:pt>
                <c:pt idx="996">
                  <c:v>8452</c:v>
                </c:pt>
                <c:pt idx="997">
                  <c:v>8452</c:v>
                </c:pt>
                <c:pt idx="998">
                  <c:v>8452</c:v>
                </c:pt>
                <c:pt idx="999">
                  <c:v>8452</c:v>
                </c:pt>
                <c:pt idx="1000">
                  <c:v>8452</c:v>
                </c:pt>
                <c:pt idx="1001">
                  <c:v>8452</c:v>
                </c:pt>
                <c:pt idx="1002">
                  <c:v>8452</c:v>
                </c:pt>
                <c:pt idx="1003">
                  <c:v>8466</c:v>
                </c:pt>
                <c:pt idx="1004">
                  <c:v>8466</c:v>
                </c:pt>
                <c:pt idx="1005">
                  <c:v>8466</c:v>
                </c:pt>
                <c:pt idx="1006">
                  <c:v>8466</c:v>
                </c:pt>
                <c:pt idx="1007">
                  <c:v>8468</c:v>
                </c:pt>
                <c:pt idx="1008">
                  <c:v>8468</c:v>
                </c:pt>
                <c:pt idx="1009">
                  <c:v>8468</c:v>
                </c:pt>
                <c:pt idx="1010">
                  <c:v>8468</c:v>
                </c:pt>
                <c:pt idx="1011">
                  <c:v>8488</c:v>
                </c:pt>
                <c:pt idx="1012">
                  <c:v>8488</c:v>
                </c:pt>
                <c:pt idx="1013">
                  <c:v>8488</c:v>
                </c:pt>
                <c:pt idx="1014">
                  <c:v>8488</c:v>
                </c:pt>
                <c:pt idx="1015">
                  <c:v>8488</c:v>
                </c:pt>
                <c:pt idx="1016">
                  <c:v>8495</c:v>
                </c:pt>
                <c:pt idx="1017">
                  <c:v>8495</c:v>
                </c:pt>
                <c:pt idx="1018">
                  <c:v>8500</c:v>
                </c:pt>
                <c:pt idx="1019">
                  <c:v>8500</c:v>
                </c:pt>
                <c:pt idx="1020">
                  <c:v>8500</c:v>
                </c:pt>
                <c:pt idx="1021">
                  <c:v>8500</c:v>
                </c:pt>
                <c:pt idx="1022">
                  <c:v>8501</c:v>
                </c:pt>
                <c:pt idx="1023">
                  <c:v>8508</c:v>
                </c:pt>
                <c:pt idx="1024">
                  <c:v>8508</c:v>
                </c:pt>
                <c:pt idx="1025">
                  <c:v>8508</c:v>
                </c:pt>
                <c:pt idx="1026">
                  <c:v>8528</c:v>
                </c:pt>
                <c:pt idx="1027">
                  <c:v>8528</c:v>
                </c:pt>
                <c:pt idx="1028">
                  <c:v>8528</c:v>
                </c:pt>
                <c:pt idx="1029">
                  <c:v>8530</c:v>
                </c:pt>
                <c:pt idx="1030">
                  <c:v>8530</c:v>
                </c:pt>
                <c:pt idx="1031">
                  <c:v>8530</c:v>
                </c:pt>
                <c:pt idx="1032">
                  <c:v>8540</c:v>
                </c:pt>
                <c:pt idx="1033">
                  <c:v>8540</c:v>
                </c:pt>
                <c:pt idx="1034">
                  <c:v>8540</c:v>
                </c:pt>
                <c:pt idx="1035">
                  <c:v>8562</c:v>
                </c:pt>
                <c:pt idx="1036">
                  <c:v>8562</c:v>
                </c:pt>
                <c:pt idx="1037">
                  <c:v>8562</c:v>
                </c:pt>
                <c:pt idx="1038">
                  <c:v>8562</c:v>
                </c:pt>
                <c:pt idx="1039">
                  <c:v>8566</c:v>
                </c:pt>
                <c:pt idx="1040">
                  <c:v>8566</c:v>
                </c:pt>
                <c:pt idx="1041">
                  <c:v>8566</c:v>
                </c:pt>
                <c:pt idx="1042">
                  <c:v>8566</c:v>
                </c:pt>
                <c:pt idx="1043">
                  <c:v>8580</c:v>
                </c:pt>
                <c:pt idx="1044">
                  <c:v>8580</c:v>
                </c:pt>
                <c:pt idx="1045">
                  <c:v>8586</c:v>
                </c:pt>
                <c:pt idx="1046">
                  <c:v>8600</c:v>
                </c:pt>
                <c:pt idx="1047">
                  <c:v>8600</c:v>
                </c:pt>
                <c:pt idx="1048">
                  <c:v>8600</c:v>
                </c:pt>
                <c:pt idx="1049">
                  <c:v>8600</c:v>
                </c:pt>
                <c:pt idx="1050">
                  <c:v>8600</c:v>
                </c:pt>
                <c:pt idx="1051">
                  <c:v>8600</c:v>
                </c:pt>
                <c:pt idx="1052">
                  <c:v>8600</c:v>
                </c:pt>
                <c:pt idx="1053">
                  <c:v>8600</c:v>
                </c:pt>
                <c:pt idx="1054">
                  <c:v>8600</c:v>
                </c:pt>
                <c:pt idx="1055">
                  <c:v>8626</c:v>
                </c:pt>
                <c:pt idx="1056">
                  <c:v>8626</c:v>
                </c:pt>
                <c:pt idx="1057">
                  <c:v>8628</c:v>
                </c:pt>
                <c:pt idx="1058">
                  <c:v>8628</c:v>
                </c:pt>
                <c:pt idx="1059">
                  <c:v>8633</c:v>
                </c:pt>
                <c:pt idx="1060">
                  <c:v>8700</c:v>
                </c:pt>
                <c:pt idx="1061">
                  <c:v>8700</c:v>
                </c:pt>
                <c:pt idx="1062">
                  <c:v>8700</c:v>
                </c:pt>
                <c:pt idx="1063">
                  <c:v>8714</c:v>
                </c:pt>
                <c:pt idx="1064">
                  <c:v>8749</c:v>
                </c:pt>
                <c:pt idx="1065">
                  <c:v>8749</c:v>
                </c:pt>
                <c:pt idx="1066">
                  <c:v>8749</c:v>
                </c:pt>
                <c:pt idx="1067">
                  <c:v>8749</c:v>
                </c:pt>
                <c:pt idx="1068">
                  <c:v>8749</c:v>
                </c:pt>
                <c:pt idx="1069">
                  <c:v>8749</c:v>
                </c:pt>
                <c:pt idx="1070">
                  <c:v>8749</c:v>
                </c:pt>
                <c:pt idx="1071">
                  <c:v>8749</c:v>
                </c:pt>
                <c:pt idx="1072">
                  <c:v>8749</c:v>
                </c:pt>
                <c:pt idx="1073">
                  <c:v>8749</c:v>
                </c:pt>
                <c:pt idx="1074">
                  <c:v>8749</c:v>
                </c:pt>
                <c:pt idx="1075">
                  <c:v>8749</c:v>
                </c:pt>
                <c:pt idx="1076">
                  <c:v>8749</c:v>
                </c:pt>
                <c:pt idx="1077">
                  <c:v>8749</c:v>
                </c:pt>
                <c:pt idx="1078">
                  <c:v>8762</c:v>
                </c:pt>
                <c:pt idx="1079">
                  <c:v>8762</c:v>
                </c:pt>
                <c:pt idx="1080">
                  <c:v>8762</c:v>
                </c:pt>
                <c:pt idx="1081">
                  <c:v>8762</c:v>
                </c:pt>
                <c:pt idx="1082">
                  <c:v>8772</c:v>
                </c:pt>
                <c:pt idx="1083">
                  <c:v>8800</c:v>
                </c:pt>
                <c:pt idx="1084">
                  <c:v>8800</c:v>
                </c:pt>
                <c:pt idx="1085">
                  <c:v>8800</c:v>
                </c:pt>
                <c:pt idx="1086">
                  <c:v>8800</c:v>
                </c:pt>
                <c:pt idx="1087">
                  <c:v>8800</c:v>
                </c:pt>
                <c:pt idx="1088">
                  <c:v>8800</c:v>
                </c:pt>
                <c:pt idx="1089">
                  <c:v>8800</c:v>
                </c:pt>
                <c:pt idx="1090">
                  <c:v>8800</c:v>
                </c:pt>
                <c:pt idx="1091">
                  <c:v>8800</c:v>
                </c:pt>
                <c:pt idx="1092">
                  <c:v>8800</c:v>
                </c:pt>
                <c:pt idx="1093">
                  <c:v>8800</c:v>
                </c:pt>
                <c:pt idx="1094">
                  <c:v>8800</c:v>
                </c:pt>
                <c:pt idx="1095">
                  <c:v>8800</c:v>
                </c:pt>
                <c:pt idx="1096">
                  <c:v>8814</c:v>
                </c:pt>
                <c:pt idx="1097">
                  <c:v>8819</c:v>
                </c:pt>
                <c:pt idx="1098">
                  <c:v>8819</c:v>
                </c:pt>
                <c:pt idx="1099">
                  <c:v>8825</c:v>
                </c:pt>
                <c:pt idx="1100">
                  <c:v>8827</c:v>
                </c:pt>
                <c:pt idx="1101">
                  <c:v>8827</c:v>
                </c:pt>
                <c:pt idx="1102">
                  <c:v>8948</c:v>
                </c:pt>
                <c:pt idx="1103">
                  <c:v>8962</c:v>
                </c:pt>
                <c:pt idx="1104">
                  <c:v>9000</c:v>
                </c:pt>
                <c:pt idx="1105">
                  <c:v>9000</c:v>
                </c:pt>
                <c:pt idx="1106">
                  <c:v>9000</c:v>
                </c:pt>
                <c:pt idx="1107">
                  <c:v>9000</c:v>
                </c:pt>
                <c:pt idx="1108">
                  <c:v>9000</c:v>
                </c:pt>
                <c:pt idx="1109">
                  <c:v>9000</c:v>
                </c:pt>
                <c:pt idx="1110">
                  <c:v>9000</c:v>
                </c:pt>
                <c:pt idx="1111">
                  <c:v>9000</c:v>
                </c:pt>
                <c:pt idx="1112">
                  <c:v>9000</c:v>
                </c:pt>
                <c:pt idx="1113">
                  <c:v>9000</c:v>
                </c:pt>
                <c:pt idx="1114">
                  <c:v>9012</c:v>
                </c:pt>
                <c:pt idx="1115">
                  <c:v>9012</c:v>
                </c:pt>
                <c:pt idx="1116">
                  <c:v>9012</c:v>
                </c:pt>
                <c:pt idx="1117">
                  <c:v>9030</c:v>
                </c:pt>
                <c:pt idx="1118">
                  <c:v>9030</c:v>
                </c:pt>
                <c:pt idx="1119">
                  <c:v>9030</c:v>
                </c:pt>
                <c:pt idx="1120">
                  <c:v>9034</c:v>
                </c:pt>
                <c:pt idx="1121">
                  <c:v>9034</c:v>
                </c:pt>
                <c:pt idx="1122">
                  <c:v>9040</c:v>
                </c:pt>
                <c:pt idx="1123">
                  <c:v>9040</c:v>
                </c:pt>
                <c:pt idx="1124">
                  <c:v>9040</c:v>
                </c:pt>
                <c:pt idx="1125">
                  <c:v>9113</c:v>
                </c:pt>
                <c:pt idx="1126">
                  <c:v>9113</c:v>
                </c:pt>
                <c:pt idx="1127">
                  <c:v>9162</c:v>
                </c:pt>
                <c:pt idx="1128">
                  <c:v>9162</c:v>
                </c:pt>
                <c:pt idx="1129">
                  <c:v>9178</c:v>
                </c:pt>
                <c:pt idx="1130">
                  <c:v>9178</c:v>
                </c:pt>
                <c:pt idx="1131">
                  <c:v>9178</c:v>
                </c:pt>
                <c:pt idx="1132">
                  <c:v>9178</c:v>
                </c:pt>
                <c:pt idx="1133">
                  <c:v>9178</c:v>
                </c:pt>
                <c:pt idx="1134">
                  <c:v>9178</c:v>
                </c:pt>
                <c:pt idx="1135">
                  <c:v>9178</c:v>
                </c:pt>
                <c:pt idx="1136">
                  <c:v>9178</c:v>
                </c:pt>
                <c:pt idx="1137">
                  <c:v>9178</c:v>
                </c:pt>
                <c:pt idx="1138">
                  <c:v>9178</c:v>
                </c:pt>
                <c:pt idx="1139">
                  <c:v>9178</c:v>
                </c:pt>
                <c:pt idx="1140">
                  <c:v>9200</c:v>
                </c:pt>
                <c:pt idx="1141">
                  <c:v>9200</c:v>
                </c:pt>
                <c:pt idx="1142">
                  <c:v>9200</c:v>
                </c:pt>
                <c:pt idx="1143">
                  <c:v>9200</c:v>
                </c:pt>
                <c:pt idx="1144">
                  <c:v>9200</c:v>
                </c:pt>
                <c:pt idx="1145">
                  <c:v>9200</c:v>
                </c:pt>
                <c:pt idx="1146">
                  <c:v>9200</c:v>
                </c:pt>
                <c:pt idx="1147">
                  <c:v>9200</c:v>
                </c:pt>
                <c:pt idx="1148">
                  <c:v>9300</c:v>
                </c:pt>
                <c:pt idx="1149">
                  <c:v>9300</c:v>
                </c:pt>
                <c:pt idx="1150">
                  <c:v>9300</c:v>
                </c:pt>
                <c:pt idx="1151">
                  <c:v>9400</c:v>
                </c:pt>
                <c:pt idx="1152">
                  <c:v>9400</c:v>
                </c:pt>
                <c:pt idx="1153">
                  <c:v>9400</c:v>
                </c:pt>
                <c:pt idx="1154">
                  <c:v>9400</c:v>
                </c:pt>
                <c:pt idx="1155">
                  <c:v>9400</c:v>
                </c:pt>
                <c:pt idx="1156">
                  <c:v>9400</c:v>
                </c:pt>
                <c:pt idx="1157">
                  <c:v>9400</c:v>
                </c:pt>
                <c:pt idx="1158">
                  <c:v>9400</c:v>
                </c:pt>
                <c:pt idx="1159">
                  <c:v>9400</c:v>
                </c:pt>
                <c:pt idx="1160">
                  <c:v>9400</c:v>
                </c:pt>
                <c:pt idx="1161">
                  <c:v>9400</c:v>
                </c:pt>
                <c:pt idx="1162">
                  <c:v>9400</c:v>
                </c:pt>
                <c:pt idx="1163">
                  <c:v>9400</c:v>
                </c:pt>
                <c:pt idx="1164">
                  <c:v>9400</c:v>
                </c:pt>
                <c:pt idx="1165">
                  <c:v>9400</c:v>
                </c:pt>
                <c:pt idx="1166">
                  <c:v>9403</c:v>
                </c:pt>
                <c:pt idx="1167">
                  <c:v>9408</c:v>
                </c:pt>
                <c:pt idx="1168">
                  <c:v>9411</c:v>
                </c:pt>
                <c:pt idx="1169">
                  <c:v>9411</c:v>
                </c:pt>
                <c:pt idx="1170">
                  <c:v>9411</c:v>
                </c:pt>
                <c:pt idx="1171">
                  <c:v>9415</c:v>
                </c:pt>
                <c:pt idx="1172">
                  <c:v>9415</c:v>
                </c:pt>
                <c:pt idx="1173">
                  <c:v>9415</c:v>
                </c:pt>
                <c:pt idx="1174">
                  <c:v>9415</c:v>
                </c:pt>
                <c:pt idx="1175">
                  <c:v>9443</c:v>
                </c:pt>
                <c:pt idx="1176">
                  <c:v>9469</c:v>
                </c:pt>
                <c:pt idx="1177">
                  <c:v>9469</c:v>
                </c:pt>
                <c:pt idx="1178">
                  <c:v>9469</c:v>
                </c:pt>
                <c:pt idx="1179">
                  <c:v>9469</c:v>
                </c:pt>
                <c:pt idx="1180">
                  <c:v>9469</c:v>
                </c:pt>
                <c:pt idx="1181">
                  <c:v>9500</c:v>
                </c:pt>
                <c:pt idx="1182">
                  <c:v>9500</c:v>
                </c:pt>
                <c:pt idx="1183">
                  <c:v>9500</c:v>
                </c:pt>
                <c:pt idx="1184">
                  <c:v>9500</c:v>
                </c:pt>
                <c:pt idx="1185">
                  <c:v>9500</c:v>
                </c:pt>
                <c:pt idx="1186">
                  <c:v>9500</c:v>
                </c:pt>
                <c:pt idx="1187">
                  <c:v>9500</c:v>
                </c:pt>
                <c:pt idx="1188">
                  <c:v>9500</c:v>
                </c:pt>
                <c:pt idx="1189">
                  <c:v>9572</c:v>
                </c:pt>
                <c:pt idx="1190">
                  <c:v>9572</c:v>
                </c:pt>
                <c:pt idx="1191">
                  <c:v>9572</c:v>
                </c:pt>
                <c:pt idx="1192">
                  <c:v>9572</c:v>
                </c:pt>
                <c:pt idx="1193">
                  <c:v>9572</c:v>
                </c:pt>
                <c:pt idx="1194">
                  <c:v>9572</c:v>
                </c:pt>
                <c:pt idx="1195">
                  <c:v>9572</c:v>
                </c:pt>
                <c:pt idx="1196">
                  <c:v>9573</c:v>
                </c:pt>
                <c:pt idx="1197">
                  <c:v>9574</c:v>
                </c:pt>
                <c:pt idx="1198">
                  <c:v>9592</c:v>
                </c:pt>
                <c:pt idx="1199">
                  <c:v>9592</c:v>
                </c:pt>
                <c:pt idx="1200">
                  <c:v>9592</c:v>
                </c:pt>
                <c:pt idx="1201">
                  <c:v>9600</c:v>
                </c:pt>
                <c:pt idx="1202">
                  <c:v>9600</c:v>
                </c:pt>
                <c:pt idx="1203">
                  <c:v>9661</c:v>
                </c:pt>
                <c:pt idx="1204">
                  <c:v>9661</c:v>
                </c:pt>
                <c:pt idx="1205">
                  <c:v>9661</c:v>
                </c:pt>
                <c:pt idx="1206">
                  <c:v>9700</c:v>
                </c:pt>
                <c:pt idx="1207">
                  <c:v>9700</c:v>
                </c:pt>
                <c:pt idx="1208">
                  <c:v>9700</c:v>
                </c:pt>
                <c:pt idx="1209">
                  <c:v>9814</c:v>
                </c:pt>
                <c:pt idx="1210">
                  <c:v>9814</c:v>
                </c:pt>
                <c:pt idx="1211">
                  <c:v>9814</c:v>
                </c:pt>
                <c:pt idx="1212">
                  <c:v>9814</c:v>
                </c:pt>
                <c:pt idx="1213">
                  <c:v>9814</c:v>
                </c:pt>
                <c:pt idx="1214">
                  <c:v>9814</c:v>
                </c:pt>
                <c:pt idx="1215">
                  <c:v>9814</c:v>
                </c:pt>
                <c:pt idx="1216">
                  <c:v>9894</c:v>
                </c:pt>
                <c:pt idx="1217">
                  <c:v>9954</c:v>
                </c:pt>
                <c:pt idx="1218">
                  <c:v>9954</c:v>
                </c:pt>
                <c:pt idx="1219">
                  <c:v>9954</c:v>
                </c:pt>
                <c:pt idx="1220">
                  <c:v>9954</c:v>
                </c:pt>
                <c:pt idx="1221">
                  <c:v>9954</c:v>
                </c:pt>
                <c:pt idx="1222">
                  <c:v>9962</c:v>
                </c:pt>
                <c:pt idx="1223">
                  <c:v>9962</c:v>
                </c:pt>
                <c:pt idx="1224">
                  <c:v>9962</c:v>
                </c:pt>
                <c:pt idx="1225">
                  <c:v>9962</c:v>
                </c:pt>
                <c:pt idx="1226">
                  <c:v>10000</c:v>
                </c:pt>
                <c:pt idx="1227">
                  <c:v>10000</c:v>
                </c:pt>
                <c:pt idx="1228">
                  <c:v>10000</c:v>
                </c:pt>
                <c:pt idx="1229">
                  <c:v>10001</c:v>
                </c:pt>
                <c:pt idx="1230">
                  <c:v>10010</c:v>
                </c:pt>
                <c:pt idx="1231">
                  <c:v>10010</c:v>
                </c:pt>
                <c:pt idx="1232">
                  <c:v>10010</c:v>
                </c:pt>
                <c:pt idx="1233">
                  <c:v>10010</c:v>
                </c:pt>
                <c:pt idx="1234">
                  <c:v>10010</c:v>
                </c:pt>
                <c:pt idx="1235">
                  <c:v>10010</c:v>
                </c:pt>
                <c:pt idx="1236">
                  <c:v>10036</c:v>
                </c:pt>
                <c:pt idx="1237">
                  <c:v>10036</c:v>
                </c:pt>
                <c:pt idx="1238">
                  <c:v>10050</c:v>
                </c:pt>
                <c:pt idx="1239">
                  <c:v>10055</c:v>
                </c:pt>
                <c:pt idx="1240">
                  <c:v>10060</c:v>
                </c:pt>
                <c:pt idx="1241">
                  <c:v>10060</c:v>
                </c:pt>
                <c:pt idx="1242">
                  <c:v>10061</c:v>
                </c:pt>
                <c:pt idx="1243">
                  <c:v>10062</c:v>
                </c:pt>
                <c:pt idx="1244">
                  <c:v>10062</c:v>
                </c:pt>
                <c:pt idx="1245">
                  <c:v>10062</c:v>
                </c:pt>
                <c:pt idx="1246">
                  <c:v>10062</c:v>
                </c:pt>
                <c:pt idx="1247">
                  <c:v>10062</c:v>
                </c:pt>
                <c:pt idx="1248">
                  <c:v>10062</c:v>
                </c:pt>
                <c:pt idx="1249">
                  <c:v>10062</c:v>
                </c:pt>
                <c:pt idx="1250">
                  <c:v>10070</c:v>
                </c:pt>
                <c:pt idx="1251">
                  <c:v>10070</c:v>
                </c:pt>
                <c:pt idx="1252">
                  <c:v>10070</c:v>
                </c:pt>
                <c:pt idx="1253">
                  <c:v>10070</c:v>
                </c:pt>
                <c:pt idx="1254">
                  <c:v>10070</c:v>
                </c:pt>
                <c:pt idx="1255">
                  <c:v>10081</c:v>
                </c:pt>
                <c:pt idx="1256">
                  <c:v>10100</c:v>
                </c:pt>
                <c:pt idx="1257">
                  <c:v>10100</c:v>
                </c:pt>
                <c:pt idx="1258">
                  <c:v>10100</c:v>
                </c:pt>
                <c:pt idx="1259">
                  <c:v>10100</c:v>
                </c:pt>
                <c:pt idx="1260">
                  <c:v>10100</c:v>
                </c:pt>
                <c:pt idx="1261">
                  <c:v>10100</c:v>
                </c:pt>
                <c:pt idx="1262">
                  <c:v>10100</c:v>
                </c:pt>
                <c:pt idx="1263">
                  <c:v>10100</c:v>
                </c:pt>
                <c:pt idx="1264">
                  <c:v>10100</c:v>
                </c:pt>
                <c:pt idx="1265">
                  <c:v>10100</c:v>
                </c:pt>
                <c:pt idx="1266">
                  <c:v>10100</c:v>
                </c:pt>
                <c:pt idx="1267">
                  <c:v>10114</c:v>
                </c:pt>
                <c:pt idx="1268">
                  <c:v>10114</c:v>
                </c:pt>
                <c:pt idx="1269">
                  <c:v>10114</c:v>
                </c:pt>
                <c:pt idx="1270">
                  <c:v>10500</c:v>
                </c:pt>
                <c:pt idx="1271">
                  <c:v>10500</c:v>
                </c:pt>
                <c:pt idx="1272">
                  <c:v>10500</c:v>
                </c:pt>
                <c:pt idx="1273">
                  <c:v>10589</c:v>
                </c:pt>
                <c:pt idx="1274">
                  <c:v>10589</c:v>
                </c:pt>
                <c:pt idx="1275">
                  <c:v>10600</c:v>
                </c:pt>
                <c:pt idx="1276">
                  <c:v>10600</c:v>
                </c:pt>
                <c:pt idx="1277">
                  <c:v>10700</c:v>
                </c:pt>
                <c:pt idx="1278">
                  <c:v>10700</c:v>
                </c:pt>
                <c:pt idx="1279">
                  <c:v>10700</c:v>
                </c:pt>
                <c:pt idx="1280">
                  <c:v>10700</c:v>
                </c:pt>
                <c:pt idx="1281">
                  <c:v>10700</c:v>
                </c:pt>
                <c:pt idx="1282">
                  <c:v>10776</c:v>
                </c:pt>
                <c:pt idx="1283">
                  <c:v>10818</c:v>
                </c:pt>
                <c:pt idx="1284">
                  <c:v>10818</c:v>
                </c:pt>
                <c:pt idx="1285">
                  <c:v>10960</c:v>
                </c:pt>
                <c:pt idx="1286">
                  <c:v>10960</c:v>
                </c:pt>
                <c:pt idx="1287">
                  <c:v>11000</c:v>
                </c:pt>
                <c:pt idx="1288">
                  <c:v>11000</c:v>
                </c:pt>
                <c:pt idx="1289">
                  <c:v>11000</c:v>
                </c:pt>
                <c:pt idx="1290">
                  <c:v>11000</c:v>
                </c:pt>
                <c:pt idx="1291">
                  <c:v>11000</c:v>
                </c:pt>
                <c:pt idx="1292">
                  <c:v>11038</c:v>
                </c:pt>
                <c:pt idx="1293">
                  <c:v>11040</c:v>
                </c:pt>
                <c:pt idx="1294">
                  <c:v>11312</c:v>
                </c:pt>
                <c:pt idx="1295">
                  <c:v>11312</c:v>
                </c:pt>
                <c:pt idx="1296">
                  <c:v>11312</c:v>
                </c:pt>
                <c:pt idx="1297">
                  <c:v>11312</c:v>
                </c:pt>
                <c:pt idx="1298">
                  <c:v>11356</c:v>
                </c:pt>
                <c:pt idx="1299">
                  <c:v>11356</c:v>
                </c:pt>
                <c:pt idx="1300">
                  <c:v>11388</c:v>
                </c:pt>
                <c:pt idx="1301">
                  <c:v>11388</c:v>
                </c:pt>
                <c:pt idx="1302">
                  <c:v>11388</c:v>
                </c:pt>
                <c:pt idx="1303">
                  <c:v>11388</c:v>
                </c:pt>
                <c:pt idx="1304">
                  <c:v>11400</c:v>
                </c:pt>
                <c:pt idx="1305">
                  <c:v>11400</c:v>
                </c:pt>
                <c:pt idx="1306">
                  <c:v>11400</c:v>
                </c:pt>
                <c:pt idx="1307">
                  <c:v>11400</c:v>
                </c:pt>
                <c:pt idx="1308">
                  <c:v>11400</c:v>
                </c:pt>
                <c:pt idx="1309">
                  <c:v>11400</c:v>
                </c:pt>
                <c:pt idx="1310">
                  <c:v>11500</c:v>
                </c:pt>
                <c:pt idx="1311">
                  <c:v>11500</c:v>
                </c:pt>
                <c:pt idx="1312">
                  <c:v>12400</c:v>
                </c:pt>
                <c:pt idx="1313">
                  <c:v>12400</c:v>
                </c:pt>
                <c:pt idx="1314">
                  <c:v>12400</c:v>
                </c:pt>
                <c:pt idx="1315">
                  <c:v>12552</c:v>
                </c:pt>
                <c:pt idx="1316">
                  <c:v>12562</c:v>
                </c:pt>
                <c:pt idx="1317">
                  <c:v>12562</c:v>
                </c:pt>
                <c:pt idx="1318">
                  <c:v>12562</c:v>
                </c:pt>
                <c:pt idx="1319">
                  <c:v>13000</c:v>
                </c:pt>
                <c:pt idx="1320">
                  <c:v>13000</c:v>
                </c:pt>
                <c:pt idx="1321">
                  <c:v>13000</c:v>
                </c:pt>
                <c:pt idx="1322">
                  <c:v>13000</c:v>
                </c:pt>
                <c:pt idx="1323">
                  <c:v>13000</c:v>
                </c:pt>
                <c:pt idx="1324">
                  <c:v>13050</c:v>
                </c:pt>
                <c:pt idx="1325">
                  <c:v>13050</c:v>
                </c:pt>
                <c:pt idx="1326">
                  <c:v>13050</c:v>
                </c:pt>
                <c:pt idx="1327">
                  <c:v>13050</c:v>
                </c:pt>
                <c:pt idx="1328">
                  <c:v>13050</c:v>
                </c:pt>
                <c:pt idx="1329">
                  <c:v>13050</c:v>
                </c:pt>
                <c:pt idx="1330">
                  <c:v>13092</c:v>
                </c:pt>
                <c:pt idx="1331">
                  <c:v>13092</c:v>
                </c:pt>
                <c:pt idx="1332">
                  <c:v>13092</c:v>
                </c:pt>
                <c:pt idx="1333">
                  <c:v>13092</c:v>
                </c:pt>
                <c:pt idx="1334">
                  <c:v>13092</c:v>
                </c:pt>
                <c:pt idx="1335">
                  <c:v>13092</c:v>
                </c:pt>
                <c:pt idx="1336">
                  <c:v>13092</c:v>
                </c:pt>
                <c:pt idx="1337">
                  <c:v>13092</c:v>
                </c:pt>
                <c:pt idx="1338">
                  <c:v>13092</c:v>
                </c:pt>
                <c:pt idx="1339">
                  <c:v>13092</c:v>
                </c:pt>
                <c:pt idx="1340">
                  <c:v>13092</c:v>
                </c:pt>
                <c:pt idx="1341">
                  <c:v>13092</c:v>
                </c:pt>
                <c:pt idx="1342">
                  <c:v>13092</c:v>
                </c:pt>
                <c:pt idx="1343">
                  <c:v>13092</c:v>
                </c:pt>
                <c:pt idx="1344">
                  <c:v>13092</c:v>
                </c:pt>
                <c:pt idx="1345">
                  <c:v>13092</c:v>
                </c:pt>
                <c:pt idx="1346">
                  <c:v>13092</c:v>
                </c:pt>
                <c:pt idx="1347">
                  <c:v>13092</c:v>
                </c:pt>
                <c:pt idx="1348">
                  <c:v>13092</c:v>
                </c:pt>
                <c:pt idx="1349">
                  <c:v>13092</c:v>
                </c:pt>
                <c:pt idx="1350">
                  <c:v>13092</c:v>
                </c:pt>
                <c:pt idx="1351">
                  <c:v>13092</c:v>
                </c:pt>
                <c:pt idx="1352">
                  <c:v>13092</c:v>
                </c:pt>
                <c:pt idx="1353">
                  <c:v>13092</c:v>
                </c:pt>
                <c:pt idx="1354">
                  <c:v>13092</c:v>
                </c:pt>
                <c:pt idx="1355">
                  <c:v>13092</c:v>
                </c:pt>
                <c:pt idx="1356">
                  <c:v>13100</c:v>
                </c:pt>
                <c:pt idx="1357">
                  <c:v>13100</c:v>
                </c:pt>
                <c:pt idx="1358">
                  <c:v>13100</c:v>
                </c:pt>
                <c:pt idx="1359">
                  <c:v>13100</c:v>
                </c:pt>
                <c:pt idx="1360">
                  <c:v>13100</c:v>
                </c:pt>
                <c:pt idx="1361">
                  <c:v>13100</c:v>
                </c:pt>
                <c:pt idx="1362">
                  <c:v>13100</c:v>
                </c:pt>
                <c:pt idx="1363">
                  <c:v>13100</c:v>
                </c:pt>
                <c:pt idx="1364">
                  <c:v>13100</c:v>
                </c:pt>
                <c:pt idx="1365">
                  <c:v>13100</c:v>
                </c:pt>
                <c:pt idx="1366">
                  <c:v>13100</c:v>
                </c:pt>
                <c:pt idx="1367">
                  <c:v>13100</c:v>
                </c:pt>
                <c:pt idx="1368">
                  <c:v>13100</c:v>
                </c:pt>
                <c:pt idx="1369">
                  <c:v>13102</c:v>
                </c:pt>
                <c:pt idx="1370">
                  <c:v>13102</c:v>
                </c:pt>
                <c:pt idx="1371">
                  <c:v>13102</c:v>
                </c:pt>
                <c:pt idx="1372">
                  <c:v>13102</c:v>
                </c:pt>
                <c:pt idx="1373">
                  <c:v>13102</c:v>
                </c:pt>
                <c:pt idx="1374">
                  <c:v>13102</c:v>
                </c:pt>
                <c:pt idx="1375">
                  <c:v>13102</c:v>
                </c:pt>
                <c:pt idx="1376">
                  <c:v>13102</c:v>
                </c:pt>
                <c:pt idx="1377">
                  <c:v>13102</c:v>
                </c:pt>
                <c:pt idx="1378">
                  <c:v>13150</c:v>
                </c:pt>
                <c:pt idx="1379">
                  <c:v>13154</c:v>
                </c:pt>
                <c:pt idx="1380">
                  <c:v>13154</c:v>
                </c:pt>
                <c:pt idx="1381">
                  <c:v>13154</c:v>
                </c:pt>
                <c:pt idx="1382">
                  <c:v>13169</c:v>
                </c:pt>
                <c:pt idx="1383">
                  <c:v>13169</c:v>
                </c:pt>
                <c:pt idx="1384">
                  <c:v>13169</c:v>
                </c:pt>
                <c:pt idx="1385">
                  <c:v>13169</c:v>
                </c:pt>
                <c:pt idx="1386">
                  <c:v>13169</c:v>
                </c:pt>
                <c:pt idx="1387">
                  <c:v>13169</c:v>
                </c:pt>
                <c:pt idx="1388">
                  <c:v>13169</c:v>
                </c:pt>
                <c:pt idx="1389">
                  <c:v>13169</c:v>
                </c:pt>
                <c:pt idx="1390">
                  <c:v>13169</c:v>
                </c:pt>
                <c:pt idx="1391">
                  <c:v>13200</c:v>
                </c:pt>
                <c:pt idx="1392">
                  <c:v>13200</c:v>
                </c:pt>
                <c:pt idx="1393">
                  <c:v>13208</c:v>
                </c:pt>
                <c:pt idx="1394">
                  <c:v>13208</c:v>
                </c:pt>
                <c:pt idx="1395">
                  <c:v>13208</c:v>
                </c:pt>
                <c:pt idx="1396">
                  <c:v>13208</c:v>
                </c:pt>
                <c:pt idx="1397">
                  <c:v>13208</c:v>
                </c:pt>
                <c:pt idx="1398">
                  <c:v>13208</c:v>
                </c:pt>
                <c:pt idx="1399">
                  <c:v>13208</c:v>
                </c:pt>
                <c:pt idx="1400">
                  <c:v>13208</c:v>
                </c:pt>
                <c:pt idx="1401">
                  <c:v>13208</c:v>
                </c:pt>
                <c:pt idx="1402">
                  <c:v>13208</c:v>
                </c:pt>
                <c:pt idx="1403">
                  <c:v>13296</c:v>
                </c:pt>
                <c:pt idx="1404">
                  <c:v>13344</c:v>
                </c:pt>
                <c:pt idx="1405">
                  <c:v>13360</c:v>
                </c:pt>
                <c:pt idx="1406">
                  <c:v>13371</c:v>
                </c:pt>
                <c:pt idx="1407">
                  <c:v>13380</c:v>
                </c:pt>
                <c:pt idx="1408">
                  <c:v>13386</c:v>
                </c:pt>
                <c:pt idx="1409">
                  <c:v>13386</c:v>
                </c:pt>
                <c:pt idx="1410">
                  <c:v>13386</c:v>
                </c:pt>
                <c:pt idx="1411">
                  <c:v>13386</c:v>
                </c:pt>
                <c:pt idx="1412">
                  <c:v>13386</c:v>
                </c:pt>
                <c:pt idx="1413">
                  <c:v>13386</c:v>
                </c:pt>
                <c:pt idx="1414">
                  <c:v>13500</c:v>
                </c:pt>
                <c:pt idx="1415">
                  <c:v>13636</c:v>
                </c:pt>
                <c:pt idx="1416">
                  <c:v>13636</c:v>
                </c:pt>
                <c:pt idx="1417">
                  <c:v>13798</c:v>
                </c:pt>
                <c:pt idx="1418">
                  <c:v>13798</c:v>
                </c:pt>
                <c:pt idx="1419">
                  <c:v>13798</c:v>
                </c:pt>
                <c:pt idx="1420">
                  <c:v>13798</c:v>
                </c:pt>
                <c:pt idx="1421">
                  <c:v>13798</c:v>
                </c:pt>
                <c:pt idx="1422">
                  <c:v>13798</c:v>
                </c:pt>
                <c:pt idx="1423">
                  <c:v>13798</c:v>
                </c:pt>
                <c:pt idx="1424">
                  <c:v>13798</c:v>
                </c:pt>
                <c:pt idx="1425">
                  <c:v>13800</c:v>
                </c:pt>
                <c:pt idx="1426">
                  <c:v>13800</c:v>
                </c:pt>
                <c:pt idx="1427">
                  <c:v>13800</c:v>
                </c:pt>
                <c:pt idx="1428">
                  <c:v>13800</c:v>
                </c:pt>
                <c:pt idx="1429">
                  <c:v>13800</c:v>
                </c:pt>
                <c:pt idx="1430">
                  <c:v>13800</c:v>
                </c:pt>
                <c:pt idx="1431">
                  <c:v>13800</c:v>
                </c:pt>
                <c:pt idx="1432">
                  <c:v>13800</c:v>
                </c:pt>
                <c:pt idx="1433">
                  <c:v>13800</c:v>
                </c:pt>
                <c:pt idx="1434">
                  <c:v>13808</c:v>
                </c:pt>
                <c:pt idx="1435">
                  <c:v>13808</c:v>
                </c:pt>
                <c:pt idx="1436">
                  <c:v>13808</c:v>
                </c:pt>
                <c:pt idx="1437">
                  <c:v>13808</c:v>
                </c:pt>
                <c:pt idx="1438">
                  <c:v>13808</c:v>
                </c:pt>
                <c:pt idx="1439">
                  <c:v>13808</c:v>
                </c:pt>
                <c:pt idx="1440">
                  <c:v>13808</c:v>
                </c:pt>
                <c:pt idx="1441">
                  <c:v>13808</c:v>
                </c:pt>
                <c:pt idx="1442">
                  <c:v>13808</c:v>
                </c:pt>
                <c:pt idx="1443">
                  <c:v>13808</c:v>
                </c:pt>
                <c:pt idx="1444">
                  <c:v>13830</c:v>
                </c:pt>
                <c:pt idx="1445">
                  <c:v>13830</c:v>
                </c:pt>
                <c:pt idx="1446">
                  <c:v>13830</c:v>
                </c:pt>
                <c:pt idx="1447">
                  <c:v>13830</c:v>
                </c:pt>
                <c:pt idx="1448">
                  <c:v>13870</c:v>
                </c:pt>
                <c:pt idx="1449">
                  <c:v>13870</c:v>
                </c:pt>
                <c:pt idx="1450">
                  <c:v>13870</c:v>
                </c:pt>
                <c:pt idx="1451">
                  <c:v>13870</c:v>
                </c:pt>
                <c:pt idx="1452">
                  <c:v>13870</c:v>
                </c:pt>
                <c:pt idx="1453">
                  <c:v>13870</c:v>
                </c:pt>
                <c:pt idx="1454">
                  <c:v>13870</c:v>
                </c:pt>
                <c:pt idx="1455">
                  <c:v>13870</c:v>
                </c:pt>
                <c:pt idx="1456">
                  <c:v>13870</c:v>
                </c:pt>
                <c:pt idx="1457">
                  <c:v>13870</c:v>
                </c:pt>
                <c:pt idx="1458">
                  <c:v>13870</c:v>
                </c:pt>
                <c:pt idx="1459">
                  <c:v>13892</c:v>
                </c:pt>
                <c:pt idx="1460">
                  <c:v>13892</c:v>
                </c:pt>
                <c:pt idx="1461">
                  <c:v>13900</c:v>
                </c:pt>
                <c:pt idx="1462">
                  <c:v>14000</c:v>
                </c:pt>
                <c:pt idx="1463">
                  <c:v>14000</c:v>
                </c:pt>
                <c:pt idx="1464">
                  <c:v>14000</c:v>
                </c:pt>
                <c:pt idx="1465">
                  <c:v>14000</c:v>
                </c:pt>
                <c:pt idx="1466">
                  <c:v>14000</c:v>
                </c:pt>
                <c:pt idx="1467">
                  <c:v>14000</c:v>
                </c:pt>
                <c:pt idx="1468">
                  <c:v>14000</c:v>
                </c:pt>
                <c:pt idx="1469">
                  <c:v>14000</c:v>
                </c:pt>
                <c:pt idx="1470">
                  <c:v>14000</c:v>
                </c:pt>
                <c:pt idx="1471">
                  <c:v>14000</c:v>
                </c:pt>
                <c:pt idx="1472">
                  <c:v>14000</c:v>
                </c:pt>
                <c:pt idx="1473">
                  <c:v>14000</c:v>
                </c:pt>
                <c:pt idx="1474">
                  <c:v>14000</c:v>
                </c:pt>
                <c:pt idx="1475">
                  <c:v>14000</c:v>
                </c:pt>
                <c:pt idx="1476">
                  <c:v>14000</c:v>
                </c:pt>
                <c:pt idx="1477">
                  <c:v>14000</c:v>
                </c:pt>
                <c:pt idx="1478">
                  <c:v>14000</c:v>
                </c:pt>
                <c:pt idx="1479">
                  <c:v>14000</c:v>
                </c:pt>
                <c:pt idx="1480">
                  <c:v>14000</c:v>
                </c:pt>
                <c:pt idx="1481">
                  <c:v>14000</c:v>
                </c:pt>
                <c:pt idx="1482">
                  <c:v>14000</c:v>
                </c:pt>
                <c:pt idx="1483">
                  <c:v>14000</c:v>
                </c:pt>
                <c:pt idx="1484">
                  <c:v>14000</c:v>
                </c:pt>
                <c:pt idx="1485">
                  <c:v>14000</c:v>
                </c:pt>
                <c:pt idx="1486">
                  <c:v>14000</c:v>
                </c:pt>
                <c:pt idx="1487">
                  <c:v>14000</c:v>
                </c:pt>
                <c:pt idx="1488">
                  <c:v>14000</c:v>
                </c:pt>
                <c:pt idx="1489">
                  <c:v>14000</c:v>
                </c:pt>
                <c:pt idx="1490">
                  <c:v>14026</c:v>
                </c:pt>
                <c:pt idx="1491">
                  <c:v>14026</c:v>
                </c:pt>
                <c:pt idx="1492">
                  <c:v>14026</c:v>
                </c:pt>
                <c:pt idx="1493">
                  <c:v>14026</c:v>
                </c:pt>
                <c:pt idx="1494">
                  <c:v>14026</c:v>
                </c:pt>
                <c:pt idx="1495">
                  <c:v>14052</c:v>
                </c:pt>
                <c:pt idx="1496">
                  <c:v>14052</c:v>
                </c:pt>
                <c:pt idx="1497">
                  <c:v>14052</c:v>
                </c:pt>
                <c:pt idx="1498">
                  <c:v>14074</c:v>
                </c:pt>
                <c:pt idx="1499">
                  <c:v>14074</c:v>
                </c:pt>
                <c:pt idx="1500">
                  <c:v>14074</c:v>
                </c:pt>
                <c:pt idx="1501">
                  <c:v>14074</c:v>
                </c:pt>
                <c:pt idx="1502">
                  <c:v>14074</c:v>
                </c:pt>
                <c:pt idx="1503">
                  <c:v>14074</c:v>
                </c:pt>
                <c:pt idx="1504">
                  <c:v>14080</c:v>
                </c:pt>
                <c:pt idx="1505">
                  <c:v>14080</c:v>
                </c:pt>
                <c:pt idx="1506">
                  <c:v>14080</c:v>
                </c:pt>
                <c:pt idx="1507">
                  <c:v>14080</c:v>
                </c:pt>
                <c:pt idx="1508">
                  <c:v>14080</c:v>
                </c:pt>
                <c:pt idx="1509">
                  <c:v>14080</c:v>
                </c:pt>
                <c:pt idx="1510">
                  <c:v>14220</c:v>
                </c:pt>
                <c:pt idx="1511">
                  <c:v>14354</c:v>
                </c:pt>
                <c:pt idx="1512">
                  <c:v>14420</c:v>
                </c:pt>
                <c:pt idx="1513">
                  <c:v>14424</c:v>
                </c:pt>
                <c:pt idx="1514">
                  <c:v>14424</c:v>
                </c:pt>
                <c:pt idx="1515">
                  <c:v>14424</c:v>
                </c:pt>
                <c:pt idx="1516">
                  <c:v>14424</c:v>
                </c:pt>
                <c:pt idx="1517">
                  <c:v>14500</c:v>
                </c:pt>
                <c:pt idx="1518">
                  <c:v>14502</c:v>
                </c:pt>
                <c:pt idx="1519">
                  <c:v>14566</c:v>
                </c:pt>
                <c:pt idx="1520">
                  <c:v>14568</c:v>
                </c:pt>
                <c:pt idx="1521">
                  <c:v>14812</c:v>
                </c:pt>
                <c:pt idx="1522">
                  <c:v>14993</c:v>
                </c:pt>
                <c:pt idx="1523">
                  <c:v>14993</c:v>
                </c:pt>
                <c:pt idx="1524">
                  <c:v>14993</c:v>
                </c:pt>
                <c:pt idx="1525">
                  <c:v>14993</c:v>
                </c:pt>
                <c:pt idx="1526">
                  <c:v>14993</c:v>
                </c:pt>
                <c:pt idx="1527">
                  <c:v>14993</c:v>
                </c:pt>
                <c:pt idx="1528">
                  <c:v>14993</c:v>
                </c:pt>
                <c:pt idx="1529">
                  <c:v>14993</c:v>
                </c:pt>
                <c:pt idx="1530">
                  <c:v>14993</c:v>
                </c:pt>
                <c:pt idx="1531">
                  <c:v>15000</c:v>
                </c:pt>
                <c:pt idx="1532">
                  <c:v>15052</c:v>
                </c:pt>
                <c:pt idx="1533">
                  <c:v>15128</c:v>
                </c:pt>
                <c:pt idx="1534">
                  <c:v>15128</c:v>
                </c:pt>
                <c:pt idx="1535">
                  <c:v>15128</c:v>
                </c:pt>
                <c:pt idx="1536">
                  <c:v>15282</c:v>
                </c:pt>
                <c:pt idx="1537">
                  <c:v>15500</c:v>
                </c:pt>
                <c:pt idx="1538">
                  <c:v>15500</c:v>
                </c:pt>
                <c:pt idx="1539">
                  <c:v>15500</c:v>
                </c:pt>
                <c:pt idx="1540">
                  <c:v>15500</c:v>
                </c:pt>
                <c:pt idx="1541">
                  <c:v>15500</c:v>
                </c:pt>
                <c:pt idx="1542">
                  <c:v>15550</c:v>
                </c:pt>
                <c:pt idx="1543">
                  <c:v>15550</c:v>
                </c:pt>
                <c:pt idx="1544">
                  <c:v>15550</c:v>
                </c:pt>
                <c:pt idx="1545">
                  <c:v>15908</c:v>
                </c:pt>
                <c:pt idx="1546">
                  <c:v>15908</c:v>
                </c:pt>
                <c:pt idx="1547">
                  <c:v>15908</c:v>
                </c:pt>
                <c:pt idx="1548">
                  <c:v>15909</c:v>
                </c:pt>
              </c:numCache>
            </c:numRef>
          </c:xVal>
          <c:yVal>
            <c:numRef>
              <c:f>'Schätzung Schiff'!$F$31:$F$1579</c:f>
              <c:numCache>
                <c:formatCode>General</c:formatCode>
                <c:ptCount val="1549"/>
                <c:pt idx="0">
                  <c:v>134.44</c:v>
                </c:pt>
                <c:pt idx="1">
                  <c:v>134.44</c:v>
                </c:pt>
                <c:pt idx="2">
                  <c:v>203.06</c:v>
                </c:pt>
                <c:pt idx="3">
                  <c:v>161.31</c:v>
                </c:pt>
                <c:pt idx="4">
                  <c:v>203.06</c:v>
                </c:pt>
                <c:pt idx="5">
                  <c:v>203.06</c:v>
                </c:pt>
                <c:pt idx="6">
                  <c:v>203.06</c:v>
                </c:pt>
                <c:pt idx="7">
                  <c:v>215.98</c:v>
                </c:pt>
                <c:pt idx="8">
                  <c:v>182</c:v>
                </c:pt>
                <c:pt idx="9">
                  <c:v>178.57</c:v>
                </c:pt>
                <c:pt idx="10">
                  <c:v>178.57</c:v>
                </c:pt>
                <c:pt idx="11">
                  <c:v>178.57</c:v>
                </c:pt>
                <c:pt idx="12">
                  <c:v>182.52</c:v>
                </c:pt>
                <c:pt idx="13">
                  <c:v>176</c:v>
                </c:pt>
                <c:pt idx="14">
                  <c:v>189</c:v>
                </c:pt>
                <c:pt idx="15">
                  <c:v>183.98</c:v>
                </c:pt>
                <c:pt idx="16">
                  <c:v>183</c:v>
                </c:pt>
                <c:pt idx="17">
                  <c:v>183.98</c:v>
                </c:pt>
                <c:pt idx="18">
                  <c:v>184.1</c:v>
                </c:pt>
                <c:pt idx="19">
                  <c:v>184.1</c:v>
                </c:pt>
                <c:pt idx="20">
                  <c:v>184.7</c:v>
                </c:pt>
                <c:pt idx="21">
                  <c:v>176.84</c:v>
                </c:pt>
                <c:pt idx="22">
                  <c:v>176</c:v>
                </c:pt>
                <c:pt idx="23">
                  <c:v>175.56</c:v>
                </c:pt>
                <c:pt idx="24">
                  <c:v>176.88</c:v>
                </c:pt>
                <c:pt idx="25">
                  <c:v>178.57</c:v>
                </c:pt>
                <c:pt idx="26">
                  <c:v>178.57</c:v>
                </c:pt>
                <c:pt idx="27">
                  <c:v>179</c:v>
                </c:pt>
                <c:pt idx="28">
                  <c:v>186</c:v>
                </c:pt>
                <c:pt idx="29">
                  <c:v>186.36</c:v>
                </c:pt>
                <c:pt idx="30">
                  <c:v>186</c:v>
                </c:pt>
                <c:pt idx="31">
                  <c:v>186</c:v>
                </c:pt>
                <c:pt idx="32">
                  <c:v>186.37</c:v>
                </c:pt>
                <c:pt idx="33">
                  <c:v>186</c:v>
                </c:pt>
                <c:pt idx="34">
                  <c:v>186.34</c:v>
                </c:pt>
                <c:pt idx="35">
                  <c:v>186.34</c:v>
                </c:pt>
                <c:pt idx="36">
                  <c:v>186.33</c:v>
                </c:pt>
                <c:pt idx="37">
                  <c:v>194.06</c:v>
                </c:pt>
                <c:pt idx="38">
                  <c:v>182.85</c:v>
                </c:pt>
                <c:pt idx="39">
                  <c:v>182.84</c:v>
                </c:pt>
                <c:pt idx="40">
                  <c:v>196.83</c:v>
                </c:pt>
                <c:pt idx="41">
                  <c:v>178.57</c:v>
                </c:pt>
                <c:pt idx="42">
                  <c:v>178.57</c:v>
                </c:pt>
                <c:pt idx="43">
                  <c:v>190.98</c:v>
                </c:pt>
                <c:pt idx="44">
                  <c:v>179</c:v>
                </c:pt>
                <c:pt idx="45">
                  <c:v>178.57</c:v>
                </c:pt>
                <c:pt idx="46">
                  <c:v>193.9</c:v>
                </c:pt>
                <c:pt idx="47">
                  <c:v>178.09</c:v>
                </c:pt>
                <c:pt idx="48">
                  <c:v>177.5</c:v>
                </c:pt>
                <c:pt idx="49">
                  <c:v>189.49</c:v>
                </c:pt>
                <c:pt idx="50">
                  <c:v>190.94</c:v>
                </c:pt>
                <c:pt idx="51">
                  <c:v>191.07</c:v>
                </c:pt>
                <c:pt idx="52">
                  <c:v>202</c:v>
                </c:pt>
                <c:pt idx="53">
                  <c:v>188.05</c:v>
                </c:pt>
                <c:pt idx="54">
                  <c:v>181</c:v>
                </c:pt>
                <c:pt idx="55">
                  <c:v>182.03</c:v>
                </c:pt>
                <c:pt idx="56">
                  <c:v>182</c:v>
                </c:pt>
                <c:pt idx="57">
                  <c:v>182</c:v>
                </c:pt>
                <c:pt idx="58">
                  <c:v>195.3</c:v>
                </c:pt>
                <c:pt idx="59">
                  <c:v>188</c:v>
                </c:pt>
                <c:pt idx="60">
                  <c:v>188.02</c:v>
                </c:pt>
                <c:pt idx="61">
                  <c:v>205.72</c:v>
                </c:pt>
                <c:pt idx="62">
                  <c:v>204</c:v>
                </c:pt>
                <c:pt idx="63">
                  <c:v>204.42</c:v>
                </c:pt>
                <c:pt idx="64">
                  <c:v>193.9</c:v>
                </c:pt>
                <c:pt idx="65">
                  <c:v>193.9</c:v>
                </c:pt>
                <c:pt idx="66">
                  <c:v>193.9</c:v>
                </c:pt>
                <c:pt idx="67">
                  <c:v>183.2</c:v>
                </c:pt>
                <c:pt idx="68">
                  <c:v>187</c:v>
                </c:pt>
                <c:pt idx="69">
                  <c:v>195</c:v>
                </c:pt>
                <c:pt idx="70">
                  <c:v>195.6</c:v>
                </c:pt>
                <c:pt idx="71">
                  <c:v>199.97</c:v>
                </c:pt>
                <c:pt idx="72">
                  <c:v>195.6</c:v>
                </c:pt>
                <c:pt idx="73">
                  <c:v>195.6</c:v>
                </c:pt>
                <c:pt idx="74">
                  <c:v>195.6</c:v>
                </c:pt>
                <c:pt idx="75">
                  <c:v>197.2</c:v>
                </c:pt>
                <c:pt idx="76">
                  <c:v>198.6</c:v>
                </c:pt>
                <c:pt idx="77">
                  <c:v>198.6</c:v>
                </c:pt>
                <c:pt idx="78">
                  <c:v>225.16</c:v>
                </c:pt>
                <c:pt idx="79">
                  <c:v>197.7</c:v>
                </c:pt>
                <c:pt idx="80">
                  <c:v>197.7</c:v>
                </c:pt>
                <c:pt idx="81">
                  <c:v>197.7</c:v>
                </c:pt>
                <c:pt idx="82">
                  <c:v>200.05</c:v>
                </c:pt>
                <c:pt idx="83">
                  <c:v>216.21</c:v>
                </c:pt>
                <c:pt idx="84">
                  <c:v>189</c:v>
                </c:pt>
                <c:pt idx="85">
                  <c:v>216.13</c:v>
                </c:pt>
                <c:pt idx="86">
                  <c:v>240.7</c:v>
                </c:pt>
                <c:pt idx="87">
                  <c:v>221.72</c:v>
                </c:pt>
                <c:pt idx="88">
                  <c:v>199.95</c:v>
                </c:pt>
                <c:pt idx="89">
                  <c:v>200.02</c:v>
                </c:pt>
                <c:pt idx="90">
                  <c:v>207.4</c:v>
                </c:pt>
                <c:pt idx="91">
                  <c:v>207.3</c:v>
                </c:pt>
                <c:pt idx="92">
                  <c:v>207.39</c:v>
                </c:pt>
                <c:pt idx="93">
                  <c:v>207.4</c:v>
                </c:pt>
                <c:pt idx="94">
                  <c:v>207.4</c:v>
                </c:pt>
                <c:pt idx="95">
                  <c:v>207.4</c:v>
                </c:pt>
                <c:pt idx="96">
                  <c:v>207.4</c:v>
                </c:pt>
                <c:pt idx="97">
                  <c:v>207.4</c:v>
                </c:pt>
                <c:pt idx="98">
                  <c:v>207.4</c:v>
                </c:pt>
                <c:pt idx="99">
                  <c:v>207.53</c:v>
                </c:pt>
                <c:pt idx="100">
                  <c:v>207.4</c:v>
                </c:pt>
                <c:pt idx="101">
                  <c:v>207.4</c:v>
                </c:pt>
                <c:pt idx="102">
                  <c:v>207.4</c:v>
                </c:pt>
                <c:pt idx="103">
                  <c:v>210.45</c:v>
                </c:pt>
                <c:pt idx="104">
                  <c:v>199.93</c:v>
                </c:pt>
                <c:pt idx="105">
                  <c:v>195</c:v>
                </c:pt>
                <c:pt idx="106">
                  <c:v>211.85</c:v>
                </c:pt>
                <c:pt idx="107">
                  <c:v>211.85</c:v>
                </c:pt>
                <c:pt idx="108">
                  <c:v>212.2</c:v>
                </c:pt>
                <c:pt idx="109">
                  <c:v>190</c:v>
                </c:pt>
                <c:pt idx="110">
                  <c:v>208.97</c:v>
                </c:pt>
                <c:pt idx="111">
                  <c:v>208.93</c:v>
                </c:pt>
                <c:pt idx="112">
                  <c:v>207.2</c:v>
                </c:pt>
                <c:pt idx="113">
                  <c:v>207</c:v>
                </c:pt>
                <c:pt idx="114">
                  <c:v>208.31</c:v>
                </c:pt>
                <c:pt idx="115">
                  <c:v>210.07</c:v>
                </c:pt>
                <c:pt idx="116">
                  <c:v>208.3</c:v>
                </c:pt>
                <c:pt idx="117">
                  <c:v>210</c:v>
                </c:pt>
                <c:pt idx="118">
                  <c:v>210</c:v>
                </c:pt>
                <c:pt idx="119">
                  <c:v>207.37</c:v>
                </c:pt>
                <c:pt idx="120">
                  <c:v>210</c:v>
                </c:pt>
                <c:pt idx="121">
                  <c:v>210</c:v>
                </c:pt>
                <c:pt idx="122">
                  <c:v>210.09</c:v>
                </c:pt>
                <c:pt idx="123">
                  <c:v>210.08</c:v>
                </c:pt>
                <c:pt idx="124">
                  <c:v>210.09</c:v>
                </c:pt>
                <c:pt idx="125">
                  <c:v>210</c:v>
                </c:pt>
                <c:pt idx="126">
                  <c:v>210</c:v>
                </c:pt>
                <c:pt idx="127">
                  <c:v>199.93</c:v>
                </c:pt>
                <c:pt idx="128">
                  <c:v>199.93</c:v>
                </c:pt>
                <c:pt idx="129">
                  <c:v>210.05</c:v>
                </c:pt>
                <c:pt idx="130">
                  <c:v>210.07</c:v>
                </c:pt>
                <c:pt idx="131">
                  <c:v>210.08</c:v>
                </c:pt>
                <c:pt idx="132">
                  <c:v>210.06</c:v>
                </c:pt>
                <c:pt idx="133">
                  <c:v>210</c:v>
                </c:pt>
                <c:pt idx="134">
                  <c:v>210.05</c:v>
                </c:pt>
                <c:pt idx="135">
                  <c:v>210.03</c:v>
                </c:pt>
                <c:pt idx="136">
                  <c:v>210.07</c:v>
                </c:pt>
                <c:pt idx="137">
                  <c:v>210.06</c:v>
                </c:pt>
                <c:pt idx="138">
                  <c:v>210.09</c:v>
                </c:pt>
                <c:pt idx="139">
                  <c:v>210</c:v>
                </c:pt>
                <c:pt idx="140">
                  <c:v>210</c:v>
                </c:pt>
                <c:pt idx="141">
                  <c:v>210</c:v>
                </c:pt>
                <c:pt idx="142">
                  <c:v>210</c:v>
                </c:pt>
                <c:pt idx="143">
                  <c:v>210.07</c:v>
                </c:pt>
                <c:pt idx="144">
                  <c:v>210.06</c:v>
                </c:pt>
                <c:pt idx="145">
                  <c:v>210</c:v>
                </c:pt>
                <c:pt idx="146">
                  <c:v>210</c:v>
                </c:pt>
                <c:pt idx="147">
                  <c:v>210</c:v>
                </c:pt>
                <c:pt idx="148">
                  <c:v>211.85</c:v>
                </c:pt>
                <c:pt idx="149">
                  <c:v>210</c:v>
                </c:pt>
                <c:pt idx="150">
                  <c:v>210</c:v>
                </c:pt>
                <c:pt idx="151">
                  <c:v>210</c:v>
                </c:pt>
                <c:pt idx="152">
                  <c:v>210</c:v>
                </c:pt>
                <c:pt idx="153">
                  <c:v>210</c:v>
                </c:pt>
                <c:pt idx="154">
                  <c:v>202.8</c:v>
                </c:pt>
                <c:pt idx="155">
                  <c:v>210</c:v>
                </c:pt>
                <c:pt idx="156">
                  <c:v>211</c:v>
                </c:pt>
                <c:pt idx="157">
                  <c:v>210</c:v>
                </c:pt>
                <c:pt idx="158">
                  <c:v>216</c:v>
                </c:pt>
                <c:pt idx="159">
                  <c:v>207.92</c:v>
                </c:pt>
                <c:pt idx="160">
                  <c:v>215.29</c:v>
                </c:pt>
                <c:pt idx="161">
                  <c:v>215.47</c:v>
                </c:pt>
                <c:pt idx="162">
                  <c:v>215.13</c:v>
                </c:pt>
                <c:pt idx="163">
                  <c:v>215.32</c:v>
                </c:pt>
                <c:pt idx="164">
                  <c:v>204</c:v>
                </c:pt>
                <c:pt idx="165">
                  <c:v>210.96</c:v>
                </c:pt>
                <c:pt idx="166">
                  <c:v>221.6</c:v>
                </c:pt>
                <c:pt idx="167">
                  <c:v>221.62</c:v>
                </c:pt>
                <c:pt idx="168">
                  <c:v>210.9</c:v>
                </c:pt>
                <c:pt idx="169">
                  <c:v>210.88</c:v>
                </c:pt>
                <c:pt idx="170">
                  <c:v>210.97</c:v>
                </c:pt>
                <c:pt idx="171">
                  <c:v>210.85</c:v>
                </c:pt>
                <c:pt idx="172">
                  <c:v>210.97</c:v>
                </c:pt>
                <c:pt idx="173">
                  <c:v>210.91</c:v>
                </c:pt>
                <c:pt idx="174">
                  <c:v>221.62</c:v>
                </c:pt>
                <c:pt idx="175">
                  <c:v>221</c:v>
                </c:pt>
                <c:pt idx="176">
                  <c:v>221.62</c:v>
                </c:pt>
                <c:pt idx="177">
                  <c:v>221.62</c:v>
                </c:pt>
                <c:pt idx="178">
                  <c:v>221.6</c:v>
                </c:pt>
                <c:pt idx="179">
                  <c:v>221.62</c:v>
                </c:pt>
                <c:pt idx="180">
                  <c:v>207.96</c:v>
                </c:pt>
                <c:pt idx="181">
                  <c:v>225.73</c:v>
                </c:pt>
                <c:pt idx="182">
                  <c:v>224.5</c:v>
                </c:pt>
                <c:pt idx="183">
                  <c:v>228.85</c:v>
                </c:pt>
                <c:pt idx="184">
                  <c:v>225.09</c:v>
                </c:pt>
                <c:pt idx="185">
                  <c:v>212.6</c:v>
                </c:pt>
                <c:pt idx="186">
                  <c:v>212.59</c:v>
                </c:pt>
                <c:pt idx="187">
                  <c:v>207.87</c:v>
                </c:pt>
                <c:pt idx="188">
                  <c:v>207</c:v>
                </c:pt>
                <c:pt idx="189">
                  <c:v>207</c:v>
                </c:pt>
                <c:pt idx="190">
                  <c:v>207</c:v>
                </c:pt>
                <c:pt idx="191">
                  <c:v>206.26</c:v>
                </c:pt>
                <c:pt idx="192">
                  <c:v>225.32</c:v>
                </c:pt>
                <c:pt idx="193">
                  <c:v>225.26</c:v>
                </c:pt>
                <c:pt idx="194">
                  <c:v>224</c:v>
                </c:pt>
                <c:pt idx="195">
                  <c:v>244.97</c:v>
                </c:pt>
                <c:pt idx="196">
                  <c:v>245</c:v>
                </c:pt>
                <c:pt idx="197">
                  <c:v>232</c:v>
                </c:pt>
                <c:pt idx="198">
                  <c:v>222.2</c:v>
                </c:pt>
                <c:pt idx="199">
                  <c:v>222.14</c:v>
                </c:pt>
                <c:pt idx="200">
                  <c:v>222.16</c:v>
                </c:pt>
                <c:pt idx="201">
                  <c:v>222.14</c:v>
                </c:pt>
                <c:pt idx="202">
                  <c:v>222.17</c:v>
                </c:pt>
                <c:pt idx="203">
                  <c:v>222.15</c:v>
                </c:pt>
                <c:pt idx="204">
                  <c:v>222.17</c:v>
                </c:pt>
                <c:pt idx="205">
                  <c:v>222.17</c:v>
                </c:pt>
                <c:pt idx="206">
                  <c:v>222.16</c:v>
                </c:pt>
                <c:pt idx="207">
                  <c:v>222.14</c:v>
                </c:pt>
                <c:pt idx="208">
                  <c:v>222.17</c:v>
                </c:pt>
                <c:pt idx="209">
                  <c:v>222.15</c:v>
                </c:pt>
                <c:pt idx="210">
                  <c:v>222</c:v>
                </c:pt>
                <c:pt idx="211">
                  <c:v>222.14</c:v>
                </c:pt>
                <c:pt idx="212">
                  <c:v>222.17</c:v>
                </c:pt>
                <c:pt idx="213">
                  <c:v>222.2</c:v>
                </c:pt>
                <c:pt idx="214">
                  <c:v>222.17</c:v>
                </c:pt>
                <c:pt idx="215">
                  <c:v>222.2</c:v>
                </c:pt>
                <c:pt idx="216">
                  <c:v>222.14</c:v>
                </c:pt>
                <c:pt idx="217">
                  <c:v>222.17</c:v>
                </c:pt>
                <c:pt idx="218">
                  <c:v>222.14</c:v>
                </c:pt>
                <c:pt idx="219">
                  <c:v>222.17</c:v>
                </c:pt>
                <c:pt idx="220">
                  <c:v>222.14</c:v>
                </c:pt>
                <c:pt idx="221">
                  <c:v>222.17</c:v>
                </c:pt>
                <c:pt idx="222">
                  <c:v>222.11</c:v>
                </c:pt>
                <c:pt idx="223">
                  <c:v>222.17</c:v>
                </c:pt>
                <c:pt idx="224">
                  <c:v>201.5</c:v>
                </c:pt>
                <c:pt idx="225">
                  <c:v>216.3</c:v>
                </c:pt>
                <c:pt idx="226">
                  <c:v>224.2</c:v>
                </c:pt>
                <c:pt idx="227">
                  <c:v>225.04</c:v>
                </c:pt>
                <c:pt idx="228">
                  <c:v>209.53</c:v>
                </c:pt>
                <c:pt idx="229">
                  <c:v>216.83</c:v>
                </c:pt>
                <c:pt idx="230">
                  <c:v>195.68</c:v>
                </c:pt>
                <c:pt idx="231">
                  <c:v>196</c:v>
                </c:pt>
                <c:pt idx="232">
                  <c:v>242.13</c:v>
                </c:pt>
                <c:pt idx="233">
                  <c:v>195.73</c:v>
                </c:pt>
                <c:pt idx="234">
                  <c:v>241.5</c:v>
                </c:pt>
                <c:pt idx="235">
                  <c:v>237</c:v>
                </c:pt>
                <c:pt idx="236">
                  <c:v>237</c:v>
                </c:pt>
                <c:pt idx="237">
                  <c:v>237</c:v>
                </c:pt>
                <c:pt idx="238">
                  <c:v>237</c:v>
                </c:pt>
                <c:pt idx="239">
                  <c:v>237</c:v>
                </c:pt>
                <c:pt idx="240">
                  <c:v>236</c:v>
                </c:pt>
                <c:pt idx="241">
                  <c:v>239.99</c:v>
                </c:pt>
                <c:pt idx="242">
                  <c:v>220.43</c:v>
                </c:pt>
                <c:pt idx="243">
                  <c:v>221</c:v>
                </c:pt>
                <c:pt idx="244">
                  <c:v>220.3</c:v>
                </c:pt>
                <c:pt idx="245">
                  <c:v>220.31</c:v>
                </c:pt>
                <c:pt idx="246">
                  <c:v>220</c:v>
                </c:pt>
                <c:pt idx="247">
                  <c:v>223.3</c:v>
                </c:pt>
                <c:pt idx="248">
                  <c:v>223.3</c:v>
                </c:pt>
                <c:pt idx="249">
                  <c:v>223.5</c:v>
                </c:pt>
                <c:pt idx="250">
                  <c:v>220.31</c:v>
                </c:pt>
                <c:pt idx="251">
                  <c:v>220.44</c:v>
                </c:pt>
                <c:pt idx="252">
                  <c:v>243.35</c:v>
                </c:pt>
                <c:pt idx="253">
                  <c:v>243.35</c:v>
                </c:pt>
                <c:pt idx="254">
                  <c:v>243.4</c:v>
                </c:pt>
                <c:pt idx="255">
                  <c:v>243.35</c:v>
                </c:pt>
                <c:pt idx="256">
                  <c:v>243.4</c:v>
                </c:pt>
                <c:pt idx="257">
                  <c:v>244.2</c:v>
                </c:pt>
                <c:pt idx="258">
                  <c:v>244.15</c:v>
                </c:pt>
                <c:pt idx="259">
                  <c:v>222.5</c:v>
                </c:pt>
                <c:pt idx="260">
                  <c:v>222.5</c:v>
                </c:pt>
                <c:pt idx="261">
                  <c:v>242.81</c:v>
                </c:pt>
                <c:pt idx="262">
                  <c:v>222.53</c:v>
                </c:pt>
                <c:pt idx="263">
                  <c:v>222.5</c:v>
                </c:pt>
                <c:pt idx="264">
                  <c:v>230.98</c:v>
                </c:pt>
                <c:pt idx="265">
                  <c:v>228.62</c:v>
                </c:pt>
                <c:pt idx="266">
                  <c:v>222.52</c:v>
                </c:pt>
                <c:pt idx="267">
                  <c:v>228.5</c:v>
                </c:pt>
                <c:pt idx="268">
                  <c:v>243.3</c:v>
                </c:pt>
                <c:pt idx="269">
                  <c:v>242.83</c:v>
                </c:pt>
                <c:pt idx="270">
                  <c:v>242.81</c:v>
                </c:pt>
                <c:pt idx="271">
                  <c:v>242.81</c:v>
                </c:pt>
                <c:pt idx="272">
                  <c:v>228.5</c:v>
                </c:pt>
                <c:pt idx="273">
                  <c:v>229</c:v>
                </c:pt>
                <c:pt idx="274">
                  <c:v>253.7</c:v>
                </c:pt>
                <c:pt idx="275">
                  <c:v>253.7</c:v>
                </c:pt>
                <c:pt idx="276">
                  <c:v>253</c:v>
                </c:pt>
                <c:pt idx="277">
                  <c:v>253.7</c:v>
                </c:pt>
                <c:pt idx="278">
                  <c:v>243.15</c:v>
                </c:pt>
                <c:pt idx="279">
                  <c:v>243.15</c:v>
                </c:pt>
                <c:pt idx="280">
                  <c:v>243</c:v>
                </c:pt>
                <c:pt idx="281">
                  <c:v>243.12</c:v>
                </c:pt>
                <c:pt idx="282">
                  <c:v>242</c:v>
                </c:pt>
                <c:pt idx="283">
                  <c:v>242.06</c:v>
                </c:pt>
                <c:pt idx="284">
                  <c:v>246</c:v>
                </c:pt>
                <c:pt idx="285">
                  <c:v>246.83</c:v>
                </c:pt>
                <c:pt idx="286">
                  <c:v>239.8</c:v>
                </c:pt>
                <c:pt idx="287">
                  <c:v>230.99</c:v>
                </c:pt>
                <c:pt idx="288">
                  <c:v>290.89999999999998</c:v>
                </c:pt>
                <c:pt idx="289">
                  <c:v>230.9</c:v>
                </c:pt>
                <c:pt idx="290">
                  <c:v>230.9</c:v>
                </c:pt>
                <c:pt idx="291">
                  <c:v>230.9</c:v>
                </c:pt>
                <c:pt idx="292">
                  <c:v>231</c:v>
                </c:pt>
                <c:pt idx="293">
                  <c:v>230.9</c:v>
                </c:pt>
                <c:pt idx="294">
                  <c:v>231</c:v>
                </c:pt>
                <c:pt idx="295">
                  <c:v>231</c:v>
                </c:pt>
                <c:pt idx="296">
                  <c:v>230.94</c:v>
                </c:pt>
                <c:pt idx="297">
                  <c:v>246.8</c:v>
                </c:pt>
                <c:pt idx="298">
                  <c:v>246.8</c:v>
                </c:pt>
                <c:pt idx="299">
                  <c:v>246.8</c:v>
                </c:pt>
                <c:pt idx="300">
                  <c:v>200</c:v>
                </c:pt>
                <c:pt idx="301">
                  <c:v>244.9</c:v>
                </c:pt>
                <c:pt idx="302">
                  <c:v>244.91</c:v>
                </c:pt>
                <c:pt idx="303">
                  <c:v>254</c:v>
                </c:pt>
                <c:pt idx="304">
                  <c:v>254.06</c:v>
                </c:pt>
                <c:pt idx="305">
                  <c:v>240</c:v>
                </c:pt>
                <c:pt idx="306">
                  <c:v>240</c:v>
                </c:pt>
                <c:pt idx="307">
                  <c:v>240</c:v>
                </c:pt>
                <c:pt idx="308">
                  <c:v>239.96</c:v>
                </c:pt>
                <c:pt idx="309">
                  <c:v>240</c:v>
                </c:pt>
                <c:pt idx="310">
                  <c:v>254.07</c:v>
                </c:pt>
                <c:pt idx="311">
                  <c:v>266.3</c:v>
                </c:pt>
                <c:pt idx="312">
                  <c:v>266</c:v>
                </c:pt>
                <c:pt idx="313">
                  <c:v>200.02</c:v>
                </c:pt>
                <c:pt idx="314">
                  <c:v>257.38</c:v>
                </c:pt>
                <c:pt idx="315">
                  <c:v>257.33</c:v>
                </c:pt>
                <c:pt idx="316">
                  <c:v>257.33999999999997</c:v>
                </c:pt>
                <c:pt idx="317">
                  <c:v>257.37</c:v>
                </c:pt>
                <c:pt idx="318">
                  <c:v>269.67</c:v>
                </c:pt>
                <c:pt idx="319">
                  <c:v>257.35000000000002</c:v>
                </c:pt>
                <c:pt idx="320">
                  <c:v>230</c:v>
                </c:pt>
                <c:pt idx="321">
                  <c:v>230</c:v>
                </c:pt>
                <c:pt idx="322">
                  <c:v>276.5</c:v>
                </c:pt>
                <c:pt idx="323">
                  <c:v>276.5</c:v>
                </c:pt>
                <c:pt idx="324">
                  <c:v>276.5</c:v>
                </c:pt>
                <c:pt idx="325">
                  <c:v>276.5</c:v>
                </c:pt>
                <c:pt idx="326">
                  <c:v>288.31</c:v>
                </c:pt>
                <c:pt idx="327">
                  <c:v>258</c:v>
                </c:pt>
                <c:pt idx="328">
                  <c:v>260.66000000000003</c:v>
                </c:pt>
                <c:pt idx="329">
                  <c:v>260.56</c:v>
                </c:pt>
                <c:pt idx="330">
                  <c:v>260.62</c:v>
                </c:pt>
                <c:pt idx="331">
                  <c:v>230</c:v>
                </c:pt>
                <c:pt idx="332">
                  <c:v>230</c:v>
                </c:pt>
                <c:pt idx="333">
                  <c:v>230</c:v>
                </c:pt>
                <c:pt idx="334">
                  <c:v>230</c:v>
                </c:pt>
                <c:pt idx="335">
                  <c:v>230</c:v>
                </c:pt>
                <c:pt idx="336">
                  <c:v>230</c:v>
                </c:pt>
                <c:pt idx="337">
                  <c:v>294.11</c:v>
                </c:pt>
                <c:pt idx="338">
                  <c:v>294.11</c:v>
                </c:pt>
                <c:pt idx="339">
                  <c:v>259.33999999999997</c:v>
                </c:pt>
                <c:pt idx="340">
                  <c:v>260.14999999999998</c:v>
                </c:pt>
                <c:pt idx="341">
                  <c:v>260.14999999999998</c:v>
                </c:pt>
                <c:pt idx="342">
                  <c:v>260.52</c:v>
                </c:pt>
                <c:pt idx="343">
                  <c:v>294.12</c:v>
                </c:pt>
                <c:pt idx="344">
                  <c:v>289.5</c:v>
                </c:pt>
                <c:pt idx="345">
                  <c:v>260.69</c:v>
                </c:pt>
                <c:pt idx="346">
                  <c:v>260.66000000000003</c:v>
                </c:pt>
                <c:pt idx="347">
                  <c:v>267.7</c:v>
                </c:pt>
                <c:pt idx="348">
                  <c:v>267.7</c:v>
                </c:pt>
                <c:pt idx="349">
                  <c:v>266.3</c:v>
                </c:pt>
                <c:pt idx="350">
                  <c:v>266.3</c:v>
                </c:pt>
                <c:pt idx="351">
                  <c:v>265.83999999999997</c:v>
                </c:pt>
                <c:pt idx="352">
                  <c:v>265.83999999999997</c:v>
                </c:pt>
                <c:pt idx="353">
                  <c:v>267.7</c:v>
                </c:pt>
                <c:pt idx="354">
                  <c:v>259.60000000000002</c:v>
                </c:pt>
                <c:pt idx="355">
                  <c:v>281.02999999999997</c:v>
                </c:pt>
                <c:pt idx="356">
                  <c:v>281</c:v>
                </c:pt>
                <c:pt idx="357">
                  <c:v>281</c:v>
                </c:pt>
                <c:pt idx="358">
                  <c:v>281.08</c:v>
                </c:pt>
                <c:pt idx="359">
                  <c:v>281</c:v>
                </c:pt>
                <c:pt idx="360">
                  <c:v>281</c:v>
                </c:pt>
                <c:pt idx="361">
                  <c:v>281</c:v>
                </c:pt>
                <c:pt idx="362">
                  <c:v>281</c:v>
                </c:pt>
                <c:pt idx="363">
                  <c:v>264.05</c:v>
                </c:pt>
                <c:pt idx="364">
                  <c:v>264.04000000000002</c:v>
                </c:pt>
                <c:pt idx="365">
                  <c:v>258</c:v>
                </c:pt>
                <c:pt idx="366">
                  <c:v>257.87</c:v>
                </c:pt>
                <c:pt idx="367">
                  <c:v>292.10000000000002</c:v>
                </c:pt>
                <c:pt idx="368">
                  <c:v>293</c:v>
                </c:pt>
                <c:pt idx="369">
                  <c:v>268.8</c:v>
                </c:pt>
                <c:pt idx="370">
                  <c:v>269</c:v>
                </c:pt>
                <c:pt idx="371">
                  <c:v>294.10000000000002</c:v>
                </c:pt>
                <c:pt idx="372">
                  <c:v>260.5</c:v>
                </c:pt>
                <c:pt idx="373">
                  <c:v>260</c:v>
                </c:pt>
                <c:pt idx="374">
                  <c:v>259.8</c:v>
                </c:pt>
                <c:pt idx="375">
                  <c:v>261</c:v>
                </c:pt>
                <c:pt idx="376">
                  <c:v>267.17</c:v>
                </c:pt>
                <c:pt idx="377">
                  <c:v>261</c:v>
                </c:pt>
                <c:pt idx="378">
                  <c:v>261</c:v>
                </c:pt>
                <c:pt idx="379">
                  <c:v>261</c:v>
                </c:pt>
                <c:pt idx="380">
                  <c:v>261.01</c:v>
                </c:pt>
                <c:pt idx="381">
                  <c:v>261.04000000000002</c:v>
                </c:pt>
                <c:pt idx="382">
                  <c:v>261.02999999999997</c:v>
                </c:pt>
                <c:pt idx="383">
                  <c:v>260.64999999999998</c:v>
                </c:pt>
                <c:pt idx="384">
                  <c:v>260.70999999999998</c:v>
                </c:pt>
                <c:pt idx="385">
                  <c:v>260.01</c:v>
                </c:pt>
                <c:pt idx="386">
                  <c:v>260</c:v>
                </c:pt>
                <c:pt idx="387">
                  <c:v>260.7</c:v>
                </c:pt>
                <c:pt idx="388">
                  <c:v>260</c:v>
                </c:pt>
                <c:pt idx="389">
                  <c:v>260.66000000000003</c:v>
                </c:pt>
                <c:pt idx="390">
                  <c:v>260.02</c:v>
                </c:pt>
                <c:pt idx="391">
                  <c:v>260.05</c:v>
                </c:pt>
                <c:pt idx="392">
                  <c:v>260.66000000000003</c:v>
                </c:pt>
                <c:pt idx="393">
                  <c:v>260.93</c:v>
                </c:pt>
                <c:pt idx="394">
                  <c:v>261.04000000000002</c:v>
                </c:pt>
                <c:pt idx="395">
                  <c:v>261.08999999999997</c:v>
                </c:pt>
                <c:pt idx="396">
                  <c:v>268.8</c:v>
                </c:pt>
                <c:pt idx="397">
                  <c:v>263.2</c:v>
                </c:pt>
                <c:pt idx="398">
                  <c:v>263.23</c:v>
                </c:pt>
                <c:pt idx="399">
                  <c:v>263.23</c:v>
                </c:pt>
                <c:pt idx="400">
                  <c:v>263.23</c:v>
                </c:pt>
                <c:pt idx="401">
                  <c:v>263.23</c:v>
                </c:pt>
                <c:pt idx="402">
                  <c:v>261.10000000000002</c:v>
                </c:pt>
                <c:pt idx="403">
                  <c:v>260.64</c:v>
                </c:pt>
                <c:pt idx="404">
                  <c:v>260</c:v>
                </c:pt>
                <c:pt idx="405">
                  <c:v>260.62</c:v>
                </c:pt>
                <c:pt idx="406">
                  <c:v>259.8</c:v>
                </c:pt>
                <c:pt idx="407">
                  <c:v>268.8</c:v>
                </c:pt>
                <c:pt idx="408">
                  <c:v>268.8</c:v>
                </c:pt>
                <c:pt idx="409">
                  <c:v>268.8</c:v>
                </c:pt>
                <c:pt idx="410">
                  <c:v>260.10000000000002</c:v>
                </c:pt>
                <c:pt idx="411">
                  <c:v>260.05</c:v>
                </c:pt>
                <c:pt idx="412">
                  <c:v>259</c:v>
                </c:pt>
                <c:pt idx="413">
                  <c:v>259.8</c:v>
                </c:pt>
                <c:pt idx="414">
                  <c:v>259.8</c:v>
                </c:pt>
                <c:pt idx="415">
                  <c:v>260.05</c:v>
                </c:pt>
                <c:pt idx="416">
                  <c:v>259.8</c:v>
                </c:pt>
                <c:pt idx="417">
                  <c:v>259.8</c:v>
                </c:pt>
                <c:pt idx="418">
                  <c:v>260.10000000000002</c:v>
                </c:pt>
                <c:pt idx="419">
                  <c:v>260.10000000000002</c:v>
                </c:pt>
                <c:pt idx="420">
                  <c:v>257</c:v>
                </c:pt>
                <c:pt idx="421">
                  <c:v>260.05</c:v>
                </c:pt>
                <c:pt idx="422">
                  <c:v>260</c:v>
                </c:pt>
                <c:pt idx="423">
                  <c:v>260.05</c:v>
                </c:pt>
                <c:pt idx="424">
                  <c:v>260.07</c:v>
                </c:pt>
                <c:pt idx="425">
                  <c:v>259.8</c:v>
                </c:pt>
                <c:pt idx="426">
                  <c:v>265.02999999999997</c:v>
                </c:pt>
                <c:pt idx="427">
                  <c:v>265</c:v>
                </c:pt>
                <c:pt idx="428">
                  <c:v>265.06</c:v>
                </c:pt>
                <c:pt idx="429">
                  <c:v>265.14999999999998</c:v>
                </c:pt>
                <c:pt idx="430">
                  <c:v>264.95999999999998</c:v>
                </c:pt>
                <c:pt idx="431">
                  <c:v>262.07</c:v>
                </c:pt>
                <c:pt idx="432">
                  <c:v>262.07</c:v>
                </c:pt>
                <c:pt idx="433">
                  <c:v>262.05</c:v>
                </c:pt>
                <c:pt idx="434">
                  <c:v>262.06</c:v>
                </c:pt>
                <c:pt idx="435">
                  <c:v>261.10000000000002</c:v>
                </c:pt>
                <c:pt idx="436">
                  <c:v>292.14999999999998</c:v>
                </c:pt>
                <c:pt idx="437">
                  <c:v>292.14999999999998</c:v>
                </c:pt>
                <c:pt idx="438">
                  <c:v>264.12</c:v>
                </c:pt>
                <c:pt idx="439">
                  <c:v>264.01</c:v>
                </c:pt>
                <c:pt idx="440">
                  <c:v>264.11</c:v>
                </c:pt>
                <c:pt idx="441">
                  <c:v>264</c:v>
                </c:pt>
                <c:pt idx="442">
                  <c:v>259.8</c:v>
                </c:pt>
                <c:pt idx="443">
                  <c:v>259.8</c:v>
                </c:pt>
                <c:pt idx="444">
                  <c:v>262.08999999999997</c:v>
                </c:pt>
                <c:pt idx="445">
                  <c:v>266.83999999999997</c:v>
                </c:pt>
                <c:pt idx="446">
                  <c:v>259.8</c:v>
                </c:pt>
                <c:pt idx="447">
                  <c:v>260.89</c:v>
                </c:pt>
                <c:pt idx="448">
                  <c:v>262.06</c:v>
                </c:pt>
                <c:pt idx="449">
                  <c:v>259.8</c:v>
                </c:pt>
                <c:pt idx="450">
                  <c:v>259.8</c:v>
                </c:pt>
                <c:pt idx="451">
                  <c:v>273.7</c:v>
                </c:pt>
                <c:pt idx="452">
                  <c:v>264.20999999999998</c:v>
                </c:pt>
                <c:pt idx="453">
                  <c:v>264.20999999999998</c:v>
                </c:pt>
                <c:pt idx="454">
                  <c:v>292.06</c:v>
                </c:pt>
                <c:pt idx="455">
                  <c:v>258.91000000000003</c:v>
                </c:pt>
                <c:pt idx="456">
                  <c:v>280</c:v>
                </c:pt>
                <c:pt idx="457">
                  <c:v>259.8</c:v>
                </c:pt>
                <c:pt idx="458">
                  <c:v>259.8</c:v>
                </c:pt>
                <c:pt idx="459">
                  <c:v>282.08999999999997</c:v>
                </c:pt>
                <c:pt idx="460">
                  <c:v>260</c:v>
                </c:pt>
                <c:pt idx="461">
                  <c:v>282.10000000000002</c:v>
                </c:pt>
                <c:pt idx="462">
                  <c:v>282.14</c:v>
                </c:pt>
                <c:pt idx="463">
                  <c:v>260.32</c:v>
                </c:pt>
                <c:pt idx="464">
                  <c:v>282.05</c:v>
                </c:pt>
                <c:pt idx="465">
                  <c:v>294.07</c:v>
                </c:pt>
                <c:pt idx="466">
                  <c:v>294</c:v>
                </c:pt>
                <c:pt idx="467">
                  <c:v>264</c:v>
                </c:pt>
                <c:pt idx="468">
                  <c:v>264</c:v>
                </c:pt>
                <c:pt idx="469">
                  <c:v>259.98</c:v>
                </c:pt>
                <c:pt idx="470">
                  <c:v>294</c:v>
                </c:pt>
                <c:pt idx="471">
                  <c:v>294</c:v>
                </c:pt>
                <c:pt idx="472">
                  <c:v>294</c:v>
                </c:pt>
                <c:pt idx="473">
                  <c:v>294</c:v>
                </c:pt>
                <c:pt idx="474">
                  <c:v>294.12</c:v>
                </c:pt>
                <c:pt idx="475">
                  <c:v>294</c:v>
                </c:pt>
                <c:pt idx="476">
                  <c:v>294.11</c:v>
                </c:pt>
                <c:pt idx="477">
                  <c:v>294.11</c:v>
                </c:pt>
                <c:pt idx="478">
                  <c:v>294.12</c:v>
                </c:pt>
                <c:pt idx="479">
                  <c:v>286.26</c:v>
                </c:pt>
                <c:pt idx="480">
                  <c:v>275</c:v>
                </c:pt>
                <c:pt idx="481">
                  <c:v>278.94</c:v>
                </c:pt>
                <c:pt idx="482">
                  <c:v>266</c:v>
                </c:pt>
                <c:pt idx="483">
                  <c:v>294.06</c:v>
                </c:pt>
                <c:pt idx="484">
                  <c:v>294.10000000000002</c:v>
                </c:pt>
                <c:pt idx="485">
                  <c:v>293</c:v>
                </c:pt>
                <c:pt idx="486">
                  <c:v>293.5</c:v>
                </c:pt>
                <c:pt idx="487">
                  <c:v>269.8</c:v>
                </c:pt>
                <c:pt idx="488">
                  <c:v>269.8</c:v>
                </c:pt>
                <c:pt idx="489">
                  <c:v>269.8</c:v>
                </c:pt>
                <c:pt idx="490">
                  <c:v>269.8</c:v>
                </c:pt>
                <c:pt idx="491">
                  <c:v>292.07</c:v>
                </c:pt>
                <c:pt idx="492">
                  <c:v>294.13</c:v>
                </c:pt>
                <c:pt idx="493">
                  <c:v>294.12</c:v>
                </c:pt>
                <c:pt idx="494">
                  <c:v>291.68</c:v>
                </c:pt>
                <c:pt idx="495">
                  <c:v>295</c:v>
                </c:pt>
                <c:pt idx="496">
                  <c:v>294.10000000000002</c:v>
                </c:pt>
                <c:pt idx="497">
                  <c:v>259.8</c:v>
                </c:pt>
                <c:pt idx="498">
                  <c:v>260.05</c:v>
                </c:pt>
                <c:pt idx="499">
                  <c:v>260.10000000000002</c:v>
                </c:pt>
                <c:pt idx="500">
                  <c:v>264.32</c:v>
                </c:pt>
                <c:pt idx="501">
                  <c:v>264</c:v>
                </c:pt>
                <c:pt idx="502">
                  <c:v>293.94</c:v>
                </c:pt>
                <c:pt idx="503">
                  <c:v>294.04000000000002</c:v>
                </c:pt>
                <c:pt idx="504">
                  <c:v>294</c:v>
                </c:pt>
                <c:pt idx="505">
                  <c:v>294</c:v>
                </c:pt>
                <c:pt idx="506">
                  <c:v>294</c:v>
                </c:pt>
                <c:pt idx="507">
                  <c:v>294</c:v>
                </c:pt>
                <c:pt idx="508">
                  <c:v>275.04000000000002</c:v>
                </c:pt>
                <c:pt idx="509">
                  <c:v>292.07</c:v>
                </c:pt>
                <c:pt idx="510">
                  <c:v>259</c:v>
                </c:pt>
                <c:pt idx="511">
                  <c:v>259</c:v>
                </c:pt>
                <c:pt idx="512">
                  <c:v>259</c:v>
                </c:pt>
                <c:pt idx="513">
                  <c:v>259</c:v>
                </c:pt>
                <c:pt idx="514">
                  <c:v>294.10000000000002</c:v>
                </c:pt>
                <c:pt idx="515">
                  <c:v>294.10000000000002</c:v>
                </c:pt>
                <c:pt idx="516">
                  <c:v>294.10000000000002</c:v>
                </c:pt>
                <c:pt idx="517">
                  <c:v>299.83999999999997</c:v>
                </c:pt>
                <c:pt idx="518">
                  <c:v>294.10000000000002</c:v>
                </c:pt>
                <c:pt idx="519">
                  <c:v>294</c:v>
                </c:pt>
                <c:pt idx="520">
                  <c:v>294.12</c:v>
                </c:pt>
                <c:pt idx="521">
                  <c:v>293</c:v>
                </c:pt>
                <c:pt idx="522">
                  <c:v>294.12</c:v>
                </c:pt>
                <c:pt idx="523">
                  <c:v>294.12</c:v>
                </c:pt>
                <c:pt idx="524">
                  <c:v>299.95</c:v>
                </c:pt>
                <c:pt idx="525">
                  <c:v>293</c:v>
                </c:pt>
                <c:pt idx="526">
                  <c:v>294.12</c:v>
                </c:pt>
                <c:pt idx="527">
                  <c:v>294.10000000000002</c:v>
                </c:pt>
                <c:pt idx="528">
                  <c:v>294.10000000000002</c:v>
                </c:pt>
                <c:pt idx="529">
                  <c:v>294.06</c:v>
                </c:pt>
                <c:pt idx="530">
                  <c:v>294</c:v>
                </c:pt>
                <c:pt idx="531">
                  <c:v>274.98</c:v>
                </c:pt>
                <c:pt idx="532">
                  <c:v>275</c:v>
                </c:pt>
                <c:pt idx="533">
                  <c:v>274.97000000000003</c:v>
                </c:pt>
                <c:pt idx="534">
                  <c:v>274.98</c:v>
                </c:pt>
                <c:pt idx="535">
                  <c:v>274.95</c:v>
                </c:pt>
                <c:pt idx="536">
                  <c:v>274.97000000000003</c:v>
                </c:pt>
                <c:pt idx="537">
                  <c:v>275.41000000000003</c:v>
                </c:pt>
                <c:pt idx="538">
                  <c:v>275</c:v>
                </c:pt>
                <c:pt idx="539">
                  <c:v>275</c:v>
                </c:pt>
                <c:pt idx="540">
                  <c:v>294</c:v>
                </c:pt>
                <c:pt idx="541">
                  <c:v>294.12</c:v>
                </c:pt>
                <c:pt idx="542">
                  <c:v>294</c:v>
                </c:pt>
                <c:pt idx="543">
                  <c:v>294.12</c:v>
                </c:pt>
                <c:pt idx="544">
                  <c:v>294</c:v>
                </c:pt>
                <c:pt idx="545">
                  <c:v>294</c:v>
                </c:pt>
                <c:pt idx="546">
                  <c:v>294</c:v>
                </c:pt>
                <c:pt idx="547">
                  <c:v>293</c:v>
                </c:pt>
                <c:pt idx="548">
                  <c:v>294.10000000000002</c:v>
                </c:pt>
                <c:pt idx="549">
                  <c:v>294.12</c:v>
                </c:pt>
                <c:pt idx="550">
                  <c:v>294.12</c:v>
                </c:pt>
                <c:pt idx="551">
                  <c:v>293.99</c:v>
                </c:pt>
                <c:pt idx="552">
                  <c:v>275</c:v>
                </c:pt>
                <c:pt idx="553">
                  <c:v>294.04000000000002</c:v>
                </c:pt>
                <c:pt idx="554">
                  <c:v>293.99</c:v>
                </c:pt>
                <c:pt idx="555">
                  <c:v>294.17</c:v>
                </c:pt>
                <c:pt idx="556">
                  <c:v>294.10000000000002</c:v>
                </c:pt>
                <c:pt idx="557">
                  <c:v>295</c:v>
                </c:pt>
                <c:pt idx="558">
                  <c:v>294.10000000000002</c:v>
                </c:pt>
                <c:pt idx="559">
                  <c:v>295</c:v>
                </c:pt>
                <c:pt idx="560">
                  <c:v>294.08999999999997</c:v>
                </c:pt>
                <c:pt idx="561">
                  <c:v>299.95</c:v>
                </c:pt>
                <c:pt idx="562">
                  <c:v>299.95</c:v>
                </c:pt>
                <c:pt idx="563">
                  <c:v>256</c:v>
                </c:pt>
                <c:pt idx="564">
                  <c:v>294</c:v>
                </c:pt>
                <c:pt idx="565">
                  <c:v>294.12</c:v>
                </c:pt>
                <c:pt idx="566">
                  <c:v>294</c:v>
                </c:pt>
                <c:pt idx="567">
                  <c:v>255.4</c:v>
                </c:pt>
                <c:pt idx="568">
                  <c:v>294.10000000000002</c:v>
                </c:pt>
                <c:pt idx="569">
                  <c:v>294</c:v>
                </c:pt>
                <c:pt idx="570">
                  <c:v>294.12</c:v>
                </c:pt>
                <c:pt idx="571">
                  <c:v>294.10000000000002</c:v>
                </c:pt>
                <c:pt idx="572">
                  <c:v>294.13</c:v>
                </c:pt>
                <c:pt idx="573">
                  <c:v>294.13</c:v>
                </c:pt>
                <c:pt idx="574">
                  <c:v>294</c:v>
                </c:pt>
                <c:pt idx="575">
                  <c:v>294.51</c:v>
                </c:pt>
                <c:pt idx="576">
                  <c:v>294.51</c:v>
                </c:pt>
                <c:pt idx="577">
                  <c:v>294.08999999999997</c:v>
                </c:pt>
                <c:pt idx="578">
                  <c:v>294.08999999999997</c:v>
                </c:pt>
                <c:pt idx="579">
                  <c:v>294</c:v>
                </c:pt>
                <c:pt idx="580">
                  <c:v>294.08999999999997</c:v>
                </c:pt>
                <c:pt idx="581">
                  <c:v>294.05</c:v>
                </c:pt>
                <c:pt idx="582">
                  <c:v>294.10000000000002</c:v>
                </c:pt>
                <c:pt idx="583">
                  <c:v>294.08</c:v>
                </c:pt>
                <c:pt idx="584">
                  <c:v>294.05</c:v>
                </c:pt>
                <c:pt idx="585">
                  <c:v>294.10000000000002</c:v>
                </c:pt>
                <c:pt idx="586">
                  <c:v>294.10000000000002</c:v>
                </c:pt>
                <c:pt idx="587">
                  <c:v>294.08</c:v>
                </c:pt>
                <c:pt idx="588">
                  <c:v>294.06</c:v>
                </c:pt>
                <c:pt idx="589">
                  <c:v>294.12</c:v>
                </c:pt>
                <c:pt idx="590">
                  <c:v>293.83999999999997</c:v>
                </c:pt>
                <c:pt idx="591">
                  <c:v>293.89</c:v>
                </c:pt>
                <c:pt idx="592">
                  <c:v>294.05</c:v>
                </c:pt>
                <c:pt idx="593">
                  <c:v>294.10000000000002</c:v>
                </c:pt>
                <c:pt idx="594">
                  <c:v>294</c:v>
                </c:pt>
                <c:pt idx="595">
                  <c:v>294</c:v>
                </c:pt>
                <c:pt idx="596">
                  <c:v>294.10000000000002</c:v>
                </c:pt>
                <c:pt idx="597">
                  <c:v>294.05</c:v>
                </c:pt>
                <c:pt idx="598">
                  <c:v>294.08999999999997</c:v>
                </c:pt>
                <c:pt idx="599">
                  <c:v>276</c:v>
                </c:pt>
                <c:pt idx="600">
                  <c:v>276</c:v>
                </c:pt>
                <c:pt idx="601">
                  <c:v>285</c:v>
                </c:pt>
                <c:pt idx="602">
                  <c:v>278.01</c:v>
                </c:pt>
                <c:pt idx="603">
                  <c:v>255</c:v>
                </c:pt>
                <c:pt idx="604">
                  <c:v>277.97000000000003</c:v>
                </c:pt>
                <c:pt idx="605">
                  <c:v>277</c:v>
                </c:pt>
                <c:pt idx="606">
                  <c:v>268.8</c:v>
                </c:pt>
                <c:pt idx="607">
                  <c:v>269</c:v>
                </c:pt>
                <c:pt idx="608">
                  <c:v>277.3</c:v>
                </c:pt>
                <c:pt idx="609">
                  <c:v>275.8</c:v>
                </c:pt>
                <c:pt idx="610">
                  <c:v>276.2</c:v>
                </c:pt>
                <c:pt idx="611">
                  <c:v>276.2</c:v>
                </c:pt>
                <c:pt idx="612">
                  <c:v>275.8</c:v>
                </c:pt>
                <c:pt idx="613">
                  <c:v>275.8</c:v>
                </c:pt>
                <c:pt idx="614">
                  <c:v>276</c:v>
                </c:pt>
                <c:pt idx="615">
                  <c:v>275.8</c:v>
                </c:pt>
                <c:pt idx="616">
                  <c:v>270.33</c:v>
                </c:pt>
                <c:pt idx="617">
                  <c:v>270.39999999999998</c:v>
                </c:pt>
                <c:pt idx="618">
                  <c:v>270.41000000000003</c:v>
                </c:pt>
                <c:pt idx="619">
                  <c:v>270.39999999999998</c:v>
                </c:pt>
                <c:pt idx="620">
                  <c:v>270.41000000000003</c:v>
                </c:pt>
                <c:pt idx="621">
                  <c:v>274.66000000000003</c:v>
                </c:pt>
                <c:pt idx="622">
                  <c:v>274.68</c:v>
                </c:pt>
                <c:pt idx="623">
                  <c:v>274.60000000000002</c:v>
                </c:pt>
                <c:pt idx="624">
                  <c:v>274.67</c:v>
                </c:pt>
                <c:pt idx="625">
                  <c:v>274.67</c:v>
                </c:pt>
                <c:pt idx="626">
                  <c:v>275</c:v>
                </c:pt>
                <c:pt idx="627">
                  <c:v>272.05</c:v>
                </c:pt>
                <c:pt idx="628">
                  <c:v>272.08</c:v>
                </c:pt>
                <c:pt idx="629">
                  <c:v>272.02</c:v>
                </c:pt>
                <c:pt idx="630">
                  <c:v>272.02</c:v>
                </c:pt>
                <c:pt idx="631">
                  <c:v>272.02</c:v>
                </c:pt>
                <c:pt idx="632">
                  <c:v>272</c:v>
                </c:pt>
                <c:pt idx="633">
                  <c:v>272</c:v>
                </c:pt>
                <c:pt idx="634">
                  <c:v>275</c:v>
                </c:pt>
                <c:pt idx="635">
                  <c:v>278.94</c:v>
                </c:pt>
                <c:pt idx="636">
                  <c:v>278.94</c:v>
                </c:pt>
                <c:pt idx="637">
                  <c:v>278.94</c:v>
                </c:pt>
                <c:pt idx="638">
                  <c:v>278.94</c:v>
                </c:pt>
                <c:pt idx="639">
                  <c:v>274.68</c:v>
                </c:pt>
                <c:pt idx="640">
                  <c:v>275.07</c:v>
                </c:pt>
                <c:pt idx="641">
                  <c:v>275.07</c:v>
                </c:pt>
                <c:pt idx="642">
                  <c:v>275</c:v>
                </c:pt>
                <c:pt idx="643">
                  <c:v>275.07</c:v>
                </c:pt>
                <c:pt idx="644">
                  <c:v>274.67</c:v>
                </c:pt>
                <c:pt idx="645">
                  <c:v>274.67</c:v>
                </c:pt>
                <c:pt idx="646">
                  <c:v>274.67</c:v>
                </c:pt>
                <c:pt idx="647">
                  <c:v>284</c:v>
                </c:pt>
                <c:pt idx="648">
                  <c:v>278.8</c:v>
                </c:pt>
                <c:pt idx="649">
                  <c:v>278.8</c:v>
                </c:pt>
                <c:pt idx="650">
                  <c:v>278.8</c:v>
                </c:pt>
                <c:pt idx="651">
                  <c:v>284.60000000000002</c:v>
                </c:pt>
                <c:pt idx="652">
                  <c:v>318.41000000000003</c:v>
                </c:pt>
                <c:pt idx="653">
                  <c:v>285</c:v>
                </c:pt>
                <c:pt idx="654">
                  <c:v>285</c:v>
                </c:pt>
                <c:pt idx="655">
                  <c:v>285</c:v>
                </c:pt>
                <c:pt idx="656">
                  <c:v>279.89999999999998</c:v>
                </c:pt>
                <c:pt idx="657">
                  <c:v>279.89999999999998</c:v>
                </c:pt>
                <c:pt idx="658">
                  <c:v>279.89999999999998</c:v>
                </c:pt>
                <c:pt idx="659">
                  <c:v>279.89999999999998</c:v>
                </c:pt>
                <c:pt idx="660">
                  <c:v>274.67</c:v>
                </c:pt>
                <c:pt idx="661">
                  <c:v>274.67</c:v>
                </c:pt>
                <c:pt idx="662">
                  <c:v>274.67</c:v>
                </c:pt>
                <c:pt idx="663">
                  <c:v>274.67</c:v>
                </c:pt>
                <c:pt idx="664">
                  <c:v>277.35000000000002</c:v>
                </c:pt>
                <c:pt idx="665">
                  <c:v>277.35000000000002</c:v>
                </c:pt>
                <c:pt idx="666">
                  <c:v>278.8</c:v>
                </c:pt>
                <c:pt idx="667">
                  <c:v>277.27999999999997</c:v>
                </c:pt>
                <c:pt idx="668">
                  <c:v>277.22000000000003</c:v>
                </c:pt>
                <c:pt idx="669">
                  <c:v>277</c:v>
                </c:pt>
                <c:pt idx="670">
                  <c:v>277.32</c:v>
                </c:pt>
                <c:pt idx="671">
                  <c:v>277</c:v>
                </c:pt>
                <c:pt idx="672">
                  <c:v>277</c:v>
                </c:pt>
                <c:pt idx="673">
                  <c:v>277.27</c:v>
                </c:pt>
                <c:pt idx="674">
                  <c:v>277</c:v>
                </c:pt>
                <c:pt idx="675">
                  <c:v>277.3</c:v>
                </c:pt>
                <c:pt idx="676">
                  <c:v>277</c:v>
                </c:pt>
                <c:pt idx="677">
                  <c:v>277.23</c:v>
                </c:pt>
                <c:pt idx="678">
                  <c:v>277</c:v>
                </c:pt>
                <c:pt idx="679">
                  <c:v>277</c:v>
                </c:pt>
                <c:pt idx="680">
                  <c:v>277.3</c:v>
                </c:pt>
                <c:pt idx="681">
                  <c:v>277</c:v>
                </c:pt>
                <c:pt idx="682">
                  <c:v>277</c:v>
                </c:pt>
                <c:pt idx="683">
                  <c:v>277</c:v>
                </c:pt>
                <c:pt idx="684">
                  <c:v>277</c:v>
                </c:pt>
                <c:pt idx="685">
                  <c:v>277</c:v>
                </c:pt>
                <c:pt idx="686">
                  <c:v>277</c:v>
                </c:pt>
                <c:pt idx="687">
                  <c:v>277</c:v>
                </c:pt>
                <c:pt idx="688">
                  <c:v>277.3</c:v>
                </c:pt>
                <c:pt idx="689">
                  <c:v>277.3</c:v>
                </c:pt>
                <c:pt idx="690">
                  <c:v>277.3</c:v>
                </c:pt>
                <c:pt idx="691">
                  <c:v>280.54000000000002</c:v>
                </c:pt>
                <c:pt idx="692">
                  <c:v>280.54000000000002</c:v>
                </c:pt>
                <c:pt idx="693">
                  <c:v>280</c:v>
                </c:pt>
                <c:pt idx="694">
                  <c:v>280.54000000000002</c:v>
                </c:pt>
                <c:pt idx="695">
                  <c:v>281</c:v>
                </c:pt>
                <c:pt idx="696">
                  <c:v>278.94</c:v>
                </c:pt>
                <c:pt idx="697">
                  <c:v>286.45</c:v>
                </c:pt>
                <c:pt idx="698">
                  <c:v>286.45999999999998</c:v>
                </c:pt>
                <c:pt idx="699">
                  <c:v>286.52</c:v>
                </c:pt>
                <c:pt idx="700">
                  <c:v>286.52999999999997</c:v>
                </c:pt>
                <c:pt idx="701">
                  <c:v>286.45</c:v>
                </c:pt>
                <c:pt idx="702">
                  <c:v>286.45999999999998</c:v>
                </c:pt>
                <c:pt idx="703">
                  <c:v>279.7</c:v>
                </c:pt>
                <c:pt idx="704">
                  <c:v>280</c:v>
                </c:pt>
                <c:pt idx="705">
                  <c:v>318</c:v>
                </c:pt>
                <c:pt idx="706">
                  <c:v>318.24</c:v>
                </c:pt>
                <c:pt idx="707">
                  <c:v>299</c:v>
                </c:pt>
                <c:pt idx="708">
                  <c:v>299.8</c:v>
                </c:pt>
                <c:pt idx="709">
                  <c:v>299.8</c:v>
                </c:pt>
                <c:pt idx="710">
                  <c:v>299.8</c:v>
                </c:pt>
                <c:pt idx="711">
                  <c:v>299.47000000000003</c:v>
                </c:pt>
                <c:pt idx="712">
                  <c:v>299</c:v>
                </c:pt>
                <c:pt idx="713">
                  <c:v>299.89999999999998</c:v>
                </c:pt>
                <c:pt idx="714">
                  <c:v>299.89999999999998</c:v>
                </c:pt>
                <c:pt idx="715">
                  <c:v>295.18</c:v>
                </c:pt>
                <c:pt idx="716">
                  <c:v>299.99</c:v>
                </c:pt>
                <c:pt idx="717">
                  <c:v>300</c:v>
                </c:pt>
                <c:pt idx="718">
                  <c:v>300</c:v>
                </c:pt>
                <c:pt idx="719">
                  <c:v>295.18</c:v>
                </c:pt>
                <c:pt idx="720">
                  <c:v>293.18</c:v>
                </c:pt>
                <c:pt idx="721">
                  <c:v>293</c:v>
                </c:pt>
                <c:pt idx="722">
                  <c:v>293</c:v>
                </c:pt>
                <c:pt idx="723">
                  <c:v>293.18</c:v>
                </c:pt>
                <c:pt idx="724">
                  <c:v>293.18</c:v>
                </c:pt>
                <c:pt idx="725">
                  <c:v>293.18</c:v>
                </c:pt>
                <c:pt idx="726">
                  <c:v>293.18</c:v>
                </c:pt>
                <c:pt idx="727">
                  <c:v>293.2</c:v>
                </c:pt>
                <c:pt idx="728">
                  <c:v>293.19</c:v>
                </c:pt>
                <c:pt idx="729">
                  <c:v>293.19</c:v>
                </c:pt>
                <c:pt idx="730">
                  <c:v>293.2</c:v>
                </c:pt>
                <c:pt idx="731">
                  <c:v>293.18</c:v>
                </c:pt>
                <c:pt idx="732">
                  <c:v>293.18</c:v>
                </c:pt>
                <c:pt idx="733">
                  <c:v>293</c:v>
                </c:pt>
                <c:pt idx="734">
                  <c:v>293.2</c:v>
                </c:pt>
                <c:pt idx="735">
                  <c:v>293.18</c:v>
                </c:pt>
                <c:pt idx="736">
                  <c:v>304</c:v>
                </c:pt>
                <c:pt idx="737">
                  <c:v>293.87</c:v>
                </c:pt>
                <c:pt idx="738">
                  <c:v>304</c:v>
                </c:pt>
                <c:pt idx="739">
                  <c:v>303.92</c:v>
                </c:pt>
                <c:pt idx="740">
                  <c:v>304</c:v>
                </c:pt>
                <c:pt idx="741">
                  <c:v>304</c:v>
                </c:pt>
                <c:pt idx="742">
                  <c:v>303.93</c:v>
                </c:pt>
                <c:pt idx="743">
                  <c:v>303.92</c:v>
                </c:pt>
                <c:pt idx="744">
                  <c:v>293.87</c:v>
                </c:pt>
                <c:pt idx="745">
                  <c:v>293.87</c:v>
                </c:pt>
                <c:pt idx="746">
                  <c:v>318.24</c:v>
                </c:pt>
                <c:pt idx="747">
                  <c:v>318</c:v>
                </c:pt>
                <c:pt idx="748">
                  <c:v>318.24</c:v>
                </c:pt>
                <c:pt idx="749">
                  <c:v>318.24</c:v>
                </c:pt>
                <c:pt idx="750">
                  <c:v>304</c:v>
                </c:pt>
                <c:pt idx="751">
                  <c:v>306.10000000000002</c:v>
                </c:pt>
                <c:pt idx="752">
                  <c:v>306</c:v>
                </c:pt>
                <c:pt idx="753">
                  <c:v>306.10000000000002</c:v>
                </c:pt>
                <c:pt idx="754">
                  <c:v>306</c:v>
                </c:pt>
                <c:pt idx="755">
                  <c:v>306</c:v>
                </c:pt>
                <c:pt idx="756">
                  <c:v>306</c:v>
                </c:pt>
                <c:pt idx="757">
                  <c:v>300</c:v>
                </c:pt>
                <c:pt idx="758">
                  <c:v>300</c:v>
                </c:pt>
                <c:pt idx="759">
                  <c:v>300</c:v>
                </c:pt>
                <c:pt idx="760">
                  <c:v>299.89999999999998</c:v>
                </c:pt>
                <c:pt idx="761">
                  <c:v>299.47000000000003</c:v>
                </c:pt>
                <c:pt idx="762">
                  <c:v>299.89999999999998</c:v>
                </c:pt>
                <c:pt idx="763">
                  <c:v>299.89999999999998</c:v>
                </c:pt>
                <c:pt idx="764">
                  <c:v>299.89999999999998</c:v>
                </c:pt>
                <c:pt idx="765">
                  <c:v>304.17</c:v>
                </c:pt>
                <c:pt idx="766">
                  <c:v>299.2</c:v>
                </c:pt>
                <c:pt idx="767">
                  <c:v>299</c:v>
                </c:pt>
                <c:pt idx="768">
                  <c:v>299</c:v>
                </c:pt>
                <c:pt idx="769">
                  <c:v>304</c:v>
                </c:pt>
                <c:pt idx="770">
                  <c:v>300</c:v>
                </c:pt>
                <c:pt idx="771">
                  <c:v>304.14</c:v>
                </c:pt>
                <c:pt idx="772">
                  <c:v>304.12</c:v>
                </c:pt>
                <c:pt idx="773">
                  <c:v>304.10000000000002</c:v>
                </c:pt>
                <c:pt idx="774">
                  <c:v>304.13</c:v>
                </c:pt>
                <c:pt idx="775">
                  <c:v>299.97000000000003</c:v>
                </c:pt>
                <c:pt idx="776">
                  <c:v>299.93</c:v>
                </c:pt>
                <c:pt idx="777">
                  <c:v>299.97000000000003</c:v>
                </c:pt>
                <c:pt idx="778">
                  <c:v>299.93</c:v>
                </c:pt>
                <c:pt idx="779">
                  <c:v>299.27</c:v>
                </c:pt>
                <c:pt idx="780">
                  <c:v>299.2</c:v>
                </c:pt>
                <c:pt idx="781">
                  <c:v>299.95</c:v>
                </c:pt>
                <c:pt idx="782">
                  <c:v>299.95</c:v>
                </c:pt>
                <c:pt idx="783">
                  <c:v>299.95</c:v>
                </c:pt>
                <c:pt idx="784">
                  <c:v>299.95</c:v>
                </c:pt>
                <c:pt idx="785">
                  <c:v>306</c:v>
                </c:pt>
                <c:pt idx="786">
                  <c:v>306</c:v>
                </c:pt>
                <c:pt idx="787">
                  <c:v>305.60000000000002</c:v>
                </c:pt>
                <c:pt idx="788">
                  <c:v>305</c:v>
                </c:pt>
                <c:pt idx="789">
                  <c:v>305.60000000000002</c:v>
                </c:pt>
                <c:pt idx="790">
                  <c:v>270.89999999999998</c:v>
                </c:pt>
                <c:pt idx="791">
                  <c:v>271.3</c:v>
                </c:pt>
                <c:pt idx="792">
                  <c:v>270.89999999999998</c:v>
                </c:pt>
                <c:pt idx="793">
                  <c:v>300.39999999999998</c:v>
                </c:pt>
                <c:pt idx="794">
                  <c:v>299.97000000000003</c:v>
                </c:pt>
                <c:pt idx="795">
                  <c:v>300.27</c:v>
                </c:pt>
                <c:pt idx="796">
                  <c:v>300</c:v>
                </c:pt>
                <c:pt idx="797">
                  <c:v>304.16000000000003</c:v>
                </c:pt>
                <c:pt idx="798">
                  <c:v>304.07</c:v>
                </c:pt>
                <c:pt idx="799">
                  <c:v>304</c:v>
                </c:pt>
                <c:pt idx="800">
                  <c:v>304</c:v>
                </c:pt>
                <c:pt idx="801">
                  <c:v>304</c:v>
                </c:pt>
                <c:pt idx="802">
                  <c:v>294.11</c:v>
                </c:pt>
                <c:pt idx="803">
                  <c:v>304.07</c:v>
                </c:pt>
                <c:pt idx="804">
                  <c:v>304.06</c:v>
                </c:pt>
                <c:pt idx="805">
                  <c:v>304.06</c:v>
                </c:pt>
                <c:pt idx="806">
                  <c:v>302</c:v>
                </c:pt>
                <c:pt idx="807">
                  <c:v>302</c:v>
                </c:pt>
                <c:pt idx="808">
                  <c:v>302</c:v>
                </c:pt>
                <c:pt idx="809">
                  <c:v>302</c:v>
                </c:pt>
                <c:pt idx="810">
                  <c:v>302</c:v>
                </c:pt>
                <c:pt idx="811">
                  <c:v>302</c:v>
                </c:pt>
                <c:pt idx="812">
                  <c:v>302</c:v>
                </c:pt>
                <c:pt idx="813">
                  <c:v>302</c:v>
                </c:pt>
                <c:pt idx="814">
                  <c:v>302</c:v>
                </c:pt>
                <c:pt idx="815">
                  <c:v>302</c:v>
                </c:pt>
                <c:pt idx="816">
                  <c:v>304</c:v>
                </c:pt>
                <c:pt idx="817">
                  <c:v>300</c:v>
                </c:pt>
                <c:pt idx="818">
                  <c:v>300</c:v>
                </c:pt>
                <c:pt idx="819">
                  <c:v>300</c:v>
                </c:pt>
                <c:pt idx="820">
                  <c:v>300</c:v>
                </c:pt>
                <c:pt idx="821">
                  <c:v>300</c:v>
                </c:pt>
                <c:pt idx="822">
                  <c:v>300</c:v>
                </c:pt>
                <c:pt idx="823">
                  <c:v>300</c:v>
                </c:pt>
                <c:pt idx="824">
                  <c:v>300</c:v>
                </c:pt>
                <c:pt idx="825">
                  <c:v>299.99</c:v>
                </c:pt>
                <c:pt idx="826">
                  <c:v>300</c:v>
                </c:pt>
                <c:pt idx="827">
                  <c:v>299.98</c:v>
                </c:pt>
                <c:pt idx="828">
                  <c:v>300</c:v>
                </c:pt>
                <c:pt idx="829">
                  <c:v>303.83</c:v>
                </c:pt>
                <c:pt idx="830">
                  <c:v>304</c:v>
                </c:pt>
                <c:pt idx="831">
                  <c:v>303.83</c:v>
                </c:pt>
                <c:pt idx="832">
                  <c:v>303.83</c:v>
                </c:pt>
                <c:pt idx="833">
                  <c:v>304</c:v>
                </c:pt>
                <c:pt idx="834">
                  <c:v>270.89999999999998</c:v>
                </c:pt>
                <c:pt idx="835">
                  <c:v>271.3</c:v>
                </c:pt>
                <c:pt idx="836">
                  <c:v>270.97000000000003</c:v>
                </c:pt>
                <c:pt idx="837">
                  <c:v>270.06</c:v>
                </c:pt>
                <c:pt idx="838">
                  <c:v>270.07</c:v>
                </c:pt>
                <c:pt idx="839">
                  <c:v>270.07</c:v>
                </c:pt>
                <c:pt idx="840">
                  <c:v>306</c:v>
                </c:pt>
                <c:pt idx="841">
                  <c:v>306</c:v>
                </c:pt>
                <c:pt idx="842">
                  <c:v>304.19</c:v>
                </c:pt>
                <c:pt idx="843">
                  <c:v>304.12</c:v>
                </c:pt>
                <c:pt idx="844">
                  <c:v>366.89</c:v>
                </c:pt>
                <c:pt idx="845">
                  <c:v>299.99</c:v>
                </c:pt>
                <c:pt idx="846">
                  <c:v>299.99</c:v>
                </c:pt>
                <c:pt idx="847">
                  <c:v>299.99</c:v>
                </c:pt>
                <c:pt idx="848">
                  <c:v>299.99</c:v>
                </c:pt>
                <c:pt idx="849">
                  <c:v>299.99</c:v>
                </c:pt>
                <c:pt idx="850">
                  <c:v>299.99</c:v>
                </c:pt>
                <c:pt idx="851">
                  <c:v>299.99</c:v>
                </c:pt>
                <c:pt idx="852">
                  <c:v>299.99</c:v>
                </c:pt>
                <c:pt idx="853">
                  <c:v>299.99</c:v>
                </c:pt>
                <c:pt idx="854">
                  <c:v>299.99</c:v>
                </c:pt>
                <c:pt idx="855">
                  <c:v>299.95</c:v>
                </c:pt>
                <c:pt idx="856">
                  <c:v>299.89999999999998</c:v>
                </c:pt>
                <c:pt idx="857">
                  <c:v>332</c:v>
                </c:pt>
                <c:pt idx="858">
                  <c:v>299</c:v>
                </c:pt>
                <c:pt idx="859">
                  <c:v>299.98</c:v>
                </c:pt>
                <c:pt idx="860">
                  <c:v>299.95</c:v>
                </c:pt>
                <c:pt idx="861">
                  <c:v>299.89999999999998</c:v>
                </c:pt>
                <c:pt idx="862">
                  <c:v>346.98</c:v>
                </c:pt>
                <c:pt idx="863">
                  <c:v>346.98</c:v>
                </c:pt>
                <c:pt idx="864">
                  <c:v>346.98</c:v>
                </c:pt>
                <c:pt idx="865">
                  <c:v>352.6</c:v>
                </c:pt>
                <c:pt idx="866">
                  <c:v>352.6</c:v>
                </c:pt>
                <c:pt idx="867">
                  <c:v>352.6</c:v>
                </c:pt>
                <c:pt idx="868">
                  <c:v>352.1</c:v>
                </c:pt>
                <c:pt idx="869">
                  <c:v>300</c:v>
                </c:pt>
                <c:pt idx="870">
                  <c:v>299.89999999999998</c:v>
                </c:pt>
                <c:pt idx="871">
                  <c:v>300.07</c:v>
                </c:pt>
                <c:pt idx="872">
                  <c:v>300.06</c:v>
                </c:pt>
                <c:pt idx="873">
                  <c:v>300.07</c:v>
                </c:pt>
                <c:pt idx="874">
                  <c:v>300.02</c:v>
                </c:pt>
                <c:pt idx="875">
                  <c:v>299</c:v>
                </c:pt>
                <c:pt idx="876">
                  <c:v>300</c:v>
                </c:pt>
                <c:pt idx="877">
                  <c:v>300.07</c:v>
                </c:pt>
                <c:pt idx="878">
                  <c:v>300</c:v>
                </c:pt>
                <c:pt idx="879">
                  <c:v>320.38</c:v>
                </c:pt>
                <c:pt idx="880">
                  <c:v>320.38</c:v>
                </c:pt>
                <c:pt idx="881">
                  <c:v>333.2</c:v>
                </c:pt>
                <c:pt idx="882">
                  <c:v>334.07</c:v>
                </c:pt>
                <c:pt idx="883">
                  <c:v>334.08</c:v>
                </c:pt>
                <c:pt idx="884">
                  <c:v>334.07</c:v>
                </c:pt>
                <c:pt idx="885">
                  <c:v>334.04</c:v>
                </c:pt>
                <c:pt idx="886">
                  <c:v>317.8</c:v>
                </c:pt>
                <c:pt idx="887">
                  <c:v>317.87</c:v>
                </c:pt>
                <c:pt idx="888">
                  <c:v>335</c:v>
                </c:pt>
                <c:pt idx="889">
                  <c:v>335</c:v>
                </c:pt>
                <c:pt idx="890">
                  <c:v>299.95999999999998</c:v>
                </c:pt>
                <c:pt idx="891">
                  <c:v>299.95999999999998</c:v>
                </c:pt>
                <c:pt idx="892">
                  <c:v>299.94</c:v>
                </c:pt>
                <c:pt idx="893">
                  <c:v>300</c:v>
                </c:pt>
                <c:pt idx="894">
                  <c:v>324.89</c:v>
                </c:pt>
                <c:pt idx="895">
                  <c:v>324.8</c:v>
                </c:pt>
                <c:pt idx="896">
                  <c:v>324.83999999999997</c:v>
                </c:pt>
                <c:pt idx="897">
                  <c:v>324.85000000000002</c:v>
                </c:pt>
                <c:pt idx="898">
                  <c:v>324.8</c:v>
                </c:pt>
                <c:pt idx="899">
                  <c:v>324</c:v>
                </c:pt>
                <c:pt idx="900">
                  <c:v>324.82</c:v>
                </c:pt>
                <c:pt idx="901">
                  <c:v>324.83999999999997</c:v>
                </c:pt>
                <c:pt idx="902">
                  <c:v>322.97000000000003</c:v>
                </c:pt>
                <c:pt idx="903">
                  <c:v>323</c:v>
                </c:pt>
                <c:pt idx="904">
                  <c:v>323</c:v>
                </c:pt>
                <c:pt idx="905">
                  <c:v>323</c:v>
                </c:pt>
                <c:pt idx="906">
                  <c:v>323</c:v>
                </c:pt>
                <c:pt idx="907">
                  <c:v>323</c:v>
                </c:pt>
                <c:pt idx="908">
                  <c:v>332.97</c:v>
                </c:pt>
                <c:pt idx="909">
                  <c:v>323</c:v>
                </c:pt>
                <c:pt idx="910">
                  <c:v>322.97000000000003</c:v>
                </c:pt>
                <c:pt idx="911">
                  <c:v>322.97000000000003</c:v>
                </c:pt>
                <c:pt idx="912">
                  <c:v>323</c:v>
                </c:pt>
                <c:pt idx="913">
                  <c:v>322.97000000000003</c:v>
                </c:pt>
                <c:pt idx="914">
                  <c:v>334</c:v>
                </c:pt>
                <c:pt idx="915">
                  <c:v>334</c:v>
                </c:pt>
                <c:pt idx="916">
                  <c:v>333.99</c:v>
                </c:pt>
                <c:pt idx="917">
                  <c:v>334</c:v>
                </c:pt>
                <c:pt idx="918">
                  <c:v>333.99</c:v>
                </c:pt>
                <c:pt idx="919">
                  <c:v>334</c:v>
                </c:pt>
                <c:pt idx="920">
                  <c:v>335</c:v>
                </c:pt>
                <c:pt idx="921">
                  <c:v>333.99</c:v>
                </c:pt>
                <c:pt idx="922">
                  <c:v>332</c:v>
                </c:pt>
                <c:pt idx="923">
                  <c:v>332</c:v>
                </c:pt>
                <c:pt idx="924">
                  <c:v>322</c:v>
                </c:pt>
                <c:pt idx="925">
                  <c:v>316</c:v>
                </c:pt>
                <c:pt idx="926">
                  <c:v>316</c:v>
                </c:pt>
                <c:pt idx="927">
                  <c:v>338.17</c:v>
                </c:pt>
                <c:pt idx="928">
                  <c:v>320.37</c:v>
                </c:pt>
                <c:pt idx="929">
                  <c:v>320</c:v>
                </c:pt>
                <c:pt idx="930">
                  <c:v>316</c:v>
                </c:pt>
                <c:pt idx="931">
                  <c:v>316</c:v>
                </c:pt>
                <c:pt idx="932">
                  <c:v>316</c:v>
                </c:pt>
                <c:pt idx="933">
                  <c:v>316</c:v>
                </c:pt>
                <c:pt idx="934">
                  <c:v>332</c:v>
                </c:pt>
                <c:pt idx="935">
                  <c:v>334</c:v>
                </c:pt>
                <c:pt idx="936">
                  <c:v>334.08</c:v>
                </c:pt>
                <c:pt idx="937">
                  <c:v>334</c:v>
                </c:pt>
                <c:pt idx="938">
                  <c:v>334.07</c:v>
                </c:pt>
                <c:pt idx="939">
                  <c:v>344</c:v>
                </c:pt>
                <c:pt idx="940">
                  <c:v>335</c:v>
                </c:pt>
                <c:pt idx="941">
                  <c:v>334.08</c:v>
                </c:pt>
                <c:pt idx="942">
                  <c:v>334.07</c:v>
                </c:pt>
                <c:pt idx="943">
                  <c:v>334.07</c:v>
                </c:pt>
                <c:pt idx="944">
                  <c:v>355</c:v>
                </c:pt>
                <c:pt idx="945">
                  <c:v>335.69</c:v>
                </c:pt>
                <c:pt idx="946">
                  <c:v>335</c:v>
                </c:pt>
                <c:pt idx="947">
                  <c:v>335</c:v>
                </c:pt>
                <c:pt idx="948">
                  <c:v>336</c:v>
                </c:pt>
                <c:pt idx="949">
                  <c:v>336</c:v>
                </c:pt>
                <c:pt idx="950">
                  <c:v>336</c:v>
                </c:pt>
                <c:pt idx="951">
                  <c:v>336</c:v>
                </c:pt>
                <c:pt idx="952">
                  <c:v>336</c:v>
                </c:pt>
                <c:pt idx="953">
                  <c:v>336</c:v>
                </c:pt>
                <c:pt idx="954">
                  <c:v>336</c:v>
                </c:pt>
                <c:pt idx="955">
                  <c:v>336</c:v>
                </c:pt>
                <c:pt idx="956">
                  <c:v>335</c:v>
                </c:pt>
                <c:pt idx="957">
                  <c:v>334</c:v>
                </c:pt>
                <c:pt idx="958">
                  <c:v>335</c:v>
                </c:pt>
                <c:pt idx="959">
                  <c:v>355</c:v>
                </c:pt>
                <c:pt idx="960">
                  <c:v>333.2</c:v>
                </c:pt>
                <c:pt idx="961">
                  <c:v>333.2</c:v>
                </c:pt>
                <c:pt idx="962">
                  <c:v>333.2</c:v>
                </c:pt>
                <c:pt idx="963">
                  <c:v>333.2</c:v>
                </c:pt>
                <c:pt idx="964">
                  <c:v>334.07</c:v>
                </c:pt>
                <c:pt idx="965">
                  <c:v>334.07</c:v>
                </c:pt>
                <c:pt idx="966">
                  <c:v>334.07</c:v>
                </c:pt>
                <c:pt idx="967">
                  <c:v>333</c:v>
                </c:pt>
                <c:pt idx="968">
                  <c:v>332</c:v>
                </c:pt>
                <c:pt idx="969">
                  <c:v>332.58</c:v>
                </c:pt>
                <c:pt idx="970">
                  <c:v>331.99</c:v>
                </c:pt>
                <c:pt idx="971">
                  <c:v>333</c:v>
                </c:pt>
                <c:pt idx="972">
                  <c:v>333.57</c:v>
                </c:pt>
                <c:pt idx="973">
                  <c:v>332</c:v>
                </c:pt>
                <c:pt idx="974">
                  <c:v>332.01</c:v>
                </c:pt>
                <c:pt idx="975">
                  <c:v>332.01</c:v>
                </c:pt>
                <c:pt idx="976">
                  <c:v>332</c:v>
                </c:pt>
                <c:pt idx="977">
                  <c:v>332</c:v>
                </c:pt>
                <c:pt idx="978">
                  <c:v>333.55</c:v>
                </c:pt>
                <c:pt idx="979">
                  <c:v>322.41000000000003</c:v>
                </c:pt>
                <c:pt idx="980">
                  <c:v>333.59</c:v>
                </c:pt>
                <c:pt idx="981">
                  <c:v>332.41</c:v>
                </c:pt>
                <c:pt idx="982">
                  <c:v>334</c:v>
                </c:pt>
                <c:pt idx="983">
                  <c:v>334</c:v>
                </c:pt>
                <c:pt idx="984">
                  <c:v>335</c:v>
                </c:pt>
                <c:pt idx="985">
                  <c:v>335.42</c:v>
                </c:pt>
                <c:pt idx="986">
                  <c:v>334.8</c:v>
                </c:pt>
                <c:pt idx="987">
                  <c:v>334.8</c:v>
                </c:pt>
                <c:pt idx="988">
                  <c:v>334.8</c:v>
                </c:pt>
                <c:pt idx="989">
                  <c:v>334.8</c:v>
                </c:pt>
                <c:pt idx="990">
                  <c:v>334.8</c:v>
                </c:pt>
                <c:pt idx="991">
                  <c:v>334.8</c:v>
                </c:pt>
                <c:pt idx="992">
                  <c:v>334.8</c:v>
                </c:pt>
                <c:pt idx="993">
                  <c:v>334.8</c:v>
                </c:pt>
                <c:pt idx="994">
                  <c:v>334.8</c:v>
                </c:pt>
                <c:pt idx="995">
                  <c:v>334.8</c:v>
                </c:pt>
                <c:pt idx="996">
                  <c:v>334.8</c:v>
                </c:pt>
                <c:pt idx="997">
                  <c:v>334.8</c:v>
                </c:pt>
                <c:pt idx="998">
                  <c:v>334.8</c:v>
                </c:pt>
                <c:pt idx="999">
                  <c:v>334.8</c:v>
                </c:pt>
                <c:pt idx="1000">
                  <c:v>334.8</c:v>
                </c:pt>
                <c:pt idx="1001">
                  <c:v>334.8</c:v>
                </c:pt>
                <c:pt idx="1002">
                  <c:v>334.8</c:v>
                </c:pt>
                <c:pt idx="1003">
                  <c:v>335</c:v>
                </c:pt>
                <c:pt idx="1004">
                  <c:v>335</c:v>
                </c:pt>
                <c:pt idx="1005">
                  <c:v>334.98</c:v>
                </c:pt>
                <c:pt idx="1006">
                  <c:v>335</c:v>
                </c:pt>
                <c:pt idx="1007">
                  <c:v>334</c:v>
                </c:pt>
                <c:pt idx="1008">
                  <c:v>334</c:v>
                </c:pt>
                <c:pt idx="1009">
                  <c:v>334</c:v>
                </c:pt>
                <c:pt idx="1010">
                  <c:v>334</c:v>
                </c:pt>
                <c:pt idx="1011">
                  <c:v>334</c:v>
                </c:pt>
                <c:pt idx="1012">
                  <c:v>334</c:v>
                </c:pt>
                <c:pt idx="1013">
                  <c:v>344</c:v>
                </c:pt>
                <c:pt idx="1014">
                  <c:v>334.07</c:v>
                </c:pt>
                <c:pt idx="1015">
                  <c:v>334</c:v>
                </c:pt>
                <c:pt idx="1016">
                  <c:v>334</c:v>
                </c:pt>
                <c:pt idx="1017">
                  <c:v>334</c:v>
                </c:pt>
                <c:pt idx="1018">
                  <c:v>334</c:v>
                </c:pt>
                <c:pt idx="1019">
                  <c:v>334</c:v>
                </c:pt>
                <c:pt idx="1020">
                  <c:v>334</c:v>
                </c:pt>
                <c:pt idx="1021">
                  <c:v>333</c:v>
                </c:pt>
                <c:pt idx="1022">
                  <c:v>325</c:v>
                </c:pt>
                <c:pt idx="1023">
                  <c:v>335</c:v>
                </c:pt>
                <c:pt idx="1024">
                  <c:v>335</c:v>
                </c:pt>
                <c:pt idx="1025">
                  <c:v>335</c:v>
                </c:pt>
                <c:pt idx="1026">
                  <c:v>335.07</c:v>
                </c:pt>
                <c:pt idx="1027">
                  <c:v>335</c:v>
                </c:pt>
                <c:pt idx="1028">
                  <c:v>335</c:v>
                </c:pt>
                <c:pt idx="1029">
                  <c:v>335</c:v>
                </c:pt>
                <c:pt idx="1030">
                  <c:v>335.06</c:v>
                </c:pt>
                <c:pt idx="1031">
                  <c:v>335</c:v>
                </c:pt>
                <c:pt idx="1032">
                  <c:v>316</c:v>
                </c:pt>
                <c:pt idx="1033">
                  <c:v>316</c:v>
                </c:pt>
                <c:pt idx="1034">
                  <c:v>322</c:v>
                </c:pt>
                <c:pt idx="1035">
                  <c:v>339.62</c:v>
                </c:pt>
                <c:pt idx="1036">
                  <c:v>339.6</c:v>
                </c:pt>
                <c:pt idx="1037">
                  <c:v>339.6</c:v>
                </c:pt>
                <c:pt idx="1038">
                  <c:v>339.6</c:v>
                </c:pt>
                <c:pt idx="1039">
                  <c:v>339.62</c:v>
                </c:pt>
                <c:pt idx="1040">
                  <c:v>339.62</c:v>
                </c:pt>
                <c:pt idx="1041">
                  <c:v>339.6</c:v>
                </c:pt>
                <c:pt idx="1042">
                  <c:v>339.6</c:v>
                </c:pt>
                <c:pt idx="1043">
                  <c:v>334</c:v>
                </c:pt>
                <c:pt idx="1044">
                  <c:v>334.11</c:v>
                </c:pt>
                <c:pt idx="1045">
                  <c:v>335</c:v>
                </c:pt>
                <c:pt idx="1046">
                  <c:v>334</c:v>
                </c:pt>
                <c:pt idx="1047">
                  <c:v>299.89999999999998</c:v>
                </c:pt>
                <c:pt idx="1048">
                  <c:v>335</c:v>
                </c:pt>
                <c:pt idx="1049">
                  <c:v>332.15</c:v>
                </c:pt>
                <c:pt idx="1050">
                  <c:v>344.07</c:v>
                </c:pt>
                <c:pt idx="1051">
                  <c:v>334.08</c:v>
                </c:pt>
                <c:pt idx="1052">
                  <c:v>316</c:v>
                </c:pt>
                <c:pt idx="1053">
                  <c:v>335</c:v>
                </c:pt>
                <c:pt idx="1054">
                  <c:v>335</c:v>
                </c:pt>
                <c:pt idx="1055">
                  <c:v>333.2</c:v>
                </c:pt>
                <c:pt idx="1056">
                  <c:v>333.2</c:v>
                </c:pt>
                <c:pt idx="1057">
                  <c:v>336</c:v>
                </c:pt>
                <c:pt idx="1058">
                  <c:v>336</c:v>
                </c:pt>
                <c:pt idx="1059">
                  <c:v>334.91</c:v>
                </c:pt>
                <c:pt idx="1060">
                  <c:v>300</c:v>
                </c:pt>
                <c:pt idx="1061">
                  <c:v>299.89999999999998</c:v>
                </c:pt>
                <c:pt idx="1062">
                  <c:v>299.89999999999998</c:v>
                </c:pt>
                <c:pt idx="1063">
                  <c:v>299.89999999999998</c:v>
                </c:pt>
                <c:pt idx="1064">
                  <c:v>335.06</c:v>
                </c:pt>
                <c:pt idx="1065">
                  <c:v>335</c:v>
                </c:pt>
                <c:pt idx="1066">
                  <c:v>336.19</c:v>
                </c:pt>
                <c:pt idx="1067">
                  <c:v>335.07</c:v>
                </c:pt>
                <c:pt idx="1068">
                  <c:v>335</c:v>
                </c:pt>
                <c:pt idx="1069">
                  <c:v>336.19</c:v>
                </c:pt>
                <c:pt idx="1070">
                  <c:v>336.3</c:v>
                </c:pt>
                <c:pt idx="1071">
                  <c:v>335.07</c:v>
                </c:pt>
                <c:pt idx="1072">
                  <c:v>335</c:v>
                </c:pt>
                <c:pt idx="1073">
                  <c:v>335.47</c:v>
                </c:pt>
                <c:pt idx="1074">
                  <c:v>335</c:v>
                </c:pt>
                <c:pt idx="1075">
                  <c:v>335</c:v>
                </c:pt>
                <c:pt idx="1076">
                  <c:v>335.47</c:v>
                </c:pt>
                <c:pt idx="1077">
                  <c:v>355.08</c:v>
                </c:pt>
                <c:pt idx="1078">
                  <c:v>299</c:v>
                </c:pt>
                <c:pt idx="1079">
                  <c:v>299</c:v>
                </c:pt>
                <c:pt idx="1080">
                  <c:v>299</c:v>
                </c:pt>
                <c:pt idx="1081">
                  <c:v>299.18</c:v>
                </c:pt>
                <c:pt idx="1082">
                  <c:v>300</c:v>
                </c:pt>
                <c:pt idx="1083">
                  <c:v>333</c:v>
                </c:pt>
                <c:pt idx="1084">
                  <c:v>334.8</c:v>
                </c:pt>
                <c:pt idx="1085">
                  <c:v>335</c:v>
                </c:pt>
                <c:pt idx="1086">
                  <c:v>335</c:v>
                </c:pt>
                <c:pt idx="1087">
                  <c:v>334.8</c:v>
                </c:pt>
                <c:pt idx="1088">
                  <c:v>300</c:v>
                </c:pt>
                <c:pt idx="1089">
                  <c:v>301</c:v>
                </c:pt>
                <c:pt idx="1090">
                  <c:v>299.98</c:v>
                </c:pt>
                <c:pt idx="1091">
                  <c:v>300</c:v>
                </c:pt>
                <c:pt idx="1092">
                  <c:v>300</c:v>
                </c:pt>
                <c:pt idx="1093">
                  <c:v>299.97000000000003</c:v>
                </c:pt>
                <c:pt idx="1094">
                  <c:v>299.95</c:v>
                </c:pt>
                <c:pt idx="1095">
                  <c:v>299.95</c:v>
                </c:pt>
                <c:pt idx="1096">
                  <c:v>332.74</c:v>
                </c:pt>
                <c:pt idx="1097">
                  <c:v>301</c:v>
                </c:pt>
                <c:pt idx="1098">
                  <c:v>300</c:v>
                </c:pt>
                <c:pt idx="1099">
                  <c:v>334.93</c:v>
                </c:pt>
                <c:pt idx="1100">
                  <c:v>300</c:v>
                </c:pt>
                <c:pt idx="1101">
                  <c:v>300</c:v>
                </c:pt>
                <c:pt idx="1102">
                  <c:v>299.89999999999998</c:v>
                </c:pt>
                <c:pt idx="1103">
                  <c:v>299.2</c:v>
                </c:pt>
                <c:pt idx="1104">
                  <c:v>299.97000000000003</c:v>
                </c:pt>
                <c:pt idx="1105">
                  <c:v>299.97000000000003</c:v>
                </c:pt>
                <c:pt idx="1106">
                  <c:v>299.98</c:v>
                </c:pt>
                <c:pt idx="1107">
                  <c:v>299.89999999999998</c:v>
                </c:pt>
                <c:pt idx="1108">
                  <c:v>337.6</c:v>
                </c:pt>
                <c:pt idx="1109">
                  <c:v>299.97000000000003</c:v>
                </c:pt>
                <c:pt idx="1110">
                  <c:v>299.99</c:v>
                </c:pt>
                <c:pt idx="1111">
                  <c:v>300</c:v>
                </c:pt>
                <c:pt idx="1112">
                  <c:v>299.92</c:v>
                </c:pt>
                <c:pt idx="1113">
                  <c:v>299.95</c:v>
                </c:pt>
                <c:pt idx="1114">
                  <c:v>338.17</c:v>
                </c:pt>
                <c:pt idx="1115">
                  <c:v>338.17</c:v>
                </c:pt>
                <c:pt idx="1116">
                  <c:v>338.17</c:v>
                </c:pt>
                <c:pt idx="1117">
                  <c:v>337.6</c:v>
                </c:pt>
                <c:pt idx="1118">
                  <c:v>338</c:v>
                </c:pt>
                <c:pt idx="1119">
                  <c:v>337.6</c:v>
                </c:pt>
                <c:pt idx="1120">
                  <c:v>300</c:v>
                </c:pt>
                <c:pt idx="1121">
                  <c:v>299.92</c:v>
                </c:pt>
                <c:pt idx="1122">
                  <c:v>300</c:v>
                </c:pt>
                <c:pt idx="1123">
                  <c:v>336</c:v>
                </c:pt>
                <c:pt idx="1124">
                  <c:v>336</c:v>
                </c:pt>
                <c:pt idx="1125">
                  <c:v>348.51</c:v>
                </c:pt>
                <c:pt idx="1126">
                  <c:v>348.51</c:v>
                </c:pt>
                <c:pt idx="1127">
                  <c:v>299.99</c:v>
                </c:pt>
                <c:pt idx="1128">
                  <c:v>300</c:v>
                </c:pt>
                <c:pt idx="1129">
                  <c:v>336.68</c:v>
                </c:pt>
                <c:pt idx="1130">
                  <c:v>336.67</c:v>
                </c:pt>
                <c:pt idx="1131">
                  <c:v>336.7</c:v>
                </c:pt>
                <c:pt idx="1132">
                  <c:v>336.67</c:v>
                </c:pt>
                <c:pt idx="1133">
                  <c:v>336.67</c:v>
                </c:pt>
                <c:pt idx="1134">
                  <c:v>336.67</c:v>
                </c:pt>
                <c:pt idx="1135">
                  <c:v>336.64</c:v>
                </c:pt>
                <c:pt idx="1136">
                  <c:v>336.69</c:v>
                </c:pt>
                <c:pt idx="1137">
                  <c:v>336.67</c:v>
                </c:pt>
                <c:pt idx="1138">
                  <c:v>336.7</c:v>
                </c:pt>
                <c:pt idx="1139">
                  <c:v>336.67</c:v>
                </c:pt>
                <c:pt idx="1140">
                  <c:v>300</c:v>
                </c:pt>
                <c:pt idx="1141">
                  <c:v>328.2</c:v>
                </c:pt>
                <c:pt idx="1142">
                  <c:v>328.2</c:v>
                </c:pt>
                <c:pt idx="1143">
                  <c:v>328.2</c:v>
                </c:pt>
                <c:pt idx="1144">
                  <c:v>328.2</c:v>
                </c:pt>
                <c:pt idx="1145">
                  <c:v>328.2</c:v>
                </c:pt>
                <c:pt idx="1146">
                  <c:v>299.95</c:v>
                </c:pt>
                <c:pt idx="1147">
                  <c:v>336.67</c:v>
                </c:pt>
                <c:pt idx="1148">
                  <c:v>300</c:v>
                </c:pt>
                <c:pt idx="1149">
                  <c:v>332.15</c:v>
                </c:pt>
                <c:pt idx="1150">
                  <c:v>336</c:v>
                </c:pt>
                <c:pt idx="1151">
                  <c:v>299</c:v>
                </c:pt>
                <c:pt idx="1152">
                  <c:v>299.95</c:v>
                </c:pt>
                <c:pt idx="1153">
                  <c:v>299.89999999999998</c:v>
                </c:pt>
                <c:pt idx="1154">
                  <c:v>299.89999999999998</c:v>
                </c:pt>
                <c:pt idx="1155">
                  <c:v>299.83999999999997</c:v>
                </c:pt>
                <c:pt idx="1156">
                  <c:v>299.92</c:v>
                </c:pt>
                <c:pt idx="1157">
                  <c:v>299</c:v>
                </c:pt>
                <c:pt idx="1158">
                  <c:v>299.87</c:v>
                </c:pt>
                <c:pt idx="1159">
                  <c:v>300</c:v>
                </c:pt>
                <c:pt idx="1160">
                  <c:v>299.92</c:v>
                </c:pt>
                <c:pt idx="1161">
                  <c:v>299.93</c:v>
                </c:pt>
                <c:pt idx="1162">
                  <c:v>299.95</c:v>
                </c:pt>
                <c:pt idx="1163">
                  <c:v>299.82</c:v>
                </c:pt>
                <c:pt idx="1164">
                  <c:v>300</c:v>
                </c:pt>
                <c:pt idx="1165">
                  <c:v>299.88</c:v>
                </c:pt>
                <c:pt idx="1166">
                  <c:v>299.91000000000003</c:v>
                </c:pt>
                <c:pt idx="1167">
                  <c:v>299.95</c:v>
                </c:pt>
                <c:pt idx="1168">
                  <c:v>299.89999999999998</c:v>
                </c:pt>
                <c:pt idx="1169">
                  <c:v>285.39999999999998</c:v>
                </c:pt>
                <c:pt idx="1170">
                  <c:v>299.89999999999998</c:v>
                </c:pt>
                <c:pt idx="1171">
                  <c:v>349</c:v>
                </c:pt>
                <c:pt idx="1172">
                  <c:v>349</c:v>
                </c:pt>
                <c:pt idx="1173">
                  <c:v>349</c:v>
                </c:pt>
                <c:pt idx="1174">
                  <c:v>349</c:v>
                </c:pt>
                <c:pt idx="1175">
                  <c:v>300</c:v>
                </c:pt>
                <c:pt idx="1176">
                  <c:v>350.55</c:v>
                </c:pt>
                <c:pt idx="1177">
                  <c:v>350.56</c:v>
                </c:pt>
                <c:pt idx="1178">
                  <c:v>350.55</c:v>
                </c:pt>
                <c:pt idx="1179">
                  <c:v>350.56</c:v>
                </c:pt>
                <c:pt idx="1180">
                  <c:v>350.56</c:v>
                </c:pt>
                <c:pt idx="1181">
                  <c:v>366.93</c:v>
                </c:pt>
                <c:pt idx="1182">
                  <c:v>366.93</c:v>
                </c:pt>
                <c:pt idx="1183">
                  <c:v>367</c:v>
                </c:pt>
                <c:pt idx="1184">
                  <c:v>366.93</c:v>
                </c:pt>
                <c:pt idx="1185">
                  <c:v>366.93</c:v>
                </c:pt>
                <c:pt idx="1186">
                  <c:v>366.89</c:v>
                </c:pt>
                <c:pt idx="1187">
                  <c:v>366.93</c:v>
                </c:pt>
                <c:pt idx="1188">
                  <c:v>366.89</c:v>
                </c:pt>
                <c:pt idx="1189">
                  <c:v>350.09</c:v>
                </c:pt>
                <c:pt idx="1190">
                  <c:v>336.7</c:v>
                </c:pt>
                <c:pt idx="1191">
                  <c:v>336.7</c:v>
                </c:pt>
                <c:pt idx="1192">
                  <c:v>336.7</c:v>
                </c:pt>
                <c:pt idx="1193">
                  <c:v>336.7</c:v>
                </c:pt>
                <c:pt idx="1194">
                  <c:v>336.7</c:v>
                </c:pt>
                <c:pt idx="1195">
                  <c:v>336.7</c:v>
                </c:pt>
                <c:pt idx="1196">
                  <c:v>336.67</c:v>
                </c:pt>
                <c:pt idx="1197">
                  <c:v>336.7</c:v>
                </c:pt>
                <c:pt idx="1198">
                  <c:v>332.15</c:v>
                </c:pt>
                <c:pt idx="1199">
                  <c:v>332.15</c:v>
                </c:pt>
                <c:pt idx="1200">
                  <c:v>332.15</c:v>
                </c:pt>
                <c:pt idx="1201">
                  <c:v>333.15</c:v>
                </c:pt>
                <c:pt idx="1202">
                  <c:v>335</c:v>
                </c:pt>
                <c:pt idx="1203">
                  <c:v>350.05</c:v>
                </c:pt>
                <c:pt idx="1204">
                  <c:v>350.09</c:v>
                </c:pt>
                <c:pt idx="1205">
                  <c:v>350.06</c:v>
                </c:pt>
                <c:pt idx="1206">
                  <c:v>366.89</c:v>
                </c:pt>
                <c:pt idx="1207">
                  <c:v>366.89</c:v>
                </c:pt>
                <c:pt idx="1208">
                  <c:v>367</c:v>
                </c:pt>
                <c:pt idx="1209">
                  <c:v>333.2</c:v>
                </c:pt>
                <c:pt idx="1210">
                  <c:v>333.2</c:v>
                </c:pt>
                <c:pt idx="1211">
                  <c:v>333.2</c:v>
                </c:pt>
                <c:pt idx="1212">
                  <c:v>333.2</c:v>
                </c:pt>
                <c:pt idx="1213">
                  <c:v>333.2</c:v>
                </c:pt>
                <c:pt idx="1214">
                  <c:v>333</c:v>
                </c:pt>
                <c:pt idx="1215">
                  <c:v>333.2</c:v>
                </c:pt>
                <c:pt idx="1216">
                  <c:v>300</c:v>
                </c:pt>
                <c:pt idx="1217">
                  <c:v>349.7</c:v>
                </c:pt>
                <c:pt idx="1218">
                  <c:v>349.7</c:v>
                </c:pt>
                <c:pt idx="1219">
                  <c:v>349.65</c:v>
                </c:pt>
                <c:pt idx="1220">
                  <c:v>349.7</c:v>
                </c:pt>
                <c:pt idx="1221">
                  <c:v>349.7</c:v>
                </c:pt>
                <c:pt idx="1222">
                  <c:v>300</c:v>
                </c:pt>
                <c:pt idx="1223">
                  <c:v>300.39999999999998</c:v>
                </c:pt>
                <c:pt idx="1224">
                  <c:v>314.36</c:v>
                </c:pt>
                <c:pt idx="1225">
                  <c:v>314.33</c:v>
                </c:pt>
                <c:pt idx="1226">
                  <c:v>299.94</c:v>
                </c:pt>
                <c:pt idx="1227">
                  <c:v>336.94</c:v>
                </c:pt>
                <c:pt idx="1228">
                  <c:v>337</c:v>
                </c:pt>
                <c:pt idx="1229">
                  <c:v>348.5</c:v>
                </c:pt>
                <c:pt idx="1230">
                  <c:v>337</c:v>
                </c:pt>
                <c:pt idx="1231">
                  <c:v>337</c:v>
                </c:pt>
                <c:pt idx="1232">
                  <c:v>337</c:v>
                </c:pt>
                <c:pt idx="1233">
                  <c:v>337</c:v>
                </c:pt>
                <c:pt idx="1234">
                  <c:v>337</c:v>
                </c:pt>
                <c:pt idx="1235">
                  <c:v>336.95</c:v>
                </c:pt>
                <c:pt idx="1236">
                  <c:v>335.35</c:v>
                </c:pt>
                <c:pt idx="1237">
                  <c:v>335.35</c:v>
                </c:pt>
                <c:pt idx="1238">
                  <c:v>349.07</c:v>
                </c:pt>
                <c:pt idx="1239">
                  <c:v>322.7</c:v>
                </c:pt>
                <c:pt idx="1240">
                  <c:v>349.07</c:v>
                </c:pt>
                <c:pt idx="1241">
                  <c:v>349.07</c:v>
                </c:pt>
                <c:pt idx="1242">
                  <c:v>349.07</c:v>
                </c:pt>
                <c:pt idx="1243">
                  <c:v>348.5</c:v>
                </c:pt>
                <c:pt idx="1244">
                  <c:v>348.5</c:v>
                </c:pt>
                <c:pt idx="1245">
                  <c:v>348.5</c:v>
                </c:pt>
                <c:pt idx="1246">
                  <c:v>349</c:v>
                </c:pt>
                <c:pt idx="1247">
                  <c:v>349</c:v>
                </c:pt>
                <c:pt idx="1248">
                  <c:v>349</c:v>
                </c:pt>
                <c:pt idx="1249">
                  <c:v>349</c:v>
                </c:pt>
                <c:pt idx="1250">
                  <c:v>349.27</c:v>
                </c:pt>
                <c:pt idx="1251">
                  <c:v>349.27</c:v>
                </c:pt>
                <c:pt idx="1252">
                  <c:v>349</c:v>
                </c:pt>
                <c:pt idx="1253">
                  <c:v>349</c:v>
                </c:pt>
                <c:pt idx="1254">
                  <c:v>349</c:v>
                </c:pt>
                <c:pt idx="1255">
                  <c:v>324</c:v>
                </c:pt>
                <c:pt idx="1256">
                  <c:v>335.93</c:v>
                </c:pt>
                <c:pt idx="1257">
                  <c:v>336.94</c:v>
                </c:pt>
                <c:pt idx="1258">
                  <c:v>336.96</c:v>
                </c:pt>
                <c:pt idx="1259">
                  <c:v>337</c:v>
                </c:pt>
                <c:pt idx="1260">
                  <c:v>337</c:v>
                </c:pt>
                <c:pt idx="1261">
                  <c:v>336.94</c:v>
                </c:pt>
                <c:pt idx="1262">
                  <c:v>336.92</c:v>
                </c:pt>
                <c:pt idx="1263">
                  <c:v>337</c:v>
                </c:pt>
                <c:pt idx="1264">
                  <c:v>336.9</c:v>
                </c:pt>
                <c:pt idx="1265">
                  <c:v>337</c:v>
                </c:pt>
                <c:pt idx="1266">
                  <c:v>336</c:v>
                </c:pt>
                <c:pt idx="1267">
                  <c:v>349</c:v>
                </c:pt>
                <c:pt idx="1268">
                  <c:v>349</c:v>
                </c:pt>
                <c:pt idx="1269">
                  <c:v>349</c:v>
                </c:pt>
                <c:pt idx="1270">
                  <c:v>333.2</c:v>
                </c:pt>
                <c:pt idx="1271">
                  <c:v>333</c:v>
                </c:pt>
                <c:pt idx="1272">
                  <c:v>333</c:v>
                </c:pt>
                <c:pt idx="1273">
                  <c:v>333</c:v>
                </c:pt>
                <c:pt idx="1274">
                  <c:v>333</c:v>
                </c:pt>
                <c:pt idx="1275">
                  <c:v>331.1</c:v>
                </c:pt>
                <c:pt idx="1276">
                  <c:v>331</c:v>
                </c:pt>
                <c:pt idx="1277">
                  <c:v>347</c:v>
                </c:pt>
                <c:pt idx="1278">
                  <c:v>250</c:v>
                </c:pt>
                <c:pt idx="1279">
                  <c:v>347</c:v>
                </c:pt>
                <c:pt idx="1280">
                  <c:v>347</c:v>
                </c:pt>
                <c:pt idx="1281">
                  <c:v>347</c:v>
                </c:pt>
                <c:pt idx="1282">
                  <c:v>314.31</c:v>
                </c:pt>
                <c:pt idx="1283">
                  <c:v>333</c:v>
                </c:pt>
                <c:pt idx="1284">
                  <c:v>333.2</c:v>
                </c:pt>
                <c:pt idx="1285">
                  <c:v>347.48</c:v>
                </c:pt>
                <c:pt idx="1286">
                  <c:v>347.48</c:v>
                </c:pt>
                <c:pt idx="1287">
                  <c:v>330</c:v>
                </c:pt>
                <c:pt idx="1288">
                  <c:v>330</c:v>
                </c:pt>
                <c:pt idx="1289">
                  <c:v>330.03</c:v>
                </c:pt>
                <c:pt idx="1290">
                  <c:v>330</c:v>
                </c:pt>
                <c:pt idx="1291">
                  <c:v>330</c:v>
                </c:pt>
                <c:pt idx="1292">
                  <c:v>347.48</c:v>
                </c:pt>
                <c:pt idx="1293">
                  <c:v>347.17</c:v>
                </c:pt>
                <c:pt idx="1294">
                  <c:v>363.57</c:v>
                </c:pt>
                <c:pt idx="1295">
                  <c:v>363.57</c:v>
                </c:pt>
                <c:pt idx="1296">
                  <c:v>363.57</c:v>
                </c:pt>
                <c:pt idx="1297">
                  <c:v>363.58</c:v>
                </c:pt>
                <c:pt idx="1298">
                  <c:v>363</c:v>
                </c:pt>
                <c:pt idx="1299">
                  <c:v>363</c:v>
                </c:pt>
                <c:pt idx="1300">
                  <c:v>363</c:v>
                </c:pt>
                <c:pt idx="1301">
                  <c:v>363</c:v>
                </c:pt>
                <c:pt idx="1302">
                  <c:v>363</c:v>
                </c:pt>
                <c:pt idx="1303">
                  <c:v>363</c:v>
                </c:pt>
                <c:pt idx="1304">
                  <c:v>363</c:v>
                </c:pt>
                <c:pt idx="1305">
                  <c:v>363</c:v>
                </c:pt>
                <c:pt idx="1306">
                  <c:v>363</c:v>
                </c:pt>
                <c:pt idx="1307">
                  <c:v>363.6</c:v>
                </c:pt>
                <c:pt idx="1308">
                  <c:v>363</c:v>
                </c:pt>
                <c:pt idx="1309">
                  <c:v>363</c:v>
                </c:pt>
                <c:pt idx="1310">
                  <c:v>328.46</c:v>
                </c:pt>
                <c:pt idx="1311">
                  <c:v>328.46</c:v>
                </c:pt>
                <c:pt idx="1312">
                  <c:v>365.8</c:v>
                </c:pt>
                <c:pt idx="1313">
                  <c:v>365.74</c:v>
                </c:pt>
                <c:pt idx="1314">
                  <c:v>366</c:v>
                </c:pt>
                <c:pt idx="1315">
                  <c:v>366.08</c:v>
                </c:pt>
                <c:pt idx="1316">
                  <c:v>366.04</c:v>
                </c:pt>
                <c:pt idx="1317">
                  <c:v>366</c:v>
                </c:pt>
                <c:pt idx="1318">
                  <c:v>366</c:v>
                </c:pt>
                <c:pt idx="1319">
                  <c:v>365.8</c:v>
                </c:pt>
                <c:pt idx="1320">
                  <c:v>365.8</c:v>
                </c:pt>
                <c:pt idx="1321">
                  <c:v>366</c:v>
                </c:pt>
                <c:pt idx="1322">
                  <c:v>366</c:v>
                </c:pt>
                <c:pt idx="1323">
                  <c:v>365.5</c:v>
                </c:pt>
                <c:pt idx="1324">
                  <c:v>365.5</c:v>
                </c:pt>
                <c:pt idx="1325">
                  <c:v>365.8</c:v>
                </c:pt>
                <c:pt idx="1326">
                  <c:v>365.5</c:v>
                </c:pt>
                <c:pt idx="1327">
                  <c:v>365</c:v>
                </c:pt>
                <c:pt idx="1328">
                  <c:v>365.5</c:v>
                </c:pt>
                <c:pt idx="1329">
                  <c:v>365.8</c:v>
                </c:pt>
                <c:pt idx="1330">
                  <c:v>366</c:v>
                </c:pt>
                <c:pt idx="1331">
                  <c:v>366</c:v>
                </c:pt>
                <c:pt idx="1332">
                  <c:v>366</c:v>
                </c:pt>
                <c:pt idx="1333">
                  <c:v>366</c:v>
                </c:pt>
                <c:pt idx="1334">
                  <c:v>366</c:v>
                </c:pt>
                <c:pt idx="1335">
                  <c:v>366</c:v>
                </c:pt>
                <c:pt idx="1336">
                  <c:v>366</c:v>
                </c:pt>
                <c:pt idx="1337">
                  <c:v>366</c:v>
                </c:pt>
                <c:pt idx="1338">
                  <c:v>349</c:v>
                </c:pt>
                <c:pt idx="1339">
                  <c:v>349</c:v>
                </c:pt>
                <c:pt idx="1340">
                  <c:v>366.5</c:v>
                </c:pt>
                <c:pt idx="1341">
                  <c:v>366.5</c:v>
                </c:pt>
                <c:pt idx="1342">
                  <c:v>366.5</c:v>
                </c:pt>
                <c:pt idx="1343">
                  <c:v>366</c:v>
                </c:pt>
                <c:pt idx="1344">
                  <c:v>366.5</c:v>
                </c:pt>
                <c:pt idx="1345">
                  <c:v>366</c:v>
                </c:pt>
                <c:pt idx="1346">
                  <c:v>366</c:v>
                </c:pt>
                <c:pt idx="1347">
                  <c:v>366.46</c:v>
                </c:pt>
                <c:pt idx="1348">
                  <c:v>366</c:v>
                </c:pt>
                <c:pt idx="1349">
                  <c:v>366</c:v>
                </c:pt>
                <c:pt idx="1350">
                  <c:v>366</c:v>
                </c:pt>
                <c:pt idx="1351">
                  <c:v>366.47</c:v>
                </c:pt>
                <c:pt idx="1352">
                  <c:v>366.46</c:v>
                </c:pt>
                <c:pt idx="1353">
                  <c:v>349</c:v>
                </c:pt>
                <c:pt idx="1354">
                  <c:v>366</c:v>
                </c:pt>
                <c:pt idx="1355">
                  <c:v>366</c:v>
                </c:pt>
                <c:pt idx="1356">
                  <c:v>366</c:v>
                </c:pt>
                <c:pt idx="1357">
                  <c:v>365.5</c:v>
                </c:pt>
                <c:pt idx="1358">
                  <c:v>365.5</c:v>
                </c:pt>
                <c:pt idx="1359">
                  <c:v>366</c:v>
                </c:pt>
                <c:pt idx="1360">
                  <c:v>365.5</c:v>
                </c:pt>
                <c:pt idx="1361">
                  <c:v>366</c:v>
                </c:pt>
                <c:pt idx="1362">
                  <c:v>366.47</c:v>
                </c:pt>
                <c:pt idx="1363">
                  <c:v>366.44</c:v>
                </c:pt>
                <c:pt idx="1364">
                  <c:v>366.47</c:v>
                </c:pt>
                <c:pt idx="1365">
                  <c:v>365.5</c:v>
                </c:pt>
                <c:pt idx="1366">
                  <c:v>366.36</c:v>
                </c:pt>
                <c:pt idx="1367">
                  <c:v>366.37</c:v>
                </c:pt>
                <c:pt idx="1368">
                  <c:v>366.45</c:v>
                </c:pt>
                <c:pt idx="1369">
                  <c:v>366</c:v>
                </c:pt>
                <c:pt idx="1370">
                  <c:v>366</c:v>
                </c:pt>
                <c:pt idx="1371">
                  <c:v>366</c:v>
                </c:pt>
                <c:pt idx="1372">
                  <c:v>366</c:v>
                </c:pt>
                <c:pt idx="1373">
                  <c:v>366</c:v>
                </c:pt>
                <c:pt idx="1374">
                  <c:v>366</c:v>
                </c:pt>
                <c:pt idx="1375">
                  <c:v>366</c:v>
                </c:pt>
                <c:pt idx="1376">
                  <c:v>366</c:v>
                </c:pt>
                <c:pt idx="1377">
                  <c:v>366</c:v>
                </c:pt>
                <c:pt idx="1378">
                  <c:v>366</c:v>
                </c:pt>
                <c:pt idx="1379">
                  <c:v>365.5</c:v>
                </c:pt>
                <c:pt idx="1380">
                  <c:v>366</c:v>
                </c:pt>
                <c:pt idx="1381">
                  <c:v>366</c:v>
                </c:pt>
                <c:pt idx="1382">
                  <c:v>366</c:v>
                </c:pt>
                <c:pt idx="1383">
                  <c:v>366.6</c:v>
                </c:pt>
                <c:pt idx="1384">
                  <c:v>366</c:v>
                </c:pt>
                <c:pt idx="1385">
                  <c:v>366</c:v>
                </c:pt>
                <c:pt idx="1386">
                  <c:v>366</c:v>
                </c:pt>
                <c:pt idx="1387">
                  <c:v>366</c:v>
                </c:pt>
                <c:pt idx="1388">
                  <c:v>366</c:v>
                </c:pt>
                <c:pt idx="1389">
                  <c:v>366</c:v>
                </c:pt>
                <c:pt idx="1390">
                  <c:v>366</c:v>
                </c:pt>
                <c:pt idx="1391">
                  <c:v>366</c:v>
                </c:pt>
                <c:pt idx="1392">
                  <c:v>365.58</c:v>
                </c:pt>
                <c:pt idx="1393">
                  <c:v>365.5</c:v>
                </c:pt>
                <c:pt idx="1394">
                  <c:v>365.5</c:v>
                </c:pt>
                <c:pt idx="1395">
                  <c:v>365.5</c:v>
                </c:pt>
                <c:pt idx="1396">
                  <c:v>365.5</c:v>
                </c:pt>
                <c:pt idx="1397">
                  <c:v>365.5</c:v>
                </c:pt>
                <c:pt idx="1398">
                  <c:v>366</c:v>
                </c:pt>
                <c:pt idx="1399">
                  <c:v>365.5</c:v>
                </c:pt>
                <c:pt idx="1400">
                  <c:v>356.5</c:v>
                </c:pt>
                <c:pt idx="1401">
                  <c:v>365.5</c:v>
                </c:pt>
                <c:pt idx="1402">
                  <c:v>365.5</c:v>
                </c:pt>
                <c:pt idx="1403">
                  <c:v>365.5</c:v>
                </c:pt>
                <c:pt idx="1404">
                  <c:v>365.5</c:v>
                </c:pt>
                <c:pt idx="1405">
                  <c:v>366</c:v>
                </c:pt>
                <c:pt idx="1406">
                  <c:v>366</c:v>
                </c:pt>
                <c:pt idx="1407">
                  <c:v>366</c:v>
                </c:pt>
                <c:pt idx="1408">
                  <c:v>366</c:v>
                </c:pt>
                <c:pt idx="1409">
                  <c:v>366</c:v>
                </c:pt>
                <c:pt idx="1410">
                  <c:v>366</c:v>
                </c:pt>
                <c:pt idx="1411">
                  <c:v>366</c:v>
                </c:pt>
                <c:pt idx="1412">
                  <c:v>366</c:v>
                </c:pt>
                <c:pt idx="1413">
                  <c:v>366</c:v>
                </c:pt>
                <c:pt idx="1414">
                  <c:v>366</c:v>
                </c:pt>
                <c:pt idx="1415">
                  <c:v>366</c:v>
                </c:pt>
                <c:pt idx="1416">
                  <c:v>366</c:v>
                </c:pt>
                <c:pt idx="1417">
                  <c:v>366.07</c:v>
                </c:pt>
                <c:pt idx="1418">
                  <c:v>365.5</c:v>
                </c:pt>
                <c:pt idx="1419">
                  <c:v>365.5</c:v>
                </c:pt>
                <c:pt idx="1420">
                  <c:v>366.06</c:v>
                </c:pt>
                <c:pt idx="1421">
                  <c:v>366.07</c:v>
                </c:pt>
                <c:pt idx="1422">
                  <c:v>366.07</c:v>
                </c:pt>
                <c:pt idx="1423">
                  <c:v>365.5</c:v>
                </c:pt>
                <c:pt idx="1424">
                  <c:v>365.5</c:v>
                </c:pt>
                <c:pt idx="1425">
                  <c:v>366</c:v>
                </c:pt>
                <c:pt idx="1426">
                  <c:v>366.6</c:v>
                </c:pt>
                <c:pt idx="1427">
                  <c:v>368</c:v>
                </c:pt>
                <c:pt idx="1428">
                  <c:v>368</c:v>
                </c:pt>
                <c:pt idx="1429">
                  <c:v>368</c:v>
                </c:pt>
                <c:pt idx="1430">
                  <c:v>367</c:v>
                </c:pt>
                <c:pt idx="1431">
                  <c:v>368</c:v>
                </c:pt>
                <c:pt idx="1432">
                  <c:v>368</c:v>
                </c:pt>
                <c:pt idx="1433">
                  <c:v>368</c:v>
                </c:pt>
                <c:pt idx="1434">
                  <c:v>368</c:v>
                </c:pt>
                <c:pt idx="1435">
                  <c:v>368.5</c:v>
                </c:pt>
                <c:pt idx="1436">
                  <c:v>368.5</c:v>
                </c:pt>
                <c:pt idx="1437">
                  <c:v>368</c:v>
                </c:pt>
                <c:pt idx="1438">
                  <c:v>368</c:v>
                </c:pt>
                <c:pt idx="1439">
                  <c:v>368.5</c:v>
                </c:pt>
                <c:pt idx="1440">
                  <c:v>368</c:v>
                </c:pt>
                <c:pt idx="1441">
                  <c:v>368</c:v>
                </c:pt>
                <c:pt idx="1442">
                  <c:v>368</c:v>
                </c:pt>
                <c:pt idx="1443">
                  <c:v>368.5</c:v>
                </c:pt>
                <c:pt idx="1444">
                  <c:v>365.5</c:v>
                </c:pt>
                <c:pt idx="1445">
                  <c:v>365.5</c:v>
                </c:pt>
                <c:pt idx="1446">
                  <c:v>365.5</c:v>
                </c:pt>
                <c:pt idx="1447">
                  <c:v>365.5</c:v>
                </c:pt>
                <c:pt idx="1448">
                  <c:v>366</c:v>
                </c:pt>
                <c:pt idx="1449">
                  <c:v>366</c:v>
                </c:pt>
                <c:pt idx="1450">
                  <c:v>366</c:v>
                </c:pt>
                <c:pt idx="1451">
                  <c:v>365.9</c:v>
                </c:pt>
                <c:pt idx="1452">
                  <c:v>365.9</c:v>
                </c:pt>
                <c:pt idx="1453">
                  <c:v>365.9</c:v>
                </c:pt>
                <c:pt idx="1454">
                  <c:v>365.9</c:v>
                </c:pt>
                <c:pt idx="1455">
                  <c:v>365.9</c:v>
                </c:pt>
                <c:pt idx="1456">
                  <c:v>365.9</c:v>
                </c:pt>
                <c:pt idx="1457">
                  <c:v>365.9</c:v>
                </c:pt>
                <c:pt idx="1458">
                  <c:v>365</c:v>
                </c:pt>
                <c:pt idx="1459">
                  <c:v>368.5</c:v>
                </c:pt>
                <c:pt idx="1460">
                  <c:v>368.5</c:v>
                </c:pt>
                <c:pt idx="1461">
                  <c:v>365.94</c:v>
                </c:pt>
                <c:pt idx="1462">
                  <c:v>368.5</c:v>
                </c:pt>
                <c:pt idx="1463">
                  <c:v>368.5</c:v>
                </c:pt>
                <c:pt idx="1464">
                  <c:v>368.5</c:v>
                </c:pt>
                <c:pt idx="1465">
                  <c:v>368.5</c:v>
                </c:pt>
                <c:pt idx="1466">
                  <c:v>368.5</c:v>
                </c:pt>
                <c:pt idx="1467">
                  <c:v>365.5</c:v>
                </c:pt>
                <c:pt idx="1468">
                  <c:v>365</c:v>
                </c:pt>
                <c:pt idx="1469">
                  <c:v>365.5</c:v>
                </c:pt>
                <c:pt idx="1470">
                  <c:v>365.52</c:v>
                </c:pt>
                <c:pt idx="1471">
                  <c:v>365.81</c:v>
                </c:pt>
                <c:pt idx="1472">
                  <c:v>366.07</c:v>
                </c:pt>
                <c:pt idx="1473">
                  <c:v>365.79</c:v>
                </c:pt>
                <c:pt idx="1474">
                  <c:v>365.5</c:v>
                </c:pt>
                <c:pt idx="1475">
                  <c:v>365.83</c:v>
                </c:pt>
                <c:pt idx="1476">
                  <c:v>365.5</c:v>
                </c:pt>
                <c:pt idx="1477">
                  <c:v>365.8</c:v>
                </c:pt>
                <c:pt idx="1478">
                  <c:v>365.5</c:v>
                </c:pt>
                <c:pt idx="1479">
                  <c:v>365.82</c:v>
                </c:pt>
                <c:pt idx="1480">
                  <c:v>365.5</c:v>
                </c:pt>
                <c:pt idx="1481">
                  <c:v>364</c:v>
                </c:pt>
                <c:pt idx="1482">
                  <c:v>364</c:v>
                </c:pt>
                <c:pt idx="1483">
                  <c:v>364</c:v>
                </c:pt>
                <c:pt idx="1484">
                  <c:v>364</c:v>
                </c:pt>
                <c:pt idx="1485">
                  <c:v>364</c:v>
                </c:pt>
                <c:pt idx="1486">
                  <c:v>364</c:v>
                </c:pt>
                <c:pt idx="1487">
                  <c:v>366</c:v>
                </c:pt>
                <c:pt idx="1488">
                  <c:v>368</c:v>
                </c:pt>
                <c:pt idx="1489">
                  <c:v>366.36</c:v>
                </c:pt>
                <c:pt idx="1490">
                  <c:v>364</c:v>
                </c:pt>
                <c:pt idx="1491">
                  <c:v>364</c:v>
                </c:pt>
                <c:pt idx="1492">
                  <c:v>364.15</c:v>
                </c:pt>
                <c:pt idx="1493">
                  <c:v>364</c:v>
                </c:pt>
                <c:pt idx="1494">
                  <c:v>364</c:v>
                </c:pt>
                <c:pt idx="1495">
                  <c:v>364</c:v>
                </c:pt>
                <c:pt idx="1496">
                  <c:v>364.15</c:v>
                </c:pt>
                <c:pt idx="1497">
                  <c:v>364</c:v>
                </c:pt>
                <c:pt idx="1498">
                  <c:v>365.5</c:v>
                </c:pt>
                <c:pt idx="1499">
                  <c:v>366.07</c:v>
                </c:pt>
                <c:pt idx="1500">
                  <c:v>366</c:v>
                </c:pt>
                <c:pt idx="1501">
                  <c:v>366.07</c:v>
                </c:pt>
                <c:pt idx="1502">
                  <c:v>366.07</c:v>
                </c:pt>
                <c:pt idx="1503">
                  <c:v>366</c:v>
                </c:pt>
                <c:pt idx="1504">
                  <c:v>368</c:v>
                </c:pt>
                <c:pt idx="1505">
                  <c:v>368</c:v>
                </c:pt>
                <c:pt idx="1506">
                  <c:v>368</c:v>
                </c:pt>
                <c:pt idx="1507">
                  <c:v>368</c:v>
                </c:pt>
                <c:pt idx="1508">
                  <c:v>368</c:v>
                </c:pt>
                <c:pt idx="1509">
                  <c:v>368</c:v>
                </c:pt>
                <c:pt idx="1510">
                  <c:v>366</c:v>
                </c:pt>
                <c:pt idx="1511">
                  <c:v>369</c:v>
                </c:pt>
                <c:pt idx="1512">
                  <c:v>366.44</c:v>
                </c:pt>
                <c:pt idx="1513">
                  <c:v>369</c:v>
                </c:pt>
                <c:pt idx="1514">
                  <c:v>369</c:v>
                </c:pt>
                <c:pt idx="1515">
                  <c:v>369</c:v>
                </c:pt>
                <c:pt idx="1516">
                  <c:v>369</c:v>
                </c:pt>
                <c:pt idx="1517">
                  <c:v>368</c:v>
                </c:pt>
                <c:pt idx="1518">
                  <c:v>364</c:v>
                </c:pt>
                <c:pt idx="1519">
                  <c:v>366</c:v>
                </c:pt>
                <c:pt idx="1520">
                  <c:v>366</c:v>
                </c:pt>
                <c:pt idx="1521">
                  <c:v>366</c:v>
                </c:pt>
                <c:pt idx="1522">
                  <c:v>368.35</c:v>
                </c:pt>
                <c:pt idx="1523">
                  <c:v>368.35</c:v>
                </c:pt>
                <c:pt idx="1524">
                  <c:v>368.52</c:v>
                </c:pt>
                <c:pt idx="1525">
                  <c:v>368.52</c:v>
                </c:pt>
                <c:pt idx="1526">
                  <c:v>369</c:v>
                </c:pt>
                <c:pt idx="1527">
                  <c:v>368.52</c:v>
                </c:pt>
                <c:pt idx="1528">
                  <c:v>368.52</c:v>
                </c:pt>
                <c:pt idx="1529">
                  <c:v>368.52</c:v>
                </c:pt>
                <c:pt idx="1530">
                  <c:v>368</c:v>
                </c:pt>
                <c:pt idx="1531">
                  <c:v>368</c:v>
                </c:pt>
                <c:pt idx="1532">
                  <c:v>366</c:v>
                </c:pt>
                <c:pt idx="1533">
                  <c:v>366</c:v>
                </c:pt>
                <c:pt idx="1534">
                  <c:v>365.98</c:v>
                </c:pt>
                <c:pt idx="1535">
                  <c:v>365</c:v>
                </c:pt>
                <c:pt idx="1536">
                  <c:v>353.02</c:v>
                </c:pt>
                <c:pt idx="1537">
                  <c:v>397</c:v>
                </c:pt>
                <c:pt idx="1538">
                  <c:v>397</c:v>
                </c:pt>
                <c:pt idx="1539">
                  <c:v>398</c:v>
                </c:pt>
                <c:pt idx="1540">
                  <c:v>397.71</c:v>
                </c:pt>
                <c:pt idx="1541">
                  <c:v>397.71</c:v>
                </c:pt>
                <c:pt idx="1542">
                  <c:v>397.71</c:v>
                </c:pt>
                <c:pt idx="1543">
                  <c:v>397.71</c:v>
                </c:pt>
                <c:pt idx="1544">
                  <c:v>397</c:v>
                </c:pt>
                <c:pt idx="1545">
                  <c:v>399</c:v>
                </c:pt>
                <c:pt idx="1546">
                  <c:v>399</c:v>
                </c:pt>
                <c:pt idx="1547">
                  <c:v>399</c:v>
                </c:pt>
                <c:pt idx="1548">
                  <c:v>398.49</c:v>
                </c:pt>
              </c:numCache>
            </c:numRef>
          </c:yVal>
          <c:smooth val="0"/>
          <c:extLst>
            <c:ext xmlns:c16="http://schemas.microsoft.com/office/drawing/2014/chart" uri="{C3380CC4-5D6E-409C-BE32-E72D297353CC}">
              <c16:uniqueId val="{00000001-097C-49B8-8327-3FD6C9F9B856}"/>
            </c:ext>
          </c:extLst>
        </c:ser>
        <c:dLbls>
          <c:showLegendKey val="0"/>
          <c:showVal val="0"/>
          <c:showCatName val="0"/>
          <c:showSerName val="0"/>
          <c:showPercent val="0"/>
          <c:showBubbleSize val="0"/>
        </c:dLbls>
        <c:axId val="325242480"/>
        <c:axId val="325240512"/>
      </c:scatterChart>
      <c:valAx>
        <c:axId val="4180847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TEU</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8088384"/>
        <c:crosses val="autoZero"/>
        <c:crossBetween val="midCat"/>
      </c:valAx>
      <c:valAx>
        <c:axId val="4180883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dwt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8084776"/>
        <c:crosses val="autoZero"/>
        <c:crossBetween val="midCat"/>
      </c:valAx>
      <c:valAx>
        <c:axId val="32524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Länge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25242480"/>
        <c:crosses val="max"/>
        <c:crossBetween val="midCat"/>
      </c:valAx>
      <c:valAx>
        <c:axId val="325242480"/>
        <c:scaling>
          <c:orientation val="minMax"/>
        </c:scaling>
        <c:delete val="1"/>
        <c:axPos val="b"/>
        <c:numFmt formatCode="General" sourceLinked="1"/>
        <c:majorTickMark val="out"/>
        <c:minorTickMark val="none"/>
        <c:tickLblPos val="nextTo"/>
        <c:crossAx val="325240512"/>
        <c:crosses val="autoZero"/>
        <c:crossBetween val="midCat"/>
      </c:valAx>
      <c:spPr>
        <a:noFill/>
        <a:ln>
          <a:noFill/>
        </a:ln>
        <a:effectLst/>
      </c:spPr>
    </c:plotArea>
    <c:plotVisOnly val="1"/>
    <c:dispBlanksAs val="gap"/>
    <c:showDLblsOverMax val="0"/>
  </c:chart>
  <c:spPr>
    <a:solidFill>
      <a:schemeClr val="bg1"/>
    </a:solidFill>
    <a:ln w="9525" cap="flat" cmpd="sng" algn="ctr">
      <a:solidFill>
        <a:srgbClr val="32578C"/>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strRef>
              <c:f>'Schätzung Schiff'!$A$19</c:f>
              <c:strCache>
                <c:ptCount val="1"/>
                <c:pt idx="0">
                  <c:v>18</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'Schätzung Schiff'!$B$4:$J$4</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Schiff'!$B$19:$J$19</c:f>
              <c:numCache>
                <c:formatCode>General</c:formatCode>
                <c:ptCount val="9"/>
                <c:pt idx="0">
                  <c:v>47</c:v>
                </c:pt>
                <c:pt idx="1">
                  <c:v>54.9</c:v>
                </c:pt>
                <c:pt idx="2">
                  <c:v>52.8</c:v>
                </c:pt>
                <c:pt idx="3">
                  <c:v>57.9</c:v>
                </c:pt>
                <c:pt idx="4">
                  <c:v>68.8</c:v>
                </c:pt>
                <c:pt idx="5">
                  <c:v>77.8</c:v>
                </c:pt>
                <c:pt idx="6">
                  <c:v>87.9</c:v>
                </c:pt>
                <c:pt idx="7">
                  <c:v>98.8</c:v>
                </c:pt>
                <c:pt idx="8">
                  <c:v>124.1</c:v>
                </c:pt>
              </c:numCache>
            </c:numRef>
          </c:yVal>
          <c:smooth val="1"/>
          <c:extLst>
            <c:ext xmlns:c16="http://schemas.microsoft.com/office/drawing/2014/chart" uri="{C3380CC4-5D6E-409C-BE32-E72D297353CC}">
              <c16:uniqueId val="{00000000-318E-4E63-A171-EE368A9D9978}"/>
            </c:ext>
          </c:extLst>
        </c:ser>
        <c:ser>
          <c:idx val="1"/>
          <c:order val="1"/>
          <c:tx>
            <c:strRef>
              <c:f>'Schätzung Schiff'!$A$20</c:f>
              <c:strCache>
                <c:ptCount val="1"/>
                <c:pt idx="0">
                  <c:v>19</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'Schätzung Schiff'!$B$4:$J$4</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Schiff'!$B$20:$J$20</c:f>
              <c:numCache>
                <c:formatCode>General</c:formatCode>
                <c:ptCount val="9"/>
                <c:pt idx="0">
                  <c:v>56.1</c:v>
                </c:pt>
                <c:pt idx="1">
                  <c:v>65.599999999999994</c:v>
                </c:pt>
                <c:pt idx="2">
                  <c:v>63.1</c:v>
                </c:pt>
                <c:pt idx="3">
                  <c:v>69.3</c:v>
                </c:pt>
                <c:pt idx="4">
                  <c:v>82.2</c:v>
                </c:pt>
                <c:pt idx="5">
                  <c:v>93</c:v>
                </c:pt>
                <c:pt idx="6">
                  <c:v>105.1</c:v>
                </c:pt>
                <c:pt idx="7">
                  <c:v>118.1</c:v>
                </c:pt>
                <c:pt idx="8">
                  <c:v>148.4</c:v>
                </c:pt>
              </c:numCache>
            </c:numRef>
          </c:yVal>
          <c:smooth val="1"/>
          <c:extLst>
            <c:ext xmlns:c16="http://schemas.microsoft.com/office/drawing/2014/chart" uri="{C3380CC4-5D6E-409C-BE32-E72D297353CC}">
              <c16:uniqueId val="{00000001-318E-4E63-A171-EE368A9D9978}"/>
            </c:ext>
          </c:extLst>
        </c:ser>
        <c:ser>
          <c:idx val="2"/>
          <c:order val="2"/>
          <c:tx>
            <c:strRef>
              <c:f>'Schätzung Schiff'!$A$21</c:f>
              <c:strCache>
                <c:ptCount val="1"/>
                <c:pt idx="0">
                  <c:v>20</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'Schätzung Schiff'!$B$4:$J$4</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Schiff'!$B$21:$J$21</c:f>
              <c:numCache>
                <c:formatCode>General</c:formatCode>
                <c:ptCount val="9"/>
                <c:pt idx="0">
                  <c:v>66.5</c:v>
                </c:pt>
                <c:pt idx="1">
                  <c:v>77.7</c:v>
                </c:pt>
                <c:pt idx="2">
                  <c:v>74.7</c:v>
                </c:pt>
                <c:pt idx="3">
                  <c:v>82</c:v>
                </c:pt>
                <c:pt idx="4">
                  <c:v>97.4</c:v>
                </c:pt>
                <c:pt idx="5">
                  <c:v>110.1</c:v>
                </c:pt>
                <c:pt idx="6">
                  <c:v>124.5</c:v>
                </c:pt>
                <c:pt idx="7">
                  <c:v>139.80000000000001</c:v>
                </c:pt>
                <c:pt idx="8">
                  <c:v>175.7</c:v>
                </c:pt>
              </c:numCache>
            </c:numRef>
          </c:yVal>
          <c:smooth val="1"/>
          <c:extLst>
            <c:ext xmlns:c16="http://schemas.microsoft.com/office/drawing/2014/chart" uri="{C3380CC4-5D6E-409C-BE32-E72D297353CC}">
              <c16:uniqueId val="{00000002-318E-4E63-A171-EE368A9D9978}"/>
            </c:ext>
          </c:extLst>
        </c:ser>
        <c:ser>
          <c:idx val="3"/>
          <c:order val="3"/>
          <c:tx>
            <c:strRef>
              <c:f>'Schätzung Schiff'!$A$22</c:f>
              <c:strCache>
                <c:ptCount val="1"/>
                <c:pt idx="0">
                  <c:v>21</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'Schätzung Schiff'!$B$4:$J$4</c:f>
              <c:numCache>
                <c:formatCode>General</c:formatCode>
                <c:ptCount val="9"/>
                <c:pt idx="0">
                  <c:v>34103.488855920004</c:v>
                </c:pt>
                <c:pt idx="1">
                  <c:v>45522.0399059712</c:v>
                </c:pt>
                <c:pt idx="2">
                  <c:v>57163.573825380001</c:v>
                </c:pt>
                <c:pt idx="3">
                  <c:v>70129.679474032804</c:v>
                </c:pt>
                <c:pt idx="4">
                  <c:v>81503.303645220003</c:v>
                </c:pt>
                <c:pt idx="5">
                  <c:v>90838.205041459209</c:v>
                </c:pt>
                <c:pt idx="6">
                  <c:v>100360.82896095121</c:v>
                </c:pt>
                <c:pt idx="7">
                  <c:v>110375.94155727122</c:v>
                </c:pt>
                <c:pt idx="8">
                  <c:v>131722.08496127999</c:v>
                </c:pt>
              </c:numCache>
            </c:numRef>
          </c:xVal>
          <c:yVal>
            <c:numRef>
              <c:f>'Schätzung Schiff'!$B$22:$J$22</c:f>
              <c:numCache>
                <c:formatCode>General</c:formatCode>
                <c:ptCount val="9"/>
                <c:pt idx="0">
                  <c:v>78.099999999999994</c:v>
                </c:pt>
                <c:pt idx="1">
                  <c:v>91.3</c:v>
                </c:pt>
                <c:pt idx="2">
                  <c:v>87.8</c:v>
                </c:pt>
                <c:pt idx="3">
                  <c:v>96.4</c:v>
                </c:pt>
                <c:pt idx="4">
                  <c:v>114.4</c:v>
                </c:pt>
                <c:pt idx="5">
                  <c:v>129.4</c:v>
                </c:pt>
                <c:pt idx="6">
                  <c:v>146.19999999999999</c:v>
                </c:pt>
                <c:pt idx="7">
                  <c:v>164.2</c:v>
                </c:pt>
                <c:pt idx="8">
                  <c:v>206.4</c:v>
                </c:pt>
              </c:numCache>
            </c:numRef>
          </c:yVal>
          <c:smooth val="1"/>
          <c:extLst>
            <c:ext xmlns:c16="http://schemas.microsoft.com/office/drawing/2014/chart" uri="{C3380CC4-5D6E-409C-BE32-E72D297353CC}">
              <c16:uniqueId val="{00000003-318E-4E63-A171-EE368A9D9978}"/>
            </c:ext>
          </c:extLst>
        </c:ser>
        <c:ser>
          <c:idx val="4"/>
          <c:order val="4"/>
          <c:tx>
            <c:strRef>
              <c:f>'Schätzung Schiff'!$A$23</c:f>
              <c:strCache>
                <c:ptCount val="1"/>
                <c:pt idx="0">
                  <c:v>22</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'Schätzung Schiff'!$C$4:$J$4</c:f>
              <c:numCache>
                <c:formatCode>General</c:formatCode>
                <c:ptCount val="8"/>
                <c:pt idx="0">
                  <c:v>45522.0399059712</c:v>
                </c:pt>
                <c:pt idx="1">
                  <c:v>57163.573825380001</c:v>
                </c:pt>
                <c:pt idx="2">
                  <c:v>70129.679474032804</c:v>
                </c:pt>
                <c:pt idx="3">
                  <c:v>81503.303645220003</c:v>
                </c:pt>
                <c:pt idx="4">
                  <c:v>90838.205041459209</c:v>
                </c:pt>
                <c:pt idx="5">
                  <c:v>100360.82896095121</c:v>
                </c:pt>
                <c:pt idx="6">
                  <c:v>110375.94155727122</c:v>
                </c:pt>
                <c:pt idx="7">
                  <c:v>131722.08496127999</c:v>
                </c:pt>
              </c:numCache>
            </c:numRef>
          </c:xVal>
          <c:yVal>
            <c:numRef>
              <c:f>'Schätzung Schiff'!$C$23:$J$23</c:f>
              <c:numCache>
                <c:formatCode>General</c:formatCode>
                <c:ptCount val="8"/>
                <c:pt idx="0">
                  <c:v>106.4</c:v>
                </c:pt>
                <c:pt idx="1">
                  <c:v>102.4</c:v>
                </c:pt>
                <c:pt idx="2">
                  <c:v>112.3</c:v>
                </c:pt>
                <c:pt idx="3">
                  <c:v>133.4</c:v>
                </c:pt>
                <c:pt idx="4">
                  <c:v>150.80000000000001</c:v>
                </c:pt>
                <c:pt idx="5">
                  <c:v>170.5</c:v>
                </c:pt>
                <c:pt idx="6">
                  <c:v>191.5</c:v>
                </c:pt>
                <c:pt idx="7">
                  <c:v>240.7</c:v>
                </c:pt>
              </c:numCache>
            </c:numRef>
          </c:yVal>
          <c:smooth val="1"/>
          <c:extLst>
            <c:ext xmlns:c16="http://schemas.microsoft.com/office/drawing/2014/chart" uri="{C3380CC4-5D6E-409C-BE32-E72D297353CC}">
              <c16:uniqueId val="{00000004-318E-4E63-A171-EE368A9D9978}"/>
            </c:ext>
          </c:extLst>
        </c:ser>
        <c:ser>
          <c:idx val="5"/>
          <c:order val="5"/>
          <c:tx>
            <c:strRef>
              <c:f>'Schätzung Schiff'!$A$24</c:f>
              <c:strCache>
                <c:ptCount val="1"/>
                <c:pt idx="0">
                  <c:v>23</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'Schätzung Schiff'!$D$4:$J$4</c:f>
              <c:numCache>
                <c:formatCode>General</c:formatCode>
                <c:ptCount val="7"/>
                <c:pt idx="0">
                  <c:v>57163.573825380001</c:v>
                </c:pt>
                <c:pt idx="1">
                  <c:v>70129.679474032804</c:v>
                </c:pt>
                <c:pt idx="2">
                  <c:v>81503.303645220003</c:v>
                </c:pt>
                <c:pt idx="3">
                  <c:v>90838.205041459209</c:v>
                </c:pt>
                <c:pt idx="4">
                  <c:v>100360.82896095121</c:v>
                </c:pt>
                <c:pt idx="5">
                  <c:v>110375.94155727122</c:v>
                </c:pt>
                <c:pt idx="6">
                  <c:v>131722.08496127999</c:v>
                </c:pt>
              </c:numCache>
            </c:numRef>
          </c:xVal>
          <c:yVal>
            <c:numRef>
              <c:f>'Schätzung Schiff'!$D$24:$J$24</c:f>
              <c:numCache>
                <c:formatCode>General</c:formatCode>
                <c:ptCount val="7"/>
                <c:pt idx="0">
                  <c:v>118.5</c:v>
                </c:pt>
                <c:pt idx="1">
                  <c:v>130.1</c:v>
                </c:pt>
                <c:pt idx="2">
                  <c:v>154.5</c:v>
                </c:pt>
                <c:pt idx="3">
                  <c:v>174.7</c:v>
                </c:pt>
                <c:pt idx="4">
                  <c:v>197.5</c:v>
                </c:pt>
                <c:pt idx="5">
                  <c:v>221.8</c:v>
                </c:pt>
                <c:pt idx="6">
                  <c:v>278.7</c:v>
                </c:pt>
              </c:numCache>
            </c:numRef>
          </c:yVal>
          <c:smooth val="1"/>
          <c:extLst>
            <c:ext xmlns:c16="http://schemas.microsoft.com/office/drawing/2014/chart" uri="{C3380CC4-5D6E-409C-BE32-E72D297353CC}">
              <c16:uniqueId val="{00000005-318E-4E63-A171-EE368A9D9978}"/>
            </c:ext>
          </c:extLst>
        </c:ser>
        <c:ser>
          <c:idx val="6"/>
          <c:order val="6"/>
          <c:tx>
            <c:strRef>
              <c:f>'Schätzung Schiff'!$A$25</c:f>
              <c:strCache>
                <c:ptCount val="1"/>
                <c:pt idx="0">
                  <c:v>24</c:v>
                </c:pt>
              </c:strCache>
            </c:strRef>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'Schätzung Schiff'!$D$4:$J$4</c:f>
              <c:numCache>
                <c:formatCode>General</c:formatCode>
                <c:ptCount val="7"/>
                <c:pt idx="0">
                  <c:v>57163.573825380001</c:v>
                </c:pt>
                <c:pt idx="1">
                  <c:v>70129.679474032804</c:v>
                </c:pt>
                <c:pt idx="2">
                  <c:v>81503.303645220003</c:v>
                </c:pt>
                <c:pt idx="3">
                  <c:v>90838.205041459209</c:v>
                </c:pt>
                <c:pt idx="4">
                  <c:v>100360.82896095121</c:v>
                </c:pt>
                <c:pt idx="5">
                  <c:v>110375.94155727122</c:v>
                </c:pt>
                <c:pt idx="6">
                  <c:v>131722.08496127999</c:v>
                </c:pt>
              </c:numCache>
            </c:numRef>
          </c:xVal>
          <c:yVal>
            <c:numRef>
              <c:f>'Schätzung Schiff'!$D$25:$J$25</c:f>
              <c:numCache>
                <c:formatCode>General</c:formatCode>
                <c:ptCount val="7"/>
                <c:pt idx="0">
                  <c:v>136.4</c:v>
                </c:pt>
                <c:pt idx="1">
                  <c:v>149.69999999999999</c:v>
                </c:pt>
                <c:pt idx="2">
                  <c:v>177.8</c:v>
                </c:pt>
                <c:pt idx="3">
                  <c:v>201</c:v>
                </c:pt>
                <c:pt idx="4">
                  <c:v>227.2</c:v>
                </c:pt>
                <c:pt idx="5">
                  <c:v>255.2</c:v>
                </c:pt>
                <c:pt idx="6">
                  <c:v>320.7</c:v>
                </c:pt>
              </c:numCache>
            </c:numRef>
          </c:yVal>
          <c:smooth val="1"/>
          <c:extLst>
            <c:ext xmlns:c16="http://schemas.microsoft.com/office/drawing/2014/chart" uri="{C3380CC4-5D6E-409C-BE32-E72D297353CC}">
              <c16:uniqueId val="{00000006-318E-4E63-A171-EE368A9D9978}"/>
            </c:ext>
          </c:extLst>
        </c:ser>
        <c:ser>
          <c:idx val="7"/>
          <c:order val="7"/>
          <c:tx>
            <c:strRef>
              <c:f>'Schätzung Schiff'!$A$26</c:f>
              <c:strCache>
                <c:ptCount val="1"/>
                <c:pt idx="0">
                  <c:v>25</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'Schätzung Schiff'!$E$4:$J$4</c:f>
              <c:numCache>
                <c:formatCode>General</c:formatCode>
                <c:ptCount val="6"/>
                <c:pt idx="0">
                  <c:v>70129.679474032804</c:v>
                </c:pt>
                <c:pt idx="1">
                  <c:v>81503.303645220003</c:v>
                </c:pt>
                <c:pt idx="2">
                  <c:v>90838.205041459209</c:v>
                </c:pt>
                <c:pt idx="3">
                  <c:v>100360.82896095121</c:v>
                </c:pt>
                <c:pt idx="4">
                  <c:v>110375.94155727122</c:v>
                </c:pt>
                <c:pt idx="5">
                  <c:v>131722.08496127999</c:v>
                </c:pt>
              </c:numCache>
            </c:numRef>
          </c:xVal>
          <c:yVal>
            <c:numRef>
              <c:f>'Schätzung Schiff'!$E$26:$J$26</c:f>
              <c:numCache>
                <c:formatCode>General</c:formatCode>
                <c:ptCount val="6"/>
                <c:pt idx="0">
                  <c:v>171.3</c:v>
                </c:pt>
                <c:pt idx="1">
                  <c:v>203.4</c:v>
                </c:pt>
                <c:pt idx="2">
                  <c:v>230</c:v>
                </c:pt>
                <c:pt idx="3">
                  <c:v>260</c:v>
                </c:pt>
                <c:pt idx="4">
                  <c:v>292</c:v>
                </c:pt>
                <c:pt idx="5">
                  <c:v>367</c:v>
                </c:pt>
              </c:numCache>
            </c:numRef>
          </c:yVal>
          <c:smooth val="1"/>
          <c:extLst>
            <c:ext xmlns:c16="http://schemas.microsoft.com/office/drawing/2014/chart" uri="{C3380CC4-5D6E-409C-BE32-E72D297353CC}">
              <c16:uniqueId val="{00000007-318E-4E63-A171-EE368A9D9978}"/>
            </c:ext>
          </c:extLst>
        </c:ser>
        <c:dLbls>
          <c:showLegendKey val="0"/>
          <c:showVal val="0"/>
          <c:showCatName val="0"/>
          <c:showSerName val="0"/>
          <c:showPercent val="0"/>
          <c:showBubbleSize val="0"/>
        </c:dLbls>
        <c:axId val="509180104"/>
        <c:axId val="509186664"/>
      </c:scatterChart>
      <c:valAx>
        <c:axId val="50918010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typ. dwt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9186664"/>
        <c:crosses val="autoZero"/>
        <c:crossBetween val="midCat"/>
      </c:valAx>
      <c:valAx>
        <c:axId val="509186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fuel consumption (t/d)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9180104"/>
        <c:crosses val="autoZero"/>
        <c:crossBetween val="midCat"/>
      </c:valAx>
      <c:spPr>
        <a:noFill/>
        <a:ln>
          <a:noFill/>
        </a:ln>
        <a:effectLst/>
      </c:spPr>
    </c:plotArea>
    <c:plotVisOnly val="1"/>
    <c:dispBlanksAs val="gap"/>
    <c:showDLblsOverMax val="0"/>
  </c:chart>
  <c:spPr>
    <a:solidFill>
      <a:schemeClr val="bg1"/>
    </a:solidFill>
    <a:ln w="9525" cap="flat" cmpd="sng" algn="ctr">
      <a:solidFill>
        <a:srgbClr val="32578C"/>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strRef>
              <c:f>'Schätzung Schiff'!$B$6</c:f>
              <c:strCache>
                <c:ptCount val="1"/>
                <c:pt idx="0">
                  <c:v>2000-3000</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backward val="5"/>
            <c:dispRSqr val="0"/>
            <c:dispEq val="1"/>
            <c:trendlineLbl>
              <c:layout>
                <c:manualLayout>
                  <c:x val="0.27693219597550311"/>
                  <c:y val="0.109964639836687"/>
                </c:manualLayout>
              </c:layout>
              <c:numFmt formatCode="0.00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'Schätzung Schiff'!$A$19:$A$22</c:f>
              <c:numCache>
                <c:formatCode>General</c:formatCode>
                <c:ptCount val="4"/>
                <c:pt idx="0">
                  <c:v>18</c:v>
                </c:pt>
                <c:pt idx="1">
                  <c:v>19</c:v>
                </c:pt>
                <c:pt idx="2">
                  <c:v>20</c:v>
                </c:pt>
                <c:pt idx="3">
                  <c:v>21</c:v>
                </c:pt>
              </c:numCache>
            </c:numRef>
          </c:xVal>
          <c:yVal>
            <c:numRef>
              <c:f>'Schätzung Schiff'!$B$19:$B$22</c:f>
              <c:numCache>
                <c:formatCode>General</c:formatCode>
                <c:ptCount val="4"/>
                <c:pt idx="0">
                  <c:v>47</c:v>
                </c:pt>
                <c:pt idx="1">
                  <c:v>56.1</c:v>
                </c:pt>
                <c:pt idx="2">
                  <c:v>66.5</c:v>
                </c:pt>
                <c:pt idx="3">
                  <c:v>78.099999999999994</c:v>
                </c:pt>
              </c:numCache>
            </c:numRef>
          </c:yVal>
          <c:smooth val="1"/>
          <c:extLst>
            <c:ext xmlns:c16="http://schemas.microsoft.com/office/drawing/2014/chart" uri="{C3380CC4-5D6E-409C-BE32-E72D297353CC}">
              <c16:uniqueId val="{00000006-EDB6-4DD3-AD28-E9D87B408B34}"/>
            </c:ext>
          </c:extLst>
        </c:ser>
        <c:ser>
          <c:idx val="1"/>
          <c:order val="1"/>
          <c:tx>
            <c:strRef>
              <c:f>'Schätzung Schiff'!$C$6</c:f>
              <c:strCache>
                <c:ptCount val="1"/>
                <c:pt idx="0">
                  <c:v>3000-4000</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'Schätzung Schiff'!$A$19:$A$23</c:f>
              <c:numCache>
                <c:formatCode>General</c:formatCode>
                <c:ptCount val="5"/>
                <c:pt idx="0">
                  <c:v>18</c:v>
                </c:pt>
                <c:pt idx="1">
                  <c:v>19</c:v>
                </c:pt>
                <c:pt idx="2">
                  <c:v>20</c:v>
                </c:pt>
                <c:pt idx="3">
                  <c:v>21</c:v>
                </c:pt>
                <c:pt idx="4">
                  <c:v>22</c:v>
                </c:pt>
              </c:numCache>
            </c:numRef>
          </c:xVal>
          <c:yVal>
            <c:numRef>
              <c:f>'Schätzung Schiff'!$C$19:$C$23</c:f>
              <c:numCache>
                <c:formatCode>General</c:formatCode>
                <c:ptCount val="5"/>
                <c:pt idx="0">
                  <c:v>54.9</c:v>
                </c:pt>
                <c:pt idx="1">
                  <c:v>65.599999999999994</c:v>
                </c:pt>
                <c:pt idx="2">
                  <c:v>77.7</c:v>
                </c:pt>
                <c:pt idx="3">
                  <c:v>91.3</c:v>
                </c:pt>
                <c:pt idx="4">
                  <c:v>106.4</c:v>
                </c:pt>
              </c:numCache>
            </c:numRef>
          </c:yVal>
          <c:smooth val="1"/>
          <c:extLst>
            <c:ext xmlns:c16="http://schemas.microsoft.com/office/drawing/2014/chart" uri="{C3380CC4-5D6E-409C-BE32-E72D297353CC}">
              <c16:uniqueId val="{00000007-EDB6-4DD3-AD28-E9D87B408B34}"/>
            </c:ext>
          </c:extLst>
        </c:ser>
        <c:ser>
          <c:idx val="2"/>
          <c:order val="2"/>
          <c:tx>
            <c:strRef>
              <c:f>'Schätzung Schiff'!$D$6</c:f>
              <c:strCache>
                <c:ptCount val="1"/>
                <c:pt idx="0">
                  <c:v>4000-5000</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'Schätzung Schiff'!$A$19:$A$25</c:f>
              <c:numCache>
                <c:formatCode>General</c:formatCode>
                <c:ptCount val="7"/>
                <c:pt idx="0">
                  <c:v>18</c:v>
                </c:pt>
                <c:pt idx="1">
                  <c:v>19</c:v>
                </c:pt>
                <c:pt idx="2">
                  <c:v>20</c:v>
                </c:pt>
                <c:pt idx="3">
                  <c:v>21</c:v>
                </c:pt>
                <c:pt idx="4">
                  <c:v>22</c:v>
                </c:pt>
                <c:pt idx="5">
                  <c:v>23</c:v>
                </c:pt>
                <c:pt idx="6">
                  <c:v>24</c:v>
                </c:pt>
              </c:numCache>
            </c:numRef>
          </c:xVal>
          <c:yVal>
            <c:numRef>
              <c:f>'Schätzung Schiff'!$D$19:$D$25</c:f>
              <c:numCache>
                <c:formatCode>General</c:formatCode>
                <c:ptCount val="7"/>
                <c:pt idx="0">
                  <c:v>52.8</c:v>
                </c:pt>
                <c:pt idx="1">
                  <c:v>63.1</c:v>
                </c:pt>
                <c:pt idx="2">
                  <c:v>74.7</c:v>
                </c:pt>
                <c:pt idx="3">
                  <c:v>87.8</c:v>
                </c:pt>
                <c:pt idx="4">
                  <c:v>102.4</c:v>
                </c:pt>
                <c:pt idx="5">
                  <c:v>118.5</c:v>
                </c:pt>
                <c:pt idx="6">
                  <c:v>136.4</c:v>
                </c:pt>
              </c:numCache>
            </c:numRef>
          </c:yVal>
          <c:smooth val="1"/>
          <c:extLst>
            <c:ext xmlns:c16="http://schemas.microsoft.com/office/drawing/2014/chart" uri="{C3380CC4-5D6E-409C-BE32-E72D297353CC}">
              <c16:uniqueId val="{00000008-EDB6-4DD3-AD28-E9D87B408B34}"/>
            </c:ext>
          </c:extLst>
        </c:ser>
        <c:ser>
          <c:idx val="3"/>
          <c:order val="3"/>
          <c:tx>
            <c:strRef>
              <c:f>'Schätzung Schiff'!$E$6</c:f>
              <c:strCache>
                <c:ptCount val="1"/>
                <c:pt idx="0">
                  <c:v>5000-6000</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'Schätzung Schiff'!$A$19:$A$26</c:f>
              <c:numCache>
                <c:formatCode>General</c:formatCode>
                <c:ptCount val="8"/>
                <c:pt idx="0">
                  <c:v>18</c:v>
                </c:pt>
                <c:pt idx="1">
                  <c:v>19</c:v>
                </c:pt>
                <c:pt idx="2">
                  <c:v>20</c:v>
                </c:pt>
                <c:pt idx="3">
                  <c:v>21</c:v>
                </c:pt>
                <c:pt idx="4">
                  <c:v>22</c:v>
                </c:pt>
                <c:pt idx="5">
                  <c:v>23</c:v>
                </c:pt>
                <c:pt idx="6">
                  <c:v>24</c:v>
                </c:pt>
                <c:pt idx="7">
                  <c:v>25</c:v>
                </c:pt>
              </c:numCache>
            </c:numRef>
          </c:xVal>
          <c:yVal>
            <c:numRef>
              <c:f>'Schätzung Schiff'!$E$19:$E$26</c:f>
              <c:numCache>
                <c:formatCode>General</c:formatCode>
                <c:ptCount val="8"/>
                <c:pt idx="0">
                  <c:v>57.9</c:v>
                </c:pt>
                <c:pt idx="1">
                  <c:v>69.3</c:v>
                </c:pt>
                <c:pt idx="2">
                  <c:v>82</c:v>
                </c:pt>
                <c:pt idx="3">
                  <c:v>96.4</c:v>
                </c:pt>
                <c:pt idx="4">
                  <c:v>112.3</c:v>
                </c:pt>
                <c:pt idx="5">
                  <c:v>130.1</c:v>
                </c:pt>
                <c:pt idx="6">
                  <c:v>149.69999999999999</c:v>
                </c:pt>
                <c:pt idx="7">
                  <c:v>171.3</c:v>
                </c:pt>
              </c:numCache>
            </c:numRef>
          </c:yVal>
          <c:smooth val="1"/>
          <c:extLst>
            <c:ext xmlns:c16="http://schemas.microsoft.com/office/drawing/2014/chart" uri="{C3380CC4-5D6E-409C-BE32-E72D297353CC}">
              <c16:uniqueId val="{00000009-EDB6-4DD3-AD28-E9D87B408B34}"/>
            </c:ext>
          </c:extLst>
        </c:ser>
        <c:ser>
          <c:idx val="4"/>
          <c:order val="4"/>
          <c:tx>
            <c:strRef>
              <c:f>'Schätzung Schiff'!$F$6</c:f>
              <c:strCache>
                <c:ptCount val="1"/>
                <c:pt idx="0">
                  <c:v>6000-7000</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'Schätzung Schiff'!$A$19:$A$26</c:f>
              <c:numCache>
                <c:formatCode>General</c:formatCode>
                <c:ptCount val="8"/>
                <c:pt idx="0">
                  <c:v>18</c:v>
                </c:pt>
                <c:pt idx="1">
                  <c:v>19</c:v>
                </c:pt>
                <c:pt idx="2">
                  <c:v>20</c:v>
                </c:pt>
                <c:pt idx="3">
                  <c:v>21</c:v>
                </c:pt>
                <c:pt idx="4">
                  <c:v>22</c:v>
                </c:pt>
                <c:pt idx="5">
                  <c:v>23</c:v>
                </c:pt>
                <c:pt idx="6">
                  <c:v>24</c:v>
                </c:pt>
                <c:pt idx="7">
                  <c:v>25</c:v>
                </c:pt>
              </c:numCache>
            </c:numRef>
          </c:xVal>
          <c:yVal>
            <c:numRef>
              <c:f>'Schätzung Schiff'!$F$19:$F$26</c:f>
              <c:numCache>
                <c:formatCode>General</c:formatCode>
                <c:ptCount val="8"/>
                <c:pt idx="0">
                  <c:v>68.8</c:v>
                </c:pt>
                <c:pt idx="1">
                  <c:v>82.2</c:v>
                </c:pt>
                <c:pt idx="2">
                  <c:v>97.4</c:v>
                </c:pt>
                <c:pt idx="3">
                  <c:v>114.4</c:v>
                </c:pt>
                <c:pt idx="4">
                  <c:v>133.4</c:v>
                </c:pt>
                <c:pt idx="5">
                  <c:v>154.5</c:v>
                </c:pt>
                <c:pt idx="6">
                  <c:v>177.8</c:v>
                </c:pt>
                <c:pt idx="7">
                  <c:v>203.4</c:v>
                </c:pt>
              </c:numCache>
            </c:numRef>
          </c:yVal>
          <c:smooth val="1"/>
          <c:extLst>
            <c:ext xmlns:c16="http://schemas.microsoft.com/office/drawing/2014/chart" uri="{C3380CC4-5D6E-409C-BE32-E72D297353CC}">
              <c16:uniqueId val="{0000000A-EDB6-4DD3-AD28-E9D87B408B34}"/>
            </c:ext>
          </c:extLst>
        </c:ser>
        <c:ser>
          <c:idx val="5"/>
          <c:order val="5"/>
          <c:tx>
            <c:strRef>
              <c:f>'Schätzung Schiff'!$G$6</c:f>
              <c:strCache>
                <c:ptCount val="1"/>
                <c:pt idx="0">
                  <c:v>7000-8000</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'Schätzung Schiff'!$A$19:$A$26</c:f>
              <c:numCache>
                <c:formatCode>General</c:formatCode>
                <c:ptCount val="8"/>
                <c:pt idx="0">
                  <c:v>18</c:v>
                </c:pt>
                <c:pt idx="1">
                  <c:v>19</c:v>
                </c:pt>
                <c:pt idx="2">
                  <c:v>20</c:v>
                </c:pt>
                <c:pt idx="3">
                  <c:v>21</c:v>
                </c:pt>
                <c:pt idx="4">
                  <c:v>22</c:v>
                </c:pt>
                <c:pt idx="5">
                  <c:v>23</c:v>
                </c:pt>
                <c:pt idx="6">
                  <c:v>24</c:v>
                </c:pt>
                <c:pt idx="7">
                  <c:v>25</c:v>
                </c:pt>
              </c:numCache>
            </c:numRef>
          </c:xVal>
          <c:yVal>
            <c:numRef>
              <c:f>'Schätzung Schiff'!$G$19:$G$26</c:f>
              <c:numCache>
                <c:formatCode>General</c:formatCode>
                <c:ptCount val="8"/>
                <c:pt idx="0">
                  <c:v>77.8</c:v>
                </c:pt>
                <c:pt idx="1">
                  <c:v>93</c:v>
                </c:pt>
                <c:pt idx="2">
                  <c:v>110.1</c:v>
                </c:pt>
                <c:pt idx="3">
                  <c:v>129.4</c:v>
                </c:pt>
                <c:pt idx="4">
                  <c:v>150.80000000000001</c:v>
                </c:pt>
                <c:pt idx="5">
                  <c:v>174.7</c:v>
                </c:pt>
                <c:pt idx="6">
                  <c:v>201</c:v>
                </c:pt>
                <c:pt idx="7">
                  <c:v>230</c:v>
                </c:pt>
              </c:numCache>
            </c:numRef>
          </c:yVal>
          <c:smooth val="1"/>
          <c:extLst>
            <c:ext xmlns:c16="http://schemas.microsoft.com/office/drawing/2014/chart" uri="{C3380CC4-5D6E-409C-BE32-E72D297353CC}">
              <c16:uniqueId val="{0000000B-EDB6-4DD3-AD28-E9D87B408B34}"/>
            </c:ext>
          </c:extLst>
        </c:ser>
        <c:ser>
          <c:idx val="6"/>
          <c:order val="6"/>
          <c:tx>
            <c:strRef>
              <c:f>'Schätzung Schiff'!$H$6</c:f>
              <c:strCache>
                <c:ptCount val="1"/>
                <c:pt idx="0">
                  <c:v>8000-9000</c:v>
                </c:pt>
              </c:strCache>
            </c:strRef>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f>'Schätzung Schiff'!$A$19:$A$26</c:f>
              <c:numCache>
                <c:formatCode>General</c:formatCode>
                <c:ptCount val="8"/>
                <c:pt idx="0">
                  <c:v>18</c:v>
                </c:pt>
                <c:pt idx="1">
                  <c:v>19</c:v>
                </c:pt>
                <c:pt idx="2">
                  <c:v>20</c:v>
                </c:pt>
                <c:pt idx="3">
                  <c:v>21</c:v>
                </c:pt>
                <c:pt idx="4">
                  <c:v>22</c:v>
                </c:pt>
                <c:pt idx="5">
                  <c:v>23</c:v>
                </c:pt>
                <c:pt idx="6">
                  <c:v>24</c:v>
                </c:pt>
                <c:pt idx="7">
                  <c:v>25</c:v>
                </c:pt>
              </c:numCache>
            </c:numRef>
          </c:xVal>
          <c:yVal>
            <c:numRef>
              <c:f>'Schätzung Schiff'!$H$19:$H$26</c:f>
              <c:numCache>
                <c:formatCode>General</c:formatCode>
                <c:ptCount val="8"/>
                <c:pt idx="0">
                  <c:v>87.9</c:v>
                </c:pt>
                <c:pt idx="1">
                  <c:v>105.1</c:v>
                </c:pt>
                <c:pt idx="2">
                  <c:v>124.5</c:v>
                </c:pt>
                <c:pt idx="3">
                  <c:v>146.19999999999999</c:v>
                </c:pt>
                <c:pt idx="4">
                  <c:v>170.5</c:v>
                </c:pt>
                <c:pt idx="5">
                  <c:v>197.5</c:v>
                </c:pt>
                <c:pt idx="6">
                  <c:v>227.2</c:v>
                </c:pt>
                <c:pt idx="7">
                  <c:v>260</c:v>
                </c:pt>
              </c:numCache>
            </c:numRef>
          </c:yVal>
          <c:smooth val="1"/>
          <c:extLst>
            <c:ext xmlns:c16="http://schemas.microsoft.com/office/drawing/2014/chart" uri="{C3380CC4-5D6E-409C-BE32-E72D297353CC}">
              <c16:uniqueId val="{0000000C-EDB6-4DD3-AD28-E9D87B408B34}"/>
            </c:ext>
          </c:extLst>
        </c:ser>
        <c:ser>
          <c:idx val="7"/>
          <c:order val="7"/>
          <c:tx>
            <c:strRef>
              <c:f>'Schätzung Schiff'!$I$6</c:f>
              <c:strCache>
                <c:ptCount val="1"/>
                <c:pt idx="0">
                  <c:v>9000-10000</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f>'Schätzung Schiff'!$A$19:$A$26</c:f>
              <c:numCache>
                <c:formatCode>General</c:formatCode>
                <c:ptCount val="8"/>
                <c:pt idx="0">
                  <c:v>18</c:v>
                </c:pt>
                <c:pt idx="1">
                  <c:v>19</c:v>
                </c:pt>
                <c:pt idx="2">
                  <c:v>20</c:v>
                </c:pt>
                <c:pt idx="3">
                  <c:v>21</c:v>
                </c:pt>
                <c:pt idx="4">
                  <c:v>22</c:v>
                </c:pt>
                <c:pt idx="5">
                  <c:v>23</c:v>
                </c:pt>
                <c:pt idx="6">
                  <c:v>24</c:v>
                </c:pt>
                <c:pt idx="7">
                  <c:v>25</c:v>
                </c:pt>
              </c:numCache>
            </c:numRef>
          </c:xVal>
          <c:yVal>
            <c:numRef>
              <c:f>'Schätzung Schiff'!$I$19:$I$26</c:f>
              <c:numCache>
                <c:formatCode>General</c:formatCode>
                <c:ptCount val="8"/>
                <c:pt idx="0">
                  <c:v>98.8</c:v>
                </c:pt>
                <c:pt idx="1">
                  <c:v>118.1</c:v>
                </c:pt>
                <c:pt idx="2">
                  <c:v>139.80000000000001</c:v>
                </c:pt>
                <c:pt idx="3">
                  <c:v>164.2</c:v>
                </c:pt>
                <c:pt idx="4">
                  <c:v>191.5</c:v>
                </c:pt>
                <c:pt idx="5">
                  <c:v>221.8</c:v>
                </c:pt>
                <c:pt idx="6">
                  <c:v>255.2</c:v>
                </c:pt>
                <c:pt idx="7">
                  <c:v>292</c:v>
                </c:pt>
              </c:numCache>
            </c:numRef>
          </c:yVal>
          <c:smooth val="1"/>
          <c:extLst>
            <c:ext xmlns:c16="http://schemas.microsoft.com/office/drawing/2014/chart" uri="{C3380CC4-5D6E-409C-BE32-E72D297353CC}">
              <c16:uniqueId val="{0000000D-EDB6-4DD3-AD28-E9D87B408B34}"/>
            </c:ext>
          </c:extLst>
        </c:ser>
        <c:ser>
          <c:idx val="8"/>
          <c:order val="8"/>
          <c:tx>
            <c:strRef>
              <c:f>'Schätzung Schiff'!$J$6</c:f>
              <c:strCache>
                <c:ptCount val="1"/>
                <c:pt idx="0">
                  <c:v>10000+</c:v>
                </c:pt>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trendline>
            <c:spPr>
              <a:ln w="19050" cap="rnd">
                <a:solidFill>
                  <a:schemeClr val="accent3">
                    <a:lumMod val="60000"/>
                  </a:schemeClr>
                </a:solidFill>
                <a:prstDash val="sysDot"/>
              </a:ln>
              <a:effectLst/>
            </c:spPr>
            <c:trendlineType val="poly"/>
            <c:order val="3"/>
            <c:backward val="6"/>
            <c:dispRSqr val="0"/>
            <c:dispEq val="1"/>
            <c:trendlineLbl>
              <c:layout>
                <c:manualLayout>
                  <c:x val="-0.16905730533683289"/>
                  <c:y val="0.24532298046077575"/>
                </c:manualLayout>
              </c:layout>
              <c:numFmt formatCode="0.00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rendlineLbl>
          </c:trendline>
          <c:xVal>
            <c:numRef>
              <c:f>'Schätzung Schiff'!$A$19:$A$26</c:f>
              <c:numCache>
                <c:formatCode>General</c:formatCode>
                <c:ptCount val="8"/>
                <c:pt idx="0">
                  <c:v>18</c:v>
                </c:pt>
                <c:pt idx="1">
                  <c:v>19</c:v>
                </c:pt>
                <c:pt idx="2">
                  <c:v>20</c:v>
                </c:pt>
                <c:pt idx="3">
                  <c:v>21</c:v>
                </c:pt>
                <c:pt idx="4">
                  <c:v>22</c:v>
                </c:pt>
                <c:pt idx="5">
                  <c:v>23</c:v>
                </c:pt>
                <c:pt idx="6">
                  <c:v>24</c:v>
                </c:pt>
                <c:pt idx="7">
                  <c:v>25</c:v>
                </c:pt>
              </c:numCache>
            </c:numRef>
          </c:xVal>
          <c:yVal>
            <c:numRef>
              <c:f>'Schätzung Schiff'!$J$19:$J$26</c:f>
              <c:numCache>
                <c:formatCode>General</c:formatCode>
                <c:ptCount val="8"/>
                <c:pt idx="0">
                  <c:v>124.1</c:v>
                </c:pt>
                <c:pt idx="1">
                  <c:v>148.4</c:v>
                </c:pt>
                <c:pt idx="2">
                  <c:v>175.7</c:v>
                </c:pt>
                <c:pt idx="3">
                  <c:v>206.4</c:v>
                </c:pt>
                <c:pt idx="4">
                  <c:v>240.7</c:v>
                </c:pt>
                <c:pt idx="5">
                  <c:v>278.7</c:v>
                </c:pt>
                <c:pt idx="6">
                  <c:v>320.7</c:v>
                </c:pt>
                <c:pt idx="7">
                  <c:v>367</c:v>
                </c:pt>
              </c:numCache>
            </c:numRef>
          </c:yVal>
          <c:smooth val="1"/>
          <c:extLst>
            <c:ext xmlns:c16="http://schemas.microsoft.com/office/drawing/2014/chart" uri="{C3380CC4-5D6E-409C-BE32-E72D297353CC}">
              <c16:uniqueId val="{0000000E-EDB6-4DD3-AD28-E9D87B408B34}"/>
            </c:ext>
          </c:extLst>
        </c:ser>
        <c:dLbls>
          <c:showLegendKey val="0"/>
          <c:showVal val="0"/>
          <c:showCatName val="0"/>
          <c:showSerName val="0"/>
          <c:showPercent val="0"/>
          <c:showBubbleSize val="0"/>
        </c:dLbls>
        <c:axId val="321016648"/>
        <c:axId val="321017304"/>
      </c:scatterChart>
      <c:valAx>
        <c:axId val="321016648"/>
        <c:scaling>
          <c:orientation val="minMax"/>
          <c:min val="1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vessel speed (kn)</a:t>
                </a:r>
              </a:p>
            </c:rich>
          </c:tx>
          <c:layout>
            <c:manualLayout>
              <c:xMode val="edge"/>
              <c:yMode val="edge"/>
              <c:x val="0.43472090988626422"/>
              <c:y val="0.8733622526636225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21017304"/>
        <c:crosses val="autoZero"/>
        <c:crossBetween val="midCat"/>
      </c:valAx>
      <c:valAx>
        <c:axId val="3210173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fuel consumption (t/d)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21016648"/>
        <c:crosses val="autoZero"/>
        <c:crossBetween val="midCat"/>
      </c:valAx>
      <c:spPr>
        <a:noFill/>
        <a:ln>
          <a:noFill/>
        </a:ln>
        <a:effectLst/>
      </c:spPr>
    </c:plotArea>
    <c:plotVisOnly val="1"/>
    <c:dispBlanksAs val="gap"/>
    <c:showDLblsOverMax val="0"/>
  </c:chart>
  <c:spPr>
    <a:solidFill>
      <a:schemeClr val="bg1"/>
    </a:solidFill>
    <a:ln w="9525" cap="flat" cmpd="sng" algn="ctr">
      <a:solidFill>
        <a:srgbClr val="32578C"/>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sheetViews>
    <sheetView zoomScale="67" workbookViewId="0"/>
  </sheetViews>
  <pageMargins left="0.7" right="0.7" top="0.78740157499999996" bottom="0.78740157499999996"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codeName="Diagramm8"/>
  <sheetViews>
    <sheetView zoomScale="67" workbookViewId="0"/>
  </sheetViews>
  <pageMargins left="0.7" right="0.7" top="0.78740157499999996" bottom="0.78740157499999996"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Diagramm9"/>
  <sheetViews>
    <sheetView zoomScale="67" workbookViewId="0"/>
  </sheetViews>
  <pageMargins left="0.7" right="0.7" top="0.78740157499999996" bottom="0.78740157499999996"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sheetViews>
    <sheetView zoomScale="67" workbookViewId="0"/>
  </sheetViews>
  <pageMargins left="0.7" right="0.7" top="0.78740157499999996" bottom="0.78740157499999996"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absoluteAnchor>
    <xdr:pos x="0" y="0"/>
    <xdr:ext cx="635000" cy="635000"/>
    <xdr:graphicFrame macro="">
      <xdr:nvGraphicFramePr>
        <xdr:cNvPr id="2" name="Diagramm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635000" cy="635000"/>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635000" cy="635000"/>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635000" cy="635000"/>
    <xdr:graphicFrame macro="">
      <xdr:nvGraphicFramePr>
        <xdr:cNvPr id="2" name="Diagramm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xdr:from>
      <xdr:col>10</xdr:col>
      <xdr:colOff>381000</xdr:colOff>
      <xdr:row>35</xdr:row>
      <xdr:rowOff>113619</xdr:rowOff>
    </xdr:from>
    <xdr:to>
      <xdr:col>12</xdr:col>
      <xdr:colOff>1101572</xdr:colOff>
      <xdr:row>50</xdr:row>
      <xdr:rowOff>38190</xdr:rowOff>
    </xdr:to>
    <xdr:graphicFrame macro="">
      <xdr:nvGraphicFramePr>
        <xdr:cNvPr id="6" name="Diagramm 5">
          <a:extLst>
            <a:ext uri="{FF2B5EF4-FFF2-40B4-BE49-F238E27FC236}">
              <a16:creationId xmlns:a16="http://schemas.microsoft.com/office/drawing/2014/main" id="{00000000-0008-0000-0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41</xdr:row>
      <xdr:rowOff>177120</xdr:rowOff>
    </xdr:from>
    <xdr:to>
      <xdr:col>22</xdr:col>
      <xdr:colOff>685800</xdr:colOff>
      <xdr:row>56</xdr:row>
      <xdr:rowOff>101692</xdr:rowOff>
    </xdr:to>
    <xdr:graphicFrame macro="">
      <xdr:nvGraphicFramePr>
        <xdr:cNvPr id="7" name="Diagramm 6">
          <a:extLst>
            <a:ext uri="{FF2B5EF4-FFF2-40B4-BE49-F238E27FC236}">
              <a16:creationId xmlns:a16="http://schemas.microsoft.com/office/drawing/2014/main" id="{00000000-0008-0000-0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381000</xdr:colOff>
      <xdr:row>50</xdr:row>
      <xdr:rowOff>108855</xdr:rowOff>
    </xdr:from>
    <xdr:to>
      <xdr:col>12</xdr:col>
      <xdr:colOff>1101572</xdr:colOff>
      <xdr:row>69</xdr:row>
      <xdr:rowOff>108855</xdr:rowOff>
    </xdr:to>
    <xdr:graphicFrame macro="">
      <xdr:nvGraphicFramePr>
        <xdr:cNvPr id="8" name="Diagramm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381000</xdr:colOff>
      <xdr:row>16</xdr:row>
      <xdr:rowOff>163285</xdr:rowOff>
    </xdr:from>
    <xdr:to>
      <xdr:col>12</xdr:col>
      <xdr:colOff>1101572</xdr:colOff>
      <xdr:row>31</xdr:row>
      <xdr:rowOff>69857</xdr:rowOff>
    </xdr:to>
    <xdr:graphicFrame macro="">
      <xdr:nvGraphicFramePr>
        <xdr:cNvPr id="4" name="Diagramm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381000</xdr:colOff>
      <xdr:row>2</xdr:row>
      <xdr:rowOff>63500</xdr:rowOff>
    </xdr:from>
    <xdr:to>
      <xdr:col>12</xdr:col>
      <xdr:colOff>1101572</xdr:colOff>
      <xdr:row>16</xdr:row>
      <xdr:rowOff>133357</xdr:rowOff>
    </xdr:to>
    <xdr:graphicFrame macro="">
      <xdr:nvGraphicFramePr>
        <xdr:cNvPr id="9" name="Diagramm 8">
          <a:extLst>
            <a:ext uri="{FF2B5EF4-FFF2-40B4-BE49-F238E27FC236}">
              <a16:creationId xmlns:a16="http://schemas.microsoft.com/office/drawing/2014/main" id="{00000000-0008-0000-0B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0</xdr:colOff>
      <xdr:row>27</xdr:row>
      <xdr:rowOff>0</xdr:rowOff>
    </xdr:from>
    <xdr:to>
      <xdr:col>22</xdr:col>
      <xdr:colOff>685800</xdr:colOff>
      <xdr:row>41</xdr:row>
      <xdr:rowOff>106000</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789215</xdr:colOff>
      <xdr:row>27</xdr:row>
      <xdr:rowOff>0</xdr:rowOff>
    </xdr:from>
    <xdr:to>
      <xdr:col>28</xdr:col>
      <xdr:colOff>657472</xdr:colOff>
      <xdr:row>41</xdr:row>
      <xdr:rowOff>106000</xdr:rowOff>
    </xdr:to>
    <xdr:graphicFrame macro="">
      <xdr:nvGraphicFramePr>
        <xdr:cNvPr id="11" name="Diagramm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698496</xdr:colOff>
      <xdr:row>2</xdr:row>
      <xdr:rowOff>63494</xdr:rowOff>
    </xdr:from>
    <xdr:to>
      <xdr:col>9</xdr:col>
      <xdr:colOff>44746</xdr:colOff>
      <xdr:row>16</xdr:row>
      <xdr:rowOff>139694</xdr:rowOff>
    </xdr:to>
    <xdr:graphicFrame macro="">
      <xdr:nvGraphicFramePr>
        <xdr:cNvPr id="2" name="Diagramm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698507</xdr:colOff>
      <xdr:row>17</xdr:row>
      <xdr:rowOff>45357</xdr:rowOff>
    </xdr:from>
    <xdr:to>
      <xdr:col>9</xdr:col>
      <xdr:colOff>44757</xdr:colOff>
      <xdr:row>31</xdr:row>
      <xdr:rowOff>131082</xdr:rowOff>
    </xdr:to>
    <xdr:graphicFrame macro="">
      <xdr:nvGraphicFramePr>
        <xdr:cNvPr id="3" name="Diagramm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916207</xdr:colOff>
      <xdr:row>26</xdr:row>
      <xdr:rowOff>145142</xdr:rowOff>
    </xdr:from>
    <xdr:to>
      <xdr:col>17</xdr:col>
      <xdr:colOff>395421</xdr:colOff>
      <xdr:row>44</xdr:row>
      <xdr:rowOff>39913</xdr:rowOff>
    </xdr:to>
    <xdr:graphicFrame macro="">
      <xdr:nvGraphicFramePr>
        <xdr:cNvPr id="4" name="Diagramm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616860</xdr:colOff>
      <xdr:row>26</xdr:row>
      <xdr:rowOff>145145</xdr:rowOff>
    </xdr:from>
    <xdr:to>
      <xdr:col>23</xdr:col>
      <xdr:colOff>540575</xdr:colOff>
      <xdr:row>44</xdr:row>
      <xdr:rowOff>39916</xdr:rowOff>
    </xdr:to>
    <xdr:graphicFrame macro="">
      <xdr:nvGraphicFramePr>
        <xdr:cNvPr id="5" name="Diagramm 4">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3</xdr:colOff>
      <xdr:row>26</xdr:row>
      <xdr:rowOff>145144</xdr:rowOff>
    </xdr:from>
    <xdr:to>
      <xdr:col>27</xdr:col>
      <xdr:colOff>749217</xdr:colOff>
      <xdr:row>44</xdr:row>
      <xdr:rowOff>39915</xdr:rowOff>
    </xdr:to>
    <xdr:graphicFrame macro="">
      <xdr:nvGraphicFramePr>
        <xdr:cNvPr id="12" name="Diagramm 11">
          <a:extLst>
            <a:ext uri="{FF2B5EF4-FFF2-40B4-BE49-F238E27FC236}">
              <a16:creationId xmlns:a16="http://schemas.microsoft.com/office/drawing/2014/main" id="{00000000-0008-0000-0C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653128</xdr:colOff>
      <xdr:row>57</xdr:row>
      <xdr:rowOff>63500</xdr:rowOff>
    </xdr:from>
    <xdr:to>
      <xdr:col>8</xdr:col>
      <xdr:colOff>1594816</xdr:colOff>
      <xdr:row>71</xdr:row>
      <xdr:rowOff>115500</xdr:rowOff>
    </xdr:to>
    <xdr:graphicFrame macro="">
      <xdr:nvGraphicFramePr>
        <xdr:cNvPr id="13" name="Diagramm 12">
          <a:extLst>
            <a:ext uri="{FF2B5EF4-FFF2-40B4-BE49-F238E27FC236}">
              <a16:creationId xmlns:a16="http://schemas.microsoft.com/office/drawing/2014/main" id="{00000000-0008-0000-0C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87305</xdr:colOff>
      <xdr:row>22</xdr:row>
      <xdr:rowOff>47853</xdr:rowOff>
    </xdr:from>
    <xdr:to>
      <xdr:col>11</xdr:col>
      <xdr:colOff>425993</xdr:colOff>
      <xdr:row>36</xdr:row>
      <xdr:rowOff>124053</xdr:rowOff>
    </xdr:to>
    <xdr:graphicFrame macro="">
      <xdr:nvGraphicFramePr>
        <xdr:cNvPr id="2" name="Diagramm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145144</xdr:colOff>
      <xdr:row>26</xdr:row>
      <xdr:rowOff>104551</xdr:rowOff>
    </xdr:from>
    <xdr:to>
      <xdr:col>11</xdr:col>
      <xdr:colOff>145144</xdr:colOff>
      <xdr:row>45</xdr:row>
      <xdr:rowOff>99789</xdr:rowOff>
    </xdr:to>
    <xdr:graphicFrame macro="">
      <xdr:nvGraphicFramePr>
        <xdr:cNvPr id="2" name="Diagramm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Fuel_Consumption_Ship" connectionId="1" xr16:uid="{00000000-0016-0000-0B00-000001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hafen-hamburg_Containerschiffe_processed" connectionId="2" xr16:uid="{00000000-0016-0000-0B00-000000000000}" autoFormatId="16" applyNumberFormats="0" applyBorderFormats="0" applyFontFormats="0" applyPatternFormats="0" applyAlignmentFormats="0" applyWidthHeightFormats="0"/>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queryTable" Target="../queryTables/queryTable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A11"/>
  <sheetViews>
    <sheetView zoomScale="80" zoomScaleNormal="80" workbookViewId="0">
      <selection activeCell="B1" sqref="B1"/>
    </sheetView>
  </sheetViews>
  <sheetFormatPr baseColWidth="10" defaultRowHeight="14.5"/>
  <cols>
    <col min="1" max="1" width="148.54296875" customWidth="1"/>
  </cols>
  <sheetData>
    <row r="1" spans="1:1" ht="15.5">
      <c r="A1" s="30" t="s">
        <v>2275</v>
      </c>
    </row>
    <row r="2" spans="1:1" s="16" customFormat="1">
      <c r="A2" s="31" t="s">
        <v>2276</v>
      </c>
    </row>
    <row r="3" spans="1:1">
      <c r="A3" s="701" t="s">
        <v>2277</v>
      </c>
    </row>
    <row r="4" spans="1:1" ht="29">
      <c r="A4" s="701" t="s">
        <v>2278</v>
      </c>
    </row>
    <row r="5" spans="1:1">
      <c r="A5" s="31" t="s">
        <v>2279</v>
      </c>
    </row>
    <row r="6" spans="1:1" ht="29">
      <c r="A6" s="701" t="s">
        <v>2280</v>
      </c>
    </row>
    <row r="7" spans="1:1" ht="43.5">
      <c r="A7" s="701" t="s">
        <v>2281</v>
      </c>
    </row>
    <row r="8" spans="1:1">
      <c r="A8" s="31" t="s">
        <v>2282</v>
      </c>
    </row>
    <row r="9" spans="1:1" ht="87">
      <c r="A9" s="700" t="s">
        <v>2393</v>
      </c>
    </row>
    <row r="11" spans="1:1">
      <c r="A11" s="155"/>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dimension ref="A1:X8764"/>
  <sheetViews>
    <sheetView zoomScale="70" zoomScaleNormal="70" workbookViewId="0">
      <selection activeCell="K1" sqref="K1"/>
    </sheetView>
  </sheetViews>
  <sheetFormatPr baseColWidth="10" defaultRowHeight="14.5"/>
  <cols>
    <col min="1" max="1" width="27.54296875" customWidth="1"/>
    <col min="2" max="2" width="16" customWidth="1"/>
    <col min="3" max="3" width="17.81640625" customWidth="1"/>
    <col min="4" max="4" width="19.81640625" customWidth="1"/>
    <col min="5" max="5" width="15.81640625" customWidth="1"/>
    <col min="6" max="6" width="15.1796875" customWidth="1"/>
    <col min="7" max="7" width="11.54296875" customWidth="1"/>
    <col min="8" max="8" width="15.1796875" customWidth="1"/>
    <col min="9" max="9" width="16.54296875" customWidth="1"/>
    <col min="10" max="10" width="23.1796875" customWidth="1"/>
    <col min="11" max="11" width="11.54296875" customWidth="1"/>
    <col min="12" max="12" width="20.81640625" customWidth="1"/>
    <col min="13" max="14" width="15.54296875" customWidth="1"/>
    <col min="15" max="15" width="15.54296875" style="27" customWidth="1"/>
    <col min="16" max="16" width="5.54296875" style="27" customWidth="1"/>
    <col min="20" max="20" width="12" bestFit="1" customWidth="1"/>
  </cols>
  <sheetData>
    <row r="1" spans="1:24" ht="15.5">
      <c r="A1" s="541" t="s">
        <v>2110</v>
      </c>
      <c r="B1" s="540" t="s">
        <v>2111</v>
      </c>
      <c r="C1" s="540" t="s">
        <v>1</v>
      </c>
      <c r="D1" s="540" t="s">
        <v>1893</v>
      </c>
      <c r="E1" s="540" t="s">
        <v>1870</v>
      </c>
      <c r="F1" s="540" t="s">
        <v>2112</v>
      </c>
      <c r="G1" s="540" t="s">
        <v>2113</v>
      </c>
      <c r="H1" s="540" t="s">
        <v>2114</v>
      </c>
      <c r="I1" s="540" t="s">
        <v>2176</v>
      </c>
      <c r="J1" s="540" t="s">
        <v>2370</v>
      </c>
      <c r="K1" s="25"/>
      <c r="M1" s="560" t="s">
        <v>2371</v>
      </c>
      <c r="N1" s="561"/>
      <c r="O1" s="561"/>
      <c r="T1" s="18"/>
      <c r="U1" s="18"/>
      <c r="V1" s="18"/>
      <c r="W1" s="18"/>
      <c r="X1" s="18"/>
    </row>
    <row r="2" spans="1:24" ht="16" thickBot="1">
      <c r="A2" s="542"/>
      <c r="B2" s="387" t="s">
        <v>15</v>
      </c>
      <c r="C2" s="387" t="s">
        <v>3</v>
      </c>
      <c r="D2" s="387" t="s">
        <v>2016</v>
      </c>
      <c r="E2" s="387" t="s">
        <v>32</v>
      </c>
      <c r="F2" s="387" t="s">
        <v>2115</v>
      </c>
      <c r="G2" s="387" t="s">
        <v>2116</v>
      </c>
      <c r="H2" s="387" t="s">
        <v>10</v>
      </c>
      <c r="I2" s="159" t="s">
        <v>10</v>
      </c>
      <c r="J2" s="159"/>
      <c r="K2" s="641"/>
      <c r="M2" s="540" t="s">
        <v>2137</v>
      </c>
      <c r="N2" s="540" t="s">
        <v>2135</v>
      </c>
      <c r="O2" s="540" t="s">
        <v>2157</v>
      </c>
      <c r="T2" s="18"/>
      <c r="U2" s="18"/>
      <c r="V2" s="18"/>
      <c r="W2" s="18"/>
      <c r="X2" s="18"/>
    </row>
    <row r="3" spans="1:24" ht="15" thickTop="1">
      <c r="A3" s="378" t="s">
        <v>2172</v>
      </c>
      <c r="B3" s="562">
        <v>1.9E-2</v>
      </c>
      <c r="C3" s="570">
        <v>25</v>
      </c>
      <c r="D3" s="186">
        <v>240</v>
      </c>
      <c r="E3" s="576">
        <v>0.02</v>
      </c>
      <c r="F3" s="546">
        <v>1940</v>
      </c>
      <c r="G3" s="186">
        <f>(E3-PMT(B3,C3,1))*D3</f>
        <v>16.949064204668723</v>
      </c>
      <c r="H3" s="547">
        <f>G3/F3</f>
        <v>8.7366310333343924E-3</v>
      </c>
      <c r="I3" s="546">
        <f>0.0104/1.2</f>
        <v>8.6666666666666663E-3</v>
      </c>
      <c r="J3" s="616" t="s">
        <v>2175</v>
      </c>
      <c r="K3" s="27"/>
      <c r="M3" s="558">
        <v>1</v>
      </c>
      <c r="N3" s="15">
        <f>IF(M3&lt;$B$31+1,$B$32+$B$33/$B$31*(8760-M3)+$B$34*IF(M3&lt;$B$36-$B$31/(2*$B$35),1,IF(M3&lt;$B$36+$B$31/(2*$B$35),COS(PI()/2*(M3-($B$36-$B$31/(2*$B$35)))*$B$35/$B$31)^2,0))+$B$37*EXP((8760-M3)/8760*$B$38)/EXP($B$38)-(8760-$B$31)*$B$33/$B$31,0)</f>
        <v>0.91938391627582894</v>
      </c>
      <c r="O3" s="165">
        <f>MIN(N3,$C$24)</f>
        <v>0.44</v>
      </c>
      <c r="R3" s="27"/>
      <c r="T3" s="18"/>
      <c r="U3" s="18"/>
      <c r="V3" s="18"/>
      <c r="W3" s="18"/>
      <c r="X3" s="18"/>
    </row>
    <row r="4" spans="1:24">
      <c r="A4" s="379" t="s">
        <v>2180</v>
      </c>
      <c r="B4" s="563">
        <v>0.08</v>
      </c>
      <c r="C4" s="571">
        <v>25</v>
      </c>
      <c r="D4" s="182">
        <v>150</v>
      </c>
      <c r="E4" s="563">
        <v>0.02</v>
      </c>
      <c r="F4" s="15">
        <v>1940</v>
      </c>
      <c r="G4" s="182">
        <f>(E4-PMT(B4,C4,1))*D4</f>
        <v>17.05181685779522</v>
      </c>
      <c r="H4" s="545">
        <f>G4/F4</f>
        <v>8.7895963184511441E-3</v>
      </c>
      <c r="I4" s="15"/>
      <c r="J4" s="165"/>
      <c r="K4" s="27"/>
      <c r="M4" s="558">
        <f>M3+1</f>
        <v>2</v>
      </c>
      <c r="N4" s="15">
        <f t="shared" ref="N4:N67" si="0">IF(M4&lt;$B$31+1,$B$32+$B$33/$B$31*(8760-M4)+$B$34*IF(M4&lt;$B$36-$B$31/(2*$B$35),1,IF(M4&lt;$B$36+$B$31/(2*$B$35),COS(PI()/2*(M4-($B$36-$B$31/(2*$B$35)))*$B$35/$B$31)^2,0))+$B$37*EXP((8760-M4)/8760*$B$38)/EXP($B$38)-(8760-$B$31)*$B$33/$B$31,0)</f>
        <v>0.91876854122220153</v>
      </c>
      <c r="O4" s="165">
        <f t="shared" ref="O4:O67" si="1">MIN(N4,C$24)</f>
        <v>0.44</v>
      </c>
      <c r="Q4" s="27"/>
      <c r="R4" s="27"/>
      <c r="S4" s="18"/>
      <c r="T4" s="18"/>
      <c r="U4" s="18"/>
      <c r="V4" s="18"/>
      <c r="W4" s="18"/>
      <c r="X4" s="18"/>
    </row>
    <row r="5" spans="1:24">
      <c r="A5" s="379"/>
      <c r="B5" s="617" t="s">
        <v>2174</v>
      </c>
      <c r="C5" s="550"/>
      <c r="D5" s="550"/>
      <c r="E5" s="551"/>
      <c r="F5" s="550"/>
      <c r="G5" s="550"/>
      <c r="H5" s="550"/>
      <c r="I5" s="550"/>
      <c r="J5" s="552"/>
      <c r="K5" s="27"/>
      <c r="M5" s="558">
        <f t="shared" ref="M5:M68" si="2">M4+1</f>
        <v>3</v>
      </c>
      <c r="N5" s="15">
        <f t="shared" si="0"/>
        <v>0.91815387394979453</v>
      </c>
      <c r="O5" s="165">
        <f t="shared" si="1"/>
        <v>0.44</v>
      </c>
      <c r="Q5" s="27"/>
      <c r="R5" s="27"/>
      <c r="W5" s="18"/>
      <c r="X5" s="18"/>
    </row>
    <row r="6" spans="1:24">
      <c r="A6" s="301" t="s">
        <v>2181</v>
      </c>
      <c r="B6" s="564">
        <v>0.08</v>
      </c>
      <c r="C6" s="572">
        <v>25</v>
      </c>
      <c r="D6" s="425">
        <v>240</v>
      </c>
      <c r="E6" s="577">
        <v>0.02</v>
      </c>
      <c r="F6" s="257">
        <v>2000</v>
      </c>
      <c r="G6" s="425">
        <f>(E6-PMT(B6,C6,1))*D6</f>
        <v>27.282906972472354</v>
      </c>
      <c r="H6" s="544">
        <f>G6/F6</f>
        <v>1.3641453486236178E-2</v>
      </c>
      <c r="I6" s="257"/>
      <c r="J6" s="259"/>
      <c r="K6" s="27"/>
      <c r="M6" s="558">
        <f t="shared" si="2"/>
        <v>4</v>
      </c>
      <c r="N6" s="15">
        <f t="shared" si="0"/>
        <v>0.91753991357039877</v>
      </c>
      <c r="O6" s="165">
        <f t="shared" si="1"/>
        <v>0.44</v>
      </c>
      <c r="Q6" s="27"/>
      <c r="R6" s="27"/>
      <c r="W6" s="18"/>
      <c r="X6" s="18"/>
    </row>
    <row r="7" spans="1:24">
      <c r="A7" s="306" t="s">
        <v>2182</v>
      </c>
      <c r="B7" s="565">
        <v>0.08</v>
      </c>
      <c r="C7" s="573">
        <v>25</v>
      </c>
      <c r="D7" s="548">
        <v>240</v>
      </c>
      <c r="E7" s="578">
        <v>0.02</v>
      </c>
      <c r="F7" s="441">
        <v>1500</v>
      </c>
      <c r="G7" s="548">
        <f>(E7-PMT(B7,C7,1))*D7</f>
        <v>27.282906972472354</v>
      </c>
      <c r="H7" s="549">
        <f>G7/F7</f>
        <v>1.8188604648314902E-2</v>
      </c>
      <c r="I7" s="441"/>
      <c r="J7" s="442"/>
      <c r="K7" s="15"/>
      <c r="M7" s="558">
        <f t="shared" si="2"/>
        <v>5</v>
      </c>
      <c r="N7" s="15">
        <f t="shared" si="0"/>
        <v>0.9169266591969194</v>
      </c>
      <c r="O7" s="165">
        <f t="shared" si="1"/>
        <v>0.44</v>
      </c>
      <c r="Q7" s="27"/>
      <c r="R7" s="27"/>
      <c r="W7" s="18"/>
      <c r="X7" s="18"/>
    </row>
    <row r="8" spans="1:24">
      <c r="A8" s="18"/>
      <c r="B8" s="26"/>
      <c r="C8" s="18"/>
      <c r="D8" s="18"/>
      <c r="E8" s="18"/>
      <c r="F8" s="18"/>
      <c r="G8" s="18"/>
      <c r="H8" s="18"/>
      <c r="I8" s="15"/>
      <c r="J8" s="15"/>
      <c r="K8" s="15"/>
      <c r="M8" s="558">
        <f t="shared" si="2"/>
        <v>6</v>
      </c>
      <c r="N8" s="15">
        <f t="shared" si="0"/>
        <v>0.91631410994337759</v>
      </c>
      <c r="O8" s="165">
        <f t="shared" si="1"/>
        <v>0.44</v>
      </c>
      <c r="Q8" s="27"/>
      <c r="R8" s="27"/>
      <c r="W8" s="18"/>
      <c r="X8" s="18"/>
    </row>
    <row r="9" spans="1:24">
      <c r="A9" s="378" t="s">
        <v>2173</v>
      </c>
      <c r="B9" s="566">
        <v>3.0000000000000001E-3</v>
      </c>
      <c r="C9" s="574">
        <v>20</v>
      </c>
      <c r="D9" s="553">
        <v>1100</v>
      </c>
      <c r="E9" s="579">
        <v>5.0000000000000001E-3</v>
      </c>
      <c r="F9" s="543">
        <f>1400000/400</f>
        <v>3500</v>
      </c>
      <c r="G9" s="425">
        <f>(E9-PMT(B9,C9,1))*D9</f>
        <v>62.248933125670249</v>
      </c>
      <c r="H9" s="544">
        <f>G9/F9</f>
        <v>1.7785409464477212E-2</v>
      </c>
      <c r="I9" s="543">
        <f>0.0199/1.12</f>
        <v>1.7767857142857141E-2</v>
      </c>
      <c r="J9" s="612" t="s">
        <v>2177</v>
      </c>
      <c r="K9" s="15"/>
      <c r="M9" s="558">
        <f t="shared" si="2"/>
        <v>7</v>
      </c>
      <c r="N9" s="15">
        <f t="shared" si="0"/>
        <v>0.91570226492490314</v>
      </c>
      <c r="O9" s="165">
        <f t="shared" si="1"/>
        <v>0.44</v>
      </c>
      <c r="Q9" s="27"/>
      <c r="R9" s="27"/>
      <c r="S9" s="18"/>
      <c r="T9" s="18"/>
      <c r="U9" s="18"/>
      <c r="V9" s="18"/>
      <c r="W9" s="18"/>
      <c r="X9" s="18"/>
    </row>
    <row r="10" spans="1:24">
      <c r="A10" s="379" t="s">
        <v>2179</v>
      </c>
      <c r="B10" s="567">
        <v>0.08</v>
      </c>
      <c r="C10" s="575">
        <v>20</v>
      </c>
      <c r="D10" s="186">
        <v>580</v>
      </c>
      <c r="E10" s="580">
        <v>5.0000000000000001E-3</v>
      </c>
      <c r="F10" s="554">
        <v>3500</v>
      </c>
      <c r="G10" s="186">
        <f>(E10-PMT(B10,C10,1))*D10</f>
        <v>61.974281117427367</v>
      </c>
      <c r="H10" s="547">
        <f>G10/F10</f>
        <v>1.7706937462122103E-2</v>
      </c>
      <c r="I10" s="166"/>
      <c r="J10" s="40"/>
      <c r="K10" s="15"/>
      <c r="M10" s="558">
        <f t="shared" si="2"/>
        <v>8</v>
      </c>
      <c r="N10" s="15">
        <f t="shared" si="0"/>
        <v>0.91509112325773789</v>
      </c>
      <c r="O10" s="165">
        <f t="shared" si="1"/>
        <v>0.44</v>
      </c>
      <c r="P10" s="18"/>
      <c r="Q10" s="27"/>
      <c r="R10" s="27"/>
      <c r="S10" s="18"/>
      <c r="T10" s="18"/>
      <c r="U10" s="18"/>
      <c r="V10" s="18"/>
      <c r="W10" s="18"/>
      <c r="X10" s="18"/>
    </row>
    <row r="11" spans="1:24">
      <c r="A11" s="380" t="s">
        <v>2391</v>
      </c>
      <c r="B11" s="618" t="s">
        <v>2178</v>
      </c>
      <c r="C11" s="555"/>
      <c r="D11" s="555"/>
      <c r="E11" s="555"/>
      <c r="F11" s="556"/>
      <c r="G11" s="555"/>
      <c r="H11" s="555"/>
      <c r="I11" s="555"/>
      <c r="J11" s="557"/>
      <c r="K11" s="15" t="s">
        <v>2284</v>
      </c>
      <c r="M11" s="558">
        <f t="shared" si="2"/>
        <v>9</v>
      </c>
      <c r="N11" s="15">
        <f t="shared" si="0"/>
        <v>0.91448068405923166</v>
      </c>
      <c r="O11" s="165">
        <f t="shared" si="1"/>
        <v>0.44</v>
      </c>
      <c r="P11" s="18"/>
      <c r="Q11" s="27"/>
      <c r="R11" s="27"/>
      <c r="S11" s="18"/>
      <c r="T11" s="18"/>
      <c r="U11" s="18"/>
      <c r="V11" s="18"/>
      <c r="W11" s="18"/>
      <c r="X11" s="18"/>
    </row>
    <row r="12" spans="1:24">
      <c r="A12" s="378" t="s">
        <v>2183</v>
      </c>
      <c r="B12" s="568">
        <v>0.08</v>
      </c>
      <c r="C12" s="571">
        <v>20</v>
      </c>
      <c r="D12" s="182">
        <v>1100</v>
      </c>
      <c r="E12" s="581">
        <v>1.4999999999999999E-2</v>
      </c>
      <c r="F12" s="15">
        <v>4000</v>
      </c>
      <c r="G12" s="182">
        <f>(E12-PMT(B12,C12,1))*D12</f>
        <v>128.53742970546568</v>
      </c>
      <c r="H12" s="545">
        <f>G12/F12</f>
        <v>3.2134357426366424E-2</v>
      </c>
      <c r="I12" s="15"/>
      <c r="J12" s="165"/>
      <c r="K12" s="15"/>
      <c r="M12" s="558">
        <f t="shared" si="2"/>
        <v>10</v>
      </c>
      <c r="N12" s="15">
        <f t="shared" si="0"/>
        <v>0.91387094644784428</v>
      </c>
      <c r="O12" s="165">
        <f t="shared" si="1"/>
        <v>0.44</v>
      </c>
      <c r="P12" s="18"/>
      <c r="Q12" s="27"/>
      <c r="R12" s="27"/>
      <c r="S12" s="18"/>
      <c r="T12" s="18"/>
      <c r="U12" s="18"/>
      <c r="V12" s="18"/>
      <c r="W12" s="18"/>
      <c r="X12" s="18"/>
    </row>
    <row r="13" spans="1:24">
      <c r="A13" s="380" t="s">
        <v>2184</v>
      </c>
      <c r="B13" s="569">
        <v>0.08</v>
      </c>
      <c r="C13" s="573">
        <v>20</v>
      </c>
      <c r="D13" s="548">
        <v>1100</v>
      </c>
      <c r="E13" s="582">
        <v>1.4999999999999999E-2</v>
      </c>
      <c r="F13" s="441">
        <v>3000</v>
      </c>
      <c r="G13" s="548">
        <f>(E13-PMT(B13,C13,1))*D13</f>
        <v>128.53742970546568</v>
      </c>
      <c r="H13" s="549">
        <f>G13/F13</f>
        <v>4.2845809901821894E-2</v>
      </c>
      <c r="I13" s="441"/>
      <c r="J13" s="442"/>
      <c r="K13" s="27"/>
      <c r="M13" s="558">
        <f t="shared" si="2"/>
        <v>11</v>
      </c>
      <c r="N13" s="15">
        <f t="shared" si="0"/>
        <v>0.91326190954313935</v>
      </c>
      <c r="O13" s="165">
        <f t="shared" si="1"/>
        <v>0.44</v>
      </c>
      <c r="P13" s="18"/>
      <c r="Q13" s="27"/>
      <c r="R13" s="27"/>
      <c r="S13" s="18"/>
      <c r="T13" s="18"/>
      <c r="U13" s="18"/>
      <c r="V13" s="18"/>
      <c r="W13" s="18"/>
      <c r="X13" s="18"/>
    </row>
    <row r="14" spans="1:24">
      <c r="J14" s="27"/>
      <c r="K14" s="27"/>
      <c r="M14" s="558">
        <f t="shared" si="2"/>
        <v>12</v>
      </c>
      <c r="N14" s="15">
        <f t="shared" si="0"/>
        <v>0.91265357246578549</v>
      </c>
      <c r="O14" s="165">
        <f t="shared" si="1"/>
        <v>0.44</v>
      </c>
      <c r="P14" s="18"/>
      <c r="Q14" s="27"/>
      <c r="R14" s="27"/>
      <c r="S14" s="18"/>
      <c r="T14" s="18"/>
      <c r="U14" s="18"/>
      <c r="V14" s="18"/>
      <c r="W14" s="18"/>
      <c r="X14" s="18"/>
    </row>
    <row r="15" spans="1:24" ht="15" thickBot="1">
      <c r="A15" s="584"/>
      <c r="B15" s="583" t="s">
        <v>2117</v>
      </c>
      <c r="C15" s="583" t="s">
        <v>2118</v>
      </c>
      <c r="D15" s="583" t="s">
        <v>2119</v>
      </c>
      <c r="E15" s="583" t="s">
        <v>2120</v>
      </c>
      <c r="F15" s="583" t="s">
        <v>2121</v>
      </c>
      <c r="G15" s="583" t="s">
        <v>2122</v>
      </c>
      <c r="H15" s="583" t="s">
        <v>2123</v>
      </c>
      <c r="I15" s="583" t="s">
        <v>2124</v>
      </c>
      <c r="J15" s="583" t="s">
        <v>2125</v>
      </c>
      <c r="K15" s="583" t="s">
        <v>2114</v>
      </c>
      <c r="M15" s="558">
        <f t="shared" si="2"/>
        <v>13</v>
      </c>
      <c r="N15" s="15">
        <f t="shared" si="0"/>
        <v>0.9120459343375571</v>
      </c>
      <c r="O15" s="165">
        <f t="shared" si="1"/>
        <v>0.44</v>
      </c>
      <c r="P15" s="18"/>
      <c r="Q15" s="27"/>
      <c r="R15" s="27"/>
      <c r="S15" s="18"/>
      <c r="T15" s="18"/>
      <c r="U15" s="18"/>
      <c r="V15" s="18"/>
      <c r="W15" s="18"/>
      <c r="X15" s="18"/>
    </row>
    <row r="16" spans="1:24" ht="15" thickTop="1">
      <c r="A16" s="379" t="s">
        <v>2186</v>
      </c>
      <c r="B16" s="585">
        <v>0.5</v>
      </c>
      <c r="C16" s="585">
        <v>0.5</v>
      </c>
      <c r="D16" s="545">
        <v>1.8200000000000001E-2</v>
      </c>
      <c r="E16" s="545">
        <v>3.2099999999999997E-2</v>
      </c>
      <c r="F16" s="15">
        <v>1500</v>
      </c>
      <c r="G16" s="15">
        <v>4000</v>
      </c>
      <c r="H16" s="15">
        <f>B16*F16/(B16*F16+C16*G16)</f>
        <v>0.27272727272727271</v>
      </c>
      <c r="I16" s="15">
        <f>B16*G16/(B16*G16+C16*F16)</f>
        <v>0.72727272727272729</v>
      </c>
      <c r="J16" s="15">
        <f>B16*F16+C16*G16</f>
        <v>2750</v>
      </c>
      <c r="K16" s="586">
        <f>D16*H16+E16*I16</f>
        <v>2.8309090909090909E-2</v>
      </c>
      <c r="M16" s="558">
        <f t="shared" si="2"/>
        <v>14</v>
      </c>
      <c r="N16" s="15">
        <f t="shared" si="0"/>
        <v>0.91143899428132868</v>
      </c>
      <c r="O16" s="165">
        <f t="shared" si="1"/>
        <v>0.44</v>
      </c>
      <c r="P16" s="18"/>
      <c r="Q16" s="27"/>
      <c r="R16" s="27"/>
      <c r="S16" s="18"/>
      <c r="T16" s="18"/>
      <c r="U16" s="18"/>
      <c r="V16" s="18"/>
      <c r="W16" s="18"/>
      <c r="X16" s="18"/>
    </row>
    <row r="17" spans="1:24">
      <c r="A17" s="380" t="s">
        <v>2185</v>
      </c>
      <c r="B17" s="587">
        <v>0.5</v>
      </c>
      <c r="C17" s="587">
        <v>0.5</v>
      </c>
      <c r="D17" s="549">
        <v>1.3599999999999999E-2</v>
      </c>
      <c r="E17" s="549">
        <v>4.2799999999999998E-2</v>
      </c>
      <c r="F17" s="441">
        <v>2000</v>
      </c>
      <c r="G17" s="441">
        <v>3000</v>
      </c>
      <c r="H17" s="441">
        <f>B17*F17/(B17*F17+C17*G17)</f>
        <v>0.4</v>
      </c>
      <c r="I17" s="441">
        <f>B17*G17/(B17*G17+C17*F17)</f>
        <v>0.6</v>
      </c>
      <c r="J17" s="441">
        <f>B17*F17+C17*G17</f>
        <v>2500</v>
      </c>
      <c r="K17" s="588">
        <f>D17*H17+E17*I17</f>
        <v>3.1119999999999998E-2</v>
      </c>
      <c r="M17" s="558">
        <f t="shared" si="2"/>
        <v>15</v>
      </c>
      <c r="N17" s="15">
        <f t="shared" si="0"/>
        <v>0.91083275142107567</v>
      </c>
      <c r="O17" s="165">
        <f t="shared" si="1"/>
        <v>0.44</v>
      </c>
      <c r="P17" s="18"/>
      <c r="Q17" s="27"/>
      <c r="R17" s="27"/>
      <c r="S17" s="18"/>
      <c r="T17" s="18"/>
      <c r="U17" s="18"/>
      <c r="V17" s="18"/>
      <c r="W17" s="18"/>
      <c r="X17" s="18"/>
    </row>
    <row r="18" spans="1:24" ht="15" thickBot="1">
      <c r="B18" s="846" t="s">
        <v>2141</v>
      </c>
      <c r="C18" s="847"/>
      <c r="D18" s="847"/>
      <c r="E18" s="848"/>
      <c r="F18" s="846" t="s">
        <v>2155</v>
      </c>
      <c r="G18" s="847"/>
      <c r="H18" s="848"/>
      <c r="K18" s="27"/>
      <c r="M18" s="558">
        <f t="shared" si="2"/>
        <v>16</v>
      </c>
      <c r="N18" s="15">
        <f t="shared" si="0"/>
        <v>0.91022720488187303</v>
      </c>
      <c r="O18" s="165">
        <f t="shared" si="1"/>
        <v>0.44</v>
      </c>
      <c r="P18" s="18"/>
      <c r="Q18" s="27"/>
      <c r="R18" s="27"/>
      <c r="S18" s="18"/>
      <c r="T18" s="18"/>
      <c r="U18" s="18"/>
      <c r="V18" s="18"/>
      <c r="W18" s="18"/>
      <c r="X18" s="18"/>
    </row>
    <row r="19" spans="1:24" ht="15" thickTop="1">
      <c r="B19" s="594">
        <v>2500</v>
      </c>
      <c r="C19" s="595" t="s">
        <v>2015</v>
      </c>
      <c r="D19" s="295">
        <v>0.03</v>
      </c>
      <c r="E19" s="596" t="s">
        <v>10</v>
      </c>
      <c r="F19" s="295">
        <v>0.01</v>
      </c>
      <c r="G19" s="592" t="s">
        <v>10</v>
      </c>
      <c r="H19" s="593"/>
      <c r="I19" s="598" t="s">
        <v>2388</v>
      </c>
      <c r="J19" s="599"/>
      <c r="K19" s="600"/>
      <c r="M19" s="558">
        <f t="shared" si="2"/>
        <v>17</v>
      </c>
      <c r="N19" s="15">
        <f t="shared" si="0"/>
        <v>0.9096223537898932</v>
      </c>
      <c r="O19" s="165">
        <f t="shared" si="1"/>
        <v>0.44</v>
      </c>
      <c r="P19" s="18"/>
      <c r="Q19" s="27"/>
      <c r="R19" s="27"/>
      <c r="S19" s="18"/>
      <c r="T19" s="18"/>
      <c r="U19" s="18"/>
      <c r="V19" s="18"/>
      <c r="W19" s="18"/>
      <c r="X19" s="18"/>
    </row>
    <row r="20" spans="1:24">
      <c r="M20" s="558">
        <f t="shared" si="2"/>
        <v>18</v>
      </c>
      <c r="N20" s="15">
        <f t="shared" si="0"/>
        <v>0.90901819727240718</v>
      </c>
      <c r="O20" s="165">
        <f t="shared" si="1"/>
        <v>0.44</v>
      </c>
      <c r="P20" s="18"/>
      <c r="Q20" s="27"/>
      <c r="R20" s="27"/>
      <c r="S20" s="18"/>
      <c r="T20" s="18"/>
      <c r="U20" s="18"/>
      <c r="V20" s="18"/>
      <c r="W20" s="18"/>
      <c r="X20" s="18"/>
    </row>
    <row r="21" spans="1:24" ht="15.5">
      <c r="A21" s="849" t="s">
        <v>2372</v>
      </c>
      <c r="B21" s="850"/>
      <c r="C21" s="850"/>
      <c r="D21" s="850"/>
      <c r="E21" s="850"/>
      <c r="F21" s="850"/>
      <c r="G21" s="850"/>
      <c r="H21" s="850"/>
      <c r="K21" s="2"/>
      <c r="M21" s="558">
        <f t="shared" si="2"/>
        <v>19</v>
      </c>
      <c r="N21" s="15">
        <f t="shared" si="0"/>
        <v>0.90841473445777909</v>
      </c>
      <c r="O21" s="165">
        <f t="shared" si="1"/>
        <v>0.44</v>
      </c>
      <c r="P21" s="18"/>
      <c r="Q21" s="27"/>
      <c r="R21" s="27"/>
      <c r="S21" s="18"/>
      <c r="T21" s="18"/>
      <c r="U21" s="18"/>
      <c r="V21" s="18"/>
      <c r="W21" s="18"/>
      <c r="X21" s="18"/>
    </row>
    <row r="22" spans="1:24" ht="15" thickBot="1">
      <c r="A22" s="584"/>
      <c r="B22" s="583" t="s">
        <v>2135</v>
      </c>
      <c r="C22" s="583" t="s">
        <v>2126</v>
      </c>
      <c r="D22" s="583" t="s">
        <v>2373</v>
      </c>
      <c r="E22" s="667" t="s">
        <v>2143</v>
      </c>
      <c r="F22" s="824" t="s">
        <v>2187</v>
      </c>
      <c r="G22" s="824"/>
      <c r="H22" s="824"/>
      <c r="I22" s="824"/>
      <c r="J22" s="824"/>
      <c r="K22" s="824"/>
      <c r="L22" s="825"/>
      <c r="M22" s="558">
        <f t="shared" si="2"/>
        <v>20</v>
      </c>
      <c r="N22" s="15">
        <f t="shared" si="0"/>
        <v>0.90781196447546675</v>
      </c>
      <c r="O22" s="165">
        <f t="shared" si="1"/>
        <v>0.44</v>
      </c>
      <c r="P22" s="18"/>
      <c r="Q22" s="27"/>
      <c r="R22" s="27"/>
      <c r="S22" s="18"/>
      <c r="T22" s="18"/>
      <c r="U22" s="18"/>
      <c r="V22" s="18"/>
      <c r="W22" s="18"/>
      <c r="X22" s="18"/>
    </row>
    <row r="23" spans="1:24" ht="15" thickTop="1">
      <c r="A23" s="378" t="s">
        <v>2145</v>
      </c>
      <c r="B23" s="15">
        <f>SUM(N3:N8762)</f>
        <v>2504.1077019275463</v>
      </c>
      <c r="C23" s="15">
        <f>SUM(O3:O8762)/C24+B40</f>
        <v>5026.2044980000592</v>
      </c>
      <c r="D23" s="614" t="s">
        <v>2146</v>
      </c>
      <c r="M23" s="558">
        <f t="shared" si="2"/>
        <v>21</v>
      </c>
      <c r="N23" s="15">
        <f t="shared" si="0"/>
        <v>0.90720988645602274</v>
      </c>
      <c r="O23" s="165">
        <f t="shared" si="1"/>
        <v>0.44</v>
      </c>
      <c r="P23" s="18"/>
      <c r="Q23" s="27"/>
      <c r="R23" s="27"/>
      <c r="S23" s="18"/>
      <c r="T23" s="18"/>
      <c r="U23" s="18"/>
      <c r="V23" s="18"/>
      <c r="W23" s="18"/>
      <c r="X23" s="18"/>
    </row>
    <row r="24" spans="1:24">
      <c r="A24" s="380" t="s">
        <v>2144</v>
      </c>
      <c r="B24" s="603">
        <v>1</v>
      </c>
      <c r="C24" s="602">
        <v>0.44</v>
      </c>
      <c r="D24" s="615" t="s">
        <v>2136</v>
      </c>
      <c r="M24" s="558">
        <f t="shared" si="2"/>
        <v>22</v>
      </c>
      <c r="N24" s="15">
        <f t="shared" si="0"/>
        <v>0.90660849953108835</v>
      </c>
      <c r="O24" s="165">
        <f t="shared" si="1"/>
        <v>0.44</v>
      </c>
      <c r="P24" s="18"/>
      <c r="Q24" s="27"/>
      <c r="R24" s="27"/>
      <c r="S24" s="18"/>
      <c r="T24" s="18"/>
      <c r="U24" s="18"/>
      <c r="V24" s="18"/>
      <c r="W24" s="18"/>
      <c r="X24" s="18"/>
    </row>
    <row r="25" spans="1:24">
      <c r="M25" s="558">
        <f t="shared" si="2"/>
        <v>23</v>
      </c>
      <c r="N25" s="15">
        <f t="shared" si="0"/>
        <v>0.90600780283339577</v>
      </c>
      <c r="O25" s="165">
        <f t="shared" si="1"/>
        <v>0.44</v>
      </c>
      <c r="P25" s="18"/>
      <c r="Q25" s="27"/>
      <c r="R25" s="27"/>
      <c r="S25" s="18"/>
      <c r="T25" s="18"/>
      <c r="U25" s="18"/>
      <c r="V25" s="18"/>
      <c r="W25" s="18"/>
      <c r="X25" s="18"/>
    </row>
    <row r="26" spans="1:24" ht="15" thickBot="1">
      <c r="A26" s="584"/>
      <c r="B26" s="583" t="s">
        <v>2149</v>
      </c>
      <c r="C26" s="583" t="s">
        <v>2159</v>
      </c>
      <c r="D26" s="583" t="s">
        <v>2160</v>
      </c>
      <c r="E26" s="583" t="s">
        <v>2373</v>
      </c>
      <c r="M26" s="558">
        <f t="shared" si="2"/>
        <v>24</v>
      </c>
      <c r="N26" s="15">
        <f t="shared" si="0"/>
        <v>0.90540779549676431</v>
      </c>
      <c r="O26" s="165">
        <f t="shared" si="1"/>
        <v>0.44</v>
      </c>
      <c r="P26" s="18"/>
      <c r="Q26" s="27"/>
      <c r="R26" s="27"/>
      <c r="S26" s="18"/>
      <c r="T26" s="18"/>
      <c r="U26" s="18"/>
      <c r="V26" s="18"/>
      <c r="W26" s="18"/>
      <c r="X26" s="18"/>
    </row>
    <row r="27" spans="1:24" ht="15" thickTop="1">
      <c r="A27" s="378" t="s">
        <v>2127</v>
      </c>
      <c r="B27" s="604">
        <f>C27/SUM(N3:N8762)</f>
        <v>0.11683911302309702</v>
      </c>
      <c r="C27" s="15">
        <f>SUM(N3:N8762)-SUM(O3:O8762)</f>
        <v>292.57772280752033</v>
      </c>
      <c r="D27" s="15">
        <f>C27/C24</f>
        <v>664.94937001709161</v>
      </c>
      <c r="E27" s="614" t="s">
        <v>2382</v>
      </c>
      <c r="F27" t="s">
        <v>2284</v>
      </c>
      <c r="M27" s="558">
        <f t="shared" si="2"/>
        <v>25</v>
      </c>
      <c r="N27" s="15">
        <f t="shared" si="0"/>
        <v>0.90480847665610264</v>
      </c>
      <c r="O27" s="165">
        <f t="shared" si="1"/>
        <v>0.44</v>
      </c>
      <c r="P27" s="18"/>
      <c r="Q27" s="27"/>
      <c r="R27" s="27"/>
      <c r="S27" s="18"/>
      <c r="T27" s="18"/>
      <c r="U27" s="18"/>
      <c r="V27" s="18"/>
      <c r="W27" s="18"/>
      <c r="X27" s="18"/>
    </row>
    <row r="28" spans="1:24">
      <c r="A28" s="380" t="s">
        <v>2128</v>
      </c>
      <c r="B28" s="605">
        <f>C28/SUM(N3:N8762)</f>
        <v>0.11683911302309702</v>
      </c>
      <c r="C28" s="441">
        <f>C27-C24*B40/E35</f>
        <v>292.57772280752033</v>
      </c>
      <c r="D28" s="441">
        <f>C28/C24</f>
        <v>664.94937001709161</v>
      </c>
      <c r="E28" s="615"/>
      <c r="M28" s="558">
        <f t="shared" si="2"/>
        <v>26</v>
      </c>
      <c r="N28" s="15">
        <f t="shared" si="0"/>
        <v>0.90420984544740302</v>
      </c>
      <c r="O28" s="165">
        <f t="shared" si="1"/>
        <v>0.44</v>
      </c>
      <c r="P28" s="18"/>
      <c r="Q28" s="27"/>
      <c r="R28" s="27"/>
      <c r="S28" s="18"/>
      <c r="T28" s="18"/>
      <c r="U28" s="18"/>
      <c r="V28" s="18"/>
      <c r="W28" s="18"/>
      <c r="X28" s="18"/>
    </row>
    <row r="29" spans="1:24">
      <c r="M29" s="558">
        <f t="shared" si="2"/>
        <v>27</v>
      </c>
      <c r="N29" s="15">
        <f t="shared" si="0"/>
        <v>0.90361190100774158</v>
      </c>
      <c r="O29" s="165">
        <f t="shared" si="1"/>
        <v>0.44</v>
      </c>
      <c r="P29" s="18"/>
      <c r="Q29" s="27"/>
      <c r="R29" s="27"/>
      <c r="S29" s="18"/>
      <c r="T29" s="18"/>
      <c r="U29" s="18"/>
      <c r="V29" s="18"/>
      <c r="W29" s="18"/>
      <c r="X29" s="18"/>
    </row>
    <row r="30" spans="1:24" ht="16" thickBot="1">
      <c r="A30" s="628" t="s">
        <v>2375</v>
      </c>
      <c r="B30" s="606"/>
      <c r="D30" s="629" t="s">
        <v>2376</v>
      </c>
      <c r="E30" s="619"/>
      <c r="F30" s="620"/>
      <c r="M30" s="558">
        <f t="shared" si="2"/>
        <v>28</v>
      </c>
      <c r="N30" s="15">
        <f t="shared" si="0"/>
        <v>0.90301464247528007</v>
      </c>
      <c r="O30" s="165">
        <f t="shared" si="1"/>
        <v>0.44</v>
      </c>
      <c r="P30" s="18"/>
      <c r="Q30" s="27"/>
      <c r="R30" s="27"/>
      <c r="S30" s="18"/>
      <c r="T30" s="18"/>
      <c r="U30" s="18"/>
      <c r="V30" s="18"/>
      <c r="W30" s="18"/>
      <c r="X30" s="18"/>
    </row>
    <row r="31" spans="1:24" ht="15" thickTop="1">
      <c r="A31" s="378" t="s">
        <v>2140</v>
      </c>
      <c r="B31" s="597">
        <v>8760</v>
      </c>
      <c r="C31" s="23"/>
      <c r="D31" s="378" t="s">
        <v>2150</v>
      </c>
      <c r="E31" s="257">
        <v>200</v>
      </c>
      <c r="F31" s="689" t="s">
        <v>2016</v>
      </c>
      <c r="M31" s="558">
        <f t="shared" si="2"/>
        <v>29</v>
      </c>
      <c r="N31" s="15">
        <f t="shared" si="0"/>
        <v>0.90241806898925925</v>
      </c>
      <c r="O31" s="165">
        <f t="shared" si="1"/>
        <v>0.44</v>
      </c>
      <c r="P31" s="18"/>
      <c r="Q31" s="27"/>
      <c r="R31" s="27"/>
      <c r="S31" s="18"/>
      <c r="T31" s="18"/>
      <c r="U31" s="18"/>
      <c r="V31" s="18"/>
      <c r="W31" s="18"/>
      <c r="X31" s="18"/>
    </row>
    <row r="32" spans="1:24">
      <c r="A32" s="379" t="s">
        <v>2139</v>
      </c>
      <c r="B32" s="601">
        <v>0.02</v>
      </c>
      <c r="C32" s="23"/>
      <c r="D32" s="379" t="s">
        <v>2151</v>
      </c>
      <c r="E32" s="166">
        <v>70</v>
      </c>
      <c r="F32" s="691" t="s">
        <v>10</v>
      </c>
      <c r="M32" s="558">
        <f t="shared" si="2"/>
        <v>30</v>
      </c>
      <c r="N32" s="15">
        <f t="shared" si="0"/>
        <v>0.90182217968999989</v>
      </c>
      <c r="O32" s="165">
        <f t="shared" si="1"/>
        <v>0.44</v>
      </c>
      <c r="P32" s="18"/>
      <c r="Q32" s="27"/>
      <c r="R32" s="27"/>
      <c r="S32" s="18"/>
      <c r="T32" s="18"/>
      <c r="U32" s="18"/>
      <c r="V32" s="18"/>
      <c r="W32" s="18"/>
      <c r="X32" s="18"/>
    </row>
    <row r="33" spans="1:24">
      <c r="A33" s="379" t="s">
        <v>2147</v>
      </c>
      <c r="B33" s="597">
        <v>0.45</v>
      </c>
      <c r="C33" s="23"/>
      <c r="D33" s="379" t="s">
        <v>2152</v>
      </c>
      <c r="E33" s="621">
        <v>0</v>
      </c>
      <c r="F33" s="690" t="s">
        <v>2153</v>
      </c>
      <c r="M33" s="558">
        <f t="shared" si="2"/>
        <v>31</v>
      </c>
      <c r="N33" s="15">
        <f t="shared" si="0"/>
        <v>0.90122697371890437</v>
      </c>
      <c r="O33" s="165">
        <f t="shared" si="1"/>
        <v>0.44</v>
      </c>
      <c r="P33" s="18"/>
      <c r="Q33" s="27"/>
      <c r="R33" s="27"/>
      <c r="S33" s="18"/>
      <c r="T33" s="18"/>
      <c r="U33" s="18"/>
      <c r="V33" s="18"/>
      <c r="W33" s="18"/>
      <c r="X33" s="18"/>
    </row>
    <row r="34" spans="1:24">
      <c r="A34" s="379" t="s">
        <v>2199</v>
      </c>
      <c r="B34" s="601">
        <v>0</v>
      </c>
      <c r="C34" s="23"/>
      <c r="D34" s="379" t="s">
        <v>2154</v>
      </c>
      <c r="E34" s="166">
        <f>E31+E33*E32</f>
        <v>200</v>
      </c>
      <c r="F34" s="691" t="s">
        <v>2016</v>
      </c>
      <c r="M34" s="558">
        <f t="shared" si="2"/>
        <v>32</v>
      </c>
      <c r="N34" s="15">
        <f t="shared" si="0"/>
        <v>0.90063245021844973</v>
      </c>
      <c r="O34" s="165">
        <f t="shared" si="1"/>
        <v>0.44</v>
      </c>
      <c r="P34" s="18"/>
      <c r="Q34" s="27"/>
      <c r="R34" s="27"/>
      <c r="S34" s="18"/>
      <c r="T34" s="18"/>
      <c r="U34" s="18"/>
      <c r="V34" s="18"/>
      <c r="W34" s="18"/>
      <c r="X34" s="18"/>
    </row>
    <row r="35" spans="1:24">
      <c r="A35" s="379" t="s">
        <v>2198</v>
      </c>
      <c r="B35" s="597">
        <v>1</v>
      </c>
      <c r="C35" s="23"/>
      <c r="D35" s="379" t="s">
        <v>2131</v>
      </c>
      <c r="E35" s="260">
        <v>0.8</v>
      </c>
      <c r="F35" s="690"/>
      <c r="M35" s="558">
        <f t="shared" si="2"/>
        <v>33</v>
      </c>
      <c r="N35" s="15">
        <f t="shared" si="0"/>
        <v>0.90003860833218963</v>
      </c>
      <c r="O35" s="165">
        <f t="shared" si="1"/>
        <v>0.44</v>
      </c>
      <c r="P35" s="18"/>
      <c r="Q35" s="27"/>
      <c r="R35" s="27"/>
      <c r="S35" s="18"/>
      <c r="T35" s="18"/>
      <c r="U35" s="18"/>
      <c r="V35" s="18"/>
      <c r="W35" s="18"/>
      <c r="X35" s="18"/>
    </row>
    <row r="36" spans="1:24">
      <c r="A36" s="379" t="s">
        <v>2200</v>
      </c>
      <c r="B36" s="601">
        <f>B31/2</f>
        <v>4380</v>
      </c>
      <c r="C36" s="23"/>
      <c r="D36" s="379" t="s">
        <v>2</v>
      </c>
      <c r="E36" s="269">
        <v>0.08</v>
      </c>
      <c r="F36" s="691" t="s">
        <v>15</v>
      </c>
      <c r="M36" s="558">
        <f t="shared" si="2"/>
        <v>34</v>
      </c>
      <c r="N36" s="15">
        <f t="shared" si="0"/>
        <v>0.89944544720475406</v>
      </c>
      <c r="O36" s="165">
        <f t="shared" si="1"/>
        <v>0.44</v>
      </c>
      <c r="P36" s="18"/>
      <c r="Q36" s="27"/>
      <c r="R36" s="27"/>
      <c r="S36" s="18"/>
      <c r="T36" s="18"/>
      <c r="U36" s="18"/>
      <c r="V36" s="18"/>
      <c r="W36" s="18"/>
      <c r="X36" s="18"/>
    </row>
    <row r="37" spans="1:24" s="18" customFormat="1">
      <c r="A37" s="379" t="s">
        <v>2148</v>
      </c>
      <c r="B37" s="597">
        <v>0.45</v>
      </c>
      <c r="D37" s="379" t="s">
        <v>1870</v>
      </c>
      <c r="E37" s="260">
        <v>0.02</v>
      </c>
      <c r="F37" s="690" t="s">
        <v>32</v>
      </c>
      <c r="L37"/>
      <c r="M37" s="558">
        <f t="shared" si="2"/>
        <v>35</v>
      </c>
      <c r="N37" s="15">
        <f t="shared" si="0"/>
        <v>0.89885296598184494</v>
      </c>
      <c r="O37" s="165">
        <f t="shared" si="1"/>
        <v>0.44</v>
      </c>
      <c r="Q37" s="27"/>
      <c r="R37" s="27"/>
    </row>
    <row r="38" spans="1:24">
      <c r="A38" s="379" t="s">
        <v>2138</v>
      </c>
      <c r="B38" s="601">
        <v>11</v>
      </c>
      <c r="D38" s="380" t="s">
        <v>1</v>
      </c>
      <c r="E38" s="692">
        <v>20</v>
      </c>
      <c r="F38" s="693" t="s">
        <v>3</v>
      </c>
      <c r="G38" s="668" t="s">
        <v>2156</v>
      </c>
      <c r="H38" s="669"/>
      <c r="I38" s="669"/>
      <c r="J38" s="670"/>
      <c r="M38" s="558">
        <f t="shared" si="2"/>
        <v>36</v>
      </c>
      <c r="N38" s="15">
        <f t="shared" si="0"/>
        <v>0.89826116381023602</v>
      </c>
      <c r="O38" s="165">
        <f t="shared" si="1"/>
        <v>0.44</v>
      </c>
      <c r="P38" s="18"/>
      <c r="Q38" s="27"/>
      <c r="R38" s="27"/>
      <c r="S38" s="18"/>
      <c r="T38" s="18"/>
      <c r="U38" s="18"/>
      <c r="V38" s="18"/>
      <c r="W38" s="18"/>
      <c r="X38" s="18"/>
    </row>
    <row r="39" spans="1:24">
      <c r="M39" s="558">
        <f t="shared" si="2"/>
        <v>37</v>
      </c>
      <c r="N39" s="15">
        <f t="shared" si="0"/>
        <v>0.89767003983777371</v>
      </c>
      <c r="O39" s="165">
        <f t="shared" si="1"/>
        <v>0.44</v>
      </c>
      <c r="P39" s="18"/>
      <c r="Q39" s="27"/>
      <c r="R39" s="27"/>
      <c r="S39" s="18"/>
      <c r="T39" s="18"/>
      <c r="U39" s="18"/>
      <c r="V39" s="18"/>
      <c r="W39" s="18"/>
      <c r="X39" s="18"/>
    </row>
    <row r="40" spans="1:24">
      <c r="A40" s="378" t="s">
        <v>2129</v>
      </c>
      <c r="B40" s="611">
        <v>0</v>
      </c>
      <c r="C40" s="612" t="s">
        <v>2162</v>
      </c>
      <c r="D40" s="610">
        <f>IF(B40&gt;0,(E37-PMT(E36,E38,1))*E34,0)</f>
        <v>0</v>
      </c>
      <c r="E40" s="609" t="s">
        <v>2130</v>
      </c>
      <c r="F40" s="607"/>
      <c r="M40" s="558">
        <f t="shared" si="2"/>
        <v>38</v>
      </c>
      <c r="N40" s="15">
        <f t="shared" si="0"/>
        <v>0.89707959321337172</v>
      </c>
      <c r="O40" s="165">
        <f t="shared" si="1"/>
        <v>0.44</v>
      </c>
      <c r="P40" s="18"/>
      <c r="Q40" s="27"/>
      <c r="R40" s="27"/>
      <c r="S40" s="18"/>
      <c r="T40" s="18"/>
      <c r="U40" s="18"/>
      <c r="V40" s="18"/>
      <c r="W40" s="18"/>
      <c r="X40" s="18"/>
    </row>
    <row r="41" spans="1:24" ht="29">
      <c r="A41" s="623" t="s">
        <v>2158</v>
      </c>
      <c r="B41" s="624">
        <f>(C27-C28)/C27</f>
        <v>0</v>
      </c>
      <c r="C41" s="625" t="s">
        <v>2167</v>
      </c>
      <c r="D41" s="626">
        <f>D40/C23</f>
        <v>0</v>
      </c>
      <c r="E41" s="627" t="s">
        <v>2374</v>
      </c>
      <c r="F41" s="608"/>
      <c r="M41" s="558">
        <f t="shared" si="2"/>
        <v>39</v>
      </c>
      <c r="N41" s="15">
        <f t="shared" si="0"/>
        <v>0.89648982308701231</v>
      </c>
      <c r="O41" s="165">
        <f t="shared" si="1"/>
        <v>0.44</v>
      </c>
      <c r="P41" s="18"/>
      <c r="Q41" s="27"/>
      <c r="R41" s="27"/>
      <c r="S41" s="18"/>
      <c r="T41" s="18"/>
      <c r="U41" s="18"/>
      <c r="V41" s="18"/>
      <c r="W41" s="18"/>
      <c r="X41" s="18"/>
    </row>
    <row r="42" spans="1:24">
      <c r="C42" s="18"/>
      <c r="M42" s="558">
        <f t="shared" si="2"/>
        <v>40</v>
      </c>
      <c r="N42" s="15">
        <f t="shared" si="0"/>
        <v>0.8959007286097459</v>
      </c>
      <c r="O42" s="165">
        <f t="shared" si="1"/>
        <v>0.44</v>
      </c>
      <c r="P42" s="18"/>
      <c r="Q42" s="27"/>
      <c r="R42" s="27"/>
      <c r="S42" s="18"/>
      <c r="T42" s="18"/>
      <c r="U42" s="18"/>
      <c r="V42" s="18"/>
      <c r="W42" s="18"/>
      <c r="X42" s="18"/>
    </row>
    <row r="43" spans="1:24">
      <c r="A43" s="630" t="s">
        <v>2132</v>
      </c>
      <c r="B43" s="631">
        <f>(D19+F19)/(1-B28)+D41</f>
        <v>4.5291860848731297E-2</v>
      </c>
      <c r="C43" s="589" t="s">
        <v>10</v>
      </c>
      <c r="D43" s="851" t="s">
        <v>2392</v>
      </c>
      <c r="E43" s="852"/>
      <c r="F43" s="852"/>
      <c r="G43" s="852"/>
      <c r="H43" s="852"/>
      <c r="I43" s="852"/>
      <c r="J43" s="853"/>
      <c r="M43" s="558">
        <f t="shared" si="2"/>
        <v>41</v>
      </c>
      <c r="N43" s="15">
        <f t="shared" si="0"/>
        <v>0.8953123089336873</v>
      </c>
      <c r="O43" s="165">
        <f t="shared" si="1"/>
        <v>0.44</v>
      </c>
      <c r="P43" s="18"/>
      <c r="Q43" s="27"/>
      <c r="R43" s="27"/>
      <c r="S43" s="18"/>
      <c r="T43" s="18"/>
      <c r="U43" s="18"/>
      <c r="V43" s="18"/>
      <c r="W43" s="18"/>
      <c r="X43" s="18"/>
    </row>
    <row r="44" spans="1:24">
      <c r="D44" s="23"/>
      <c r="M44" s="558">
        <f t="shared" si="2"/>
        <v>42</v>
      </c>
      <c r="N44" s="15">
        <f t="shared" si="0"/>
        <v>0.89472456321201288</v>
      </c>
      <c r="O44" s="165">
        <f t="shared" si="1"/>
        <v>0.44</v>
      </c>
      <c r="P44" s="18"/>
      <c r="Q44" s="27"/>
      <c r="R44" s="27"/>
      <c r="S44" s="18"/>
      <c r="T44" s="18"/>
      <c r="U44" s="18"/>
      <c r="V44" s="18"/>
      <c r="W44" s="18"/>
      <c r="X44" s="18"/>
    </row>
    <row r="45" spans="1:24">
      <c r="A45" s="18"/>
      <c r="B45" s="18"/>
      <c r="M45" s="558">
        <f t="shared" si="2"/>
        <v>43</v>
      </c>
      <c r="N45" s="15">
        <f t="shared" si="0"/>
        <v>0.8941374905989663</v>
      </c>
      <c r="O45" s="165">
        <f t="shared" si="1"/>
        <v>0.44</v>
      </c>
      <c r="P45" s="18"/>
      <c r="Q45" s="27"/>
      <c r="R45" s="27"/>
      <c r="S45" s="18"/>
      <c r="T45" s="18"/>
      <c r="U45" s="18"/>
      <c r="V45" s="18"/>
      <c r="W45" s="18"/>
      <c r="X45" s="18"/>
    </row>
    <row r="46" spans="1:24" ht="15.5">
      <c r="A46" s="541" t="s">
        <v>2142</v>
      </c>
      <c r="M46" s="558">
        <f t="shared" si="2"/>
        <v>44</v>
      </c>
      <c r="N46" s="15">
        <f t="shared" si="0"/>
        <v>0.89355109024984947</v>
      </c>
      <c r="O46" s="165">
        <f t="shared" si="1"/>
        <v>0.44</v>
      </c>
      <c r="P46" s="18"/>
      <c r="Q46" s="27"/>
      <c r="R46" s="27"/>
      <c r="S46" s="18"/>
      <c r="T46" s="18"/>
      <c r="U46" s="18"/>
      <c r="V46" s="18"/>
      <c r="W46" s="18"/>
      <c r="X46" s="18"/>
    </row>
    <row r="47" spans="1:24" ht="15" thickBot="1">
      <c r="A47" s="628" t="s">
        <v>2037</v>
      </c>
      <c r="B47" s="590" t="s">
        <v>1768</v>
      </c>
      <c r="C47" s="591" t="s">
        <v>2378</v>
      </c>
      <c r="D47" s="583" t="s">
        <v>2373</v>
      </c>
      <c r="E47" s="628" t="s">
        <v>2040</v>
      </c>
      <c r="F47" s="635" t="s">
        <v>1768</v>
      </c>
      <c r="G47" s="636" t="s">
        <v>2378</v>
      </c>
      <c r="H47" s="590" t="s">
        <v>2373</v>
      </c>
      <c r="M47" s="558">
        <f t="shared" si="2"/>
        <v>45</v>
      </c>
      <c r="N47" s="15">
        <f t="shared" si="0"/>
        <v>0.89296536132102433</v>
      </c>
      <c r="O47" s="165">
        <f t="shared" si="1"/>
        <v>0.44</v>
      </c>
      <c r="P47" s="18"/>
      <c r="Q47" s="27"/>
      <c r="R47" s="27"/>
      <c r="S47" s="18"/>
      <c r="T47" s="18"/>
      <c r="U47" s="18"/>
      <c r="V47" s="18"/>
      <c r="W47" s="18"/>
      <c r="X47" s="18"/>
    </row>
    <row r="48" spans="1:24" ht="15" thickTop="1">
      <c r="A48" s="378" t="s">
        <v>2169</v>
      </c>
      <c r="B48" s="632" t="s">
        <v>28</v>
      </c>
      <c r="C48" s="638">
        <v>0.65</v>
      </c>
      <c r="D48" s="614"/>
      <c r="E48" s="379" t="s">
        <v>1999</v>
      </c>
      <c r="F48" s="632" t="s">
        <v>2000</v>
      </c>
      <c r="G48" s="452">
        <v>1500</v>
      </c>
      <c r="H48" s="639"/>
      <c r="M48" s="558">
        <f t="shared" si="2"/>
        <v>46</v>
      </c>
      <c r="N48" s="15">
        <f t="shared" si="0"/>
        <v>0.892380302969914</v>
      </c>
      <c r="O48" s="165">
        <f t="shared" si="1"/>
        <v>0.44</v>
      </c>
      <c r="P48" s="18"/>
      <c r="Q48" s="27"/>
      <c r="R48" s="27"/>
      <c r="S48" s="18"/>
      <c r="T48" s="18"/>
      <c r="U48" s="18"/>
      <c r="V48" s="18"/>
      <c r="W48" s="18"/>
      <c r="X48" s="18"/>
    </row>
    <row r="49" spans="1:24">
      <c r="A49" s="379" t="s">
        <v>1998</v>
      </c>
      <c r="B49" s="633" t="s">
        <v>1874</v>
      </c>
      <c r="C49" s="15">
        <f>1000*'Eingabe Stoffparameter'!$C$7/C48</f>
        <v>51262.125220458547</v>
      </c>
      <c r="D49" s="614"/>
      <c r="E49" s="379" t="s">
        <v>2001</v>
      </c>
      <c r="F49" s="633" t="s">
        <v>10</v>
      </c>
      <c r="G49" s="15">
        <v>0.03</v>
      </c>
      <c r="H49" s="614" t="s">
        <v>1810</v>
      </c>
      <c r="M49" s="558">
        <f t="shared" si="2"/>
        <v>47</v>
      </c>
      <c r="N49" s="15">
        <f t="shared" si="0"/>
        <v>0.8917959143549965</v>
      </c>
      <c r="O49" s="165">
        <f t="shared" si="1"/>
        <v>0.44</v>
      </c>
      <c r="P49" s="18"/>
      <c r="Q49" s="27"/>
      <c r="R49" s="27"/>
      <c r="S49" s="18"/>
      <c r="T49" s="18"/>
      <c r="U49" s="18"/>
      <c r="V49" s="18"/>
      <c r="W49" s="18"/>
      <c r="X49" s="18"/>
    </row>
    <row r="50" spans="1:24">
      <c r="A50" s="379" t="s">
        <v>1905</v>
      </c>
      <c r="B50" s="633" t="s">
        <v>10</v>
      </c>
      <c r="C50" s="15">
        <v>4.4999999999999998E-2</v>
      </c>
      <c r="D50" s="58"/>
      <c r="E50" s="379" t="s">
        <v>1998</v>
      </c>
      <c r="F50" s="633" t="s">
        <v>1919</v>
      </c>
      <c r="G50" s="15">
        <v>300</v>
      </c>
      <c r="H50" s="614"/>
      <c r="J50" s="15"/>
      <c r="M50" s="558">
        <f t="shared" si="2"/>
        <v>48</v>
      </c>
      <c r="N50" s="15">
        <f t="shared" si="0"/>
        <v>0.89121219463580603</v>
      </c>
      <c r="O50" s="165">
        <f t="shared" si="1"/>
        <v>0.44</v>
      </c>
      <c r="P50" s="18"/>
      <c r="Q50" s="27"/>
      <c r="R50" s="27"/>
      <c r="S50" s="18"/>
      <c r="T50" s="18"/>
      <c r="U50" s="18"/>
      <c r="V50" s="18"/>
      <c r="W50" s="18"/>
      <c r="X50" s="18"/>
    </row>
    <row r="51" spans="1:24">
      <c r="A51" s="379" t="s">
        <v>1893</v>
      </c>
      <c r="B51" s="633" t="s">
        <v>1941</v>
      </c>
      <c r="C51" s="15">
        <f>(450/0.65)*33.3*1000/1000000</f>
        <v>23.053846153846148</v>
      </c>
      <c r="D51" s="58"/>
      <c r="E51" s="379" t="s">
        <v>1905</v>
      </c>
      <c r="F51" s="633" t="s">
        <v>10</v>
      </c>
      <c r="G51" s="15">
        <v>4.4999999999999998E-2</v>
      </c>
      <c r="H51" s="614"/>
      <c r="M51" s="558">
        <f t="shared" si="2"/>
        <v>49</v>
      </c>
      <c r="N51" s="15">
        <f t="shared" si="0"/>
        <v>0.89062914297293339</v>
      </c>
      <c r="O51" s="165">
        <f t="shared" si="1"/>
        <v>0.44</v>
      </c>
      <c r="P51" s="18"/>
      <c r="Q51" s="27"/>
      <c r="R51" s="27"/>
      <c r="S51" s="18"/>
      <c r="T51" s="18"/>
      <c r="U51" s="18"/>
      <c r="V51" s="18"/>
      <c r="W51" s="18"/>
      <c r="X51" s="18"/>
    </row>
    <row r="52" spans="1:24">
      <c r="A52" s="379" t="s">
        <v>1</v>
      </c>
      <c r="B52" s="633" t="s">
        <v>3</v>
      </c>
      <c r="C52" s="15">
        <v>20</v>
      </c>
      <c r="D52" s="614"/>
      <c r="E52" s="379" t="s">
        <v>1893</v>
      </c>
      <c r="F52" s="633" t="s">
        <v>1920</v>
      </c>
      <c r="G52" s="15">
        <f>338*8760/1000000</f>
        <v>2.96088</v>
      </c>
      <c r="H52" s="614"/>
      <c r="M52" s="558">
        <f t="shared" si="2"/>
        <v>50</v>
      </c>
      <c r="N52" s="15">
        <f t="shared" si="0"/>
        <v>0.89004675852802118</v>
      </c>
      <c r="O52" s="165">
        <f t="shared" si="1"/>
        <v>0.44</v>
      </c>
      <c r="P52" s="18"/>
      <c r="Q52" s="27"/>
      <c r="R52" s="27"/>
      <c r="S52" s="18"/>
      <c r="T52" s="18"/>
      <c r="U52" s="18"/>
      <c r="V52" s="18"/>
      <c r="W52" s="18"/>
      <c r="X52" s="18"/>
    </row>
    <row r="53" spans="1:24">
      <c r="A53" s="379" t="s">
        <v>2</v>
      </c>
      <c r="B53" s="633" t="s">
        <v>28</v>
      </c>
      <c r="C53" s="260">
        <v>0.08</v>
      </c>
      <c r="D53" s="58" t="s">
        <v>1810</v>
      </c>
      <c r="E53" s="379" t="s">
        <v>1</v>
      </c>
      <c r="F53" s="633" t="s">
        <v>3</v>
      </c>
      <c r="G53" s="15">
        <v>20</v>
      </c>
      <c r="H53" s="614" t="s">
        <v>1810</v>
      </c>
      <c r="M53" s="558">
        <f t="shared" si="2"/>
        <v>51</v>
      </c>
      <c r="N53" s="15">
        <f t="shared" si="0"/>
        <v>0.8894650404637634</v>
      </c>
      <c r="O53" s="165">
        <f t="shared" si="1"/>
        <v>0.44</v>
      </c>
      <c r="P53" s="18"/>
      <c r="Q53" s="27"/>
      <c r="R53" s="27"/>
      <c r="S53" s="18"/>
      <c r="T53" s="18"/>
      <c r="U53" s="18"/>
      <c r="V53" s="18"/>
      <c r="W53" s="18"/>
      <c r="X53" s="18"/>
    </row>
    <row r="54" spans="1:24">
      <c r="A54" s="379" t="s">
        <v>1870</v>
      </c>
      <c r="B54" s="633" t="s">
        <v>1896</v>
      </c>
      <c r="C54" s="260">
        <v>0.03</v>
      </c>
      <c r="D54" s="58" t="s">
        <v>1810</v>
      </c>
      <c r="E54" s="379" t="s">
        <v>2</v>
      </c>
      <c r="F54" s="633" t="s">
        <v>28</v>
      </c>
      <c r="G54" s="260">
        <v>0.08</v>
      </c>
      <c r="H54" s="614" t="s">
        <v>1810</v>
      </c>
      <c r="M54" s="558">
        <f t="shared" si="2"/>
        <v>52</v>
      </c>
      <c r="N54" s="15">
        <f t="shared" si="0"/>
        <v>0.88888398794390744</v>
      </c>
      <c r="O54" s="165">
        <f t="shared" si="1"/>
        <v>0.44</v>
      </c>
      <c r="P54" s="18"/>
      <c r="Q54" s="27"/>
      <c r="R54" s="27"/>
      <c r="S54" s="18"/>
      <c r="T54" s="18"/>
      <c r="U54" s="18"/>
      <c r="V54" s="18"/>
      <c r="W54" s="18"/>
      <c r="X54" s="18"/>
    </row>
    <row r="55" spans="1:24">
      <c r="A55" s="379" t="s">
        <v>1883</v>
      </c>
      <c r="B55" s="633" t="s">
        <v>28</v>
      </c>
      <c r="C55" s="260">
        <f>5000/8760</f>
        <v>0.57077625570776258</v>
      </c>
      <c r="D55" s="614"/>
      <c r="E55" s="379" t="s">
        <v>1870</v>
      </c>
      <c r="F55" s="633" t="s">
        <v>1896</v>
      </c>
      <c r="G55" s="260">
        <v>0.04</v>
      </c>
      <c r="H55" s="614" t="s">
        <v>1810</v>
      </c>
      <c r="M55" s="558">
        <f t="shared" si="2"/>
        <v>53</v>
      </c>
      <c r="N55" s="15">
        <f t="shared" si="0"/>
        <v>0.88830360013324783</v>
      </c>
      <c r="O55" s="165">
        <f t="shared" si="1"/>
        <v>0.44</v>
      </c>
      <c r="P55" s="18"/>
      <c r="Q55" s="27"/>
      <c r="R55" s="27"/>
      <c r="S55" s="18"/>
      <c r="T55" s="18"/>
      <c r="U55" s="18"/>
      <c r="V55" s="18"/>
      <c r="W55" s="18"/>
      <c r="X55" s="18"/>
    </row>
    <row r="56" spans="1:24">
      <c r="A56" s="379" t="s">
        <v>2018</v>
      </c>
      <c r="B56" s="633" t="s">
        <v>1886</v>
      </c>
      <c r="C56" s="15">
        <f>(-PMT(C53,C52,1)+C54)*C51*1000000/8760/C55+C49*C50</f>
        <v>2914.7357423713765</v>
      </c>
      <c r="D56" s="614"/>
      <c r="E56" s="379" t="s">
        <v>1883</v>
      </c>
      <c r="F56" s="633" t="s">
        <v>28</v>
      </c>
      <c r="G56" s="260">
        <f>5000/8760</f>
        <v>0.57077625570776258</v>
      </c>
      <c r="H56" s="614"/>
      <c r="M56" s="558">
        <f t="shared" si="2"/>
        <v>54</v>
      </c>
      <c r="N56" s="15">
        <f t="shared" si="0"/>
        <v>0.88772387619762694</v>
      </c>
      <c r="O56" s="165">
        <f t="shared" si="1"/>
        <v>0.44</v>
      </c>
      <c r="P56" s="18"/>
      <c r="Q56" s="27"/>
      <c r="R56" s="27"/>
      <c r="S56" s="18"/>
      <c r="T56" s="18"/>
      <c r="U56" s="18"/>
      <c r="V56" s="18"/>
      <c r="W56" s="18"/>
      <c r="X56" s="18"/>
    </row>
    <row r="57" spans="1:24">
      <c r="A57" s="379" t="s">
        <v>2106</v>
      </c>
      <c r="B57" s="633" t="s">
        <v>2107</v>
      </c>
      <c r="C57" s="15">
        <f>C56/'Eingabe Stoffparameter'!C7/1000</f>
        <v>8.7476061812354775E-2</v>
      </c>
      <c r="D57" s="614"/>
      <c r="E57" s="379" t="s">
        <v>2087</v>
      </c>
      <c r="F57" s="633" t="s">
        <v>1942</v>
      </c>
      <c r="G57" s="260">
        <f>(-PMT(G54,G53,1)+G55)*G52*1000000/8760/G56+G48*G49+G50*G51</f>
        <v>142.50147361205805</v>
      </c>
      <c r="H57" s="614"/>
      <c r="M57" s="558">
        <f t="shared" si="2"/>
        <v>55</v>
      </c>
      <c r="N57" s="15">
        <f t="shared" si="0"/>
        <v>0.88714481530393674</v>
      </c>
      <c r="O57" s="165">
        <f t="shared" si="1"/>
        <v>0.44</v>
      </c>
      <c r="P57" s="18"/>
      <c r="Q57" s="27"/>
      <c r="R57" s="27"/>
      <c r="S57" s="18"/>
      <c r="T57" s="18"/>
      <c r="U57" s="18"/>
      <c r="V57" s="18"/>
      <c r="W57" s="18"/>
      <c r="X57" s="18"/>
    </row>
    <row r="58" spans="1:24">
      <c r="A58" s="667" t="s">
        <v>2143</v>
      </c>
      <c r="B58" s="824" t="s">
        <v>2104</v>
      </c>
      <c r="C58" s="824"/>
      <c r="D58" s="824"/>
      <c r="E58" s="824" t="s">
        <v>2143</v>
      </c>
      <c r="F58" s="824" t="s">
        <v>2009</v>
      </c>
      <c r="G58" s="824"/>
      <c r="H58" s="825"/>
      <c r="M58" s="558">
        <f t="shared" si="2"/>
        <v>56</v>
      </c>
      <c r="N58" s="15">
        <f t="shared" si="0"/>
        <v>0.88656641662011193</v>
      </c>
      <c r="O58" s="165">
        <f t="shared" si="1"/>
        <v>0.44</v>
      </c>
      <c r="P58" s="18"/>
      <c r="Q58" s="27"/>
      <c r="R58" s="27"/>
      <c r="S58" s="18"/>
      <c r="T58" s="18"/>
      <c r="U58" s="18"/>
      <c r="V58" s="18"/>
      <c r="W58" s="18"/>
      <c r="X58" s="18"/>
    </row>
    <row r="59" spans="1:24">
      <c r="M59" s="558">
        <f t="shared" si="2"/>
        <v>57</v>
      </c>
      <c r="N59" s="15">
        <f t="shared" si="0"/>
        <v>0.88598867931513225</v>
      </c>
      <c r="O59" s="165">
        <f t="shared" si="1"/>
        <v>0.44</v>
      </c>
      <c r="P59" s="18"/>
      <c r="Q59" s="27"/>
      <c r="R59" s="27"/>
      <c r="S59" s="18"/>
      <c r="T59" s="18"/>
      <c r="U59" s="18"/>
      <c r="V59" s="18"/>
      <c r="W59" s="18"/>
      <c r="X59" s="18"/>
    </row>
    <row r="60" spans="1:24">
      <c r="A60" s="628" t="s">
        <v>2041</v>
      </c>
      <c r="B60" s="637" t="s">
        <v>1768</v>
      </c>
      <c r="C60" s="637" t="s">
        <v>2379</v>
      </c>
      <c r="D60" s="540" t="s">
        <v>2377</v>
      </c>
      <c r="M60" s="558">
        <f t="shared" si="2"/>
        <v>58</v>
      </c>
      <c r="N60" s="15">
        <f t="shared" si="0"/>
        <v>0.88541160255901974</v>
      </c>
      <c r="O60" s="165">
        <f t="shared" si="1"/>
        <v>0.44</v>
      </c>
      <c r="P60" s="18"/>
      <c r="Q60" s="27"/>
      <c r="R60" s="27"/>
      <c r="S60" s="18"/>
      <c r="T60" s="18"/>
      <c r="U60" s="18"/>
      <c r="V60" s="18"/>
      <c r="W60" s="18"/>
      <c r="X60" s="18"/>
    </row>
    <row r="61" spans="1:24">
      <c r="A61" s="379" t="s">
        <v>1998</v>
      </c>
      <c r="B61" s="633" t="s">
        <v>1892</v>
      </c>
      <c r="C61" s="257">
        <v>60</v>
      </c>
      <c r="D61" s="614" t="s">
        <v>1921</v>
      </c>
      <c r="E61" t="s">
        <v>2284</v>
      </c>
      <c r="M61" s="558">
        <f t="shared" si="2"/>
        <v>59</v>
      </c>
      <c r="N61" s="15">
        <f t="shared" si="0"/>
        <v>0.88483518552284013</v>
      </c>
      <c r="O61" s="165">
        <f t="shared" si="1"/>
        <v>0.44</v>
      </c>
      <c r="P61" s="18"/>
      <c r="Q61" s="27"/>
      <c r="R61" s="27"/>
      <c r="S61" s="18"/>
      <c r="T61" s="18"/>
      <c r="U61" s="18"/>
      <c r="V61" s="18"/>
      <c r="W61" s="18"/>
      <c r="X61" s="18"/>
    </row>
    <row r="62" spans="1:24">
      <c r="A62" s="379" t="s">
        <v>1905</v>
      </c>
      <c r="B62" s="633" t="s">
        <v>10</v>
      </c>
      <c r="C62" s="15">
        <v>4.4999999999999998E-2</v>
      </c>
      <c r="D62" s="614"/>
      <c r="M62" s="558">
        <f t="shared" si="2"/>
        <v>60</v>
      </c>
      <c r="N62" s="15">
        <f t="shared" si="0"/>
        <v>0.88425942737869689</v>
      </c>
      <c r="O62" s="165">
        <f t="shared" si="1"/>
        <v>0.44</v>
      </c>
      <c r="P62" s="18"/>
      <c r="Q62" s="27"/>
      <c r="R62" s="27"/>
      <c r="S62" s="18"/>
      <c r="T62" s="18"/>
      <c r="U62" s="18"/>
      <c r="V62" s="18"/>
      <c r="W62" s="18"/>
      <c r="X62" s="18"/>
    </row>
    <row r="63" spans="1:24">
      <c r="A63" s="379" t="s">
        <v>1893</v>
      </c>
      <c r="B63" s="633" t="s">
        <v>1895</v>
      </c>
      <c r="C63" s="15">
        <f>55/C70</f>
        <v>1.8803418803418803</v>
      </c>
      <c r="D63" s="614" t="s">
        <v>1894</v>
      </c>
      <c r="E63" t="s">
        <v>2284</v>
      </c>
      <c r="K63" s="2"/>
      <c r="M63" s="558">
        <f t="shared" si="2"/>
        <v>61</v>
      </c>
      <c r="N63" s="15">
        <f t="shared" si="0"/>
        <v>0.88368432729973301</v>
      </c>
      <c r="O63" s="165">
        <f t="shared" si="1"/>
        <v>0.44</v>
      </c>
      <c r="P63" s="18"/>
      <c r="Q63" s="27"/>
      <c r="R63" s="27"/>
      <c r="S63" s="18"/>
      <c r="T63" s="18"/>
      <c r="U63" s="18"/>
      <c r="V63" s="18"/>
      <c r="W63" s="18"/>
      <c r="X63" s="18"/>
    </row>
    <row r="64" spans="1:24">
      <c r="A64" s="379" t="s">
        <v>1</v>
      </c>
      <c r="B64" s="633" t="s">
        <v>3</v>
      </c>
      <c r="C64" s="15">
        <v>20</v>
      </c>
      <c r="D64" s="614" t="s">
        <v>1810</v>
      </c>
      <c r="M64" s="558">
        <f t="shared" si="2"/>
        <v>62</v>
      </c>
      <c r="N64" s="15">
        <f t="shared" si="0"/>
        <v>0.88310988446013094</v>
      </c>
      <c r="O64" s="165">
        <f t="shared" si="1"/>
        <v>0.44</v>
      </c>
      <c r="P64" s="18"/>
      <c r="Q64" s="27"/>
      <c r="R64" s="27"/>
      <c r="S64" s="18"/>
      <c r="T64" s="18"/>
      <c r="U64" s="18"/>
      <c r="V64" s="18"/>
      <c r="W64" s="18"/>
      <c r="X64" s="18"/>
    </row>
    <row r="65" spans="1:24">
      <c r="A65" s="379" t="s">
        <v>2</v>
      </c>
      <c r="B65" s="633" t="s">
        <v>28</v>
      </c>
      <c r="C65" s="15">
        <v>0.08</v>
      </c>
      <c r="D65" s="614" t="s">
        <v>1810</v>
      </c>
      <c r="M65" s="558">
        <f t="shared" si="2"/>
        <v>63</v>
      </c>
      <c r="N65" s="15">
        <f t="shared" si="0"/>
        <v>0.88253609803510713</v>
      </c>
      <c r="O65" s="165">
        <f t="shared" si="1"/>
        <v>0.44</v>
      </c>
      <c r="P65" s="18"/>
      <c r="Q65" s="27"/>
      <c r="R65" s="27"/>
      <c r="S65" s="18"/>
      <c r="T65" s="18"/>
      <c r="U65" s="18"/>
      <c r="V65" s="18"/>
      <c r="W65" s="18"/>
      <c r="X65" s="18"/>
    </row>
    <row r="66" spans="1:24">
      <c r="A66" s="379" t="s">
        <v>1870</v>
      </c>
      <c r="B66" s="633" t="s">
        <v>1896</v>
      </c>
      <c r="C66" s="15">
        <v>0.03</v>
      </c>
      <c r="D66" s="614" t="s">
        <v>1810</v>
      </c>
      <c r="M66" s="558">
        <f t="shared" si="2"/>
        <v>64</v>
      </c>
      <c r="N66" s="15">
        <f t="shared" si="0"/>
        <v>0.88196296720091338</v>
      </c>
      <c r="O66" s="165">
        <f t="shared" si="1"/>
        <v>0.44</v>
      </c>
      <c r="P66" s="18"/>
      <c r="Q66" s="27"/>
      <c r="R66" s="27"/>
      <c r="S66" s="18"/>
      <c r="T66" s="18"/>
      <c r="U66" s="18"/>
      <c r="V66" s="18"/>
      <c r="W66" s="18"/>
      <c r="X66" s="18"/>
    </row>
    <row r="67" spans="1:24">
      <c r="A67" s="379" t="s">
        <v>1897</v>
      </c>
      <c r="B67" s="633" t="s">
        <v>1898</v>
      </c>
      <c r="C67" s="15">
        <v>30000</v>
      </c>
      <c r="D67" s="614" t="s">
        <v>1894</v>
      </c>
      <c r="E67" t="s">
        <v>2284</v>
      </c>
      <c r="M67" s="558">
        <f t="shared" si="2"/>
        <v>65</v>
      </c>
      <c r="N67" s="15">
        <f t="shared" si="0"/>
        <v>0.88139049113483736</v>
      </c>
      <c r="O67" s="165">
        <f t="shared" si="1"/>
        <v>0.44</v>
      </c>
      <c r="P67" s="18"/>
      <c r="Q67" s="27"/>
      <c r="R67" s="27"/>
      <c r="S67" s="18"/>
      <c r="T67" s="18"/>
      <c r="U67" s="18"/>
      <c r="V67" s="18"/>
      <c r="W67" s="18"/>
      <c r="X67" s="18"/>
    </row>
    <row r="68" spans="1:24">
      <c r="A68" s="379" t="s">
        <v>1899</v>
      </c>
      <c r="B68" s="633" t="s">
        <v>1901</v>
      </c>
      <c r="C68" s="15">
        <v>0.78</v>
      </c>
      <c r="D68" s="614" t="s">
        <v>1902</v>
      </c>
      <c r="E68" t="s">
        <v>2284</v>
      </c>
      <c r="M68" s="558">
        <f t="shared" si="2"/>
        <v>66</v>
      </c>
      <c r="N68" s="15">
        <f t="shared" ref="N68:N131" si="3">IF(M68&lt;$B$31+1,$B$32+$B$33/$B$31*(8760-M68)+$B$34*IF(M68&lt;$B$36-$B$31/(2*$B$35),1,IF(M68&lt;$B$36+$B$31/(2*$B$35),COS(PI()/2*(M68-($B$36-$B$31/(2*$B$35)))*$B$35/$B$31)^2,0))+$B$37*EXP((8760-M68)/8760*$B$38)/EXP($B$38)-(8760-$B$31)*$B$33/$B$31,0)</f>
        <v>0.88081866901519701</v>
      </c>
      <c r="O68" s="165">
        <f t="shared" ref="O68:O131" si="4">MIN(N68,C$24)</f>
        <v>0.44</v>
      </c>
      <c r="P68" s="18"/>
      <c r="Q68" s="27"/>
      <c r="R68" s="27"/>
      <c r="S68" s="18"/>
      <c r="T68" s="18"/>
      <c r="U68" s="18"/>
      <c r="V68" s="18"/>
      <c r="W68" s="18"/>
      <c r="X68" s="18"/>
    </row>
    <row r="69" spans="1:24">
      <c r="A69" s="379" t="s">
        <v>1910</v>
      </c>
      <c r="B69" s="633" t="s">
        <v>1748</v>
      </c>
      <c r="C69" s="15">
        <v>1.25</v>
      </c>
      <c r="D69" s="614" t="s">
        <v>1900</v>
      </c>
      <c r="E69" t="s">
        <v>2284</v>
      </c>
      <c r="M69" s="558">
        <f t="shared" ref="M69:M132" si="5">M68+1</f>
        <v>67</v>
      </c>
      <c r="N69" s="15">
        <f t="shared" si="3"/>
        <v>0.88024750002134189</v>
      </c>
      <c r="O69" s="165">
        <f t="shared" si="4"/>
        <v>0.44</v>
      </c>
      <c r="P69" s="18"/>
      <c r="Q69" s="27"/>
      <c r="R69" s="27"/>
      <c r="S69" s="18"/>
      <c r="T69" s="18"/>
      <c r="U69" s="18"/>
      <c r="V69" s="18"/>
      <c r="W69" s="18"/>
      <c r="X69" s="18"/>
    </row>
    <row r="70" spans="1:24">
      <c r="A70" s="379" t="s">
        <v>1906</v>
      </c>
      <c r="B70" s="633" t="s">
        <v>1907</v>
      </c>
      <c r="C70" s="15">
        <f>C67*C68*C69/1000</f>
        <v>29.25</v>
      </c>
      <c r="D70" s="614"/>
      <c r="M70" s="558">
        <f t="shared" si="5"/>
        <v>68</v>
      </c>
      <c r="N70" s="15">
        <f t="shared" si="3"/>
        <v>0.87967698333365174</v>
      </c>
      <c r="O70" s="165">
        <f t="shared" si="4"/>
        <v>0.44</v>
      </c>
      <c r="P70" s="18"/>
      <c r="Q70" s="27"/>
      <c r="R70" s="27"/>
      <c r="S70" s="18"/>
      <c r="T70" s="18"/>
      <c r="U70" s="18"/>
      <c r="V70" s="18"/>
      <c r="W70" s="18"/>
      <c r="X70" s="18"/>
    </row>
    <row r="71" spans="1:24">
      <c r="A71" s="379" t="s">
        <v>1883</v>
      </c>
      <c r="B71" s="633" t="s">
        <v>28</v>
      </c>
      <c r="C71" s="15">
        <f>5000/8760</f>
        <v>0.57077625570776258</v>
      </c>
      <c r="D71" s="614"/>
      <c r="M71" s="558">
        <f t="shared" si="5"/>
        <v>69</v>
      </c>
      <c r="N71" s="15">
        <f t="shared" si="3"/>
        <v>0.8791071181335337</v>
      </c>
      <c r="O71" s="165">
        <f t="shared" si="4"/>
        <v>0.44</v>
      </c>
      <c r="P71" s="18"/>
      <c r="Q71" s="27"/>
      <c r="R71" s="27"/>
      <c r="S71" s="18"/>
      <c r="T71" s="18"/>
      <c r="U71" s="18"/>
      <c r="V71" s="18"/>
      <c r="W71" s="18"/>
      <c r="X71" s="18"/>
    </row>
    <row r="72" spans="1:24">
      <c r="A72" s="379" t="s">
        <v>1903</v>
      </c>
      <c r="B72" s="634" t="s">
        <v>1904</v>
      </c>
      <c r="C72" s="60">
        <f>(-PMT(C65,C64,1)+C66)*C63*1000000/8760/C71+C61*C62</f>
        <v>52.285446053150658</v>
      </c>
      <c r="D72" s="613"/>
      <c r="M72" s="558">
        <f t="shared" si="5"/>
        <v>70</v>
      </c>
      <c r="N72" s="15">
        <f t="shared" si="3"/>
        <v>0.8785379036034251</v>
      </c>
      <c r="O72" s="165">
        <f t="shared" si="4"/>
        <v>0.44</v>
      </c>
      <c r="P72" s="18"/>
      <c r="Q72" s="27"/>
      <c r="R72" s="27"/>
      <c r="S72" s="18"/>
      <c r="T72" s="18"/>
      <c r="U72" s="18"/>
      <c r="V72" s="18"/>
      <c r="W72" s="18"/>
      <c r="X72" s="18"/>
    </row>
    <row r="73" spans="1:24">
      <c r="M73" s="558">
        <f t="shared" si="5"/>
        <v>71</v>
      </c>
      <c r="N73" s="15">
        <f t="shared" si="3"/>
        <v>0.87796933892678619</v>
      </c>
      <c r="O73" s="165">
        <f t="shared" si="4"/>
        <v>0.44</v>
      </c>
      <c r="P73" s="18"/>
      <c r="Q73" s="27"/>
      <c r="R73" s="27"/>
      <c r="S73" s="18"/>
      <c r="T73" s="18"/>
      <c r="U73" s="18"/>
      <c r="V73" s="18"/>
      <c r="W73" s="18"/>
      <c r="X73" s="18"/>
    </row>
    <row r="74" spans="1:24">
      <c r="M74" s="558">
        <f t="shared" si="5"/>
        <v>72</v>
      </c>
      <c r="N74" s="15">
        <f t="shared" si="3"/>
        <v>0.87740142328810333</v>
      </c>
      <c r="O74" s="165">
        <f t="shared" si="4"/>
        <v>0.44</v>
      </c>
      <c r="P74" s="18"/>
      <c r="Q74" s="27"/>
      <c r="R74" s="27"/>
      <c r="S74" s="18"/>
      <c r="T74" s="18"/>
      <c r="U74" s="18"/>
      <c r="V74" s="18"/>
      <c r="W74" s="18"/>
      <c r="X74" s="18"/>
    </row>
    <row r="75" spans="1:24">
      <c r="A75" s="629" t="s">
        <v>1931</v>
      </c>
      <c r="D75" s="16"/>
      <c r="M75" s="558">
        <f t="shared" si="5"/>
        <v>73</v>
      </c>
      <c r="N75" s="15">
        <f t="shared" si="3"/>
        <v>0.87683415587288505</v>
      </c>
      <c r="O75" s="165">
        <f t="shared" si="4"/>
        <v>0.44</v>
      </c>
      <c r="P75" s="18"/>
      <c r="Q75" s="27"/>
      <c r="R75" s="27"/>
      <c r="S75" s="18"/>
      <c r="T75" s="18"/>
      <c r="U75" s="18"/>
      <c r="V75" s="18"/>
      <c r="W75" s="18"/>
      <c r="X75" s="18"/>
    </row>
    <row r="76" spans="1:24" ht="15" thickBot="1">
      <c r="A76" s="694"/>
      <c r="B76" s="843" t="s">
        <v>1935</v>
      </c>
      <c r="C76" s="844"/>
      <c r="D76" s="844"/>
      <c r="E76" s="845"/>
      <c r="F76" s="843" t="s">
        <v>1936</v>
      </c>
      <c r="G76" s="844"/>
      <c r="H76" s="844"/>
      <c r="I76" s="845"/>
      <c r="M76" s="558">
        <f t="shared" si="5"/>
        <v>74</v>
      </c>
      <c r="N76" s="15">
        <f t="shared" si="3"/>
        <v>0.87626753586766459</v>
      </c>
      <c r="O76" s="165">
        <f t="shared" si="4"/>
        <v>0.44</v>
      </c>
      <c r="P76" s="18"/>
      <c r="Q76" s="27"/>
      <c r="R76" s="27"/>
      <c r="S76" s="18"/>
      <c r="T76" s="18"/>
      <c r="U76" s="18"/>
      <c r="V76" s="18"/>
      <c r="W76" s="18"/>
      <c r="X76" s="18"/>
    </row>
    <row r="77" spans="1:24" ht="15" thickTop="1">
      <c r="A77" s="378" t="s">
        <v>1932</v>
      </c>
      <c r="B77" s="15">
        <v>1</v>
      </c>
      <c r="C77" s="452">
        <v>3</v>
      </c>
      <c r="D77" s="452">
        <v>5</v>
      </c>
      <c r="E77" s="453">
        <v>7</v>
      </c>
      <c r="F77" s="533">
        <v>1</v>
      </c>
      <c r="G77" s="15">
        <v>3</v>
      </c>
      <c r="H77" s="452">
        <v>5</v>
      </c>
      <c r="I77" s="453">
        <v>7</v>
      </c>
      <c r="M77" s="558">
        <f t="shared" si="5"/>
        <v>75</v>
      </c>
      <c r="N77" s="15">
        <f t="shared" si="3"/>
        <v>0.87570156245999353</v>
      </c>
      <c r="O77" s="165">
        <f t="shared" si="4"/>
        <v>0.44</v>
      </c>
      <c r="P77" s="18"/>
      <c r="Q77" s="27"/>
      <c r="R77" s="27"/>
      <c r="S77" s="18"/>
      <c r="T77" s="18"/>
      <c r="U77" s="18"/>
      <c r="V77" s="18"/>
      <c r="W77" s="18"/>
      <c r="X77" s="18"/>
    </row>
    <row r="78" spans="1:24">
      <c r="A78" s="379" t="s">
        <v>1933</v>
      </c>
      <c r="B78" s="15">
        <f t="shared" ref="B78:I78" si="6">B77</f>
        <v>1</v>
      </c>
      <c r="C78" s="15">
        <f t="shared" si="6"/>
        <v>3</v>
      </c>
      <c r="D78" s="15">
        <f t="shared" si="6"/>
        <v>5</v>
      </c>
      <c r="E78" s="165">
        <f t="shared" si="6"/>
        <v>7</v>
      </c>
      <c r="F78" s="228">
        <f t="shared" si="6"/>
        <v>1</v>
      </c>
      <c r="G78" s="15">
        <f t="shared" si="6"/>
        <v>3</v>
      </c>
      <c r="H78" s="15">
        <f t="shared" si="6"/>
        <v>5</v>
      </c>
      <c r="I78" s="165">
        <f t="shared" si="6"/>
        <v>7</v>
      </c>
      <c r="M78" s="558">
        <f t="shared" si="5"/>
        <v>76</v>
      </c>
      <c r="N78" s="15">
        <f t="shared" si="3"/>
        <v>0.87513623483844338</v>
      </c>
      <c r="O78" s="165">
        <f t="shared" si="4"/>
        <v>0.44</v>
      </c>
      <c r="P78" s="18"/>
      <c r="Q78" s="27"/>
      <c r="R78" s="27"/>
      <c r="S78" s="18"/>
      <c r="T78" s="18"/>
      <c r="U78" s="18"/>
      <c r="V78" s="18"/>
      <c r="W78" s="18"/>
      <c r="X78" s="18"/>
    </row>
    <row r="79" spans="1:24">
      <c r="A79" s="379" t="s">
        <v>1934</v>
      </c>
      <c r="B79" s="640">
        <f t="shared" ref="B79:I79" si="7">B77</f>
        <v>1</v>
      </c>
      <c r="C79" s="15">
        <f t="shared" si="7"/>
        <v>3</v>
      </c>
      <c r="D79" s="15">
        <f t="shared" si="7"/>
        <v>5</v>
      </c>
      <c r="E79" s="165">
        <f t="shared" si="7"/>
        <v>7</v>
      </c>
      <c r="F79" s="228">
        <f t="shared" si="7"/>
        <v>1</v>
      </c>
      <c r="G79" s="15">
        <f t="shared" si="7"/>
        <v>3</v>
      </c>
      <c r="H79" s="15">
        <f t="shared" si="7"/>
        <v>5</v>
      </c>
      <c r="I79" s="165">
        <f t="shared" si="7"/>
        <v>7</v>
      </c>
      <c r="M79" s="558">
        <f t="shared" si="5"/>
        <v>77</v>
      </c>
      <c r="N79" s="15">
        <f t="shared" si="3"/>
        <v>0.87457155219260563</v>
      </c>
      <c r="O79" s="165">
        <f t="shared" si="4"/>
        <v>0.44</v>
      </c>
      <c r="P79" s="18"/>
      <c r="Q79" s="27"/>
      <c r="R79" s="27"/>
      <c r="S79" s="18"/>
      <c r="T79" s="18"/>
      <c r="U79" s="18"/>
      <c r="V79" s="18"/>
      <c r="W79" s="18"/>
      <c r="X79" s="18"/>
    </row>
    <row r="80" spans="1:24">
      <c r="A80" s="379" t="s">
        <v>1937</v>
      </c>
      <c r="B80" s="15">
        <v>2</v>
      </c>
      <c r="C80" s="15">
        <v>2</v>
      </c>
      <c r="D80" s="15">
        <v>2</v>
      </c>
      <c r="E80" s="165">
        <v>2</v>
      </c>
      <c r="F80" s="15">
        <f>2+2</f>
        <v>4</v>
      </c>
      <c r="G80" s="15">
        <f>2+2</f>
        <v>4</v>
      </c>
      <c r="H80" s="15">
        <f>2+2</f>
        <v>4</v>
      </c>
      <c r="I80" s="165">
        <f>2+2</f>
        <v>4</v>
      </c>
      <c r="M80" s="558">
        <f t="shared" si="5"/>
        <v>78</v>
      </c>
      <c r="N80" s="15">
        <f t="shared" si="3"/>
        <v>0.87400751371308705</v>
      </c>
      <c r="O80" s="165">
        <f t="shared" si="4"/>
        <v>0.44</v>
      </c>
      <c r="P80" s="18"/>
      <c r="Q80" s="27"/>
      <c r="R80" s="27"/>
      <c r="S80" s="18"/>
      <c r="T80" s="18"/>
      <c r="U80" s="18"/>
      <c r="V80" s="18"/>
      <c r="W80" s="18"/>
      <c r="X80" s="18"/>
    </row>
    <row r="81" spans="1:24">
      <c r="A81" s="380" t="s">
        <v>1938</v>
      </c>
      <c r="B81" s="60">
        <f t="shared" ref="B81:I81" si="8">B78/(B79+B80)</f>
        <v>0.33333333333333331</v>
      </c>
      <c r="C81" s="60">
        <f t="shared" si="8"/>
        <v>0.6</v>
      </c>
      <c r="D81" s="60">
        <f t="shared" si="8"/>
        <v>0.7142857142857143</v>
      </c>
      <c r="E81" s="61">
        <f t="shared" si="8"/>
        <v>0.77777777777777779</v>
      </c>
      <c r="F81" s="60">
        <f t="shared" si="8"/>
        <v>0.2</v>
      </c>
      <c r="G81" s="60">
        <f t="shared" si="8"/>
        <v>0.42857142857142855</v>
      </c>
      <c r="H81" s="60">
        <f t="shared" si="8"/>
        <v>0.55555555555555558</v>
      </c>
      <c r="I81" s="61">
        <f t="shared" si="8"/>
        <v>0.63636363636363635</v>
      </c>
      <c r="M81" s="558">
        <f t="shared" si="5"/>
        <v>79</v>
      </c>
      <c r="N81" s="15">
        <f t="shared" si="3"/>
        <v>0.87344411859150961</v>
      </c>
      <c r="O81" s="165">
        <f t="shared" si="4"/>
        <v>0.44</v>
      </c>
      <c r="P81" s="18"/>
      <c r="Q81" s="27"/>
      <c r="R81" s="27"/>
      <c r="S81" s="18"/>
      <c r="T81" s="18"/>
      <c r="U81" s="18"/>
      <c r="V81" s="18"/>
      <c r="W81" s="18"/>
      <c r="X81" s="18"/>
    </row>
    <row r="82" spans="1:24">
      <c r="M82" s="558">
        <f t="shared" si="5"/>
        <v>80</v>
      </c>
      <c r="N82" s="15">
        <f t="shared" si="3"/>
        <v>0.87288136602051258</v>
      </c>
      <c r="O82" s="165">
        <f t="shared" si="4"/>
        <v>0.44</v>
      </c>
      <c r="P82" s="18"/>
      <c r="Q82" s="27"/>
      <c r="R82" s="27"/>
      <c r="S82" s="18"/>
      <c r="T82" s="18"/>
      <c r="U82" s="18"/>
      <c r="V82" s="18"/>
      <c r="W82" s="18"/>
      <c r="X82" s="18"/>
    </row>
    <row r="83" spans="1:24">
      <c r="M83" s="558">
        <f t="shared" si="5"/>
        <v>81</v>
      </c>
      <c r="N83" s="15">
        <f t="shared" si="3"/>
        <v>0.87231925519374554</v>
      </c>
      <c r="O83" s="165">
        <f t="shared" si="4"/>
        <v>0.44</v>
      </c>
      <c r="P83" s="18"/>
      <c r="Q83" s="27"/>
      <c r="R83" s="27"/>
      <c r="S83" s="18"/>
      <c r="T83" s="18"/>
      <c r="U83" s="18"/>
      <c r="V83" s="18"/>
      <c r="W83" s="18"/>
      <c r="X83" s="18"/>
    </row>
    <row r="84" spans="1:24">
      <c r="M84" s="558">
        <f t="shared" si="5"/>
        <v>82</v>
      </c>
      <c r="N84" s="15">
        <f t="shared" si="3"/>
        <v>0.87175778530587045</v>
      </c>
      <c r="O84" s="165">
        <f t="shared" si="4"/>
        <v>0.44</v>
      </c>
      <c r="P84" s="18"/>
      <c r="Q84" s="27"/>
      <c r="R84" s="27"/>
      <c r="S84" s="18"/>
      <c r="T84" s="18"/>
      <c r="U84" s="18"/>
      <c r="V84" s="18"/>
      <c r="W84" s="18"/>
      <c r="X84" s="18"/>
    </row>
    <row r="85" spans="1:24">
      <c r="M85" s="558">
        <f t="shared" si="5"/>
        <v>83</v>
      </c>
      <c r="N85" s="15">
        <f t="shared" si="3"/>
        <v>0.87119695555256194</v>
      </c>
      <c r="O85" s="165">
        <f t="shared" si="4"/>
        <v>0.44</v>
      </c>
      <c r="P85" s="18"/>
      <c r="Q85" s="27"/>
      <c r="R85" s="27"/>
      <c r="S85" s="18"/>
      <c r="T85" s="18"/>
      <c r="U85" s="18"/>
      <c r="V85" s="18"/>
      <c r="W85" s="18"/>
      <c r="X85" s="18"/>
    </row>
    <row r="86" spans="1:24">
      <c r="M86" s="558">
        <f t="shared" si="5"/>
        <v>84</v>
      </c>
      <c r="N86" s="15">
        <f t="shared" si="3"/>
        <v>0.87063676513050181</v>
      </c>
      <c r="O86" s="165">
        <f t="shared" si="4"/>
        <v>0.44</v>
      </c>
      <c r="P86" s="18"/>
      <c r="Q86" s="27"/>
      <c r="R86" s="27"/>
      <c r="S86" s="18"/>
      <c r="T86" s="18"/>
      <c r="U86" s="18"/>
      <c r="V86" s="18"/>
      <c r="W86" s="18"/>
      <c r="X86" s="18"/>
    </row>
    <row r="87" spans="1:24">
      <c r="M87" s="558">
        <f t="shared" si="5"/>
        <v>85</v>
      </c>
      <c r="N87" s="15">
        <f t="shared" si="3"/>
        <v>0.87007721323738052</v>
      </c>
      <c r="O87" s="165">
        <f t="shared" si="4"/>
        <v>0.44</v>
      </c>
      <c r="P87" s="18"/>
      <c r="Q87" s="27"/>
      <c r="R87" s="27"/>
      <c r="S87" s="18"/>
      <c r="T87" s="18"/>
      <c r="U87" s="18"/>
      <c r="V87" s="18"/>
      <c r="W87" s="18"/>
      <c r="X87" s="18"/>
    </row>
    <row r="88" spans="1:24">
      <c r="M88" s="558">
        <f t="shared" si="5"/>
        <v>86</v>
      </c>
      <c r="N88" s="15">
        <f t="shared" si="3"/>
        <v>0.86951829907189504</v>
      </c>
      <c r="O88" s="165">
        <f t="shared" si="4"/>
        <v>0.44</v>
      </c>
      <c r="P88" s="18"/>
      <c r="Q88" s="27"/>
      <c r="R88" s="27"/>
      <c r="S88" s="18"/>
      <c r="T88" s="18"/>
      <c r="U88" s="18"/>
      <c r="V88" s="18"/>
      <c r="W88" s="18"/>
      <c r="X88" s="18"/>
    </row>
    <row r="89" spans="1:24">
      <c r="M89" s="558">
        <f t="shared" si="5"/>
        <v>87</v>
      </c>
      <c r="N89" s="15">
        <f t="shared" si="3"/>
        <v>0.86896002183374965</v>
      </c>
      <c r="O89" s="165">
        <f t="shared" si="4"/>
        <v>0.44</v>
      </c>
      <c r="P89" s="18"/>
      <c r="Q89" s="27"/>
      <c r="R89" s="27"/>
      <c r="S89" s="18"/>
      <c r="T89" s="18"/>
      <c r="U89" s="18"/>
      <c r="V89" s="18"/>
      <c r="W89" s="18"/>
      <c r="X89" s="18"/>
    </row>
    <row r="90" spans="1:24">
      <c r="M90" s="558">
        <f t="shared" si="5"/>
        <v>88</v>
      </c>
      <c r="N90" s="15">
        <f t="shared" si="3"/>
        <v>0.86840238072365106</v>
      </c>
      <c r="O90" s="165">
        <f t="shared" si="4"/>
        <v>0.44</v>
      </c>
      <c r="P90" s="18"/>
      <c r="Q90" s="27"/>
      <c r="R90" s="27"/>
      <c r="S90" s="18"/>
      <c r="T90" s="18"/>
      <c r="U90" s="18"/>
      <c r="V90" s="18"/>
      <c r="W90" s="18"/>
      <c r="X90" s="18"/>
    </row>
    <row r="91" spans="1:24">
      <c r="M91" s="558">
        <f t="shared" si="5"/>
        <v>89</v>
      </c>
      <c r="N91" s="15">
        <f t="shared" si="3"/>
        <v>0.86784537494330904</v>
      </c>
      <c r="O91" s="165">
        <f t="shared" si="4"/>
        <v>0.44</v>
      </c>
      <c r="P91" s="18"/>
      <c r="Q91" s="27"/>
      <c r="R91" s="18"/>
      <c r="S91" s="18"/>
      <c r="T91" s="18"/>
      <c r="U91" s="18"/>
      <c r="V91" s="18"/>
      <c r="W91" s="18"/>
      <c r="X91" s="18"/>
    </row>
    <row r="92" spans="1:24">
      <c r="M92" s="558">
        <f t="shared" si="5"/>
        <v>90</v>
      </c>
      <c r="N92" s="15">
        <f t="shared" si="3"/>
        <v>0.86728900369543704</v>
      </c>
      <c r="O92" s="165">
        <f t="shared" si="4"/>
        <v>0.44</v>
      </c>
      <c r="P92" s="18"/>
      <c r="Q92" s="27"/>
      <c r="R92" s="18"/>
      <c r="S92" s="18"/>
      <c r="T92" s="18"/>
      <c r="U92" s="18"/>
      <c r="V92" s="18"/>
      <c r="W92" s="18"/>
      <c r="X92" s="18"/>
    </row>
    <row r="93" spans="1:24">
      <c r="M93" s="558">
        <f t="shared" si="5"/>
        <v>91</v>
      </c>
      <c r="N93" s="15">
        <f t="shared" si="3"/>
        <v>0.86673326618374702</v>
      </c>
      <c r="O93" s="165">
        <f t="shared" si="4"/>
        <v>0.44</v>
      </c>
      <c r="P93" s="18"/>
      <c r="Q93" s="27"/>
      <c r="R93" s="18"/>
      <c r="S93" s="18"/>
      <c r="T93" s="18"/>
      <c r="U93" s="18"/>
      <c r="V93" s="18"/>
      <c r="W93" s="18"/>
      <c r="X93" s="18"/>
    </row>
    <row r="94" spans="1:24">
      <c r="M94" s="558">
        <f t="shared" si="5"/>
        <v>92</v>
      </c>
      <c r="N94" s="15">
        <f t="shared" si="3"/>
        <v>0.86617816161295047</v>
      </c>
      <c r="O94" s="165">
        <f t="shared" si="4"/>
        <v>0.44</v>
      </c>
      <c r="P94" s="18"/>
      <c r="Q94" s="27"/>
      <c r="R94" s="18"/>
      <c r="S94" s="18"/>
      <c r="T94" s="18"/>
      <c r="U94" s="18"/>
      <c r="V94" s="18"/>
      <c r="W94" s="18"/>
      <c r="X94" s="18"/>
    </row>
    <row r="95" spans="1:24">
      <c r="M95" s="558">
        <f t="shared" si="5"/>
        <v>93</v>
      </c>
      <c r="N95" s="15">
        <f t="shared" si="3"/>
        <v>0.86562368918875876</v>
      </c>
      <c r="O95" s="165">
        <f t="shared" si="4"/>
        <v>0.44</v>
      </c>
      <c r="P95" s="18"/>
      <c r="Q95" s="27"/>
      <c r="R95" s="18"/>
      <c r="S95" s="18"/>
      <c r="T95" s="18"/>
      <c r="U95" s="18"/>
      <c r="V95" s="18"/>
      <c r="W95" s="18"/>
      <c r="X95" s="18"/>
    </row>
    <row r="96" spans="1:24">
      <c r="M96" s="558">
        <f t="shared" si="5"/>
        <v>94</v>
      </c>
      <c r="N96" s="15">
        <f t="shared" si="3"/>
        <v>0.86506984811787779</v>
      </c>
      <c r="O96" s="165">
        <f t="shared" si="4"/>
        <v>0.44</v>
      </c>
      <c r="P96" s="18"/>
      <c r="Q96" s="27"/>
      <c r="R96" s="18"/>
      <c r="S96" s="18"/>
      <c r="T96" s="18"/>
      <c r="U96" s="18"/>
      <c r="V96" s="18"/>
      <c r="W96" s="18"/>
      <c r="X96" s="18"/>
    </row>
    <row r="97" spans="13:24">
      <c r="M97" s="558">
        <f t="shared" si="5"/>
        <v>95</v>
      </c>
      <c r="N97" s="15">
        <f t="shared" si="3"/>
        <v>0.86451663760801001</v>
      </c>
      <c r="O97" s="165">
        <f t="shared" si="4"/>
        <v>0.44</v>
      </c>
      <c r="P97" s="18"/>
      <c r="Q97" s="27"/>
      <c r="R97" s="18"/>
      <c r="S97" s="18"/>
      <c r="T97" s="18"/>
      <c r="U97" s="18"/>
      <c r="V97" s="18"/>
      <c r="W97" s="18"/>
      <c r="X97" s="18"/>
    </row>
    <row r="98" spans="13:24">
      <c r="M98" s="558">
        <f t="shared" si="5"/>
        <v>96</v>
      </c>
      <c r="N98" s="15">
        <f t="shared" si="3"/>
        <v>0.86396405686785194</v>
      </c>
      <c r="O98" s="165">
        <f t="shared" si="4"/>
        <v>0.44</v>
      </c>
      <c r="P98" s="18"/>
      <c r="Q98" s="27"/>
      <c r="R98" s="18"/>
      <c r="S98" s="18"/>
      <c r="T98" s="18"/>
      <c r="U98" s="18"/>
      <c r="V98" s="18"/>
      <c r="W98" s="18"/>
      <c r="X98" s="18"/>
    </row>
    <row r="99" spans="13:24">
      <c r="M99" s="558">
        <f t="shared" si="5"/>
        <v>97</v>
      </c>
      <c r="N99" s="15">
        <f t="shared" si="3"/>
        <v>0.86341210510709243</v>
      </c>
      <c r="O99" s="165">
        <f t="shared" si="4"/>
        <v>0.44</v>
      </c>
      <c r="P99" s="18"/>
      <c r="Q99" s="27"/>
      <c r="R99" s="18"/>
      <c r="S99" s="18"/>
      <c r="T99" s="18"/>
      <c r="U99" s="18"/>
      <c r="V99" s="18"/>
      <c r="W99" s="18"/>
      <c r="X99" s="18"/>
    </row>
    <row r="100" spans="13:24">
      <c r="M100" s="558">
        <f t="shared" si="5"/>
        <v>98</v>
      </c>
      <c r="N100" s="15">
        <f t="shared" si="3"/>
        <v>0.86286078153641421</v>
      </c>
      <c r="O100" s="165">
        <f t="shared" si="4"/>
        <v>0.44</v>
      </c>
      <c r="P100" s="18"/>
      <c r="Q100" s="27"/>
      <c r="R100" s="18"/>
      <c r="S100" s="18"/>
      <c r="T100" s="18"/>
      <c r="U100" s="18"/>
      <c r="V100" s="18"/>
      <c r="W100" s="18"/>
      <c r="X100" s="18"/>
    </row>
    <row r="101" spans="13:24">
      <c r="M101" s="558">
        <f t="shared" si="5"/>
        <v>99</v>
      </c>
      <c r="N101" s="15">
        <f t="shared" si="3"/>
        <v>0.86231008536748877</v>
      </c>
      <c r="O101" s="165">
        <f t="shared" si="4"/>
        <v>0.44</v>
      </c>
      <c r="P101" s="18"/>
      <c r="Q101" s="27"/>
      <c r="R101" s="18"/>
      <c r="S101" s="18"/>
      <c r="T101" s="18"/>
      <c r="U101" s="18"/>
      <c r="V101" s="18"/>
      <c r="W101" s="18"/>
      <c r="X101" s="18"/>
    </row>
    <row r="102" spans="13:24">
      <c r="M102" s="558">
        <f t="shared" si="5"/>
        <v>100</v>
      </c>
      <c r="N102" s="15">
        <f t="shared" si="3"/>
        <v>0.86176001581297701</v>
      </c>
      <c r="O102" s="165">
        <f t="shared" si="4"/>
        <v>0.44</v>
      </c>
      <c r="P102" s="18"/>
      <c r="Q102" s="27"/>
      <c r="R102" s="18"/>
      <c r="S102" s="18"/>
      <c r="T102" s="18"/>
      <c r="U102" s="18"/>
      <c r="V102" s="18"/>
      <c r="W102" s="18"/>
      <c r="X102" s="18"/>
    </row>
    <row r="103" spans="13:24">
      <c r="M103" s="558">
        <f t="shared" si="5"/>
        <v>101</v>
      </c>
      <c r="N103" s="15">
        <f t="shared" si="3"/>
        <v>0.86121057208652751</v>
      </c>
      <c r="O103" s="165">
        <f t="shared" si="4"/>
        <v>0.44</v>
      </c>
      <c r="P103" s="18"/>
      <c r="Q103" s="27"/>
      <c r="R103" s="18"/>
      <c r="S103" s="18"/>
      <c r="T103" s="18"/>
      <c r="U103" s="18"/>
      <c r="V103" s="18"/>
      <c r="W103" s="18"/>
      <c r="X103" s="18"/>
    </row>
    <row r="104" spans="13:24">
      <c r="M104" s="558">
        <f t="shared" si="5"/>
        <v>102</v>
      </c>
      <c r="N104" s="15">
        <f t="shared" si="3"/>
        <v>0.86066175340277762</v>
      </c>
      <c r="O104" s="165">
        <f t="shared" si="4"/>
        <v>0.44</v>
      </c>
      <c r="P104" s="18"/>
      <c r="Q104" s="27"/>
      <c r="R104" s="18"/>
      <c r="S104" s="18"/>
      <c r="T104" s="18"/>
      <c r="U104" s="18"/>
      <c r="V104" s="18"/>
      <c r="W104" s="18"/>
      <c r="X104" s="18"/>
    </row>
    <row r="105" spans="13:24">
      <c r="M105" s="558">
        <f t="shared" si="5"/>
        <v>103</v>
      </c>
      <c r="N105" s="15">
        <f t="shared" si="3"/>
        <v>0.86011355897734854</v>
      </c>
      <c r="O105" s="165">
        <f t="shared" si="4"/>
        <v>0.44</v>
      </c>
      <c r="P105" s="18"/>
      <c r="Q105" s="27"/>
      <c r="R105" s="18"/>
      <c r="S105" s="18"/>
      <c r="T105" s="18"/>
      <c r="U105" s="18"/>
      <c r="V105" s="18"/>
      <c r="W105" s="18"/>
      <c r="X105" s="18"/>
    </row>
    <row r="106" spans="13:24">
      <c r="M106" s="558">
        <f t="shared" si="5"/>
        <v>104</v>
      </c>
      <c r="N106" s="15">
        <f t="shared" si="3"/>
        <v>0.85956598802684525</v>
      </c>
      <c r="O106" s="165">
        <f t="shared" si="4"/>
        <v>0.44</v>
      </c>
      <c r="P106" s="18"/>
      <c r="Q106" s="27"/>
      <c r="R106" s="18"/>
      <c r="S106" s="18"/>
      <c r="T106" s="18"/>
      <c r="U106" s="18"/>
      <c r="V106" s="18"/>
      <c r="W106" s="18"/>
      <c r="X106" s="18"/>
    </row>
    <row r="107" spans="13:24">
      <c r="M107" s="558">
        <f t="shared" si="5"/>
        <v>105</v>
      </c>
      <c r="N107" s="15">
        <f t="shared" si="3"/>
        <v>0.85901903976885818</v>
      </c>
      <c r="O107" s="165">
        <f t="shared" si="4"/>
        <v>0.44</v>
      </c>
      <c r="P107" s="18"/>
      <c r="Q107" s="27"/>
      <c r="R107" s="18"/>
      <c r="S107" s="18"/>
      <c r="T107" s="18"/>
      <c r="U107" s="18"/>
      <c r="V107" s="18"/>
      <c r="W107" s="18"/>
      <c r="X107" s="18"/>
    </row>
    <row r="108" spans="13:24">
      <c r="M108" s="558">
        <f t="shared" si="5"/>
        <v>106</v>
      </c>
      <c r="N108" s="15">
        <f t="shared" si="3"/>
        <v>0.85847271342195786</v>
      </c>
      <c r="O108" s="165">
        <f t="shared" si="4"/>
        <v>0.44</v>
      </c>
      <c r="P108" s="18"/>
      <c r="Q108" s="27"/>
      <c r="R108" s="18"/>
      <c r="S108" s="18"/>
      <c r="T108" s="18"/>
      <c r="U108" s="18"/>
      <c r="V108" s="18"/>
      <c r="W108" s="18"/>
      <c r="X108" s="18"/>
    </row>
    <row r="109" spans="13:24">
      <c r="M109" s="558">
        <f t="shared" si="5"/>
        <v>107</v>
      </c>
      <c r="N109" s="15">
        <f t="shared" si="3"/>
        <v>0.85792700820569479</v>
      </c>
      <c r="O109" s="165">
        <f t="shared" si="4"/>
        <v>0.44</v>
      </c>
      <c r="P109" s="18"/>
      <c r="Q109" s="27"/>
      <c r="R109" s="18"/>
      <c r="S109" s="18"/>
      <c r="T109" s="18"/>
      <c r="U109" s="18"/>
      <c r="V109" s="18"/>
      <c r="W109" s="18"/>
      <c r="X109" s="18"/>
    </row>
    <row r="110" spans="13:24">
      <c r="M110" s="558">
        <f t="shared" si="5"/>
        <v>108</v>
      </c>
      <c r="N110" s="15">
        <f t="shared" si="3"/>
        <v>0.85738192334060137</v>
      </c>
      <c r="O110" s="165">
        <f t="shared" si="4"/>
        <v>0.44</v>
      </c>
      <c r="P110" s="18"/>
      <c r="Q110" s="27"/>
      <c r="R110" s="18"/>
      <c r="S110" s="18"/>
      <c r="T110" s="18"/>
      <c r="U110" s="18"/>
      <c r="V110" s="18"/>
      <c r="W110" s="18"/>
      <c r="X110" s="18"/>
    </row>
    <row r="111" spans="13:24">
      <c r="M111" s="558">
        <f t="shared" si="5"/>
        <v>109</v>
      </c>
      <c r="N111" s="15">
        <f t="shared" si="3"/>
        <v>0.85683745804818601</v>
      </c>
      <c r="O111" s="165">
        <f t="shared" si="4"/>
        <v>0.44</v>
      </c>
      <c r="P111" s="18"/>
      <c r="Q111" s="27"/>
      <c r="R111" s="18"/>
      <c r="S111" s="18"/>
      <c r="T111" s="18"/>
      <c r="U111" s="18"/>
      <c r="V111" s="18"/>
      <c r="W111" s="18"/>
      <c r="X111" s="18"/>
    </row>
    <row r="112" spans="13:24">
      <c r="M112" s="558">
        <f t="shared" si="5"/>
        <v>110</v>
      </c>
      <c r="N112" s="15">
        <f t="shared" si="3"/>
        <v>0.85629361155093409</v>
      </c>
      <c r="O112" s="165">
        <f t="shared" si="4"/>
        <v>0.44</v>
      </c>
      <c r="P112" s="18"/>
      <c r="Q112" s="27"/>
      <c r="R112" s="18"/>
      <c r="S112" s="18"/>
      <c r="T112" s="18"/>
      <c r="U112" s="18"/>
      <c r="V112" s="18"/>
      <c r="W112" s="18"/>
      <c r="X112" s="18"/>
    </row>
    <row r="113" spans="13:24">
      <c r="M113" s="558">
        <f t="shared" si="5"/>
        <v>111</v>
      </c>
      <c r="N113" s="15">
        <f t="shared" si="3"/>
        <v>0.85575038307230877</v>
      </c>
      <c r="O113" s="165">
        <f t="shared" si="4"/>
        <v>0.44</v>
      </c>
      <c r="P113" s="18"/>
      <c r="Q113" s="27"/>
      <c r="R113" s="18"/>
      <c r="S113" s="18"/>
      <c r="T113" s="18"/>
      <c r="U113" s="18"/>
      <c r="V113" s="18"/>
      <c r="W113" s="18"/>
      <c r="X113" s="18"/>
    </row>
    <row r="114" spans="13:24">
      <c r="M114" s="558">
        <f t="shared" si="5"/>
        <v>112</v>
      </c>
      <c r="N114" s="15">
        <f t="shared" si="3"/>
        <v>0.85520777183674568</v>
      </c>
      <c r="O114" s="165">
        <f t="shared" si="4"/>
        <v>0.44</v>
      </c>
      <c r="P114" s="18"/>
      <c r="Q114" s="27"/>
      <c r="R114" s="18"/>
      <c r="S114" s="18"/>
      <c r="T114" s="18"/>
      <c r="U114" s="18"/>
      <c r="V114" s="18"/>
      <c r="W114" s="18"/>
      <c r="X114" s="18"/>
    </row>
    <row r="115" spans="13:24">
      <c r="M115" s="558">
        <f t="shared" si="5"/>
        <v>113</v>
      </c>
      <c r="N115" s="15">
        <f t="shared" si="3"/>
        <v>0.85466577706965341</v>
      </c>
      <c r="O115" s="165">
        <f t="shared" si="4"/>
        <v>0.44</v>
      </c>
      <c r="P115" s="18"/>
      <c r="Q115" s="27"/>
      <c r="R115" s="18"/>
      <c r="S115" s="18"/>
      <c r="T115" s="18"/>
      <c r="U115" s="18"/>
      <c r="V115" s="18"/>
      <c r="W115" s="18"/>
      <c r="X115" s="18"/>
    </row>
    <row r="116" spans="13:24">
      <c r="M116" s="558">
        <f t="shared" si="5"/>
        <v>114</v>
      </c>
      <c r="N116" s="15">
        <f t="shared" si="3"/>
        <v>0.85412439799741513</v>
      </c>
      <c r="O116" s="165">
        <f t="shared" si="4"/>
        <v>0.44</v>
      </c>
      <c r="P116" s="18"/>
      <c r="Q116" s="27"/>
      <c r="R116" s="18"/>
      <c r="S116" s="18"/>
      <c r="T116" s="18"/>
      <c r="U116" s="18"/>
      <c r="V116" s="18"/>
      <c r="W116" s="18"/>
      <c r="X116" s="18"/>
    </row>
    <row r="117" spans="13:24">
      <c r="M117" s="558">
        <f t="shared" si="5"/>
        <v>115</v>
      </c>
      <c r="N117" s="15">
        <f t="shared" si="3"/>
        <v>0.85358363384738256</v>
      </c>
      <c r="O117" s="165">
        <f t="shared" si="4"/>
        <v>0.44</v>
      </c>
      <c r="P117" s="18"/>
      <c r="Q117" s="27"/>
      <c r="R117" s="18"/>
      <c r="S117" s="18"/>
      <c r="T117" s="18"/>
      <c r="U117" s="18"/>
      <c r="V117" s="18"/>
      <c r="W117" s="18"/>
      <c r="X117" s="18"/>
    </row>
    <row r="118" spans="13:24">
      <c r="M118" s="558">
        <f t="shared" si="5"/>
        <v>116</v>
      </c>
      <c r="N118" s="15">
        <f t="shared" si="3"/>
        <v>0.85304348384787687</v>
      </c>
      <c r="O118" s="165">
        <f t="shared" si="4"/>
        <v>0.44</v>
      </c>
      <c r="P118" s="18"/>
      <c r="Q118" s="27"/>
      <c r="R118" s="18"/>
      <c r="S118" s="18"/>
      <c r="T118" s="18"/>
      <c r="U118" s="18"/>
      <c r="V118" s="18"/>
      <c r="W118" s="18"/>
      <c r="X118" s="18"/>
    </row>
    <row r="119" spans="13:24">
      <c r="M119" s="558">
        <f t="shared" si="5"/>
        <v>117</v>
      </c>
      <c r="N119" s="15">
        <f t="shared" si="3"/>
        <v>0.85250394722819012</v>
      </c>
      <c r="O119" s="165">
        <f t="shared" si="4"/>
        <v>0.44</v>
      </c>
      <c r="P119" s="18"/>
      <c r="Q119" s="27"/>
      <c r="R119" s="18"/>
      <c r="S119" s="18"/>
      <c r="T119" s="18"/>
      <c r="U119" s="18"/>
      <c r="V119" s="18"/>
      <c r="W119" s="18"/>
      <c r="X119" s="18"/>
    </row>
    <row r="120" spans="13:24">
      <c r="M120" s="558">
        <f t="shared" si="5"/>
        <v>118</v>
      </c>
      <c r="N120" s="15">
        <f t="shared" si="3"/>
        <v>0.85196502321857892</v>
      </c>
      <c r="O120" s="165">
        <f t="shared" si="4"/>
        <v>0.44</v>
      </c>
      <c r="P120" s="18"/>
      <c r="Q120" s="27"/>
      <c r="R120" s="18"/>
      <c r="S120" s="18"/>
      <c r="T120" s="18"/>
      <c r="U120" s="18"/>
      <c r="V120" s="18"/>
      <c r="W120" s="18"/>
      <c r="X120" s="18"/>
    </row>
    <row r="121" spans="13:24">
      <c r="M121" s="558">
        <f t="shared" si="5"/>
        <v>119</v>
      </c>
      <c r="N121" s="15">
        <f t="shared" si="3"/>
        <v>0.85142671105026702</v>
      </c>
      <c r="O121" s="165">
        <f t="shared" si="4"/>
        <v>0.44</v>
      </c>
      <c r="P121" s="18"/>
      <c r="Q121" s="27"/>
      <c r="R121" s="18"/>
      <c r="S121" s="18"/>
      <c r="T121" s="18"/>
      <c r="U121" s="18"/>
      <c r="V121" s="18"/>
      <c r="W121" s="18"/>
      <c r="X121" s="18"/>
    </row>
    <row r="122" spans="13:24">
      <c r="M122" s="558">
        <f t="shared" si="5"/>
        <v>120</v>
      </c>
      <c r="N122" s="15">
        <f t="shared" si="3"/>
        <v>0.85088900995544181</v>
      </c>
      <c r="O122" s="165">
        <f t="shared" si="4"/>
        <v>0.44</v>
      </c>
      <c r="P122" s="18"/>
      <c r="Q122" s="27"/>
      <c r="R122" s="18"/>
      <c r="S122" s="18"/>
      <c r="T122" s="18"/>
      <c r="U122" s="18"/>
      <c r="V122" s="18"/>
      <c r="W122" s="18"/>
      <c r="X122" s="18"/>
    </row>
    <row r="123" spans="13:24">
      <c r="M123" s="558">
        <f t="shared" si="5"/>
        <v>121</v>
      </c>
      <c r="N123" s="15">
        <f t="shared" si="3"/>
        <v>0.8503519191672575</v>
      </c>
      <c r="O123" s="165">
        <f t="shared" si="4"/>
        <v>0.44</v>
      </c>
      <c r="P123" s="18"/>
      <c r="Q123" s="27"/>
      <c r="R123" s="18"/>
      <c r="S123" s="18"/>
      <c r="T123" s="18"/>
      <c r="U123" s="18"/>
      <c r="V123" s="18"/>
      <c r="W123" s="18"/>
      <c r="X123" s="18"/>
    </row>
    <row r="124" spans="13:24">
      <c r="M124" s="558">
        <f t="shared" si="5"/>
        <v>122</v>
      </c>
      <c r="N124" s="15">
        <f t="shared" si="3"/>
        <v>0.84981543791982528</v>
      </c>
      <c r="O124" s="165">
        <f t="shared" si="4"/>
        <v>0.44</v>
      </c>
      <c r="P124" s="18"/>
      <c r="Q124" s="27"/>
      <c r="R124" s="18"/>
      <c r="S124" s="18"/>
      <c r="T124" s="18"/>
      <c r="U124" s="18"/>
      <c r="V124" s="18"/>
      <c r="W124" s="18"/>
      <c r="X124" s="18"/>
    </row>
    <row r="125" spans="13:24">
      <c r="M125" s="558">
        <f t="shared" si="5"/>
        <v>123</v>
      </c>
      <c r="N125" s="15">
        <f t="shared" si="3"/>
        <v>0.84927956544822258</v>
      </c>
      <c r="O125" s="165">
        <f t="shared" si="4"/>
        <v>0.44</v>
      </c>
      <c r="P125" s="18"/>
      <c r="Q125" s="27"/>
      <c r="R125" s="18"/>
      <c r="S125" s="18"/>
      <c r="T125" s="18"/>
      <c r="U125" s="18"/>
      <c r="V125" s="18"/>
      <c r="W125" s="18"/>
      <c r="X125" s="18"/>
    </row>
    <row r="126" spans="13:24">
      <c r="M126" s="558">
        <f t="shared" si="5"/>
        <v>124</v>
      </c>
      <c r="N126" s="15">
        <f t="shared" si="3"/>
        <v>0.84874430098848397</v>
      </c>
      <c r="O126" s="165">
        <f t="shared" si="4"/>
        <v>0.44</v>
      </c>
      <c r="P126" s="18"/>
      <c r="Q126" s="27"/>
      <c r="R126" s="18"/>
      <c r="S126" s="18"/>
      <c r="T126" s="18"/>
      <c r="U126" s="18"/>
      <c r="V126" s="18"/>
      <c r="W126" s="18"/>
      <c r="X126" s="18"/>
    </row>
    <row r="127" spans="13:24">
      <c r="M127" s="558">
        <f t="shared" si="5"/>
        <v>125</v>
      </c>
      <c r="N127" s="15">
        <f t="shared" si="3"/>
        <v>0.84820964377760277</v>
      </c>
      <c r="O127" s="165">
        <f t="shared" si="4"/>
        <v>0.44</v>
      </c>
      <c r="P127" s="18"/>
      <c r="Q127" s="27"/>
      <c r="R127" s="18"/>
      <c r="S127" s="18"/>
      <c r="T127" s="18"/>
      <c r="U127" s="18"/>
      <c r="V127" s="18"/>
      <c r="W127" s="18"/>
      <c r="X127" s="18"/>
    </row>
    <row r="128" spans="13:24">
      <c r="M128" s="558">
        <f t="shared" si="5"/>
        <v>126</v>
      </c>
      <c r="N128" s="15">
        <f t="shared" si="3"/>
        <v>0.84767559305353168</v>
      </c>
      <c r="O128" s="165">
        <f t="shared" si="4"/>
        <v>0.44</v>
      </c>
      <c r="P128" s="18"/>
      <c r="Q128" s="27"/>
      <c r="R128" s="18"/>
      <c r="S128" s="18"/>
      <c r="T128" s="18"/>
      <c r="U128" s="18"/>
      <c r="V128" s="18"/>
      <c r="W128" s="18"/>
      <c r="X128" s="18"/>
    </row>
    <row r="129" spans="13:24">
      <c r="M129" s="558">
        <f t="shared" si="5"/>
        <v>127</v>
      </c>
      <c r="N129" s="15">
        <f t="shared" si="3"/>
        <v>0.84714214805517773</v>
      </c>
      <c r="O129" s="165">
        <f t="shared" si="4"/>
        <v>0.44</v>
      </c>
      <c r="P129" s="18"/>
      <c r="Q129" s="27"/>
      <c r="R129" s="18"/>
      <c r="S129" s="18"/>
      <c r="T129" s="18"/>
      <c r="U129" s="18"/>
      <c r="V129" s="18"/>
      <c r="W129" s="18"/>
      <c r="X129" s="18"/>
    </row>
    <row r="130" spans="13:24">
      <c r="M130" s="558">
        <f t="shared" si="5"/>
        <v>128</v>
      </c>
      <c r="N130" s="15">
        <f t="shared" si="3"/>
        <v>0.84660930802240331</v>
      </c>
      <c r="O130" s="165">
        <f t="shared" si="4"/>
        <v>0.44</v>
      </c>
      <c r="P130" s="18"/>
      <c r="Q130" s="27"/>
      <c r="R130" s="18"/>
      <c r="S130" s="18"/>
      <c r="T130" s="18"/>
      <c r="U130" s="18"/>
      <c r="V130" s="18"/>
      <c r="W130" s="18"/>
      <c r="X130" s="18"/>
    </row>
    <row r="131" spans="13:24">
      <c r="M131" s="558">
        <f t="shared" si="5"/>
        <v>129</v>
      </c>
      <c r="N131" s="15">
        <f t="shared" si="3"/>
        <v>0.84607707219602646</v>
      </c>
      <c r="O131" s="165">
        <f t="shared" si="4"/>
        <v>0.44</v>
      </c>
      <c r="P131" s="18"/>
      <c r="Q131" s="27"/>
      <c r="R131" s="18"/>
      <c r="S131" s="18"/>
      <c r="T131" s="18"/>
      <c r="U131" s="18"/>
      <c r="V131" s="18"/>
      <c r="W131" s="18"/>
      <c r="X131" s="18"/>
    </row>
    <row r="132" spans="13:24">
      <c r="M132" s="558">
        <f t="shared" si="5"/>
        <v>130</v>
      </c>
      <c r="N132" s="15">
        <f t="shared" ref="N132:N195" si="9">IF(M132&lt;$B$31+1,$B$32+$B$33/$B$31*(8760-M132)+$B$34*IF(M132&lt;$B$36-$B$31/(2*$B$35),1,IF(M132&lt;$B$36+$B$31/(2*$B$35),COS(PI()/2*(M132-($B$36-$B$31/(2*$B$35)))*$B$35/$B$31)^2,0))+$B$37*EXP((8760-M132)/8760*$B$38)/EXP($B$38)-(8760-$B$31)*$B$33/$B$31,0)</f>
        <v>0.84554543981781605</v>
      </c>
      <c r="O132" s="165">
        <f t="shared" ref="O132:O195" si="10">MIN(N132,C$24)</f>
        <v>0.44</v>
      </c>
      <c r="P132" s="18"/>
      <c r="Q132" s="27"/>
      <c r="R132" s="18"/>
      <c r="S132" s="18"/>
      <c r="T132" s="18"/>
      <c r="U132" s="18"/>
      <c r="V132" s="18"/>
      <c r="W132" s="18"/>
      <c r="X132" s="18"/>
    </row>
    <row r="133" spans="13:24">
      <c r="M133" s="558">
        <f t="shared" ref="M133:M196" si="11">M132+1</f>
        <v>131</v>
      </c>
      <c r="N133" s="15">
        <f t="shared" si="9"/>
        <v>0.84501441013049217</v>
      </c>
      <c r="O133" s="165">
        <f t="shared" si="10"/>
        <v>0.44</v>
      </c>
      <c r="P133" s="18"/>
      <c r="Q133" s="27"/>
      <c r="R133" s="18"/>
      <c r="S133" s="18"/>
      <c r="T133" s="18"/>
      <c r="U133" s="18"/>
      <c r="V133" s="18"/>
      <c r="W133" s="18"/>
      <c r="X133" s="18"/>
    </row>
    <row r="134" spans="13:24">
      <c r="M134" s="558">
        <f t="shared" si="11"/>
        <v>132</v>
      </c>
      <c r="N134" s="15">
        <f t="shared" si="9"/>
        <v>0.84448398237772793</v>
      </c>
      <c r="O134" s="165">
        <f t="shared" si="10"/>
        <v>0.44</v>
      </c>
      <c r="P134" s="18"/>
      <c r="Q134" s="27"/>
      <c r="R134" s="18"/>
      <c r="S134" s="18"/>
      <c r="T134" s="18"/>
      <c r="U134" s="18"/>
      <c r="V134" s="18"/>
      <c r="W134" s="18"/>
      <c r="X134" s="18"/>
    </row>
    <row r="135" spans="13:24">
      <c r="M135" s="558">
        <f t="shared" si="11"/>
        <v>133</v>
      </c>
      <c r="N135" s="15">
        <f t="shared" si="9"/>
        <v>0.84395415580414279</v>
      </c>
      <c r="O135" s="165">
        <f t="shared" si="10"/>
        <v>0.44</v>
      </c>
      <c r="P135" s="18"/>
      <c r="Q135" s="18"/>
      <c r="R135" s="18"/>
      <c r="S135" s="18"/>
      <c r="T135" s="18"/>
      <c r="U135" s="18"/>
      <c r="V135" s="18"/>
      <c r="W135" s="18"/>
      <c r="X135" s="18"/>
    </row>
    <row r="136" spans="13:24">
      <c r="M136" s="558">
        <f t="shared" si="11"/>
        <v>134</v>
      </c>
      <c r="N136" s="15">
        <f t="shared" si="9"/>
        <v>0.84342492965530524</v>
      </c>
      <c r="O136" s="165">
        <f t="shared" si="10"/>
        <v>0.44</v>
      </c>
      <c r="P136" s="18"/>
      <c r="Q136" s="18"/>
      <c r="R136" s="18"/>
      <c r="S136" s="18"/>
      <c r="T136" s="18"/>
      <c r="U136" s="18"/>
      <c r="V136" s="18"/>
      <c r="W136" s="18"/>
      <c r="X136" s="18"/>
    </row>
    <row r="137" spans="13:24">
      <c r="M137" s="558">
        <f t="shared" si="11"/>
        <v>135</v>
      </c>
      <c r="N137" s="15">
        <f t="shared" si="9"/>
        <v>0.84289630317772968</v>
      </c>
      <c r="O137" s="165">
        <f t="shared" si="10"/>
        <v>0.44</v>
      </c>
      <c r="P137" s="18"/>
      <c r="Q137" s="18"/>
      <c r="R137" s="18"/>
      <c r="S137" s="18"/>
      <c r="T137" s="18"/>
      <c r="U137" s="18"/>
      <c r="V137" s="18"/>
      <c r="W137" s="18"/>
      <c r="X137" s="18"/>
    </row>
    <row r="138" spans="13:24">
      <c r="M138" s="558">
        <f t="shared" si="11"/>
        <v>136</v>
      </c>
      <c r="N138" s="15">
        <f t="shared" si="9"/>
        <v>0.84236827561887839</v>
      </c>
      <c r="O138" s="165">
        <f t="shared" si="10"/>
        <v>0.44</v>
      </c>
      <c r="P138" s="18"/>
      <c r="Q138" s="18"/>
      <c r="R138" s="18"/>
      <c r="S138" s="18"/>
      <c r="T138" s="18"/>
      <c r="U138" s="18"/>
      <c r="V138" s="18"/>
      <c r="W138" s="18"/>
      <c r="X138" s="18"/>
    </row>
    <row r="139" spans="13:24">
      <c r="M139" s="558">
        <f t="shared" si="11"/>
        <v>137</v>
      </c>
      <c r="N139" s="15">
        <f t="shared" si="9"/>
        <v>0.84184084622715571</v>
      </c>
      <c r="O139" s="165">
        <f t="shared" si="10"/>
        <v>0.44</v>
      </c>
      <c r="P139" s="18"/>
      <c r="Q139" s="18"/>
      <c r="R139" s="18"/>
      <c r="S139" s="18"/>
      <c r="T139" s="18"/>
      <c r="U139" s="18"/>
      <c r="V139" s="18"/>
      <c r="W139" s="18"/>
      <c r="X139" s="18"/>
    </row>
    <row r="140" spans="13:24">
      <c r="M140" s="558">
        <f t="shared" si="11"/>
        <v>138</v>
      </c>
      <c r="N140" s="15">
        <f t="shared" si="9"/>
        <v>0.84131401425190921</v>
      </c>
      <c r="O140" s="165">
        <f t="shared" si="10"/>
        <v>0.44</v>
      </c>
      <c r="P140" s="18"/>
      <c r="Q140" s="18"/>
      <c r="R140" s="18"/>
      <c r="S140" s="18"/>
      <c r="T140" s="18"/>
      <c r="U140" s="18"/>
      <c r="V140" s="18"/>
      <c r="W140" s="18"/>
      <c r="X140" s="18"/>
    </row>
    <row r="141" spans="13:24">
      <c r="M141" s="558">
        <f t="shared" si="11"/>
        <v>139</v>
      </c>
      <c r="N141" s="15">
        <f t="shared" si="9"/>
        <v>0.8407877789434306</v>
      </c>
      <c r="O141" s="165">
        <f t="shared" si="10"/>
        <v>0.44</v>
      </c>
      <c r="P141" s="18"/>
      <c r="Q141" s="18"/>
      <c r="R141" s="18"/>
      <c r="S141" s="18"/>
      <c r="T141" s="18"/>
      <c r="U141" s="18"/>
      <c r="V141" s="18"/>
      <c r="W141" s="18"/>
      <c r="X141" s="18"/>
    </row>
    <row r="142" spans="13:24">
      <c r="M142" s="558">
        <f t="shared" si="11"/>
        <v>140</v>
      </c>
      <c r="N142" s="15">
        <f t="shared" si="9"/>
        <v>0.84026213955295026</v>
      </c>
      <c r="O142" s="165">
        <f t="shared" si="10"/>
        <v>0.44</v>
      </c>
      <c r="P142" s="18"/>
      <c r="Q142" s="18"/>
      <c r="R142" s="18"/>
      <c r="S142" s="18"/>
      <c r="T142" s="18"/>
      <c r="U142" s="18"/>
      <c r="V142" s="18"/>
      <c r="W142" s="18"/>
      <c r="X142" s="18"/>
    </row>
    <row r="143" spans="13:24">
      <c r="M143" s="558">
        <f t="shared" si="11"/>
        <v>141</v>
      </c>
      <c r="N143" s="15">
        <f t="shared" si="9"/>
        <v>0.83973709533263841</v>
      </c>
      <c r="O143" s="165">
        <f t="shared" si="10"/>
        <v>0.44</v>
      </c>
      <c r="P143" s="18"/>
      <c r="Q143" s="18"/>
      <c r="R143" s="18"/>
      <c r="S143" s="18"/>
      <c r="T143" s="18"/>
      <c r="U143" s="18"/>
      <c r="V143" s="18"/>
      <c r="W143" s="18"/>
      <c r="X143" s="18"/>
    </row>
    <row r="144" spans="13:24">
      <c r="M144" s="558">
        <f t="shared" si="11"/>
        <v>142</v>
      </c>
      <c r="N144" s="15">
        <f t="shared" si="9"/>
        <v>0.83921264553560537</v>
      </c>
      <c r="O144" s="165">
        <f t="shared" si="10"/>
        <v>0.44</v>
      </c>
      <c r="P144" s="18"/>
      <c r="Q144" s="18"/>
      <c r="R144" s="18"/>
      <c r="S144" s="18"/>
      <c r="T144" s="18"/>
      <c r="U144" s="18"/>
      <c r="V144" s="18"/>
      <c r="W144" s="18"/>
      <c r="X144" s="18"/>
    </row>
    <row r="145" spans="13:24">
      <c r="M145" s="558">
        <f t="shared" si="11"/>
        <v>143</v>
      </c>
      <c r="N145" s="15">
        <f t="shared" si="9"/>
        <v>0.8386887894158972</v>
      </c>
      <c r="O145" s="165">
        <f t="shared" si="10"/>
        <v>0.44</v>
      </c>
      <c r="P145" s="18"/>
      <c r="Q145" s="18"/>
      <c r="R145" s="18"/>
      <c r="S145" s="18"/>
      <c r="T145" s="18"/>
      <c r="U145" s="18"/>
      <c r="V145" s="18"/>
      <c r="W145" s="18"/>
      <c r="X145" s="18"/>
    </row>
    <row r="146" spans="13:24">
      <c r="M146" s="558">
        <f t="shared" si="11"/>
        <v>144</v>
      </c>
      <c r="N146" s="15">
        <f t="shared" si="9"/>
        <v>0.83816552622849605</v>
      </c>
      <c r="O146" s="165">
        <f t="shared" si="10"/>
        <v>0.44</v>
      </c>
      <c r="P146" s="18"/>
      <c r="Q146" s="18"/>
      <c r="R146" s="18"/>
      <c r="S146" s="18"/>
      <c r="T146" s="18"/>
      <c r="U146" s="18"/>
      <c r="V146" s="18"/>
      <c r="W146" s="18"/>
      <c r="X146" s="18"/>
    </row>
    <row r="147" spans="13:24">
      <c r="M147" s="558">
        <f t="shared" si="11"/>
        <v>145</v>
      </c>
      <c r="N147" s="15">
        <f t="shared" si="9"/>
        <v>0.83764285522932036</v>
      </c>
      <c r="O147" s="165">
        <f t="shared" si="10"/>
        <v>0.44</v>
      </c>
      <c r="P147" s="18"/>
      <c r="Q147" s="18"/>
      <c r="R147" s="18"/>
      <c r="S147" s="18"/>
      <c r="T147" s="18"/>
      <c r="U147" s="18"/>
      <c r="V147" s="18"/>
      <c r="W147" s="18"/>
      <c r="X147" s="18"/>
    </row>
    <row r="148" spans="13:24">
      <c r="M148" s="558">
        <f t="shared" si="11"/>
        <v>146</v>
      </c>
      <c r="N148" s="15">
        <f t="shared" si="9"/>
        <v>0.83712077567522114</v>
      </c>
      <c r="O148" s="165">
        <f t="shared" si="10"/>
        <v>0.44</v>
      </c>
      <c r="P148" s="18"/>
      <c r="Q148" s="18"/>
      <c r="R148" s="18"/>
      <c r="S148" s="18"/>
      <c r="T148" s="18"/>
      <c r="U148" s="18"/>
      <c r="V148" s="18"/>
      <c r="W148" s="18"/>
      <c r="X148" s="18"/>
    </row>
    <row r="149" spans="13:24">
      <c r="M149" s="558">
        <f t="shared" si="11"/>
        <v>147</v>
      </c>
      <c r="N149" s="15">
        <f t="shared" si="9"/>
        <v>0.83659928682398221</v>
      </c>
      <c r="O149" s="165">
        <f t="shared" si="10"/>
        <v>0.44</v>
      </c>
      <c r="P149" s="18"/>
      <c r="Q149" s="18"/>
      <c r="R149" s="18"/>
      <c r="S149" s="18"/>
      <c r="T149" s="18"/>
      <c r="U149" s="18"/>
      <c r="V149" s="18"/>
      <c r="W149" s="18"/>
      <c r="X149" s="18"/>
    </row>
    <row r="150" spans="13:24">
      <c r="M150" s="558">
        <f t="shared" si="11"/>
        <v>148</v>
      </c>
      <c r="N150" s="15">
        <f t="shared" si="9"/>
        <v>0.83607838793431899</v>
      </c>
      <c r="O150" s="165">
        <f t="shared" si="10"/>
        <v>0.44</v>
      </c>
      <c r="P150" s="18"/>
      <c r="Q150" s="18"/>
      <c r="R150" s="18"/>
      <c r="S150" s="18"/>
      <c r="T150" s="18"/>
      <c r="U150" s="18"/>
      <c r="V150" s="18"/>
      <c r="W150" s="18"/>
      <c r="X150" s="18"/>
    </row>
    <row r="151" spans="13:24">
      <c r="M151" s="558">
        <f t="shared" si="11"/>
        <v>149</v>
      </c>
      <c r="N151" s="15">
        <f t="shared" si="9"/>
        <v>0.83555807826587714</v>
      </c>
      <c r="O151" s="165">
        <f t="shared" si="10"/>
        <v>0.44</v>
      </c>
      <c r="P151" s="18"/>
      <c r="Q151" s="18"/>
      <c r="R151" s="18"/>
      <c r="S151" s="18"/>
      <c r="T151" s="18"/>
      <c r="U151" s="18"/>
      <c r="V151" s="18"/>
      <c r="W151" s="18"/>
      <c r="X151" s="18"/>
    </row>
    <row r="152" spans="13:24">
      <c r="M152" s="558">
        <f t="shared" si="11"/>
        <v>150</v>
      </c>
      <c r="N152" s="15">
        <f t="shared" si="9"/>
        <v>0.83503835707923024</v>
      </c>
      <c r="O152" s="165">
        <f t="shared" si="10"/>
        <v>0.44</v>
      </c>
      <c r="P152" s="18"/>
      <c r="Q152" s="18"/>
      <c r="R152" s="18"/>
      <c r="S152" s="18"/>
      <c r="T152" s="18"/>
      <c r="U152" s="18"/>
      <c r="V152" s="18"/>
      <c r="W152" s="18"/>
      <c r="X152" s="18"/>
    </row>
    <row r="153" spans="13:24">
      <c r="M153" s="558">
        <f t="shared" si="11"/>
        <v>151</v>
      </c>
      <c r="N153" s="15">
        <f t="shared" si="9"/>
        <v>0.83451922363588282</v>
      </c>
      <c r="O153" s="165">
        <f t="shared" si="10"/>
        <v>0.44</v>
      </c>
      <c r="P153" s="18"/>
      <c r="Q153" s="18"/>
      <c r="R153" s="18"/>
      <c r="S153" s="18"/>
      <c r="T153" s="18"/>
      <c r="U153" s="18"/>
      <c r="V153" s="18"/>
      <c r="W153" s="18"/>
      <c r="X153" s="18"/>
    </row>
    <row r="154" spans="13:24">
      <c r="M154" s="558">
        <f t="shared" si="11"/>
        <v>152</v>
      </c>
      <c r="N154" s="15">
        <f t="shared" si="9"/>
        <v>0.83400067719826332</v>
      </c>
      <c r="O154" s="165">
        <f t="shared" si="10"/>
        <v>0.44</v>
      </c>
      <c r="P154" s="18"/>
      <c r="Q154" s="18"/>
      <c r="R154" s="18"/>
      <c r="S154" s="18"/>
      <c r="T154" s="18"/>
      <c r="U154" s="18"/>
      <c r="V154" s="18"/>
      <c r="W154" s="18"/>
      <c r="X154" s="18"/>
    </row>
    <row r="155" spans="13:24">
      <c r="M155" s="558">
        <f t="shared" si="11"/>
        <v>153</v>
      </c>
      <c r="N155" s="15">
        <f t="shared" si="9"/>
        <v>0.83348271702972587</v>
      </c>
      <c r="O155" s="165">
        <f t="shared" si="10"/>
        <v>0.44</v>
      </c>
      <c r="P155" s="18"/>
      <c r="Q155" s="18"/>
      <c r="R155" s="18"/>
      <c r="S155" s="18"/>
      <c r="T155" s="18"/>
      <c r="U155" s="18"/>
      <c r="V155" s="18"/>
      <c r="W155" s="18"/>
      <c r="X155" s="18"/>
    </row>
    <row r="156" spans="13:24">
      <c r="M156" s="558">
        <f t="shared" si="11"/>
        <v>154</v>
      </c>
      <c r="N156" s="15">
        <f t="shared" si="9"/>
        <v>0.83296534239455133</v>
      </c>
      <c r="O156" s="165">
        <f t="shared" si="10"/>
        <v>0.44</v>
      </c>
      <c r="P156" s="18"/>
      <c r="Q156" s="18"/>
      <c r="R156" s="18"/>
      <c r="S156" s="18"/>
      <c r="T156" s="18"/>
      <c r="U156" s="18"/>
      <c r="V156" s="18"/>
      <c r="W156" s="18"/>
      <c r="X156" s="18"/>
    </row>
    <row r="157" spans="13:24">
      <c r="M157" s="558">
        <f t="shared" si="11"/>
        <v>155</v>
      </c>
      <c r="N157" s="15">
        <f t="shared" si="9"/>
        <v>0.8324485525579417</v>
      </c>
      <c r="O157" s="165">
        <f t="shared" si="10"/>
        <v>0.44</v>
      </c>
      <c r="P157" s="18"/>
      <c r="Q157" s="18"/>
      <c r="R157" s="18"/>
      <c r="S157" s="18"/>
      <c r="T157" s="18"/>
      <c r="U157" s="18"/>
      <c r="V157" s="18"/>
      <c r="W157" s="18"/>
      <c r="X157" s="18"/>
    </row>
    <row r="158" spans="13:24">
      <c r="M158" s="558">
        <f t="shared" si="11"/>
        <v>156</v>
      </c>
      <c r="N158" s="15">
        <f t="shared" si="9"/>
        <v>0.83193234678602113</v>
      </c>
      <c r="O158" s="165">
        <f t="shared" si="10"/>
        <v>0.44</v>
      </c>
      <c r="P158" s="18"/>
      <c r="Q158" s="18"/>
      <c r="R158" s="18"/>
      <c r="S158" s="18"/>
      <c r="T158" s="18"/>
      <c r="U158" s="18"/>
      <c r="V158" s="18"/>
      <c r="W158" s="18"/>
      <c r="X158" s="18"/>
    </row>
    <row r="159" spans="13:24">
      <c r="M159" s="558">
        <f t="shared" si="11"/>
        <v>157</v>
      </c>
      <c r="N159" s="15">
        <f t="shared" si="9"/>
        <v>0.83141672434583658</v>
      </c>
      <c r="O159" s="165">
        <f t="shared" si="10"/>
        <v>0.44</v>
      </c>
      <c r="P159" s="18"/>
      <c r="Q159" s="18"/>
      <c r="R159" s="18"/>
      <c r="S159" s="18"/>
      <c r="T159" s="18"/>
      <c r="U159" s="18"/>
      <c r="V159" s="18"/>
      <c r="W159" s="18"/>
      <c r="X159" s="18"/>
    </row>
    <row r="160" spans="13:24">
      <c r="M160" s="558">
        <f t="shared" si="11"/>
        <v>158</v>
      </c>
      <c r="N160" s="15">
        <f t="shared" si="9"/>
        <v>0.83090168450535296</v>
      </c>
      <c r="O160" s="165">
        <f t="shared" si="10"/>
        <v>0.44</v>
      </c>
      <c r="P160" s="18"/>
      <c r="Q160" s="18"/>
      <c r="R160" s="18"/>
      <c r="S160" s="18"/>
      <c r="T160" s="18"/>
      <c r="U160" s="18"/>
      <c r="V160" s="18"/>
      <c r="W160" s="18"/>
      <c r="X160" s="18"/>
    </row>
    <row r="161" spans="13:24">
      <c r="M161" s="558">
        <f t="shared" si="11"/>
        <v>159</v>
      </c>
      <c r="N161" s="15">
        <f t="shared" si="9"/>
        <v>0.83038722653345376</v>
      </c>
      <c r="O161" s="165">
        <f t="shared" si="10"/>
        <v>0.44</v>
      </c>
      <c r="P161" s="18"/>
      <c r="Q161" s="18"/>
      <c r="R161" s="18"/>
      <c r="S161" s="18"/>
      <c r="T161" s="18"/>
      <c r="U161" s="18"/>
      <c r="V161" s="18"/>
      <c r="W161" s="18"/>
      <c r="X161" s="18"/>
    </row>
    <row r="162" spans="13:24">
      <c r="M162" s="558">
        <f t="shared" si="11"/>
        <v>160</v>
      </c>
      <c r="N162" s="15">
        <f t="shared" si="9"/>
        <v>0.82987334969994198</v>
      </c>
      <c r="O162" s="165">
        <f t="shared" si="10"/>
        <v>0.44</v>
      </c>
      <c r="P162" s="18"/>
      <c r="Q162" s="18"/>
      <c r="R162" s="18"/>
      <c r="S162" s="18"/>
      <c r="T162" s="18"/>
      <c r="U162" s="18"/>
      <c r="V162" s="18"/>
      <c r="W162" s="18"/>
      <c r="X162" s="18"/>
    </row>
    <row r="163" spans="13:24">
      <c r="M163" s="558">
        <f t="shared" si="11"/>
        <v>161</v>
      </c>
      <c r="N163" s="15">
        <f t="shared" si="9"/>
        <v>0.82936005327553475</v>
      </c>
      <c r="O163" s="165">
        <f t="shared" si="10"/>
        <v>0.44</v>
      </c>
      <c r="P163" s="18"/>
      <c r="Q163" s="18"/>
      <c r="R163" s="18"/>
      <c r="S163" s="18"/>
      <c r="T163" s="18"/>
      <c r="U163" s="18"/>
      <c r="V163" s="18"/>
      <c r="W163" s="18"/>
      <c r="X163" s="18"/>
    </row>
    <row r="164" spans="13:24">
      <c r="M164" s="558">
        <f t="shared" si="11"/>
        <v>162</v>
      </c>
      <c r="N164" s="15">
        <f t="shared" si="9"/>
        <v>0.8288473365318656</v>
      </c>
      <c r="O164" s="165">
        <f t="shared" si="10"/>
        <v>0.44</v>
      </c>
      <c r="P164" s="18"/>
      <c r="Q164" s="18"/>
      <c r="R164" s="18"/>
      <c r="S164" s="18"/>
      <c r="T164" s="18"/>
      <c r="U164" s="18"/>
      <c r="V164" s="18"/>
      <c r="W164" s="18"/>
      <c r="X164" s="18"/>
    </row>
    <row r="165" spans="13:24">
      <c r="M165" s="558">
        <f t="shared" si="11"/>
        <v>163</v>
      </c>
      <c r="N165" s="15">
        <f t="shared" si="9"/>
        <v>0.82833519874148076</v>
      </c>
      <c r="O165" s="165">
        <f t="shared" si="10"/>
        <v>0.44</v>
      </c>
      <c r="P165" s="18"/>
      <c r="Q165" s="18"/>
      <c r="R165" s="18"/>
      <c r="S165" s="18"/>
      <c r="T165" s="18"/>
      <c r="U165" s="18"/>
      <c r="V165" s="18"/>
      <c r="W165" s="18"/>
      <c r="X165" s="18"/>
    </row>
    <row r="166" spans="13:24">
      <c r="M166" s="558">
        <f t="shared" si="11"/>
        <v>164</v>
      </c>
      <c r="N166" s="15">
        <f t="shared" si="9"/>
        <v>0.82782363917784196</v>
      </c>
      <c r="O166" s="165">
        <f t="shared" si="10"/>
        <v>0.44</v>
      </c>
      <c r="P166" s="18"/>
      <c r="Q166" s="18"/>
      <c r="R166" s="18"/>
      <c r="S166" s="18"/>
      <c r="T166" s="18"/>
      <c r="U166" s="18"/>
      <c r="V166" s="18"/>
      <c r="W166" s="18"/>
      <c r="X166" s="18"/>
    </row>
    <row r="167" spans="13:24">
      <c r="M167" s="558">
        <f t="shared" si="11"/>
        <v>165</v>
      </c>
      <c r="N167" s="15">
        <f t="shared" si="9"/>
        <v>0.8273126571153202</v>
      </c>
      <c r="O167" s="165">
        <f t="shared" si="10"/>
        <v>0.44</v>
      </c>
      <c r="P167" s="18"/>
      <c r="Q167" s="18"/>
      <c r="R167" s="18"/>
      <c r="S167" s="18"/>
      <c r="T167" s="18"/>
      <c r="U167" s="18"/>
      <c r="V167" s="18"/>
      <c r="W167" s="18"/>
      <c r="X167" s="18"/>
    </row>
    <row r="168" spans="13:24">
      <c r="M168" s="558">
        <f t="shared" si="11"/>
        <v>166</v>
      </c>
      <c r="N168" s="15">
        <f t="shared" si="9"/>
        <v>0.82680225182919731</v>
      </c>
      <c r="O168" s="165">
        <f t="shared" si="10"/>
        <v>0.44</v>
      </c>
      <c r="P168" s="18"/>
      <c r="Q168" s="18"/>
      <c r="R168" s="18"/>
      <c r="S168" s="18"/>
      <c r="T168" s="18"/>
      <c r="U168" s="18"/>
      <c r="V168" s="18"/>
      <c r="W168" s="18"/>
      <c r="X168" s="18"/>
    </row>
    <row r="169" spans="13:24">
      <c r="M169" s="558">
        <f t="shared" si="11"/>
        <v>167</v>
      </c>
      <c r="N169" s="15">
        <f t="shared" si="9"/>
        <v>0.82629242259566693</v>
      </c>
      <c r="O169" s="165">
        <f t="shared" si="10"/>
        <v>0.44</v>
      </c>
      <c r="P169" s="18"/>
      <c r="Q169" s="18"/>
      <c r="R169" s="18"/>
      <c r="S169" s="18"/>
      <c r="T169" s="18"/>
      <c r="U169" s="18"/>
      <c r="V169" s="18"/>
      <c r="W169" s="18"/>
      <c r="X169" s="18"/>
    </row>
    <row r="170" spans="13:24">
      <c r="M170" s="558">
        <f t="shared" si="11"/>
        <v>168</v>
      </c>
      <c r="N170" s="15">
        <f t="shared" si="9"/>
        <v>0.82578316869182811</v>
      </c>
      <c r="O170" s="165">
        <f t="shared" si="10"/>
        <v>0.44</v>
      </c>
      <c r="P170" s="18"/>
      <c r="Q170" s="18"/>
      <c r="R170" s="18"/>
      <c r="S170" s="18"/>
      <c r="T170" s="18"/>
      <c r="U170" s="18"/>
      <c r="V170" s="18"/>
      <c r="W170" s="18"/>
      <c r="X170" s="18"/>
    </row>
    <row r="171" spans="13:24">
      <c r="M171" s="558">
        <f t="shared" si="11"/>
        <v>169</v>
      </c>
      <c r="N171" s="15">
        <f t="shared" si="9"/>
        <v>0.82527448939568782</v>
      </c>
      <c r="O171" s="165">
        <f t="shared" si="10"/>
        <v>0.44</v>
      </c>
      <c r="P171" s="18"/>
      <c r="Q171" s="18"/>
      <c r="R171" s="18"/>
      <c r="S171" s="18"/>
      <c r="T171" s="18"/>
      <c r="U171" s="18"/>
      <c r="V171" s="18"/>
      <c r="W171" s="18"/>
      <c r="X171" s="18"/>
    </row>
    <row r="172" spans="13:24">
      <c r="M172" s="558">
        <f t="shared" si="11"/>
        <v>170</v>
      </c>
      <c r="N172" s="15">
        <f t="shared" si="9"/>
        <v>0.82476638398616098</v>
      </c>
      <c r="O172" s="165">
        <f t="shared" si="10"/>
        <v>0.44</v>
      </c>
      <c r="P172" s="18"/>
      <c r="Q172" s="18"/>
      <c r="R172" s="18"/>
      <c r="S172" s="18"/>
      <c r="T172" s="18"/>
      <c r="U172" s="18"/>
      <c r="V172" s="18"/>
      <c r="W172" s="18"/>
      <c r="X172" s="18"/>
    </row>
    <row r="173" spans="13:24">
      <c r="M173" s="558">
        <f t="shared" si="11"/>
        <v>171</v>
      </c>
      <c r="N173" s="15">
        <f t="shared" si="9"/>
        <v>0.82425885174306535</v>
      </c>
      <c r="O173" s="165">
        <f t="shared" si="10"/>
        <v>0.44</v>
      </c>
      <c r="P173" s="18"/>
      <c r="Q173" s="18"/>
      <c r="R173" s="18"/>
      <c r="S173" s="18"/>
      <c r="T173" s="18"/>
      <c r="U173" s="18"/>
      <c r="V173" s="18"/>
      <c r="W173" s="18"/>
      <c r="X173" s="18"/>
    </row>
    <row r="174" spans="13:24">
      <c r="M174" s="558">
        <f t="shared" si="11"/>
        <v>172</v>
      </c>
      <c r="N174" s="15">
        <f t="shared" si="9"/>
        <v>0.82375189194712206</v>
      </c>
      <c r="O174" s="165">
        <f t="shared" si="10"/>
        <v>0.44</v>
      </c>
      <c r="P174" s="18"/>
      <c r="Q174" s="18"/>
      <c r="R174" s="18"/>
      <c r="S174" s="18"/>
      <c r="T174" s="18"/>
      <c r="U174" s="18"/>
      <c r="V174" s="18"/>
      <c r="W174" s="18"/>
      <c r="X174" s="18"/>
    </row>
    <row r="175" spans="13:24">
      <c r="M175" s="558">
        <f t="shared" si="11"/>
        <v>173</v>
      </c>
      <c r="N175" s="15">
        <f t="shared" si="9"/>
        <v>0.82324550387995776</v>
      </c>
      <c r="O175" s="165">
        <f t="shared" si="10"/>
        <v>0.44</v>
      </c>
      <c r="P175" s="18"/>
      <c r="Q175" s="18"/>
      <c r="R175" s="18"/>
      <c r="S175" s="18"/>
      <c r="T175" s="18"/>
      <c r="U175" s="18"/>
      <c r="V175" s="18"/>
      <c r="W175" s="18"/>
      <c r="X175" s="18"/>
    </row>
    <row r="176" spans="13:24">
      <c r="M176" s="558">
        <f t="shared" si="11"/>
        <v>174</v>
      </c>
      <c r="N176" s="15">
        <f t="shared" si="9"/>
        <v>0.8227396868240977</v>
      </c>
      <c r="O176" s="165">
        <f t="shared" si="10"/>
        <v>0.44</v>
      </c>
      <c r="P176" s="18"/>
      <c r="Q176" s="18"/>
      <c r="R176" s="18"/>
      <c r="S176" s="18"/>
      <c r="T176" s="18"/>
      <c r="U176" s="18"/>
      <c r="V176" s="18"/>
      <c r="W176" s="18"/>
      <c r="X176" s="18"/>
    </row>
    <row r="177" spans="13:24">
      <c r="M177" s="558">
        <f t="shared" si="11"/>
        <v>175</v>
      </c>
      <c r="N177" s="15">
        <f t="shared" si="9"/>
        <v>0.82223444006296864</v>
      </c>
      <c r="O177" s="165">
        <f t="shared" si="10"/>
        <v>0.44</v>
      </c>
      <c r="P177" s="18"/>
      <c r="Q177" s="18"/>
      <c r="R177" s="18"/>
      <c r="S177" s="18"/>
      <c r="T177" s="18"/>
      <c r="U177" s="18"/>
      <c r="V177" s="18"/>
      <c r="W177" s="18"/>
      <c r="X177" s="18"/>
    </row>
    <row r="178" spans="13:24">
      <c r="M178" s="558">
        <f t="shared" si="11"/>
        <v>176</v>
      </c>
      <c r="N178" s="15">
        <f t="shared" si="9"/>
        <v>0.82172976288089661</v>
      </c>
      <c r="O178" s="165">
        <f t="shared" si="10"/>
        <v>0.44</v>
      </c>
      <c r="P178" s="18"/>
      <c r="Q178" s="18"/>
      <c r="R178" s="18"/>
      <c r="S178" s="18"/>
      <c r="T178" s="18"/>
      <c r="U178" s="18"/>
      <c r="V178" s="18"/>
      <c r="W178" s="18"/>
      <c r="X178" s="18"/>
    </row>
    <row r="179" spans="13:24">
      <c r="M179" s="558">
        <f t="shared" si="11"/>
        <v>177</v>
      </c>
      <c r="N179" s="15">
        <f t="shared" si="9"/>
        <v>0.82122565456310559</v>
      </c>
      <c r="O179" s="165">
        <f t="shared" si="10"/>
        <v>0.44</v>
      </c>
      <c r="P179" s="18"/>
      <c r="Q179" s="18"/>
      <c r="R179" s="18"/>
      <c r="S179" s="18"/>
      <c r="T179" s="18"/>
      <c r="U179" s="18"/>
      <c r="V179" s="18"/>
      <c r="W179" s="18"/>
      <c r="X179" s="18"/>
    </row>
    <row r="180" spans="13:24">
      <c r="M180" s="558">
        <f t="shared" si="11"/>
        <v>178</v>
      </c>
      <c r="N180" s="15">
        <f t="shared" si="9"/>
        <v>0.82072211439571585</v>
      </c>
      <c r="O180" s="165">
        <f t="shared" si="10"/>
        <v>0.44</v>
      </c>
      <c r="P180" s="18"/>
      <c r="Q180" s="18"/>
      <c r="R180" s="18"/>
      <c r="S180" s="18"/>
      <c r="T180" s="18"/>
      <c r="U180" s="18"/>
      <c r="V180" s="18"/>
      <c r="W180" s="18"/>
      <c r="X180" s="18"/>
    </row>
    <row r="181" spans="13:24">
      <c r="M181" s="558">
        <f t="shared" si="11"/>
        <v>179</v>
      </c>
      <c r="N181" s="15">
        <f t="shared" si="9"/>
        <v>0.82021914166574561</v>
      </c>
      <c r="O181" s="165">
        <f t="shared" si="10"/>
        <v>0.44</v>
      </c>
      <c r="P181" s="18"/>
      <c r="Q181" s="18"/>
      <c r="R181" s="18"/>
      <c r="S181" s="18"/>
      <c r="T181" s="18"/>
      <c r="U181" s="18"/>
      <c r="V181" s="18"/>
      <c r="W181" s="18"/>
      <c r="X181" s="18"/>
    </row>
    <row r="182" spans="13:24">
      <c r="M182" s="558">
        <f t="shared" si="11"/>
        <v>180</v>
      </c>
      <c r="N182" s="15">
        <f t="shared" si="9"/>
        <v>0.8197167356611057</v>
      </c>
      <c r="O182" s="165">
        <f t="shared" si="10"/>
        <v>0.44</v>
      </c>
      <c r="P182" s="18"/>
      <c r="Q182" s="18"/>
      <c r="R182" s="18"/>
      <c r="S182" s="18"/>
      <c r="T182" s="18"/>
      <c r="U182" s="18"/>
      <c r="V182" s="18"/>
      <c r="W182" s="18"/>
      <c r="X182" s="18"/>
    </row>
    <row r="183" spans="13:24">
      <c r="M183" s="558">
        <f t="shared" si="11"/>
        <v>181</v>
      </c>
      <c r="N183" s="15">
        <f t="shared" si="9"/>
        <v>0.81921489567060102</v>
      </c>
      <c r="O183" s="165">
        <f t="shared" si="10"/>
        <v>0.44</v>
      </c>
      <c r="P183" s="18"/>
      <c r="Q183" s="18"/>
      <c r="R183" s="18"/>
      <c r="S183" s="18"/>
      <c r="T183" s="18"/>
      <c r="U183" s="18"/>
      <c r="V183" s="18"/>
      <c r="W183" s="18"/>
      <c r="X183" s="18"/>
    </row>
    <row r="184" spans="13:24">
      <c r="M184" s="558">
        <f t="shared" si="11"/>
        <v>182</v>
      </c>
      <c r="N184" s="15">
        <f t="shared" si="9"/>
        <v>0.81871362098393041</v>
      </c>
      <c r="O184" s="165">
        <f t="shared" si="10"/>
        <v>0.44</v>
      </c>
      <c r="P184" s="18"/>
      <c r="Q184" s="18"/>
      <c r="R184" s="18"/>
      <c r="S184" s="18"/>
      <c r="T184" s="18"/>
      <c r="U184" s="18"/>
      <c r="V184" s="18"/>
      <c r="W184" s="18"/>
      <c r="X184" s="18"/>
    </row>
    <row r="185" spans="13:24">
      <c r="M185" s="558">
        <f t="shared" si="11"/>
        <v>183</v>
      </c>
      <c r="N185" s="15">
        <f t="shared" si="9"/>
        <v>0.81821291089168224</v>
      </c>
      <c r="O185" s="165">
        <f t="shared" si="10"/>
        <v>0.44</v>
      </c>
      <c r="P185" s="18"/>
      <c r="Q185" s="18"/>
      <c r="R185" s="18"/>
      <c r="S185" s="18"/>
      <c r="T185" s="18"/>
      <c r="U185" s="18"/>
      <c r="V185" s="18"/>
      <c r="W185" s="18"/>
      <c r="X185" s="18"/>
    </row>
    <row r="186" spans="13:24">
      <c r="M186" s="558">
        <f t="shared" si="11"/>
        <v>184</v>
      </c>
      <c r="N186" s="15">
        <f t="shared" si="9"/>
        <v>0.81771276468533527</v>
      </c>
      <c r="O186" s="165">
        <f t="shared" si="10"/>
        <v>0.44</v>
      </c>
      <c r="P186" s="18"/>
      <c r="Q186" s="18"/>
      <c r="R186" s="18"/>
      <c r="S186" s="18"/>
      <c r="T186" s="18"/>
      <c r="U186" s="18"/>
      <c r="V186" s="18"/>
      <c r="W186" s="18"/>
      <c r="X186" s="18"/>
    </row>
    <row r="187" spans="13:24">
      <c r="M187" s="558">
        <f t="shared" si="11"/>
        <v>185</v>
      </c>
      <c r="N187" s="15">
        <f t="shared" si="9"/>
        <v>0.8172131816572592</v>
      </c>
      <c r="O187" s="165">
        <f t="shared" si="10"/>
        <v>0.44</v>
      </c>
      <c r="P187" s="18"/>
      <c r="Q187" s="18"/>
      <c r="R187" s="18"/>
      <c r="S187" s="18"/>
      <c r="T187" s="18"/>
      <c r="U187" s="18"/>
      <c r="V187" s="18"/>
      <c r="W187" s="18"/>
      <c r="X187" s="18"/>
    </row>
    <row r="188" spans="13:24">
      <c r="M188" s="558">
        <f t="shared" si="11"/>
        <v>186</v>
      </c>
      <c r="N188" s="15">
        <f t="shared" si="9"/>
        <v>0.81671416110070982</v>
      </c>
      <c r="O188" s="165">
        <f t="shared" si="10"/>
        <v>0.44</v>
      </c>
      <c r="P188" s="18"/>
      <c r="Q188" s="18"/>
      <c r="R188" s="18"/>
      <c r="S188" s="18"/>
      <c r="T188" s="18"/>
      <c r="U188" s="18"/>
      <c r="V188" s="18"/>
      <c r="W188" s="18"/>
      <c r="X188" s="18"/>
    </row>
    <row r="189" spans="13:24">
      <c r="M189" s="558">
        <f t="shared" si="11"/>
        <v>187</v>
      </c>
      <c r="N189" s="15">
        <f t="shared" si="9"/>
        <v>0.8162157023098302</v>
      </c>
      <c r="O189" s="165">
        <f t="shared" si="10"/>
        <v>0.44</v>
      </c>
      <c r="P189" s="18"/>
      <c r="Q189" s="18"/>
      <c r="R189" s="18"/>
      <c r="S189" s="18"/>
      <c r="T189" s="18"/>
      <c r="U189" s="18"/>
      <c r="V189" s="18"/>
      <c r="W189" s="18"/>
      <c r="X189" s="18"/>
    </row>
    <row r="190" spans="13:24">
      <c r="M190" s="558">
        <f t="shared" si="11"/>
        <v>188</v>
      </c>
      <c r="N190" s="15">
        <f t="shared" si="9"/>
        <v>0.8157178045796506</v>
      </c>
      <c r="O190" s="165">
        <f t="shared" si="10"/>
        <v>0.44</v>
      </c>
      <c r="P190" s="18"/>
      <c r="Q190" s="18"/>
      <c r="R190" s="18"/>
      <c r="S190" s="18"/>
      <c r="T190" s="18"/>
      <c r="U190" s="18"/>
      <c r="V190" s="18"/>
      <c r="W190" s="18"/>
      <c r="X190" s="18"/>
    </row>
    <row r="191" spans="13:24">
      <c r="M191" s="558">
        <f t="shared" si="11"/>
        <v>189</v>
      </c>
      <c r="N191" s="15">
        <f t="shared" si="9"/>
        <v>0.81522046720608421</v>
      </c>
      <c r="O191" s="165">
        <f t="shared" si="10"/>
        <v>0.44</v>
      </c>
      <c r="P191" s="18"/>
      <c r="Q191" s="18"/>
      <c r="R191" s="18"/>
      <c r="S191" s="18"/>
      <c r="T191" s="18"/>
      <c r="U191" s="18"/>
      <c r="V191" s="18"/>
      <c r="W191" s="18"/>
      <c r="X191" s="18"/>
    </row>
    <row r="192" spans="13:24">
      <c r="M192" s="558">
        <f t="shared" si="11"/>
        <v>190</v>
      </c>
      <c r="N192" s="15">
        <f t="shared" si="9"/>
        <v>0.81472368948592799</v>
      </c>
      <c r="O192" s="165">
        <f t="shared" si="10"/>
        <v>0.44</v>
      </c>
      <c r="P192" s="18"/>
      <c r="Q192" s="18"/>
      <c r="R192" s="18"/>
      <c r="S192" s="18"/>
      <c r="T192" s="18"/>
      <c r="U192" s="18"/>
      <c r="V192" s="18"/>
      <c r="W192" s="18"/>
      <c r="X192" s="18"/>
    </row>
    <row r="193" spans="13:24">
      <c r="M193" s="558">
        <f t="shared" si="11"/>
        <v>191</v>
      </c>
      <c r="N193" s="15">
        <f t="shared" si="9"/>
        <v>0.81422747071686308</v>
      </c>
      <c r="O193" s="165">
        <f t="shared" si="10"/>
        <v>0.44</v>
      </c>
      <c r="P193" s="18"/>
      <c r="Q193" s="18"/>
      <c r="R193" s="18"/>
      <c r="S193" s="18"/>
      <c r="T193" s="18"/>
      <c r="U193" s="18"/>
      <c r="V193" s="18"/>
      <c r="W193" s="18"/>
      <c r="X193" s="18"/>
    </row>
    <row r="194" spans="13:24">
      <c r="M194" s="558">
        <f t="shared" si="11"/>
        <v>192</v>
      </c>
      <c r="N194" s="15">
        <f t="shared" si="9"/>
        <v>0.81373181019745</v>
      </c>
      <c r="O194" s="165">
        <f t="shared" si="10"/>
        <v>0.44</v>
      </c>
      <c r="P194" s="18"/>
      <c r="Q194" s="18"/>
      <c r="R194" s="18"/>
      <c r="S194" s="18"/>
      <c r="T194" s="18"/>
      <c r="U194" s="18"/>
      <c r="V194" s="18"/>
      <c r="W194" s="18"/>
      <c r="X194" s="18"/>
    </row>
    <row r="195" spans="13:24">
      <c r="M195" s="558">
        <f t="shared" si="11"/>
        <v>193</v>
      </c>
      <c r="N195" s="15">
        <f t="shared" si="9"/>
        <v>0.81323670722712993</v>
      </c>
      <c r="O195" s="165">
        <f t="shared" si="10"/>
        <v>0.44</v>
      </c>
      <c r="P195" s="18"/>
      <c r="Q195" s="18"/>
      <c r="R195" s="18"/>
      <c r="S195" s="18"/>
      <c r="T195" s="18"/>
      <c r="U195" s="18"/>
      <c r="V195" s="18"/>
      <c r="W195" s="18"/>
      <c r="X195" s="18"/>
    </row>
    <row r="196" spans="13:24">
      <c r="M196" s="558">
        <f t="shared" si="11"/>
        <v>194</v>
      </c>
      <c r="N196" s="15">
        <f t="shared" ref="N196:N259" si="12">IF(M196&lt;$B$31+1,$B$32+$B$33/$B$31*(8760-M196)+$B$34*IF(M196&lt;$B$36-$B$31/(2*$B$35),1,IF(M196&lt;$B$36+$B$31/(2*$B$35),COS(PI()/2*(M196-($B$36-$B$31/(2*$B$35)))*$B$35/$B$31)^2,0))+$B$37*EXP((8760-M196)/8760*$B$38)/EXP($B$38)-(8760-$B$31)*$B$33/$B$31,0)</f>
        <v>0.81274216110622444</v>
      </c>
      <c r="O196" s="165">
        <f t="shared" ref="O196:O259" si="13">MIN(N196,C$24)</f>
        <v>0.44</v>
      </c>
      <c r="P196" s="18"/>
      <c r="Q196" s="18"/>
      <c r="R196" s="18"/>
      <c r="S196" s="18"/>
      <c r="T196" s="18"/>
      <c r="U196" s="18"/>
      <c r="V196" s="18"/>
      <c r="W196" s="18"/>
      <c r="X196" s="18"/>
    </row>
    <row r="197" spans="13:24">
      <c r="M197" s="558">
        <f t="shared" ref="M197:M260" si="14">M196+1</f>
        <v>195</v>
      </c>
      <c r="N197" s="15">
        <f t="shared" si="12"/>
        <v>0.81224817113593184</v>
      </c>
      <c r="O197" s="165">
        <f t="shared" si="13"/>
        <v>0.44</v>
      </c>
      <c r="P197" s="18"/>
      <c r="Q197" s="18"/>
      <c r="R197" s="18"/>
      <c r="S197" s="18"/>
      <c r="T197" s="18"/>
      <c r="U197" s="18"/>
      <c r="V197" s="18"/>
      <c r="W197" s="18"/>
      <c r="X197" s="18"/>
    </row>
    <row r="198" spans="13:24">
      <c r="M198" s="558">
        <f t="shared" si="14"/>
        <v>196</v>
      </c>
      <c r="N198" s="15">
        <f t="shared" si="12"/>
        <v>0.81175473661832764</v>
      </c>
      <c r="O198" s="165">
        <f t="shared" si="13"/>
        <v>0.44</v>
      </c>
      <c r="P198" s="18"/>
      <c r="Q198" s="18"/>
      <c r="R198" s="18"/>
      <c r="S198" s="18"/>
      <c r="T198" s="18"/>
      <c r="U198" s="18"/>
      <c r="V198" s="18"/>
      <c r="W198" s="18"/>
      <c r="X198" s="18"/>
    </row>
    <row r="199" spans="13:24">
      <c r="M199" s="558">
        <f t="shared" si="14"/>
        <v>197</v>
      </c>
      <c r="N199" s="15">
        <f t="shared" si="12"/>
        <v>0.81126185685636287</v>
      </c>
      <c r="O199" s="165">
        <f t="shared" si="13"/>
        <v>0.44</v>
      </c>
      <c r="P199" s="18"/>
      <c r="Q199" s="18"/>
      <c r="R199" s="18"/>
      <c r="S199" s="18"/>
      <c r="T199" s="18"/>
      <c r="U199" s="18"/>
      <c r="V199" s="18"/>
      <c r="W199" s="18"/>
      <c r="X199" s="18"/>
    </row>
    <row r="200" spans="13:24">
      <c r="M200" s="558">
        <f t="shared" si="14"/>
        <v>198</v>
      </c>
      <c r="N200" s="15">
        <f t="shared" si="12"/>
        <v>0.81076953115386474</v>
      </c>
      <c r="O200" s="165">
        <f t="shared" si="13"/>
        <v>0.44</v>
      </c>
      <c r="P200" s="18"/>
      <c r="Q200" s="18"/>
      <c r="R200" s="18"/>
      <c r="S200" s="18"/>
      <c r="T200" s="18"/>
      <c r="U200" s="18"/>
      <c r="V200" s="18"/>
      <c r="W200" s="18"/>
      <c r="X200" s="18"/>
    </row>
    <row r="201" spans="13:24">
      <c r="M201" s="558">
        <f t="shared" si="14"/>
        <v>199</v>
      </c>
      <c r="N201" s="15">
        <f t="shared" si="12"/>
        <v>0.81027775881553277</v>
      </c>
      <c r="O201" s="165">
        <f t="shared" si="13"/>
        <v>0.44</v>
      </c>
      <c r="P201" s="18"/>
      <c r="Q201" s="18"/>
      <c r="R201" s="18"/>
      <c r="S201" s="18"/>
      <c r="T201" s="18"/>
      <c r="U201" s="18"/>
      <c r="V201" s="18"/>
      <c r="W201" s="18"/>
      <c r="X201" s="18"/>
    </row>
    <row r="202" spans="13:24">
      <c r="M202" s="558">
        <f t="shared" si="14"/>
        <v>200</v>
      </c>
      <c r="N202" s="15">
        <f t="shared" si="12"/>
        <v>0.80978653914693854</v>
      </c>
      <c r="O202" s="165">
        <f t="shared" si="13"/>
        <v>0.44</v>
      </c>
      <c r="P202" s="18"/>
      <c r="Q202" s="18"/>
      <c r="R202" s="18"/>
      <c r="S202" s="18"/>
      <c r="T202" s="18"/>
      <c r="U202" s="18"/>
      <c r="V202" s="18"/>
      <c r="W202" s="18"/>
      <c r="X202" s="18"/>
    </row>
    <row r="203" spans="13:24">
      <c r="M203" s="558">
        <f t="shared" si="14"/>
        <v>201</v>
      </c>
      <c r="N203" s="15">
        <f t="shared" si="12"/>
        <v>0.80929587145452797</v>
      </c>
      <c r="O203" s="165">
        <f t="shared" si="13"/>
        <v>0.44</v>
      </c>
      <c r="P203" s="18"/>
      <c r="Q203" s="18"/>
      <c r="R203" s="18"/>
      <c r="S203" s="18"/>
      <c r="T203" s="18"/>
      <c r="U203" s="18"/>
      <c r="V203" s="18"/>
      <c r="W203" s="18"/>
      <c r="X203" s="18"/>
    </row>
    <row r="204" spans="13:24">
      <c r="M204" s="558">
        <f t="shared" si="14"/>
        <v>202</v>
      </c>
      <c r="N204" s="15">
        <f t="shared" si="12"/>
        <v>0.80880575504561247</v>
      </c>
      <c r="O204" s="165">
        <f t="shared" si="13"/>
        <v>0.44</v>
      </c>
      <c r="P204" s="18"/>
      <c r="Q204" s="18"/>
      <c r="R204" s="18"/>
      <c r="S204" s="18"/>
      <c r="T204" s="18"/>
      <c r="U204" s="18"/>
      <c r="V204" s="18"/>
      <c r="W204" s="18"/>
      <c r="X204" s="18"/>
    </row>
    <row r="205" spans="13:24">
      <c r="M205" s="558">
        <f t="shared" si="14"/>
        <v>203</v>
      </c>
      <c r="N205" s="15">
        <f t="shared" si="12"/>
        <v>0.80831618922837789</v>
      </c>
      <c r="O205" s="165">
        <f t="shared" si="13"/>
        <v>0.44</v>
      </c>
      <c r="P205" s="18"/>
      <c r="Q205" s="18"/>
      <c r="R205" s="18"/>
      <c r="S205" s="18"/>
      <c r="T205" s="18"/>
      <c r="U205" s="18"/>
      <c r="V205" s="18"/>
      <c r="W205" s="18"/>
      <c r="X205" s="18"/>
    </row>
    <row r="206" spans="13:24">
      <c r="M206" s="558">
        <f t="shared" si="14"/>
        <v>204</v>
      </c>
      <c r="N206" s="15">
        <f t="shared" si="12"/>
        <v>0.8078271733118747</v>
      </c>
      <c r="O206" s="165">
        <f t="shared" si="13"/>
        <v>0.44</v>
      </c>
      <c r="P206" s="18"/>
      <c r="Q206" s="18"/>
      <c r="R206" s="18"/>
      <c r="S206" s="18"/>
      <c r="T206" s="18"/>
      <c r="U206" s="18"/>
      <c r="V206" s="18"/>
      <c r="W206" s="18"/>
      <c r="X206" s="18"/>
    </row>
    <row r="207" spans="13:24">
      <c r="M207" s="558">
        <f t="shared" si="14"/>
        <v>205</v>
      </c>
      <c r="N207" s="15">
        <f t="shared" si="12"/>
        <v>0.80733870660602158</v>
      </c>
      <c r="O207" s="165">
        <f t="shared" si="13"/>
        <v>0.44</v>
      </c>
      <c r="P207" s="18"/>
      <c r="Q207" s="18"/>
      <c r="R207" s="18"/>
      <c r="S207" s="18"/>
      <c r="T207" s="18"/>
      <c r="U207" s="18"/>
      <c r="V207" s="18"/>
      <c r="W207" s="18"/>
      <c r="X207" s="18"/>
    </row>
    <row r="208" spans="13:24">
      <c r="M208" s="558">
        <f t="shared" si="14"/>
        <v>206</v>
      </c>
      <c r="N208" s="15">
        <f t="shared" si="12"/>
        <v>0.80685078842160407</v>
      </c>
      <c r="O208" s="165">
        <f t="shared" si="13"/>
        <v>0.44</v>
      </c>
      <c r="P208" s="18"/>
      <c r="Q208" s="18"/>
      <c r="R208" s="18"/>
      <c r="S208" s="18"/>
      <c r="T208" s="18"/>
      <c r="U208" s="18"/>
      <c r="V208" s="18"/>
      <c r="W208" s="18"/>
      <c r="X208" s="18"/>
    </row>
    <row r="209" spans="13:24">
      <c r="M209" s="558">
        <f t="shared" si="14"/>
        <v>207</v>
      </c>
      <c r="N209" s="15">
        <f t="shared" si="12"/>
        <v>0.80636341807027134</v>
      </c>
      <c r="O209" s="165">
        <f t="shared" si="13"/>
        <v>0.44</v>
      </c>
      <c r="P209" s="18"/>
      <c r="Q209" s="18"/>
      <c r="R209" s="18"/>
      <c r="S209" s="18"/>
      <c r="T209" s="18"/>
      <c r="U209" s="18"/>
      <c r="V209" s="18"/>
      <c r="W209" s="18"/>
      <c r="X209" s="18"/>
    </row>
    <row r="210" spans="13:24">
      <c r="M210" s="558">
        <f t="shared" si="14"/>
        <v>208</v>
      </c>
      <c r="N210" s="15">
        <f t="shared" si="12"/>
        <v>0.80587659486453633</v>
      </c>
      <c r="O210" s="165">
        <f t="shared" si="13"/>
        <v>0.44</v>
      </c>
      <c r="P210" s="18"/>
      <c r="Q210" s="18"/>
      <c r="R210" s="18"/>
      <c r="S210" s="18"/>
      <c r="T210" s="18"/>
      <c r="U210" s="18"/>
      <c r="V210" s="18"/>
      <c r="W210" s="18"/>
      <c r="X210" s="18"/>
    </row>
    <row r="211" spans="13:24">
      <c r="M211" s="558">
        <f t="shared" si="14"/>
        <v>209</v>
      </c>
      <c r="N211" s="15">
        <f t="shared" si="12"/>
        <v>0.8053903181177765</v>
      </c>
      <c r="O211" s="165">
        <f t="shared" si="13"/>
        <v>0.44</v>
      </c>
      <c r="P211" s="18"/>
      <c r="Q211" s="18"/>
      <c r="R211" s="18"/>
      <c r="S211" s="18"/>
      <c r="T211" s="18"/>
      <c r="U211" s="18"/>
      <c r="V211" s="18"/>
      <c r="W211" s="18"/>
      <c r="X211" s="18"/>
    </row>
    <row r="212" spans="13:24">
      <c r="M212" s="558">
        <f t="shared" si="14"/>
        <v>210</v>
      </c>
      <c r="N212" s="15">
        <f t="shared" si="12"/>
        <v>0.80490458714422886</v>
      </c>
      <c r="O212" s="165">
        <f t="shared" si="13"/>
        <v>0.44</v>
      </c>
      <c r="P212" s="18"/>
      <c r="Q212" s="18"/>
      <c r="R212" s="18"/>
      <c r="S212" s="18"/>
      <c r="T212" s="18"/>
      <c r="U212" s="18"/>
      <c r="V212" s="18"/>
      <c r="W212" s="18"/>
      <c r="X212" s="18"/>
    </row>
    <row r="213" spans="13:24">
      <c r="M213" s="558">
        <f t="shared" si="14"/>
        <v>211</v>
      </c>
      <c r="N213" s="15">
        <f t="shared" si="12"/>
        <v>0.80441940125899225</v>
      </c>
      <c r="O213" s="165">
        <f t="shared" si="13"/>
        <v>0.44</v>
      </c>
      <c r="P213" s="18"/>
      <c r="Q213" s="18"/>
      <c r="R213" s="18"/>
      <c r="S213" s="18"/>
      <c r="T213" s="18"/>
      <c r="U213" s="18"/>
      <c r="V213" s="18"/>
      <c r="W213" s="18"/>
      <c r="X213" s="18"/>
    </row>
    <row r="214" spans="13:24">
      <c r="M214" s="558">
        <f t="shared" si="14"/>
        <v>212</v>
      </c>
      <c r="N214" s="15">
        <f t="shared" si="12"/>
        <v>0.80393475977802353</v>
      </c>
      <c r="O214" s="165">
        <f t="shared" si="13"/>
        <v>0.44</v>
      </c>
      <c r="P214" s="18"/>
      <c r="Q214" s="18"/>
      <c r="R214" s="18"/>
      <c r="S214" s="18"/>
      <c r="T214" s="18"/>
      <c r="U214" s="18"/>
      <c r="V214" s="18"/>
      <c r="W214" s="18"/>
      <c r="X214" s="18"/>
    </row>
    <row r="215" spans="13:24">
      <c r="M215" s="558">
        <f t="shared" si="14"/>
        <v>213</v>
      </c>
      <c r="N215" s="15">
        <f t="shared" si="12"/>
        <v>0.80345066201814075</v>
      </c>
      <c r="O215" s="165">
        <f t="shared" si="13"/>
        <v>0.44</v>
      </c>
      <c r="P215" s="18"/>
      <c r="Q215" s="18"/>
      <c r="R215" s="18"/>
      <c r="S215" s="18"/>
      <c r="T215" s="18"/>
      <c r="U215" s="18"/>
      <c r="V215" s="18"/>
      <c r="W215" s="18"/>
      <c r="X215" s="18"/>
    </row>
    <row r="216" spans="13:24">
      <c r="M216" s="558">
        <f t="shared" si="14"/>
        <v>214</v>
      </c>
      <c r="N216" s="15">
        <f t="shared" si="12"/>
        <v>0.8029671072970167</v>
      </c>
      <c r="O216" s="165">
        <f t="shared" si="13"/>
        <v>0.44</v>
      </c>
      <c r="P216" s="18"/>
      <c r="Q216" s="18"/>
      <c r="R216" s="18"/>
      <c r="S216" s="18"/>
      <c r="T216" s="18"/>
      <c r="U216" s="18"/>
      <c r="V216" s="18"/>
      <c r="W216" s="18"/>
      <c r="X216" s="18"/>
    </row>
    <row r="217" spans="13:24">
      <c r="M217" s="558">
        <f t="shared" si="14"/>
        <v>215</v>
      </c>
      <c r="N217" s="15">
        <f t="shared" si="12"/>
        <v>0.80248409493318085</v>
      </c>
      <c r="O217" s="165">
        <f t="shared" si="13"/>
        <v>0.44</v>
      </c>
      <c r="P217" s="18"/>
      <c r="Q217" s="18"/>
      <c r="R217" s="18"/>
      <c r="S217" s="18"/>
      <c r="T217" s="18"/>
      <c r="U217" s="18"/>
      <c r="V217" s="18"/>
      <c r="W217" s="18"/>
      <c r="X217" s="18"/>
    </row>
    <row r="218" spans="13:24">
      <c r="M218" s="558">
        <f t="shared" si="14"/>
        <v>216</v>
      </c>
      <c r="N218" s="15">
        <f t="shared" si="12"/>
        <v>0.80200162424601962</v>
      </c>
      <c r="O218" s="165">
        <f t="shared" si="13"/>
        <v>0.44</v>
      </c>
      <c r="P218" s="18"/>
      <c r="Q218" s="18"/>
      <c r="R218" s="18"/>
      <c r="S218" s="18"/>
      <c r="T218" s="18"/>
      <c r="U218" s="18"/>
      <c r="V218" s="18"/>
      <c r="W218" s="18"/>
      <c r="X218" s="18"/>
    </row>
    <row r="219" spans="13:24">
      <c r="M219" s="558">
        <f t="shared" si="14"/>
        <v>217</v>
      </c>
      <c r="N219" s="15">
        <f t="shared" si="12"/>
        <v>0.80151969455577143</v>
      </c>
      <c r="O219" s="165">
        <f t="shared" si="13"/>
        <v>0.44</v>
      </c>
      <c r="P219" s="18"/>
      <c r="Q219" s="18"/>
      <c r="R219" s="18"/>
      <c r="S219" s="18"/>
      <c r="T219" s="18"/>
      <c r="U219" s="18"/>
      <c r="V219" s="18"/>
      <c r="W219" s="18"/>
      <c r="X219" s="18"/>
    </row>
    <row r="220" spans="13:24">
      <c r="M220" s="558">
        <f t="shared" si="14"/>
        <v>218</v>
      </c>
      <c r="N220" s="15">
        <f t="shared" si="12"/>
        <v>0.80103830518352837</v>
      </c>
      <c r="O220" s="165">
        <f t="shared" si="13"/>
        <v>0.44</v>
      </c>
      <c r="P220" s="18"/>
      <c r="Q220" s="18"/>
      <c r="R220" s="18"/>
      <c r="S220" s="18"/>
      <c r="T220" s="18"/>
      <c r="U220" s="18"/>
      <c r="V220" s="18"/>
      <c r="W220" s="18"/>
      <c r="X220" s="18"/>
    </row>
    <row r="221" spans="13:24">
      <c r="M221" s="558">
        <f t="shared" si="14"/>
        <v>219</v>
      </c>
      <c r="N221" s="15">
        <f t="shared" si="12"/>
        <v>0.8005574554512358</v>
      </c>
      <c r="O221" s="165">
        <f t="shared" si="13"/>
        <v>0.44</v>
      </c>
      <c r="P221" s="18"/>
      <c r="Q221" s="18"/>
      <c r="R221" s="18"/>
      <c r="S221" s="18"/>
      <c r="T221" s="18"/>
      <c r="U221" s="18"/>
      <c r="V221" s="18"/>
      <c r="W221" s="18"/>
      <c r="X221" s="18"/>
    </row>
    <row r="222" spans="13:24">
      <c r="M222" s="558">
        <f t="shared" si="14"/>
        <v>220</v>
      </c>
      <c r="N222" s="15">
        <f t="shared" si="12"/>
        <v>0.80007714468168811</v>
      </c>
      <c r="O222" s="165">
        <f t="shared" si="13"/>
        <v>0.44</v>
      </c>
      <c r="P222" s="18"/>
      <c r="Q222" s="18"/>
      <c r="R222" s="18"/>
      <c r="S222" s="18"/>
      <c r="T222" s="18"/>
      <c r="U222" s="18"/>
      <c r="V222" s="18"/>
      <c r="W222" s="18"/>
      <c r="X222" s="18"/>
    </row>
    <row r="223" spans="13:24">
      <c r="M223" s="558">
        <f t="shared" si="14"/>
        <v>221</v>
      </c>
      <c r="N223" s="15">
        <f t="shared" si="12"/>
        <v>0.79959737219852989</v>
      </c>
      <c r="O223" s="165">
        <f t="shared" si="13"/>
        <v>0.44</v>
      </c>
      <c r="P223" s="18"/>
      <c r="Q223" s="18"/>
      <c r="R223" s="18"/>
      <c r="S223" s="18"/>
      <c r="T223" s="18"/>
      <c r="U223" s="18"/>
      <c r="V223" s="18"/>
      <c r="W223" s="18"/>
      <c r="X223" s="18"/>
    </row>
    <row r="224" spans="13:24">
      <c r="M224" s="558">
        <f t="shared" si="14"/>
        <v>222</v>
      </c>
      <c r="N224" s="15">
        <f t="shared" si="12"/>
        <v>0.79911813732625636</v>
      </c>
      <c r="O224" s="165">
        <f t="shared" si="13"/>
        <v>0.44</v>
      </c>
      <c r="P224" s="18"/>
      <c r="Q224" s="18"/>
      <c r="R224" s="18"/>
      <c r="S224" s="18"/>
      <c r="T224" s="18"/>
      <c r="U224" s="18"/>
      <c r="V224" s="18"/>
      <c r="W224" s="18"/>
      <c r="X224" s="18"/>
    </row>
    <row r="225" spans="13:24">
      <c r="M225" s="558">
        <f t="shared" si="14"/>
        <v>223</v>
      </c>
      <c r="N225" s="15">
        <f t="shared" si="12"/>
        <v>0.79863943939020809</v>
      </c>
      <c r="O225" s="165">
        <f t="shared" si="13"/>
        <v>0.44</v>
      </c>
      <c r="P225" s="18"/>
      <c r="Q225" s="18"/>
      <c r="R225" s="18"/>
      <c r="S225" s="18"/>
      <c r="T225" s="18"/>
      <c r="U225" s="18"/>
      <c r="V225" s="18"/>
      <c r="W225" s="18"/>
      <c r="X225" s="18"/>
    </row>
    <row r="226" spans="13:24">
      <c r="M226" s="558">
        <f t="shared" si="14"/>
        <v>224</v>
      </c>
      <c r="N226" s="15">
        <f t="shared" si="12"/>
        <v>0.79816127771657341</v>
      </c>
      <c r="O226" s="165">
        <f t="shared" si="13"/>
        <v>0.44</v>
      </c>
      <c r="P226" s="18"/>
      <c r="Q226" s="18"/>
      <c r="R226" s="18"/>
      <c r="S226" s="18"/>
      <c r="T226" s="18"/>
      <c r="U226" s="18"/>
      <c r="V226" s="18"/>
      <c r="W226" s="18"/>
      <c r="X226" s="18"/>
    </row>
    <row r="227" spans="13:24">
      <c r="M227" s="558">
        <f t="shared" si="14"/>
        <v>225</v>
      </c>
      <c r="N227" s="15">
        <f t="shared" si="12"/>
        <v>0.79768365163238553</v>
      </c>
      <c r="O227" s="165">
        <f t="shared" si="13"/>
        <v>0.44</v>
      </c>
      <c r="P227" s="18"/>
      <c r="Q227" s="18"/>
      <c r="R227" s="18"/>
      <c r="S227" s="18"/>
      <c r="T227" s="18"/>
      <c r="U227" s="18"/>
      <c r="V227" s="18"/>
      <c r="W227" s="18"/>
      <c r="X227" s="18"/>
    </row>
    <row r="228" spans="13:24">
      <c r="M228" s="558">
        <f t="shared" si="14"/>
        <v>226</v>
      </c>
      <c r="N228" s="15">
        <f t="shared" si="12"/>
        <v>0.79720656046552363</v>
      </c>
      <c r="O228" s="165">
        <f t="shared" si="13"/>
        <v>0.44</v>
      </c>
      <c r="P228" s="18"/>
      <c r="Q228" s="18"/>
      <c r="R228" s="18"/>
      <c r="S228" s="18"/>
      <c r="T228" s="18"/>
      <c r="U228" s="18"/>
      <c r="V228" s="18"/>
      <c r="W228" s="18"/>
      <c r="X228" s="18"/>
    </row>
    <row r="229" spans="13:24">
      <c r="M229" s="558">
        <f t="shared" si="14"/>
        <v>227</v>
      </c>
      <c r="N229" s="15">
        <f t="shared" si="12"/>
        <v>0.79673000354470913</v>
      </c>
      <c r="O229" s="165">
        <f t="shared" si="13"/>
        <v>0.44</v>
      </c>
      <c r="P229" s="18"/>
      <c r="Q229" s="18"/>
      <c r="R229" s="18"/>
      <c r="S229" s="18"/>
      <c r="T229" s="18"/>
      <c r="U229" s="18"/>
      <c r="V229" s="18"/>
      <c r="W229" s="18"/>
      <c r="X229" s="18"/>
    </row>
    <row r="230" spans="13:24">
      <c r="M230" s="558">
        <f t="shared" si="14"/>
        <v>228</v>
      </c>
      <c r="N230" s="15">
        <f t="shared" si="12"/>
        <v>0.79625398019950611</v>
      </c>
      <c r="O230" s="165">
        <f t="shared" si="13"/>
        <v>0.44</v>
      </c>
      <c r="P230" s="18"/>
      <c r="Q230" s="18"/>
      <c r="R230" s="18"/>
      <c r="S230" s="18"/>
      <c r="T230" s="18"/>
      <c r="U230" s="18"/>
      <c r="V230" s="18"/>
      <c r="W230" s="18"/>
      <c r="X230" s="18"/>
    </row>
    <row r="231" spans="13:24">
      <c r="M231" s="558">
        <f t="shared" si="14"/>
        <v>229</v>
      </c>
      <c r="N231" s="15">
        <f t="shared" si="12"/>
        <v>0.79577848976031973</v>
      </c>
      <c r="O231" s="165">
        <f t="shared" si="13"/>
        <v>0.44</v>
      </c>
      <c r="P231" s="18"/>
      <c r="Q231" s="18"/>
      <c r="R231" s="18"/>
      <c r="S231" s="18"/>
      <c r="T231" s="18"/>
      <c r="U231" s="18"/>
      <c r="V231" s="18"/>
      <c r="W231" s="18"/>
      <c r="X231" s="18"/>
    </row>
    <row r="232" spans="13:24">
      <c r="M232" s="558">
        <f t="shared" si="14"/>
        <v>230</v>
      </c>
      <c r="N232" s="15">
        <f t="shared" si="12"/>
        <v>0.79530353155839539</v>
      </c>
      <c r="O232" s="165">
        <f t="shared" si="13"/>
        <v>0.44</v>
      </c>
      <c r="P232" s="18"/>
      <c r="Q232" s="18"/>
      <c r="R232" s="18"/>
      <c r="S232" s="18"/>
      <c r="T232" s="18"/>
      <c r="U232" s="18"/>
      <c r="V232" s="18"/>
      <c r="W232" s="18"/>
      <c r="X232" s="18"/>
    </row>
    <row r="233" spans="13:24">
      <c r="M233" s="558">
        <f t="shared" si="14"/>
        <v>231</v>
      </c>
      <c r="N233" s="15">
        <f t="shared" si="12"/>
        <v>0.79482910492581937</v>
      </c>
      <c r="O233" s="165">
        <f t="shared" si="13"/>
        <v>0.44</v>
      </c>
      <c r="P233" s="18"/>
      <c r="Q233" s="18"/>
      <c r="R233" s="18"/>
      <c r="S233" s="18"/>
      <c r="T233" s="18"/>
      <c r="U233" s="18"/>
      <c r="V233" s="18"/>
      <c r="W233" s="18"/>
      <c r="X233" s="18"/>
    </row>
    <row r="234" spans="13:24">
      <c r="M234" s="558">
        <f t="shared" si="14"/>
        <v>232</v>
      </c>
      <c r="N234" s="15">
        <f t="shared" si="12"/>
        <v>0.79435520919551394</v>
      </c>
      <c r="O234" s="165">
        <f t="shared" si="13"/>
        <v>0.44</v>
      </c>
      <c r="P234" s="18"/>
      <c r="Q234" s="18"/>
      <c r="R234" s="18"/>
      <c r="S234" s="18"/>
      <c r="T234" s="18"/>
      <c r="U234" s="18"/>
      <c r="V234" s="18"/>
      <c r="W234" s="18"/>
      <c r="X234" s="18"/>
    </row>
    <row r="235" spans="13:24">
      <c r="M235" s="558">
        <f t="shared" si="14"/>
        <v>233</v>
      </c>
      <c r="N235" s="15">
        <f t="shared" si="12"/>
        <v>0.79388184370123893</v>
      </c>
      <c r="O235" s="165">
        <f t="shared" si="13"/>
        <v>0.44</v>
      </c>
      <c r="P235" s="18"/>
      <c r="Q235" s="18"/>
      <c r="R235" s="18"/>
      <c r="S235" s="18"/>
      <c r="T235" s="18"/>
      <c r="U235" s="18"/>
      <c r="V235" s="18"/>
      <c r="W235" s="18"/>
      <c r="X235" s="18"/>
    </row>
    <row r="236" spans="13:24">
      <c r="M236" s="558">
        <f t="shared" si="14"/>
        <v>234</v>
      </c>
      <c r="N236" s="15">
        <f t="shared" si="12"/>
        <v>0.79340900777759193</v>
      </c>
      <c r="O236" s="165">
        <f t="shared" si="13"/>
        <v>0.44</v>
      </c>
      <c r="P236" s="18"/>
      <c r="Q236" s="18"/>
      <c r="R236" s="18"/>
      <c r="S236" s="18"/>
      <c r="T236" s="18"/>
      <c r="U236" s="18"/>
      <c r="V236" s="18"/>
      <c r="W236" s="18"/>
      <c r="X236" s="18"/>
    </row>
    <row r="237" spans="13:24">
      <c r="M237" s="558">
        <f t="shared" si="14"/>
        <v>235</v>
      </c>
      <c r="N237" s="15">
        <f t="shared" si="12"/>
        <v>0.79293670076000367</v>
      </c>
      <c r="O237" s="165">
        <f t="shared" si="13"/>
        <v>0.44</v>
      </c>
      <c r="P237" s="18"/>
      <c r="Q237" s="18"/>
      <c r="R237" s="18"/>
      <c r="S237" s="18"/>
      <c r="T237" s="18"/>
      <c r="U237" s="18"/>
      <c r="V237" s="18"/>
      <c r="W237" s="18"/>
      <c r="X237" s="18"/>
    </row>
    <row r="238" spans="13:24">
      <c r="M238" s="558">
        <f t="shared" si="14"/>
        <v>236</v>
      </c>
      <c r="N238" s="15">
        <f t="shared" si="12"/>
        <v>0.79246492198473906</v>
      </c>
      <c r="O238" s="165">
        <f t="shared" si="13"/>
        <v>0.44</v>
      </c>
      <c r="P238" s="18"/>
      <c r="Q238" s="18"/>
      <c r="R238" s="18"/>
      <c r="S238" s="18"/>
      <c r="T238" s="18"/>
      <c r="U238" s="18"/>
      <c r="V238" s="18"/>
      <c r="W238" s="18"/>
      <c r="X238" s="18"/>
    </row>
    <row r="239" spans="13:24">
      <c r="M239" s="558">
        <f t="shared" si="14"/>
        <v>237</v>
      </c>
      <c r="N239" s="15">
        <f t="shared" si="12"/>
        <v>0.79199367078889726</v>
      </c>
      <c r="O239" s="165">
        <f t="shared" si="13"/>
        <v>0.44</v>
      </c>
      <c r="P239" s="18"/>
      <c r="Q239" s="18"/>
      <c r="R239" s="18"/>
      <c r="S239" s="18"/>
      <c r="T239" s="18"/>
      <c r="U239" s="18"/>
      <c r="V239" s="18"/>
      <c r="W239" s="18"/>
      <c r="X239" s="18"/>
    </row>
    <row r="240" spans="13:24">
      <c r="M240" s="558">
        <f t="shared" si="14"/>
        <v>238</v>
      </c>
      <c r="N240" s="15">
        <f t="shared" si="12"/>
        <v>0.79152294651040844</v>
      </c>
      <c r="O240" s="165">
        <f t="shared" si="13"/>
        <v>0.44</v>
      </c>
      <c r="P240" s="18"/>
      <c r="Q240" s="18"/>
      <c r="R240" s="18"/>
      <c r="S240" s="18"/>
      <c r="T240" s="18"/>
      <c r="U240" s="18"/>
      <c r="V240" s="18"/>
      <c r="W240" s="18"/>
      <c r="X240" s="18"/>
    </row>
    <row r="241" spans="13:24">
      <c r="M241" s="558">
        <f t="shared" si="14"/>
        <v>239</v>
      </c>
      <c r="N241" s="15">
        <f t="shared" si="12"/>
        <v>0.7910527484880332</v>
      </c>
      <c r="O241" s="165">
        <f t="shared" si="13"/>
        <v>0.44</v>
      </c>
      <c r="P241" s="18"/>
      <c r="Q241" s="18"/>
      <c r="R241" s="18"/>
      <c r="S241" s="18"/>
      <c r="T241" s="18"/>
      <c r="U241" s="18"/>
      <c r="V241" s="18"/>
      <c r="W241" s="18"/>
      <c r="X241" s="18"/>
    </row>
    <row r="242" spans="13:24">
      <c r="M242" s="558">
        <f t="shared" si="14"/>
        <v>240</v>
      </c>
      <c r="N242" s="15">
        <f t="shared" si="12"/>
        <v>0.79058307606136169</v>
      </c>
      <c r="O242" s="165">
        <f t="shared" si="13"/>
        <v>0.44</v>
      </c>
      <c r="P242" s="18"/>
      <c r="Q242" s="18"/>
      <c r="R242" s="18"/>
      <c r="S242" s="18"/>
      <c r="T242" s="18"/>
      <c r="U242" s="18"/>
      <c r="V242" s="18"/>
      <c r="W242" s="18"/>
      <c r="X242" s="18"/>
    </row>
    <row r="243" spans="13:24">
      <c r="M243" s="558">
        <f t="shared" si="14"/>
        <v>241</v>
      </c>
      <c r="N243" s="15">
        <f t="shared" si="12"/>
        <v>0.79011392857081497</v>
      </c>
      <c r="O243" s="165">
        <f t="shared" si="13"/>
        <v>0.44</v>
      </c>
      <c r="P243" s="18"/>
      <c r="Q243" s="18"/>
      <c r="R243" s="18"/>
      <c r="S243" s="18"/>
      <c r="T243" s="18"/>
      <c r="U243" s="18"/>
      <c r="V243" s="18"/>
      <c r="W243" s="18"/>
      <c r="X243" s="18"/>
    </row>
    <row r="244" spans="13:24">
      <c r="M244" s="558">
        <f t="shared" si="14"/>
        <v>242</v>
      </c>
      <c r="N244" s="15">
        <f t="shared" si="12"/>
        <v>0.78964530535763977</v>
      </c>
      <c r="O244" s="165">
        <f t="shared" si="13"/>
        <v>0.44</v>
      </c>
      <c r="P244" s="18"/>
      <c r="Q244" s="18"/>
      <c r="R244" s="18"/>
      <c r="S244" s="18"/>
      <c r="T244" s="18"/>
      <c r="U244" s="18"/>
      <c r="V244" s="18"/>
      <c r="W244" s="18"/>
      <c r="X244" s="18"/>
    </row>
    <row r="245" spans="13:24">
      <c r="M245" s="558">
        <f t="shared" si="14"/>
        <v>243</v>
      </c>
      <c r="N245" s="15">
        <f t="shared" si="12"/>
        <v>0.78917720576390948</v>
      </c>
      <c r="O245" s="165">
        <f t="shared" si="13"/>
        <v>0.44</v>
      </c>
      <c r="P245" s="18"/>
      <c r="Q245" s="18"/>
      <c r="R245" s="18"/>
      <c r="S245" s="18"/>
      <c r="T245" s="18"/>
      <c r="U245" s="18"/>
      <c r="V245" s="18"/>
      <c r="W245" s="18"/>
      <c r="X245" s="18"/>
    </row>
    <row r="246" spans="13:24">
      <c r="M246" s="558">
        <f t="shared" si="14"/>
        <v>244</v>
      </c>
      <c r="N246" s="15">
        <f t="shared" si="12"/>
        <v>0.78870962913252463</v>
      </c>
      <c r="O246" s="165">
        <f t="shared" si="13"/>
        <v>0.44</v>
      </c>
      <c r="P246" s="18"/>
      <c r="Q246" s="18"/>
      <c r="R246" s="18"/>
      <c r="S246" s="18"/>
      <c r="T246" s="18"/>
      <c r="U246" s="18"/>
      <c r="V246" s="18"/>
      <c r="W246" s="18"/>
      <c r="X246" s="18"/>
    </row>
    <row r="247" spans="13:24">
      <c r="M247" s="558">
        <f t="shared" si="14"/>
        <v>245</v>
      </c>
      <c r="N247" s="15">
        <f t="shared" si="12"/>
        <v>0.78824257480720938</v>
      </c>
      <c r="O247" s="165">
        <f t="shared" si="13"/>
        <v>0.44</v>
      </c>
      <c r="P247" s="18"/>
      <c r="Q247" s="18"/>
      <c r="R247" s="18"/>
      <c r="S247" s="18"/>
      <c r="T247" s="18"/>
      <c r="U247" s="18"/>
      <c r="V247" s="18"/>
      <c r="W247" s="18"/>
      <c r="X247" s="18"/>
    </row>
    <row r="248" spans="13:24">
      <c r="M248" s="558">
        <f t="shared" si="14"/>
        <v>246</v>
      </c>
      <c r="N248" s="15">
        <f t="shared" si="12"/>
        <v>0.78777604213251062</v>
      </c>
      <c r="O248" s="165">
        <f t="shared" si="13"/>
        <v>0.44</v>
      </c>
      <c r="P248" s="18"/>
      <c r="Q248" s="18"/>
      <c r="R248" s="18"/>
      <c r="S248" s="18"/>
      <c r="T248" s="18"/>
      <c r="U248" s="18"/>
      <c r="V248" s="18"/>
      <c r="W248" s="18"/>
      <c r="X248" s="18"/>
    </row>
    <row r="249" spans="13:24">
      <c r="M249" s="558">
        <f t="shared" si="14"/>
        <v>247</v>
      </c>
      <c r="N249" s="15">
        <f t="shared" si="12"/>
        <v>0.7873100304538001</v>
      </c>
      <c r="O249" s="165">
        <f t="shared" si="13"/>
        <v>0.44</v>
      </c>
      <c r="P249" s="18"/>
      <c r="Q249" s="18"/>
      <c r="R249" s="18"/>
      <c r="S249" s="18"/>
      <c r="T249" s="18"/>
      <c r="U249" s="18"/>
      <c r="V249" s="18"/>
      <c r="W249" s="18"/>
      <c r="X249" s="18"/>
    </row>
    <row r="250" spans="13:24">
      <c r="M250" s="558">
        <f t="shared" si="14"/>
        <v>248</v>
      </c>
      <c r="N250" s="15">
        <f t="shared" si="12"/>
        <v>0.78684453911726882</v>
      </c>
      <c r="O250" s="165">
        <f t="shared" si="13"/>
        <v>0.44</v>
      </c>
      <c r="P250" s="18"/>
      <c r="Q250" s="18"/>
      <c r="R250" s="18"/>
      <c r="S250" s="18"/>
      <c r="T250" s="18"/>
      <c r="U250" s="18"/>
      <c r="V250" s="18"/>
      <c r="W250" s="18"/>
      <c r="X250" s="18"/>
    </row>
    <row r="251" spans="13:24">
      <c r="M251" s="558">
        <f t="shared" si="14"/>
        <v>249</v>
      </c>
      <c r="N251" s="15">
        <f t="shared" si="12"/>
        <v>0.78637956746992876</v>
      </c>
      <c r="O251" s="165">
        <f t="shared" si="13"/>
        <v>0.44</v>
      </c>
      <c r="P251" s="18"/>
      <c r="Q251" s="18"/>
      <c r="R251" s="18"/>
      <c r="S251" s="18"/>
      <c r="T251" s="18"/>
      <c r="U251" s="18"/>
      <c r="V251" s="18"/>
      <c r="W251" s="18"/>
      <c r="X251" s="18"/>
    </row>
    <row r="252" spans="13:24">
      <c r="M252" s="558">
        <f t="shared" si="14"/>
        <v>250</v>
      </c>
      <c r="N252" s="15">
        <f t="shared" si="12"/>
        <v>0.78591511485961285</v>
      </c>
      <c r="O252" s="165">
        <f t="shared" si="13"/>
        <v>0.44</v>
      </c>
      <c r="P252" s="18"/>
      <c r="Q252" s="18"/>
      <c r="R252" s="18"/>
      <c r="S252" s="18"/>
      <c r="T252" s="18"/>
      <c r="U252" s="18"/>
      <c r="V252" s="18"/>
      <c r="W252" s="18"/>
      <c r="X252" s="18"/>
    </row>
    <row r="253" spans="13:24">
      <c r="M253" s="558">
        <f t="shared" si="14"/>
        <v>251</v>
      </c>
      <c r="N253" s="15">
        <f t="shared" si="12"/>
        <v>0.78545118063497088</v>
      </c>
      <c r="O253" s="165">
        <f t="shared" si="13"/>
        <v>0.44</v>
      </c>
      <c r="P253" s="18"/>
      <c r="Q253" s="18"/>
      <c r="R253" s="18"/>
      <c r="S253" s="18"/>
      <c r="T253" s="18"/>
      <c r="U253" s="18"/>
      <c r="V253" s="18"/>
      <c r="W253" s="18"/>
      <c r="X253" s="18"/>
    </row>
    <row r="254" spans="13:24">
      <c r="M254" s="558">
        <f t="shared" si="14"/>
        <v>252</v>
      </c>
      <c r="N254" s="15">
        <f t="shared" si="12"/>
        <v>0.78498776414546967</v>
      </c>
      <c r="O254" s="165">
        <f t="shared" si="13"/>
        <v>0.44</v>
      </c>
      <c r="P254" s="18"/>
      <c r="Q254" s="18"/>
      <c r="R254" s="18"/>
      <c r="S254" s="18"/>
      <c r="T254" s="18"/>
      <c r="U254" s="18"/>
      <c r="V254" s="18"/>
      <c r="W254" s="18"/>
      <c r="X254" s="18"/>
    </row>
    <row r="255" spans="13:24">
      <c r="M255" s="558">
        <f t="shared" si="14"/>
        <v>253</v>
      </c>
      <c r="N255" s="15">
        <f t="shared" si="12"/>
        <v>0.78452486474139438</v>
      </c>
      <c r="O255" s="165">
        <f t="shared" si="13"/>
        <v>0.44</v>
      </c>
      <c r="P255" s="18"/>
      <c r="Q255" s="18"/>
      <c r="R255" s="18"/>
      <c r="S255" s="18"/>
      <c r="T255" s="18"/>
      <c r="U255" s="18"/>
      <c r="V255" s="18"/>
      <c r="W255" s="18"/>
      <c r="X255" s="18"/>
    </row>
    <row r="256" spans="13:24">
      <c r="M256" s="558">
        <f t="shared" si="14"/>
        <v>254</v>
      </c>
      <c r="N256" s="15">
        <f t="shared" si="12"/>
        <v>0.78406248177384441</v>
      </c>
      <c r="O256" s="165">
        <f t="shared" si="13"/>
        <v>0.44</v>
      </c>
      <c r="P256" s="18"/>
      <c r="Q256" s="18"/>
      <c r="R256" s="18"/>
      <c r="S256" s="18"/>
      <c r="T256" s="18"/>
      <c r="U256" s="18"/>
      <c r="V256" s="18"/>
      <c r="W256" s="18"/>
      <c r="X256" s="18"/>
    </row>
    <row r="257" spans="13:24">
      <c r="M257" s="558">
        <f t="shared" si="14"/>
        <v>255</v>
      </c>
      <c r="N257" s="15">
        <f t="shared" si="12"/>
        <v>0.78360061459473151</v>
      </c>
      <c r="O257" s="165">
        <f t="shared" si="13"/>
        <v>0.44</v>
      </c>
      <c r="P257" s="18"/>
      <c r="Q257" s="18"/>
      <c r="R257" s="18"/>
      <c r="S257" s="18"/>
      <c r="T257" s="18"/>
      <c r="U257" s="18"/>
      <c r="V257" s="18"/>
      <c r="W257" s="18"/>
      <c r="X257" s="18"/>
    </row>
    <row r="258" spans="13:24">
      <c r="M258" s="558">
        <f t="shared" si="14"/>
        <v>256</v>
      </c>
      <c r="N258" s="15">
        <f t="shared" si="12"/>
        <v>0.78313926255678457</v>
      </c>
      <c r="O258" s="165">
        <f t="shared" si="13"/>
        <v>0.44</v>
      </c>
      <c r="P258" s="18"/>
      <c r="Q258" s="18"/>
      <c r="R258" s="18"/>
      <c r="S258" s="18"/>
      <c r="T258" s="18"/>
      <c r="U258" s="18"/>
      <c r="V258" s="18"/>
      <c r="W258" s="18"/>
      <c r="X258" s="18"/>
    </row>
    <row r="259" spans="13:24">
      <c r="M259" s="558">
        <f t="shared" si="14"/>
        <v>257</v>
      </c>
      <c r="N259" s="15">
        <f t="shared" si="12"/>
        <v>0.78267842501354212</v>
      </c>
      <c r="O259" s="165">
        <f t="shared" si="13"/>
        <v>0.44</v>
      </c>
      <c r="P259" s="18"/>
      <c r="Q259" s="18"/>
      <c r="R259" s="18"/>
      <c r="S259" s="18"/>
      <c r="T259" s="18"/>
      <c r="U259" s="18"/>
      <c r="V259" s="18"/>
      <c r="W259" s="18"/>
      <c r="X259" s="18"/>
    </row>
    <row r="260" spans="13:24">
      <c r="M260" s="558">
        <f t="shared" si="14"/>
        <v>258</v>
      </c>
      <c r="N260" s="15">
        <f t="shared" ref="N260:N323" si="15">IF(M260&lt;$B$31+1,$B$32+$B$33/$B$31*(8760-M260)+$B$34*IF(M260&lt;$B$36-$B$31/(2*$B$35),1,IF(M260&lt;$B$36+$B$31/(2*$B$35),COS(PI()/2*(M260-($B$36-$B$31/(2*$B$35)))*$B$35/$B$31)^2,0))+$B$37*EXP((8760-M260)/8760*$B$38)/EXP($B$38)-(8760-$B$31)*$B$33/$B$31,0)</f>
        <v>0.78221810131935388</v>
      </c>
      <c r="O260" s="165">
        <f t="shared" ref="O260:O323" si="16">MIN(N260,C$24)</f>
        <v>0.44</v>
      </c>
      <c r="P260" s="18"/>
      <c r="Q260" s="18"/>
      <c r="R260" s="18"/>
      <c r="S260" s="18"/>
      <c r="T260" s="18"/>
      <c r="U260" s="18"/>
      <c r="V260" s="18"/>
      <c r="W260" s="18"/>
      <c r="X260" s="18"/>
    </row>
    <row r="261" spans="13:24">
      <c r="M261" s="558">
        <f t="shared" ref="M261:M324" si="17">M260+1</f>
        <v>259</v>
      </c>
      <c r="N261" s="15">
        <f t="shared" si="15"/>
        <v>0.78175829082938186</v>
      </c>
      <c r="O261" s="165">
        <f t="shared" si="16"/>
        <v>0.44</v>
      </c>
      <c r="P261" s="18"/>
      <c r="Q261" s="18"/>
      <c r="R261" s="18"/>
      <c r="S261" s="18"/>
      <c r="T261" s="18"/>
      <c r="U261" s="18"/>
      <c r="V261" s="18"/>
      <c r="W261" s="18"/>
      <c r="X261" s="18"/>
    </row>
    <row r="262" spans="13:24">
      <c r="M262" s="558">
        <f t="shared" si="17"/>
        <v>260</v>
      </c>
      <c r="N262" s="15">
        <f t="shared" si="15"/>
        <v>0.7812989928995957</v>
      </c>
      <c r="O262" s="165">
        <f t="shared" si="16"/>
        <v>0.44</v>
      </c>
      <c r="P262" s="18"/>
      <c r="Q262" s="18"/>
      <c r="R262" s="18"/>
      <c r="S262" s="18"/>
      <c r="T262" s="18"/>
      <c r="U262" s="18"/>
      <c r="V262" s="18"/>
      <c r="W262" s="18"/>
      <c r="X262" s="18"/>
    </row>
    <row r="263" spans="13:24">
      <c r="M263" s="558">
        <f t="shared" si="17"/>
        <v>261</v>
      </c>
      <c r="N263" s="15">
        <f t="shared" si="15"/>
        <v>0.78084020688677236</v>
      </c>
      <c r="O263" s="165">
        <f t="shared" si="16"/>
        <v>0.44</v>
      </c>
      <c r="P263" s="18"/>
      <c r="Q263" s="18"/>
      <c r="R263" s="18"/>
      <c r="S263" s="18"/>
      <c r="T263" s="18"/>
      <c r="U263" s="18"/>
      <c r="V263" s="18"/>
      <c r="W263" s="18"/>
      <c r="X263" s="18"/>
    </row>
    <row r="264" spans="13:24">
      <c r="M264" s="558">
        <f t="shared" si="17"/>
        <v>262</v>
      </c>
      <c r="N264" s="15">
        <f t="shared" si="15"/>
        <v>0.7803819321484986</v>
      </c>
      <c r="O264" s="165">
        <f t="shared" si="16"/>
        <v>0.44</v>
      </c>
      <c r="P264" s="18"/>
      <c r="Q264" s="18"/>
      <c r="R264" s="18"/>
      <c r="S264" s="18"/>
      <c r="T264" s="18"/>
      <c r="U264" s="18"/>
      <c r="V264" s="18"/>
      <c r="W264" s="18"/>
      <c r="X264" s="18"/>
    </row>
    <row r="265" spans="13:24">
      <c r="M265" s="558">
        <f t="shared" si="17"/>
        <v>263</v>
      </c>
      <c r="N265" s="15">
        <f t="shared" si="15"/>
        <v>0.77992416804316544</v>
      </c>
      <c r="O265" s="165">
        <f t="shared" si="16"/>
        <v>0.44</v>
      </c>
      <c r="P265" s="18"/>
      <c r="Q265" s="18"/>
      <c r="R265" s="18"/>
      <c r="S265" s="18"/>
      <c r="T265" s="18"/>
      <c r="U265" s="18"/>
      <c r="V265" s="18"/>
      <c r="W265" s="18"/>
      <c r="X265" s="18"/>
    </row>
    <row r="266" spans="13:24">
      <c r="M266" s="558">
        <f t="shared" si="17"/>
        <v>264</v>
      </c>
      <c r="N266" s="15">
        <f t="shared" si="15"/>
        <v>0.77946691392996903</v>
      </c>
      <c r="O266" s="165">
        <f t="shared" si="16"/>
        <v>0.44</v>
      </c>
      <c r="P266" s="18"/>
      <c r="Q266" s="18"/>
      <c r="R266" s="18"/>
      <c r="S266" s="18"/>
      <c r="T266" s="18"/>
      <c r="U266" s="18"/>
      <c r="V266" s="18"/>
      <c r="W266" s="18"/>
      <c r="X266" s="18"/>
    </row>
    <row r="267" spans="13:24">
      <c r="M267" s="558">
        <f t="shared" si="17"/>
        <v>265</v>
      </c>
      <c r="N267" s="15">
        <f t="shared" si="15"/>
        <v>0.77901016916891108</v>
      </c>
      <c r="O267" s="165">
        <f t="shared" si="16"/>
        <v>0.44</v>
      </c>
      <c r="P267" s="18"/>
      <c r="Q267" s="18"/>
      <c r="R267" s="18"/>
      <c r="S267" s="18"/>
      <c r="T267" s="18"/>
      <c r="U267" s="18"/>
      <c r="V267" s="18"/>
      <c r="W267" s="18"/>
      <c r="X267" s="18"/>
    </row>
    <row r="268" spans="13:24">
      <c r="M268" s="558">
        <f t="shared" si="17"/>
        <v>266</v>
      </c>
      <c r="N268" s="15">
        <f t="shared" si="15"/>
        <v>0.77855393312079502</v>
      </c>
      <c r="O268" s="165">
        <f t="shared" si="16"/>
        <v>0.44</v>
      </c>
      <c r="P268" s="18"/>
      <c r="Q268" s="18"/>
      <c r="R268" s="18"/>
      <c r="S268" s="18"/>
      <c r="T268" s="18"/>
      <c r="U268" s="18"/>
      <c r="V268" s="18"/>
      <c r="W268" s="18"/>
      <c r="X268" s="18"/>
    </row>
    <row r="269" spans="13:24">
      <c r="M269" s="558">
        <f t="shared" si="17"/>
        <v>267</v>
      </c>
      <c r="N269" s="15">
        <f t="shared" si="15"/>
        <v>0.7780982051472265</v>
      </c>
      <c r="O269" s="165">
        <f t="shared" si="16"/>
        <v>0.44</v>
      </c>
      <c r="P269" s="18"/>
      <c r="Q269" s="18"/>
      <c r="R269" s="18"/>
      <c r="S269" s="18"/>
      <c r="T269" s="18"/>
      <c r="U269" s="18"/>
      <c r="V269" s="18"/>
      <c r="W269" s="18"/>
      <c r="X269" s="18"/>
    </row>
    <row r="270" spans="13:24">
      <c r="M270" s="558">
        <f t="shared" si="17"/>
        <v>268</v>
      </c>
      <c r="N270" s="15">
        <f t="shared" si="15"/>
        <v>0.7776429846106141</v>
      </c>
      <c r="O270" s="165">
        <f t="shared" si="16"/>
        <v>0.44</v>
      </c>
      <c r="P270" s="18"/>
      <c r="Q270" s="18"/>
      <c r="R270" s="18"/>
      <c r="S270" s="18"/>
      <c r="T270" s="18"/>
      <c r="U270" s="18"/>
      <c r="V270" s="18"/>
      <c r="W270" s="18"/>
      <c r="X270" s="18"/>
    </row>
    <row r="271" spans="13:24">
      <c r="M271" s="558">
        <f t="shared" si="17"/>
        <v>269</v>
      </c>
      <c r="N271" s="15">
        <f t="shared" si="15"/>
        <v>0.7771882708741642</v>
      </c>
      <c r="O271" s="165">
        <f t="shared" si="16"/>
        <v>0.44</v>
      </c>
      <c r="P271" s="18"/>
      <c r="Q271" s="18"/>
      <c r="R271" s="18"/>
      <c r="S271" s="18"/>
      <c r="T271" s="18"/>
      <c r="U271" s="18"/>
      <c r="V271" s="18"/>
      <c r="W271" s="18"/>
      <c r="X271" s="18"/>
    </row>
    <row r="272" spans="13:24">
      <c r="M272" s="558">
        <f t="shared" si="17"/>
        <v>270</v>
      </c>
      <c r="N272" s="15">
        <f t="shared" si="15"/>
        <v>0.77673406330188288</v>
      </c>
      <c r="O272" s="165">
        <f t="shared" si="16"/>
        <v>0.44</v>
      </c>
      <c r="P272" s="18"/>
      <c r="Q272" s="18"/>
      <c r="R272" s="18"/>
      <c r="S272" s="18"/>
      <c r="T272" s="18"/>
      <c r="U272" s="18"/>
      <c r="V272" s="18"/>
      <c r="W272" s="18"/>
      <c r="X272" s="18"/>
    </row>
    <row r="273" spans="13:24">
      <c r="M273" s="558">
        <f t="shared" si="17"/>
        <v>271</v>
      </c>
      <c r="N273" s="15">
        <f t="shared" si="15"/>
        <v>0.77628036125857625</v>
      </c>
      <c r="O273" s="165">
        <f t="shared" si="16"/>
        <v>0.44</v>
      </c>
      <c r="P273" s="18"/>
      <c r="Q273" s="18"/>
      <c r="R273" s="18"/>
      <c r="S273" s="18"/>
      <c r="T273" s="18"/>
      <c r="U273" s="18"/>
      <c r="V273" s="18"/>
      <c r="W273" s="18"/>
      <c r="X273" s="18"/>
    </row>
    <row r="274" spans="13:24">
      <c r="M274" s="558">
        <f t="shared" si="17"/>
        <v>272</v>
      </c>
      <c r="N274" s="15">
        <f t="shared" si="15"/>
        <v>0.77582716410984487</v>
      </c>
      <c r="O274" s="165">
        <f t="shared" si="16"/>
        <v>0.44</v>
      </c>
      <c r="P274" s="18"/>
      <c r="Q274" s="18"/>
      <c r="R274" s="18"/>
      <c r="S274" s="18"/>
      <c r="T274" s="18"/>
      <c r="U274" s="18"/>
      <c r="V274" s="18"/>
      <c r="W274" s="18"/>
      <c r="X274" s="18"/>
    </row>
    <row r="275" spans="13:24">
      <c r="M275" s="558">
        <f t="shared" si="17"/>
        <v>273</v>
      </c>
      <c r="N275" s="15">
        <f t="shared" si="15"/>
        <v>0.77537447122208702</v>
      </c>
      <c r="O275" s="165">
        <f t="shared" si="16"/>
        <v>0.44</v>
      </c>
      <c r="P275" s="18"/>
      <c r="Q275" s="18"/>
      <c r="R275" s="18"/>
      <c r="S275" s="18"/>
      <c r="T275" s="18"/>
      <c r="U275" s="18"/>
      <c r="V275" s="18"/>
      <c r="W275" s="18"/>
      <c r="X275" s="18"/>
    </row>
    <row r="276" spans="13:24">
      <c r="M276" s="558">
        <f t="shared" si="17"/>
        <v>274</v>
      </c>
      <c r="N276" s="15">
        <f t="shared" si="15"/>
        <v>0.77492228196249502</v>
      </c>
      <c r="O276" s="165">
        <f t="shared" si="16"/>
        <v>0.44</v>
      </c>
      <c r="P276" s="18"/>
      <c r="Q276" s="18"/>
      <c r="R276" s="18"/>
      <c r="S276" s="18"/>
      <c r="T276" s="18"/>
      <c r="U276" s="18"/>
      <c r="V276" s="18"/>
      <c r="W276" s="18"/>
      <c r="X276" s="18"/>
    </row>
    <row r="277" spans="13:24">
      <c r="M277" s="558">
        <f t="shared" si="17"/>
        <v>275</v>
      </c>
      <c r="N277" s="15">
        <f t="shared" si="15"/>
        <v>0.77447059569905707</v>
      </c>
      <c r="O277" s="165">
        <f t="shared" si="16"/>
        <v>0.44</v>
      </c>
      <c r="P277" s="18"/>
      <c r="Q277" s="18"/>
      <c r="R277" s="18"/>
      <c r="S277" s="18"/>
      <c r="T277" s="18"/>
      <c r="U277" s="18"/>
      <c r="V277" s="18"/>
      <c r="W277" s="18"/>
      <c r="X277" s="18"/>
    </row>
    <row r="278" spans="13:24">
      <c r="M278" s="558">
        <f t="shared" si="17"/>
        <v>276</v>
      </c>
      <c r="N278" s="15">
        <f t="shared" si="15"/>
        <v>0.77401941180055278</v>
      </c>
      <c r="O278" s="165">
        <f t="shared" si="16"/>
        <v>0.44</v>
      </c>
      <c r="P278" s="18"/>
      <c r="Q278" s="18"/>
      <c r="R278" s="18"/>
      <c r="S278" s="18"/>
      <c r="T278" s="18"/>
      <c r="U278" s="18"/>
      <c r="V278" s="18"/>
      <c r="W278" s="18"/>
      <c r="X278" s="18"/>
    </row>
    <row r="279" spans="13:24">
      <c r="M279" s="558">
        <f t="shared" si="17"/>
        <v>277</v>
      </c>
      <c r="N279" s="15">
        <f t="shared" si="15"/>
        <v>0.7735687296365541</v>
      </c>
      <c r="O279" s="165">
        <f t="shared" si="16"/>
        <v>0.44</v>
      </c>
      <c r="P279" s="18"/>
      <c r="Q279" s="18"/>
      <c r="R279" s="18"/>
      <c r="S279" s="18"/>
      <c r="T279" s="18"/>
      <c r="U279" s="18"/>
      <c r="V279" s="18"/>
      <c r="W279" s="18"/>
      <c r="X279" s="18"/>
    </row>
    <row r="280" spans="13:24">
      <c r="M280" s="558">
        <f t="shared" si="17"/>
        <v>278</v>
      </c>
      <c r="N280" s="15">
        <f t="shared" si="15"/>
        <v>0.77311854857742546</v>
      </c>
      <c r="O280" s="165">
        <f t="shared" si="16"/>
        <v>0.44</v>
      </c>
      <c r="P280" s="18"/>
      <c r="Q280" s="18"/>
      <c r="R280" s="18"/>
      <c r="S280" s="18"/>
      <c r="T280" s="18"/>
      <c r="U280" s="18"/>
      <c r="V280" s="18"/>
      <c r="W280" s="18"/>
      <c r="X280" s="18"/>
    </row>
    <row r="281" spans="13:24">
      <c r="M281" s="558">
        <f t="shared" si="17"/>
        <v>279</v>
      </c>
      <c r="N281" s="15">
        <f t="shared" si="15"/>
        <v>0.77266886799431989</v>
      </c>
      <c r="O281" s="165">
        <f t="shared" si="16"/>
        <v>0.44</v>
      </c>
      <c r="P281" s="18"/>
      <c r="Q281" s="18"/>
      <c r="R281" s="18"/>
      <c r="S281" s="18"/>
      <c r="T281" s="18"/>
      <c r="U281" s="18"/>
      <c r="V281" s="18"/>
      <c r="W281" s="18"/>
      <c r="X281" s="18"/>
    </row>
    <row r="282" spans="13:24">
      <c r="M282" s="558">
        <f t="shared" si="17"/>
        <v>280</v>
      </c>
      <c r="N282" s="15">
        <f t="shared" si="15"/>
        <v>0.77221968725917989</v>
      </c>
      <c r="O282" s="165">
        <f t="shared" si="16"/>
        <v>0.44</v>
      </c>
      <c r="P282" s="18"/>
      <c r="Q282" s="18"/>
      <c r="R282" s="18"/>
      <c r="S282" s="18"/>
      <c r="T282" s="18"/>
      <c r="U282" s="18"/>
      <c r="V282" s="18"/>
      <c r="W282" s="18"/>
      <c r="X282" s="18"/>
    </row>
    <row r="283" spans="13:24">
      <c r="M283" s="558">
        <f t="shared" si="17"/>
        <v>281</v>
      </c>
      <c r="N283" s="15">
        <f t="shared" si="15"/>
        <v>0.77177100574473778</v>
      </c>
      <c r="O283" s="165">
        <f t="shared" si="16"/>
        <v>0.44</v>
      </c>
      <c r="P283" s="18"/>
      <c r="Q283" s="18"/>
      <c r="R283" s="18"/>
      <c r="S283" s="18"/>
      <c r="T283" s="18"/>
      <c r="U283" s="18"/>
      <c r="V283" s="18"/>
      <c r="W283" s="18"/>
      <c r="X283" s="18"/>
    </row>
    <row r="284" spans="13:24">
      <c r="M284" s="558">
        <f t="shared" si="17"/>
        <v>282</v>
      </c>
      <c r="N284" s="15">
        <f t="shared" si="15"/>
        <v>0.7713228228245097</v>
      </c>
      <c r="O284" s="165">
        <f t="shared" si="16"/>
        <v>0.44</v>
      </c>
      <c r="P284" s="18"/>
      <c r="Q284" s="18"/>
      <c r="R284" s="18"/>
      <c r="S284" s="18"/>
      <c r="T284" s="18"/>
      <c r="U284" s="18"/>
      <c r="V284" s="18"/>
      <c r="W284" s="18"/>
      <c r="X284" s="18"/>
    </row>
    <row r="285" spans="13:24">
      <c r="M285" s="558">
        <f t="shared" si="17"/>
        <v>283</v>
      </c>
      <c r="N285" s="15">
        <f t="shared" si="15"/>
        <v>0.77087513787280137</v>
      </c>
      <c r="O285" s="165">
        <f t="shared" si="16"/>
        <v>0.44</v>
      </c>
      <c r="P285" s="18"/>
      <c r="Q285" s="18"/>
      <c r="R285" s="18"/>
      <c r="S285" s="18"/>
      <c r="T285" s="18"/>
      <c r="U285" s="18"/>
      <c r="V285" s="18"/>
      <c r="W285" s="18"/>
      <c r="X285" s="18"/>
    </row>
    <row r="286" spans="13:24">
      <c r="M286" s="558">
        <f t="shared" si="17"/>
        <v>284</v>
      </c>
      <c r="N286" s="15">
        <f t="shared" si="15"/>
        <v>0.77042795026470201</v>
      </c>
      <c r="O286" s="165">
        <f t="shared" si="16"/>
        <v>0.44</v>
      </c>
      <c r="P286" s="18"/>
      <c r="Q286" s="18"/>
      <c r="R286" s="18"/>
      <c r="S286" s="18"/>
      <c r="T286" s="18"/>
      <c r="U286" s="18"/>
      <c r="V286" s="18"/>
      <c r="W286" s="18"/>
      <c r="X286" s="18"/>
    </row>
    <row r="287" spans="13:24">
      <c r="M287" s="558">
        <f t="shared" si="17"/>
        <v>285</v>
      </c>
      <c r="N287" s="15">
        <f t="shared" si="15"/>
        <v>0.76998125937608441</v>
      </c>
      <c r="O287" s="165">
        <f t="shared" si="16"/>
        <v>0.44</v>
      </c>
      <c r="P287" s="18"/>
      <c r="Q287" s="18"/>
      <c r="R287" s="18"/>
      <c r="S287" s="18"/>
      <c r="T287" s="18"/>
      <c r="U287" s="18"/>
      <c r="V287" s="18"/>
      <c r="W287" s="18"/>
      <c r="X287" s="18"/>
    </row>
    <row r="288" spans="13:24">
      <c r="M288" s="558">
        <f t="shared" si="17"/>
        <v>286</v>
      </c>
      <c r="N288" s="15">
        <f t="shared" si="15"/>
        <v>0.76953506458360721</v>
      </c>
      <c r="O288" s="165">
        <f t="shared" si="16"/>
        <v>0.44</v>
      </c>
      <c r="P288" s="18"/>
      <c r="Q288" s="18"/>
      <c r="R288" s="18"/>
      <c r="S288" s="18"/>
      <c r="T288" s="18"/>
      <c r="U288" s="18"/>
      <c r="V288" s="18"/>
      <c r="W288" s="18"/>
      <c r="X288" s="18"/>
    </row>
    <row r="289" spans="13:24">
      <c r="M289" s="558">
        <f t="shared" si="17"/>
        <v>287</v>
      </c>
      <c r="N289" s="15">
        <f t="shared" si="15"/>
        <v>0.76908936526470839</v>
      </c>
      <c r="O289" s="165">
        <f t="shared" si="16"/>
        <v>0.44</v>
      </c>
      <c r="P289" s="18"/>
      <c r="Q289" s="18"/>
      <c r="R289" s="18"/>
      <c r="S289" s="18"/>
      <c r="T289" s="18"/>
      <c r="U289" s="18"/>
      <c r="V289" s="18"/>
      <c r="W289" s="18"/>
      <c r="X289" s="18"/>
    </row>
    <row r="290" spans="13:24">
      <c r="M290" s="558">
        <f t="shared" si="17"/>
        <v>288</v>
      </c>
      <c r="N290" s="15">
        <f t="shared" si="15"/>
        <v>0.76864416079760878</v>
      </c>
      <c r="O290" s="165">
        <f t="shared" si="16"/>
        <v>0.44</v>
      </c>
      <c r="P290" s="18"/>
      <c r="Q290" s="18"/>
      <c r="R290" s="18"/>
      <c r="S290" s="18"/>
      <c r="T290" s="18"/>
      <c r="U290" s="18"/>
      <c r="V290" s="18"/>
      <c r="W290" s="18"/>
      <c r="X290" s="18"/>
    </row>
    <row r="291" spans="13:24">
      <c r="M291" s="558">
        <f t="shared" si="17"/>
        <v>289</v>
      </c>
      <c r="N291" s="15">
        <f t="shared" si="15"/>
        <v>0.76819945056130834</v>
      </c>
      <c r="O291" s="165">
        <f t="shared" si="16"/>
        <v>0.44</v>
      </c>
      <c r="P291" s="18"/>
      <c r="Q291" s="18"/>
      <c r="R291" s="18"/>
      <c r="S291" s="18"/>
      <c r="T291" s="18"/>
      <c r="U291" s="18"/>
      <c r="V291" s="18"/>
      <c r="W291" s="18"/>
      <c r="X291" s="18"/>
    </row>
    <row r="292" spans="13:24">
      <c r="M292" s="558">
        <f t="shared" si="17"/>
        <v>290</v>
      </c>
      <c r="N292" s="15">
        <f t="shared" si="15"/>
        <v>0.76775523393558853</v>
      </c>
      <c r="O292" s="165">
        <f t="shared" si="16"/>
        <v>0.44</v>
      </c>
      <c r="P292" s="18"/>
      <c r="Q292" s="18"/>
      <c r="R292" s="18"/>
      <c r="S292" s="18"/>
      <c r="T292" s="18"/>
      <c r="U292" s="18"/>
      <c r="V292" s="18"/>
      <c r="W292" s="18"/>
      <c r="X292" s="18"/>
    </row>
    <row r="293" spans="13:24">
      <c r="M293" s="558">
        <f t="shared" si="17"/>
        <v>291</v>
      </c>
      <c r="N293" s="15">
        <f t="shared" si="15"/>
        <v>0.76731151030100686</v>
      </c>
      <c r="O293" s="165">
        <f t="shared" si="16"/>
        <v>0.44</v>
      </c>
      <c r="P293" s="18"/>
      <c r="Q293" s="18"/>
      <c r="R293" s="18"/>
      <c r="S293" s="18"/>
      <c r="T293" s="18"/>
      <c r="U293" s="18"/>
      <c r="V293" s="18"/>
      <c r="W293" s="18"/>
      <c r="X293" s="18"/>
    </row>
    <row r="294" spans="13:24">
      <c r="M294" s="558">
        <f t="shared" si="17"/>
        <v>292</v>
      </c>
      <c r="N294" s="15">
        <f t="shared" si="15"/>
        <v>0.76686827903889865</v>
      </c>
      <c r="O294" s="165">
        <f t="shared" si="16"/>
        <v>0.44</v>
      </c>
      <c r="P294" s="18"/>
      <c r="Q294" s="18"/>
      <c r="R294" s="18"/>
      <c r="S294" s="18"/>
      <c r="T294" s="18"/>
      <c r="U294" s="18"/>
      <c r="V294" s="18"/>
      <c r="W294" s="18"/>
      <c r="X294" s="18"/>
    </row>
    <row r="295" spans="13:24">
      <c r="M295" s="558">
        <f t="shared" si="17"/>
        <v>293</v>
      </c>
      <c r="N295" s="15">
        <f t="shared" si="15"/>
        <v>0.76642553953137693</v>
      </c>
      <c r="O295" s="165">
        <f t="shared" si="16"/>
        <v>0.44</v>
      </c>
      <c r="P295" s="18"/>
      <c r="Q295" s="18"/>
      <c r="R295" s="18"/>
      <c r="S295" s="18"/>
      <c r="T295" s="18"/>
      <c r="U295" s="18"/>
      <c r="V295" s="18"/>
      <c r="W295" s="18"/>
      <c r="X295" s="18"/>
    </row>
    <row r="296" spans="13:24">
      <c r="M296" s="558">
        <f t="shared" si="17"/>
        <v>294</v>
      </c>
      <c r="N296" s="15">
        <f t="shared" si="15"/>
        <v>0.76598329116132891</v>
      </c>
      <c r="O296" s="165">
        <f t="shared" si="16"/>
        <v>0.44</v>
      </c>
      <c r="P296" s="18"/>
      <c r="Q296" s="18"/>
      <c r="R296" s="18"/>
      <c r="S296" s="18"/>
      <c r="T296" s="18"/>
      <c r="U296" s="18"/>
      <c r="V296" s="18"/>
      <c r="W296" s="18"/>
      <c r="X296" s="18"/>
    </row>
    <row r="297" spans="13:24">
      <c r="M297" s="558">
        <f t="shared" si="17"/>
        <v>295</v>
      </c>
      <c r="N297" s="15">
        <f t="shared" si="15"/>
        <v>0.76554153331241559</v>
      </c>
      <c r="O297" s="165">
        <f t="shared" si="16"/>
        <v>0.44</v>
      </c>
      <c r="P297" s="18"/>
      <c r="Q297" s="18"/>
      <c r="R297" s="18"/>
      <c r="S297" s="18"/>
      <c r="T297" s="18"/>
      <c r="U297" s="18"/>
      <c r="V297" s="18"/>
      <c r="W297" s="18"/>
      <c r="X297" s="18"/>
    </row>
    <row r="298" spans="13:24">
      <c r="M298" s="558">
        <f t="shared" si="17"/>
        <v>296</v>
      </c>
      <c r="N298" s="15">
        <f t="shared" si="15"/>
        <v>0.76510026536907372</v>
      </c>
      <c r="O298" s="165">
        <f t="shared" si="16"/>
        <v>0.44</v>
      </c>
      <c r="P298" s="18"/>
      <c r="Q298" s="18"/>
      <c r="R298" s="18"/>
      <c r="S298" s="18"/>
      <c r="T298" s="18"/>
      <c r="U298" s="18"/>
      <c r="V298" s="18"/>
      <c r="W298" s="18"/>
      <c r="X298" s="18"/>
    </row>
    <row r="299" spans="13:24">
      <c r="M299" s="558">
        <f t="shared" si="17"/>
        <v>297</v>
      </c>
      <c r="N299" s="15">
        <f t="shared" si="15"/>
        <v>0.76465948671651063</v>
      </c>
      <c r="O299" s="165">
        <f t="shared" si="16"/>
        <v>0.44</v>
      </c>
      <c r="P299" s="18"/>
      <c r="Q299" s="18"/>
      <c r="R299" s="18"/>
      <c r="S299" s="18"/>
      <c r="T299" s="18"/>
      <c r="U299" s="18"/>
      <c r="V299" s="18"/>
      <c r="W299" s="18"/>
      <c r="X299" s="18"/>
    </row>
    <row r="300" spans="13:24">
      <c r="M300" s="558">
        <f t="shared" si="17"/>
        <v>298</v>
      </c>
      <c r="N300" s="15">
        <f t="shared" si="15"/>
        <v>0.76421919674070482</v>
      </c>
      <c r="O300" s="165">
        <f t="shared" si="16"/>
        <v>0.44</v>
      </c>
      <c r="P300" s="18"/>
      <c r="Q300" s="18"/>
      <c r="R300" s="18"/>
      <c r="S300" s="18"/>
      <c r="T300" s="18"/>
      <c r="U300" s="18"/>
      <c r="V300" s="18"/>
      <c r="W300" s="18"/>
      <c r="X300" s="18"/>
    </row>
    <row r="301" spans="13:24">
      <c r="M301" s="558">
        <f t="shared" si="17"/>
        <v>299</v>
      </c>
      <c r="N301" s="15">
        <f t="shared" si="15"/>
        <v>0.76377939482840773</v>
      </c>
      <c r="O301" s="165">
        <f t="shared" si="16"/>
        <v>0.44</v>
      </c>
      <c r="P301" s="18"/>
      <c r="Q301" s="18"/>
      <c r="R301" s="18"/>
      <c r="S301" s="18"/>
      <c r="T301" s="18"/>
      <c r="U301" s="18"/>
      <c r="V301" s="18"/>
      <c r="W301" s="18"/>
      <c r="X301" s="18"/>
    </row>
    <row r="302" spans="13:24">
      <c r="M302" s="558">
        <f t="shared" si="17"/>
        <v>300</v>
      </c>
      <c r="N302" s="15">
        <f t="shared" si="15"/>
        <v>0.76334008036713785</v>
      </c>
      <c r="O302" s="165">
        <f t="shared" si="16"/>
        <v>0.44</v>
      </c>
      <c r="P302" s="18"/>
      <c r="Q302" s="18"/>
      <c r="R302" s="18"/>
      <c r="S302" s="18"/>
      <c r="T302" s="18"/>
      <c r="U302" s="18"/>
      <c r="V302" s="18"/>
      <c r="W302" s="18"/>
      <c r="X302" s="18"/>
    </row>
    <row r="303" spans="13:24">
      <c r="M303" s="558">
        <f t="shared" si="17"/>
        <v>301</v>
      </c>
      <c r="N303" s="15">
        <f t="shared" si="15"/>
        <v>0.76290125274518372</v>
      </c>
      <c r="O303" s="165">
        <f t="shared" si="16"/>
        <v>0.44</v>
      </c>
      <c r="P303" s="18"/>
      <c r="Q303" s="18"/>
      <c r="R303" s="18"/>
      <c r="S303" s="18"/>
      <c r="T303" s="18"/>
      <c r="U303" s="18"/>
      <c r="V303" s="18"/>
      <c r="W303" s="18"/>
      <c r="X303" s="18"/>
    </row>
    <row r="304" spans="13:24">
      <c r="M304" s="558">
        <f t="shared" si="17"/>
        <v>302</v>
      </c>
      <c r="N304" s="15">
        <f t="shared" si="15"/>
        <v>0.76246291135160027</v>
      </c>
      <c r="O304" s="165">
        <f t="shared" si="16"/>
        <v>0.44</v>
      </c>
      <c r="P304" s="18"/>
      <c r="Q304" s="18"/>
      <c r="R304" s="18"/>
      <c r="S304" s="18"/>
      <c r="T304" s="18"/>
      <c r="U304" s="18"/>
      <c r="V304" s="18"/>
      <c r="W304" s="18"/>
      <c r="X304" s="18"/>
    </row>
    <row r="305" spans="13:24">
      <c r="M305" s="558">
        <f t="shared" si="17"/>
        <v>303</v>
      </c>
      <c r="N305" s="15">
        <f t="shared" si="15"/>
        <v>0.76202505557621114</v>
      </c>
      <c r="O305" s="165">
        <f t="shared" si="16"/>
        <v>0.44</v>
      </c>
      <c r="P305" s="18"/>
      <c r="Q305" s="18"/>
      <c r="R305" s="18"/>
      <c r="S305" s="18"/>
      <c r="T305" s="18"/>
      <c r="U305" s="18"/>
      <c r="V305" s="18"/>
      <c r="W305" s="18"/>
      <c r="X305" s="18"/>
    </row>
    <row r="306" spans="13:24">
      <c r="M306" s="558">
        <f t="shared" si="17"/>
        <v>304</v>
      </c>
      <c r="N306" s="15">
        <f t="shared" si="15"/>
        <v>0.7615876848096037</v>
      </c>
      <c r="O306" s="165">
        <f t="shared" si="16"/>
        <v>0.44</v>
      </c>
      <c r="P306" s="18"/>
      <c r="Q306" s="18"/>
      <c r="R306" s="18"/>
      <c r="S306" s="18"/>
      <c r="T306" s="18"/>
      <c r="U306" s="18"/>
      <c r="V306" s="18"/>
      <c r="W306" s="18"/>
      <c r="X306" s="18"/>
    </row>
    <row r="307" spans="13:24">
      <c r="M307" s="558">
        <f t="shared" si="17"/>
        <v>305</v>
      </c>
      <c r="N307" s="15">
        <f t="shared" si="15"/>
        <v>0.76115079844313094</v>
      </c>
      <c r="O307" s="165">
        <f t="shared" si="16"/>
        <v>0.44</v>
      </c>
      <c r="P307" s="18"/>
      <c r="Q307" s="18"/>
      <c r="R307" s="18"/>
      <c r="S307" s="18"/>
      <c r="T307" s="18"/>
      <c r="U307" s="18"/>
      <c r="V307" s="18"/>
      <c r="W307" s="18"/>
      <c r="X307" s="18"/>
    </row>
    <row r="308" spans="13:24">
      <c r="M308" s="558">
        <f t="shared" si="17"/>
        <v>306</v>
      </c>
      <c r="N308" s="15">
        <f t="shared" si="15"/>
        <v>0.76071439586890999</v>
      </c>
      <c r="O308" s="165">
        <f t="shared" si="16"/>
        <v>0.44</v>
      </c>
      <c r="P308" s="18"/>
      <c r="Q308" s="18"/>
      <c r="R308" s="18"/>
      <c r="S308" s="18"/>
      <c r="T308" s="18"/>
      <c r="U308" s="18"/>
      <c r="V308" s="18"/>
      <c r="W308" s="18"/>
      <c r="X308" s="18"/>
    </row>
    <row r="309" spans="13:24">
      <c r="M309" s="558">
        <f t="shared" si="17"/>
        <v>307</v>
      </c>
      <c r="N309" s="15">
        <f t="shared" si="15"/>
        <v>0.76027847647982028</v>
      </c>
      <c r="O309" s="165">
        <f t="shared" si="16"/>
        <v>0.44</v>
      </c>
      <c r="P309" s="18"/>
      <c r="Q309" s="18"/>
      <c r="R309" s="18"/>
      <c r="S309" s="18"/>
      <c r="T309" s="18"/>
      <c r="U309" s="18"/>
      <c r="V309" s="18"/>
      <c r="W309" s="18"/>
      <c r="X309" s="18"/>
    </row>
    <row r="310" spans="13:24">
      <c r="M310" s="558">
        <f t="shared" si="17"/>
        <v>308</v>
      </c>
      <c r="N310" s="15">
        <f t="shared" si="15"/>
        <v>0.75984303966950317</v>
      </c>
      <c r="O310" s="165">
        <f t="shared" si="16"/>
        <v>0.44</v>
      </c>
      <c r="P310" s="18"/>
      <c r="Q310" s="18"/>
      <c r="R310" s="18"/>
      <c r="S310" s="18"/>
      <c r="T310" s="18"/>
      <c r="U310" s="18"/>
      <c r="V310" s="18"/>
      <c r="W310" s="18"/>
      <c r="X310" s="18"/>
    </row>
    <row r="311" spans="13:24">
      <c r="M311" s="558">
        <f t="shared" si="17"/>
        <v>309</v>
      </c>
      <c r="N311" s="15">
        <f t="shared" si="15"/>
        <v>0.75940808483236122</v>
      </c>
      <c r="O311" s="165">
        <f t="shared" si="16"/>
        <v>0.44</v>
      </c>
      <c r="P311" s="18"/>
      <c r="Q311" s="18"/>
      <c r="R311" s="18"/>
      <c r="S311" s="18"/>
      <c r="T311" s="18"/>
      <c r="U311" s="18"/>
      <c r="V311" s="18"/>
      <c r="W311" s="18"/>
      <c r="X311" s="18"/>
    </row>
    <row r="312" spans="13:24">
      <c r="M312" s="558">
        <f t="shared" si="17"/>
        <v>310</v>
      </c>
      <c r="N312" s="15">
        <f t="shared" si="15"/>
        <v>0.7589736113635559</v>
      </c>
      <c r="O312" s="165">
        <f t="shared" si="16"/>
        <v>0.44</v>
      </c>
      <c r="P312" s="18"/>
      <c r="Q312" s="18"/>
      <c r="R312" s="18"/>
      <c r="S312" s="18"/>
      <c r="T312" s="18"/>
      <c r="U312" s="18"/>
      <c r="V312" s="18"/>
      <c r="W312" s="18"/>
      <c r="X312" s="18"/>
    </row>
    <row r="313" spans="13:24">
      <c r="M313" s="558">
        <f t="shared" si="17"/>
        <v>311</v>
      </c>
      <c r="N313" s="15">
        <f t="shared" si="15"/>
        <v>0.7585396186590101</v>
      </c>
      <c r="O313" s="165">
        <f t="shared" si="16"/>
        <v>0.44</v>
      </c>
      <c r="P313" s="18"/>
      <c r="Q313" s="18"/>
      <c r="R313" s="18"/>
      <c r="S313" s="18"/>
      <c r="T313" s="18"/>
      <c r="U313" s="18"/>
      <c r="V313" s="18"/>
      <c r="W313" s="18"/>
      <c r="X313" s="18"/>
    </row>
    <row r="314" spans="13:24">
      <c r="M314" s="558">
        <f t="shared" si="17"/>
        <v>312</v>
      </c>
      <c r="N314" s="15">
        <f t="shared" si="15"/>
        <v>0.75810610611540241</v>
      </c>
      <c r="O314" s="165">
        <f t="shared" si="16"/>
        <v>0.44</v>
      </c>
      <c r="P314" s="18"/>
      <c r="Q314" s="18"/>
      <c r="R314" s="18"/>
      <c r="S314" s="18"/>
      <c r="T314" s="18"/>
      <c r="U314" s="18"/>
      <c r="V314" s="18"/>
      <c r="W314" s="18"/>
      <c r="X314" s="18"/>
    </row>
    <row r="315" spans="13:24">
      <c r="M315" s="558">
        <f t="shared" si="17"/>
        <v>313</v>
      </c>
      <c r="N315" s="15">
        <f t="shared" si="15"/>
        <v>0.75767307313016907</v>
      </c>
      <c r="O315" s="165">
        <f t="shared" si="16"/>
        <v>0.44</v>
      </c>
      <c r="P315" s="18"/>
      <c r="Q315" s="18"/>
      <c r="R315" s="18"/>
      <c r="S315" s="18"/>
      <c r="T315" s="18"/>
      <c r="U315" s="18"/>
      <c r="V315" s="18"/>
      <c r="W315" s="18"/>
      <c r="X315" s="18"/>
    </row>
    <row r="316" spans="13:24">
      <c r="M316" s="558">
        <f t="shared" si="17"/>
        <v>314</v>
      </c>
      <c r="N316" s="15">
        <f t="shared" si="15"/>
        <v>0.75724051910150381</v>
      </c>
      <c r="O316" s="165">
        <f t="shared" si="16"/>
        <v>0.44</v>
      </c>
      <c r="P316" s="18"/>
      <c r="Q316" s="18"/>
      <c r="R316" s="18"/>
      <c r="S316" s="18"/>
      <c r="T316" s="18"/>
      <c r="U316" s="18"/>
      <c r="V316" s="18"/>
      <c r="W316" s="18"/>
      <c r="X316" s="18"/>
    </row>
    <row r="317" spans="13:24">
      <c r="M317" s="558">
        <f t="shared" si="17"/>
        <v>315</v>
      </c>
      <c r="N317" s="15">
        <f t="shared" si="15"/>
        <v>0.75680844342835407</v>
      </c>
      <c r="O317" s="165">
        <f t="shared" si="16"/>
        <v>0.44</v>
      </c>
      <c r="P317" s="18"/>
      <c r="Q317" s="18"/>
      <c r="R317" s="18"/>
      <c r="S317" s="18"/>
      <c r="T317" s="18"/>
      <c r="U317" s="18"/>
      <c r="V317" s="18"/>
      <c r="W317" s="18"/>
      <c r="X317" s="18"/>
    </row>
    <row r="318" spans="13:24">
      <c r="M318" s="558">
        <f t="shared" si="17"/>
        <v>316</v>
      </c>
      <c r="N318" s="15">
        <f t="shared" si="15"/>
        <v>0.75637684551042206</v>
      </c>
      <c r="O318" s="165">
        <f t="shared" si="16"/>
        <v>0.44</v>
      </c>
      <c r="P318" s="18"/>
      <c r="Q318" s="18"/>
      <c r="R318" s="18"/>
      <c r="S318" s="18"/>
      <c r="T318" s="18"/>
      <c r="U318" s="18"/>
      <c r="V318" s="18"/>
      <c r="W318" s="18"/>
      <c r="X318" s="18"/>
    </row>
    <row r="319" spans="13:24">
      <c r="M319" s="558">
        <f t="shared" si="17"/>
        <v>317</v>
      </c>
      <c r="N319" s="15">
        <f t="shared" si="15"/>
        <v>0.75594572474816302</v>
      </c>
      <c r="O319" s="165">
        <f t="shared" si="16"/>
        <v>0.44</v>
      </c>
      <c r="P319" s="18"/>
      <c r="Q319" s="18"/>
      <c r="R319" s="18"/>
      <c r="S319" s="18"/>
      <c r="T319" s="18"/>
      <c r="U319" s="18"/>
      <c r="V319" s="18"/>
      <c r="W319" s="18"/>
      <c r="X319" s="18"/>
    </row>
    <row r="320" spans="13:24">
      <c r="M320" s="558">
        <f t="shared" si="17"/>
        <v>318</v>
      </c>
      <c r="N320" s="15">
        <f t="shared" si="15"/>
        <v>0.75551508054278582</v>
      </c>
      <c r="O320" s="165">
        <f t="shared" si="16"/>
        <v>0.44</v>
      </c>
      <c r="P320" s="18"/>
      <c r="Q320" s="18"/>
      <c r="R320" s="18"/>
      <c r="S320" s="18"/>
      <c r="T320" s="18"/>
      <c r="U320" s="18"/>
      <c r="V320" s="18"/>
      <c r="W320" s="18"/>
      <c r="X320" s="18"/>
    </row>
    <row r="321" spans="13:24">
      <c r="M321" s="558">
        <f t="shared" si="17"/>
        <v>319</v>
      </c>
      <c r="N321" s="15">
        <f t="shared" si="15"/>
        <v>0.7550849122962493</v>
      </c>
      <c r="O321" s="165">
        <f t="shared" si="16"/>
        <v>0.44</v>
      </c>
      <c r="P321" s="18"/>
      <c r="Q321" s="18"/>
      <c r="R321" s="18"/>
      <c r="S321" s="18"/>
      <c r="T321" s="18"/>
      <c r="U321" s="18"/>
      <c r="V321" s="18"/>
      <c r="W321" s="18"/>
      <c r="X321" s="18"/>
    </row>
    <row r="322" spans="13:24">
      <c r="M322" s="558">
        <f t="shared" si="17"/>
        <v>320</v>
      </c>
      <c r="N322" s="15">
        <f t="shared" si="15"/>
        <v>0.75465521941126268</v>
      </c>
      <c r="O322" s="165">
        <f t="shared" si="16"/>
        <v>0.44</v>
      </c>
      <c r="P322" s="18"/>
      <c r="Q322" s="18"/>
      <c r="R322" s="18"/>
      <c r="S322" s="18"/>
      <c r="T322" s="18"/>
      <c r="U322" s="18"/>
      <c r="V322" s="18"/>
      <c r="W322" s="18"/>
      <c r="X322" s="18"/>
    </row>
    <row r="323" spans="13:24">
      <c r="M323" s="558">
        <f t="shared" si="17"/>
        <v>321</v>
      </c>
      <c r="N323" s="15">
        <f t="shared" si="15"/>
        <v>0.75422600129128681</v>
      </c>
      <c r="O323" s="165">
        <f t="shared" si="16"/>
        <v>0.44</v>
      </c>
      <c r="P323" s="18"/>
      <c r="Q323" s="18"/>
      <c r="R323" s="18"/>
      <c r="S323" s="18"/>
      <c r="T323" s="18"/>
      <c r="U323" s="18"/>
      <c r="V323" s="18"/>
      <c r="W323" s="18"/>
      <c r="X323" s="18"/>
    </row>
    <row r="324" spans="13:24">
      <c r="M324" s="558">
        <f t="shared" si="17"/>
        <v>322</v>
      </c>
      <c r="N324" s="15">
        <f t="shared" ref="N324:N387" si="18">IF(M324&lt;$B$31+1,$B$32+$B$33/$B$31*(8760-M324)+$B$34*IF(M324&lt;$B$36-$B$31/(2*$B$35),1,IF(M324&lt;$B$36+$B$31/(2*$B$35),COS(PI()/2*(M324-($B$36-$B$31/(2*$B$35)))*$B$35/$B$31)^2,0))+$B$37*EXP((8760-M324)/8760*$B$38)/EXP($B$38)-(8760-$B$31)*$B$33/$B$31,0)</f>
        <v>0.75379725734052894</v>
      </c>
      <c r="O324" s="165">
        <f t="shared" ref="O324:O387" si="19">MIN(N324,C$24)</f>
        <v>0.44</v>
      </c>
      <c r="P324" s="18"/>
      <c r="Q324" s="18"/>
      <c r="R324" s="18"/>
      <c r="S324" s="18"/>
      <c r="T324" s="18"/>
      <c r="U324" s="18"/>
      <c r="V324" s="18"/>
      <c r="W324" s="18"/>
      <c r="X324" s="18"/>
    </row>
    <row r="325" spans="13:24">
      <c r="M325" s="558">
        <f t="shared" ref="M325:M388" si="20">M324+1</f>
        <v>323</v>
      </c>
      <c r="N325" s="15">
        <f t="shared" si="18"/>
        <v>0.75336898696394416</v>
      </c>
      <c r="O325" s="165">
        <f t="shared" si="19"/>
        <v>0.44</v>
      </c>
      <c r="P325" s="18"/>
      <c r="Q325" s="18"/>
      <c r="R325" s="18"/>
      <c r="S325" s="18"/>
      <c r="T325" s="18"/>
      <c r="U325" s="18"/>
      <c r="V325" s="18"/>
      <c r="W325" s="18"/>
      <c r="X325" s="18"/>
    </row>
    <row r="326" spans="13:24">
      <c r="M326" s="558">
        <f t="shared" si="20"/>
        <v>324</v>
      </c>
      <c r="N326" s="15">
        <f t="shared" si="18"/>
        <v>0.75294118956723621</v>
      </c>
      <c r="O326" s="165">
        <f t="shared" si="19"/>
        <v>0.44</v>
      </c>
      <c r="P326" s="18"/>
      <c r="Q326" s="18"/>
      <c r="R326" s="18"/>
      <c r="S326" s="18"/>
      <c r="T326" s="18"/>
      <c r="U326" s="18"/>
      <c r="V326" s="18"/>
      <c r="W326" s="18"/>
      <c r="X326" s="18"/>
    </row>
    <row r="327" spans="13:24">
      <c r="M327" s="558">
        <f t="shared" si="20"/>
        <v>325</v>
      </c>
      <c r="N327" s="15">
        <f t="shared" si="18"/>
        <v>0.75251386455685276</v>
      </c>
      <c r="O327" s="165">
        <f t="shared" si="19"/>
        <v>0.44</v>
      </c>
      <c r="P327" s="18"/>
      <c r="Q327" s="18"/>
      <c r="R327" s="18"/>
      <c r="S327" s="18"/>
      <c r="T327" s="18"/>
      <c r="U327" s="18"/>
      <c r="V327" s="18"/>
      <c r="W327" s="18"/>
      <c r="X327" s="18"/>
    </row>
    <row r="328" spans="13:24">
      <c r="M328" s="558">
        <f t="shared" si="20"/>
        <v>326</v>
      </c>
      <c r="N328" s="15">
        <f t="shared" si="18"/>
        <v>0.75208701133998623</v>
      </c>
      <c r="O328" s="165">
        <f t="shared" si="19"/>
        <v>0.44</v>
      </c>
      <c r="P328" s="18"/>
      <c r="Q328" s="18"/>
      <c r="R328" s="18"/>
      <c r="S328" s="18"/>
      <c r="T328" s="18"/>
      <c r="U328" s="18"/>
      <c r="V328" s="18"/>
      <c r="W328" s="18"/>
      <c r="X328" s="18"/>
    </row>
    <row r="329" spans="13:24">
      <c r="M329" s="558">
        <f t="shared" si="20"/>
        <v>327</v>
      </c>
      <c r="N329" s="15">
        <f t="shared" si="18"/>
        <v>0.75166062932457478</v>
      </c>
      <c r="O329" s="165">
        <f t="shared" si="19"/>
        <v>0.44</v>
      </c>
      <c r="P329" s="18"/>
      <c r="Q329" s="18"/>
      <c r="R329" s="18"/>
      <c r="S329" s="18"/>
      <c r="T329" s="18"/>
      <c r="U329" s="18"/>
      <c r="V329" s="18"/>
      <c r="W329" s="18"/>
      <c r="X329" s="18"/>
    </row>
    <row r="330" spans="13:24">
      <c r="M330" s="558">
        <f t="shared" si="20"/>
        <v>328</v>
      </c>
      <c r="N330" s="15">
        <f t="shared" si="18"/>
        <v>0.75123471791929797</v>
      </c>
      <c r="O330" s="165">
        <f t="shared" si="19"/>
        <v>0.44</v>
      </c>
      <c r="P330" s="18"/>
      <c r="Q330" s="18"/>
      <c r="R330" s="18"/>
      <c r="S330" s="18"/>
      <c r="T330" s="18"/>
      <c r="U330" s="18"/>
      <c r="V330" s="18"/>
      <c r="W330" s="18"/>
      <c r="X330" s="18"/>
    </row>
    <row r="331" spans="13:24">
      <c r="M331" s="558">
        <f t="shared" si="20"/>
        <v>329</v>
      </c>
      <c r="N331" s="15">
        <f t="shared" si="18"/>
        <v>0.75080927653357732</v>
      </c>
      <c r="O331" s="165">
        <f t="shared" si="19"/>
        <v>0.44</v>
      </c>
      <c r="P331" s="18"/>
      <c r="Q331" s="18"/>
      <c r="R331" s="18"/>
      <c r="S331" s="18"/>
      <c r="T331" s="18"/>
      <c r="U331" s="18"/>
      <c r="V331" s="18"/>
      <c r="W331" s="18"/>
      <c r="X331" s="18"/>
    </row>
    <row r="332" spans="13:24">
      <c r="M332" s="558">
        <f t="shared" si="20"/>
        <v>330</v>
      </c>
      <c r="N332" s="15">
        <f t="shared" si="18"/>
        <v>0.75038430457757688</v>
      </c>
      <c r="O332" s="165">
        <f t="shared" si="19"/>
        <v>0.44</v>
      </c>
      <c r="P332" s="18"/>
      <c r="Q332" s="18"/>
      <c r="R332" s="18"/>
      <c r="S332" s="18"/>
      <c r="T332" s="18"/>
      <c r="U332" s="18"/>
      <c r="V332" s="18"/>
      <c r="W332" s="18"/>
      <c r="X332" s="18"/>
    </row>
    <row r="333" spans="13:24">
      <c r="M333" s="558">
        <f t="shared" si="20"/>
        <v>331</v>
      </c>
      <c r="N333" s="15">
        <f t="shared" si="18"/>
        <v>0.74995980146219998</v>
      </c>
      <c r="O333" s="165">
        <f t="shared" si="19"/>
        <v>0.44</v>
      </c>
      <c r="P333" s="18"/>
      <c r="Q333" s="18"/>
      <c r="R333" s="18"/>
      <c r="S333" s="18"/>
      <c r="T333" s="18"/>
      <c r="U333" s="18"/>
      <c r="V333" s="18"/>
      <c r="W333" s="18"/>
      <c r="X333" s="18"/>
    </row>
    <row r="334" spans="13:24">
      <c r="M334" s="558">
        <f t="shared" si="20"/>
        <v>332</v>
      </c>
      <c r="N334" s="15">
        <f t="shared" si="18"/>
        <v>0.74953576659908827</v>
      </c>
      <c r="O334" s="165">
        <f t="shared" si="19"/>
        <v>0.44</v>
      </c>
      <c r="P334" s="18"/>
      <c r="Q334" s="18"/>
      <c r="R334" s="18"/>
      <c r="S334" s="18"/>
      <c r="T334" s="18"/>
      <c r="U334" s="18"/>
      <c r="V334" s="18"/>
      <c r="W334" s="18"/>
      <c r="X334" s="18"/>
    </row>
    <row r="335" spans="13:24">
      <c r="M335" s="558">
        <f t="shared" si="20"/>
        <v>333</v>
      </c>
      <c r="N335" s="15">
        <f t="shared" si="18"/>
        <v>0.74911219940062412</v>
      </c>
      <c r="O335" s="165">
        <f t="shared" si="19"/>
        <v>0.44</v>
      </c>
      <c r="P335" s="18"/>
      <c r="Q335" s="18"/>
      <c r="R335" s="18"/>
      <c r="S335" s="18"/>
      <c r="T335" s="18"/>
      <c r="U335" s="18"/>
      <c r="V335" s="18"/>
      <c r="W335" s="18"/>
      <c r="X335" s="18"/>
    </row>
    <row r="336" spans="13:24">
      <c r="M336" s="558">
        <f t="shared" si="20"/>
        <v>334</v>
      </c>
      <c r="N336" s="15">
        <f t="shared" si="18"/>
        <v>0.74868909927992577</v>
      </c>
      <c r="O336" s="165">
        <f t="shared" si="19"/>
        <v>0.44</v>
      </c>
      <c r="P336" s="18"/>
      <c r="Q336" s="18"/>
      <c r="R336" s="18"/>
      <c r="S336" s="18"/>
      <c r="T336" s="18"/>
      <c r="U336" s="18"/>
      <c r="V336" s="18"/>
      <c r="W336" s="18"/>
      <c r="X336" s="18"/>
    </row>
    <row r="337" spans="13:24">
      <c r="M337" s="558">
        <f t="shared" si="20"/>
        <v>335</v>
      </c>
      <c r="N337" s="15">
        <f t="shared" si="18"/>
        <v>0.74826646565084676</v>
      </c>
      <c r="O337" s="165">
        <f t="shared" si="19"/>
        <v>0.44</v>
      </c>
      <c r="P337" s="18"/>
      <c r="Q337" s="18"/>
      <c r="R337" s="18"/>
      <c r="S337" s="18"/>
      <c r="T337" s="18"/>
      <c r="U337" s="18"/>
      <c r="V337" s="18"/>
      <c r="W337" s="18"/>
      <c r="X337" s="18"/>
    </row>
    <row r="338" spans="13:24">
      <c r="M338" s="558">
        <f t="shared" si="20"/>
        <v>336</v>
      </c>
      <c r="N338" s="15">
        <f t="shared" si="18"/>
        <v>0.74784429792797891</v>
      </c>
      <c r="O338" s="165">
        <f t="shared" si="19"/>
        <v>0.44</v>
      </c>
      <c r="P338" s="18"/>
      <c r="Q338" s="18"/>
      <c r="R338" s="18"/>
      <c r="S338" s="18"/>
      <c r="T338" s="18"/>
      <c r="U338" s="18"/>
      <c r="V338" s="18"/>
      <c r="W338" s="18"/>
      <c r="X338" s="18"/>
    </row>
    <row r="339" spans="13:24">
      <c r="M339" s="558">
        <f t="shared" si="20"/>
        <v>337</v>
      </c>
      <c r="N339" s="15">
        <f t="shared" si="18"/>
        <v>0.74742259552664714</v>
      </c>
      <c r="O339" s="165">
        <f t="shared" si="19"/>
        <v>0.44</v>
      </c>
      <c r="P339" s="18"/>
      <c r="Q339" s="18"/>
      <c r="R339" s="18"/>
      <c r="S339" s="18"/>
      <c r="T339" s="18"/>
      <c r="U339" s="18"/>
      <c r="V339" s="18"/>
      <c r="W339" s="18"/>
      <c r="X339" s="18"/>
    </row>
    <row r="340" spans="13:24">
      <c r="M340" s="558">
        <f t="shared" si="20"/>
        <v>338</v>
      </c>
      <c r="N340" s="15">
        <f t="shared" si="18"/>
        <v>0.74700135786290944</v>
      </c>
      <c r="O340" s="165">
        <f t="shared" si="19"/>
        <v>0.44</v>
      </c>
      <c r="P340" s="18"/>
      <c r="Q340" s="18"/>
      <c r="R340" s="18"/>
      <c r="S340" s="18"/>
      <c r="T340" s="18"/>
      <c r="U340" s="18"/>
      <c r="V340" s="18"/>
      <c r="W340" s="18"/>
      <c r="X340" s="18"/>
    </row>
    <row r="341" spans="13:24">
      <c r="M341" s="558">
        <f t="shared" si="20"/>
        <v>339</v>
      </c>
      <c r="N341" s="15">
        <f t="shared" si="18"/>
        <v>0.74658058435355856</v>
      </c>
      <c r="O341" s="165">
        <f t="shared" si="19"/>
        <v>0.44</v>
      </c>
      <c r="P341" s="18"/>
      <c r="Q341" s="18"/>
      <c r="R341" s="18"/>
      <c r="S341" s="18"/>
      <c r="T341" s="18"/>
      <c r="U341" s="18"/>
      <c r="V341" s="18"/>
      <c r="W341" s="18"/>
      <c r="X341" s="18"/>
    </row>
    <row r="342" spans="13:24">
      <c r="M342" s="558">
        <f t="shared" si="20"/>
        <v>340</v>
      </c>
      <c r="N342" s="15">
        <f t="shared" si="18"/>
        <v>0.74616027441611776</v>
      </c>
      <c r="O342" s="165">
        <f t="shared" si="19"/>
        <v>0.44</v>
      </c>
      <c r="P342" s="18"/>
      <c r="Q342" s="18"/>
      <c r="R342" s="18"/>
      <c r="S342" s="18"/>
      <c r="T342" s="18"/>
      <c r="U342" s="18"/>
      <c r="V342" s="18"/>
      <c r="W342" s="18"/>
      <c r="X342" s="18"/>
    </row>
    <row r="343" spans="13:24">
      <c r="M343" s="558">
        <f t="shared" si="20"/>
        <v>341</v>
      </c>
      <c r="N343" s="15">
        <f t="shared" si="18"/>
        <v>0.74574042746884062</v>
      </c>
      <c r="O343" s="165">
        <f t="shared" si="19"/>
        <v>0.44</v>
      </c>
      <c r="P343" s="18"/>
      <c r="Q343" s="18"/>
      <c r="R343" s="18"/>
      <c r="S343" s="18"/>
      <c r="T343" s="18"/>
      <c r="U343" s="18"/>
      <c r="V343" s="18"/>
      <c r="W343" s="18"/>
      <c r="X343" s="18"/>
    </row>
    <row r="344" spans="13:24">
      <c r="M344" s="558">
        <f t="shared" si="20"/>
        <v>342</v>
      </c>
      <c r="N344" s="15">
        <f t="shared" si="18"/>
        <v>0.745321042930713</v>
      </c>
      <c r="O344" s="165">
        <f t="shared" si="19"/>
        <v>0.44</v>
      </c>
      <c r="P344" s="18"/>
      <c r="Q344" s="18"/>
      <c r="R344" s="18"/>
      <c r="S344" s="18"/>
      <c r="T344" s="18"/>
      <c r="U344" s="18"/>
      <c r="V344" s="18"/>
      <c r="W344" s="18"/>
      <c r="X344" s="18"/>
    </row>
    <row r="345" spans="13:24">
      <c r="M345" s="558">
        <f t="shared" si="20"/>
        <v>343</v>
      </c>
      <c r="N345" s="15">
        <f t="shared" si="18"/>
        <v>0.74490212022144786</v>
      </c>
      <c r="O345" s="165">
        <f t="shared" si="19"/>
        <v>0.44</v>
      </c>
      <c r="P345" s="18"/>
      <c r="Q345" s="18"/>
      <c r="R345" s="18"/>
      <c r="S345" s="18"/>
      <c r="T345" s="18"/>
      <c r="U345" s="18"/>
      <c r="V345" s="18"/>
      <c r="W345" s="18"/>
      <c r="X345" s="18"/>
    </row>
    <row r="346" spans="13:24">
      <c r="M346" s="558">
        <f t="shared" si="20"/>
        <v>344</v>
      </c>
      <c r="N346" s="15">
        <f t="shared" si="18"/>
        <v>0.7444836587614867</v>
      </c>
      <c r="O346" s="165">
        <f t="shared" si="19"/>
        <v>0.44</v>
      </c>
      <c r="P346" s="18"/>
      <c r="Q346" s="18"/>
      <c r="R346" s="18"/>
      <c r="S346" s="18"/>
      <c r="T346" s="18"/>
      <c r="U346" s="18"/>
      <c r="V346" s="18"/>
      <c r="W346" s="18"/>
      <c r="X346" s="18"/>
    </row>
    <row r="347" spans="13:24">
      <c r="M347" s="558">
        <f t="shared" si="20"/>
        <v>345</v>
      </c>
      <c r="N347" s="15">
        <f t="shared" si="18"/>
        <v>0.74406565797199953</v>
      </c>
      <c r="O347" s="165">
        <f t="shared" si="19"/>
        <v>0.44</v>
      </c>
      <c r="P347" s="18"/>
      <c r="Q347" s="18"/>
      <c r="R347" s="18"/>
      <c r="S347" s="18"/>
      <c r="T347" s="18"/>
      <c r="U347" s="18"/>
      <c r="V347" s="18"/>
      <c r="W347" s="18"/>
      <c r="X347" s="18"/>
    </row>
    <row r="348" spans="13:24">
      <c r="M348" s="558">
        <f t="shared" si="20"/>
        <v>346</v>
      </c>
      <c r="N348" s="15">
        <f t="shared" si="18"/>
        <v>0.74364811727488156</v>
      </c>
      <c r="O348" s="165">
        <f t="shared" si="19"/>
        <v>0.44</v>
      </c>
      <c r="P348" s="18"/>
      <c r="Q348" s="18"/>
      <c r="R348" s="18"/>
      <c r="S348" s="18"/>
      <c r="T348" s="18"/>
      <c r="U348" s="18"/>
      <c r="V348" s="18"/>
      <c r="W348" s="18"/>
      <c r="X348" s="18"/>
    </row>
    <row r="349" spans="13:24">
      <c r="M349" s="558">
        <f t="shared" si="20"/>
        <v>347</v>
      </c>
      <c r="N349" s="15">
        <f t="shared" si="18"/>
        <v>0.74323103609275321</v>
      </c>
      <c r="O349" s="165">
        <f t="shared" si="19"/>
        <v>0.44</v>
      </c>
      <c r="P349" s="18"/>
      <c r="Q349" s="18"/>
      <c r="R349" s="18"/>
      <c r="S349" s="18"/>
      <c r="T349" s="18"/>
      <c r="U349" s="18"/>
      <c r="V349" s="18"/>
      <c r="W349" s="18"/>
      <c r="X349" s="18"/>
    </row>
    <row r="350" spans="13:24">
      <c r="M350" s="558">
        <f t="shared" si="20"/>
        <v>348</v>
      </c>
      <c r="N350" s="15">
        <f t="shared" si="18"/>
        <v>0.74281441384896119</v>
      </c>
      <c r="O350" s="165">
        <f t="shared" si="19"/>
        <v>0.44</v>
      </c>
      <c r="P350" s="18"/>
      <c r="Q350" s="18"/>
      <c r="R350" s="18"/>
      <c r="S350" s="18"/>
      <c r="T350" s="18"/>
      <c r="U350" s="18"/>
      <c r="V350" s="18"/>
      <c r="W350" s="18"/>
      <c r="X350" s="18"/>
    </row>
    <row r="351" spans="13:24">
      <c r="M351" s="558">
        <f t="shared" si="20"/>
        <v>349</v>
      </c>
      <c r="N351" s="15">
        <f t="shared" si="18"/>
        <v>0.74239824996757409</v>
      </c>
      <c r="O351" s="165">
        <f t="shared" si="19"/>
        <v>0.44</v>
      </c>
      <c r="P351" s="18"/>
      <c r="Q351" s="18"/>
      <c r="R351" s="18"/>
      <c r="S351" s="18"/>
      <c r="T351" s="18"/>
      <c r="U351" s="18"/>
      <c r="V351" s="18"/>
      <c r="W351" s="18"/>
      <c r="X351" s="18"/>
    </row>
    <row r="352" spans="13:24">
      <c r="M352" s="558">
        <f t="shared" si="20"/>
        <v>350</v>
      </c>
      <c r="N352" s="15">
        <f t="shared" si="18"/>
        <v>0.74198254387338403</v>
      </c>
      <c r="O352" s="165">
        <f t="shared" si="19"/>
        <v>0.44</v>
      </c>
      <c r="P352" s="18"/>
      <c r="Q352" s="18"/>
      <c r="R352" s="18"/>
      <c r="S352" s="18"/>
      <c r="T352" s="18"/>
      <c r="U352" s="18"/>
      <c r="V352" s="18"/>
      <c r="W352" s="18"/>
      <c r="X352" s="18"/>
    </row>
    <row r="353" spans="13:24">
      <c r="M353" s="558">
        <f t="shared" si="20"/>
        <v>351</v>
      </c>
      <c r="N353" s="15">
        <f t="shared" si="18"/>
        <v>0.7415672949919041</v>
      </c>
      <c r="O353" s="165">
        <f t="shared" si="19"/>
        <v>0.44</v>
      </c>
      <c r="P353" s="18"/>
      <c r="Q353" s="18"/>
      <c r="R353" s="18"/>
      <c r="S353" s="18"/>
      <c r="T353" s="18"/>
      <c r="U353" s="18"/>
      <c r="V353" s="18"/>
      <c r="W353" s="18"/>
      <c r="X353" s="18"/>
    </row>
    <row r="354" spans="13:24">
      <c r="M354" s="558">
        <f t="shared" si="20"/>
        <v>352</v>
      </c>
      <c r="N354" s="15">
        <f t="shared" si="18"/>
        <v>0.7411525027493705</v>
      </c>
      <c r="O354" s="165">
        <f t="shared" si="19"/>
        <v>0.44</v>
      </c>
      <c r="P354" s="18"/>
      <c r="Q354" s="18"/>
      <c r="R354" s="18"/>
      <c r="S354" s="18"/>
      <c r="T354" s="18"/>
      <c r="U354" s="18"/>
      <c r="V354" s="18"/>
      <c r="W354" s="18"/>
      <c r="X354" s="18"/>
    </row>
    <row r="355" spans="13:24">
      <c r="M355" s="558">
        <f t="shared" si="20"/>
        <v>353</v>
      </c>
      <c r="N355" s="15">
        <f t="shared" si="18"/>
        <v>0.74073816657273706</v>
      </c>
      <c r="O355" s="165">
        <f t="shared" si="19"/>
        <v>0.44</v>
      </c>
      <c r="P355" s="18"/>
      <c r="Q355" s="18"/>
      <c r="R355" s="18"/>
      <c r="S355" s="18"/>
      <c r="T355" s="18"/>
      <c r="U355" s="18"/>
      <c r="V355" s="18"/>
      <c r="W355" s="18"/>
      <c r="X355" s="18"/>
    </row>
    <row r="356" spans="13:24">
      <c r="M356" s="558">
        <f t="shared" si="20"/>
        <v>354</v>
      </c>
      <c r="N356" s="15">
        <f t="shared" si="18"/>
        <v>0.74032428588967758</v>
      </c>
      <c r="O356" s="165">
        <f t="shared" si="19"/>
        <v>0.44</v>
      </c>
      <c r="P356" s="18"/>
      <c r="Q356" s="18"/>
      <c r="R356" s="18"/>
      <c r="S356" s="18"/>
      <c r="T356" s="18"/>
      <c r="U356" s="18"/>
      <c r="V356" s="18"/>
      <c r="W356" s="18"/>
      <c r="X356" s="18"/>
    </row>
    <row r="357" spans="13:24">
      <c r="M357" s="558">
        <f t="shared" si="20"/>
        <v>355</v>
      </c>
      <c r="N357" s="15">
        <f t="shared" si="18"/>
        <v>0.73991086012858509</v>
      </c>
      <c r="O357" s="165">
        <f t="shared" si="19"/>
        <v>0.44</v>
      </c>
      <c r="P357" s="18"/>
      <c r="Q357" s="18"/>
      <c r="R357" s="18"/>
      <c r="S357" s="18"/>
      <c r="T357" s="18"/>
      <c r="U357" s="18"/>
      <c r="V357" s="18"/>
      <c r="W357" s="18"/>
      <c r="X357" s="18"/>
    </row>
    <row r="358" spans="13:24">
      <c r="M358" s="558">
        <f t="shared" si="20"/>
        <v>356</v>
      </c>
      <c r="N358" s="15">
        <f t="shared" si="18"/>
        <v>0.73949788871856836</v>
      </c>
      <c r="O358" s="165">
        <f t="shared" si="19"/>
        <v>0.44</v>
      </c>
      <c r="P358" s="18"/>
      <c r="Q358" s="18"/>
      <c r="R358" s="18"/>
      <c r="S358" s="18"/>
      <c r="T358" s="18"/>
      <c r="U358" s="18"/>
      <c r="V358" s="18"/>
      <c r="W358" s="18"/>
      <c r="X358" s="18"/>
    </row>
    <row r="359" spans="13:24">
      <c r="M359" s="558">
        <f t="shared" si="20"/>
        <v>357</v>
      </c>
      <c r="N359" s="15">
        <f t="shared" si="18"/>
        <v>0.73908537108945294</v>
      </c>
      <c r="O359" s="165">
        <f t="shared" si="19"/>
        <v>0.44</v>
      </c>
      <c r="P359" s="18"/>
      <c r="Q359" s="18"/>
      <c r="R359" s="18"/>
      <c r="S359" s="18"/>
      <c r="T359" s="18"/>
      <c r="U359" s="18"/>
      <c r="V359" s="18"/>
      <c r="W359" s="18"/>
      <c r="X359" s="18"/>
    </row>
    <row r="360" spans="13:24">
      <c r="M360" s="558">
        <f t="shared" si="20"/>
        <v>358</v>
      </c>
      <c r="N360" s="15">
        <f t="shared" si="18"/>
        <v>0.73867330667178122</v>
      </c>
      <c r="O360" s="165">
        <f t="shared" si="19"/>
        <v>0.44</v>
      </c>
      <c r="P360" s="18"/>
      <c r="Q360" s="18"/>
      <c r="R360" s="18"/>
      <c r="S360" s="18"/>
      <c r="T360" s="18"/>
      <c r="U360" s="18"/>
      <c r="V360" s="18"/>
      <c r="W360" s="18"/>
      <c r="X360" s="18"/>
    </row>
    <row r="361" spans="13:24">
      <c r="M361" s="558">
        <f t="shared" si="20"/>
        <v>359</v>
      </c>
      <c r="N361" s="15">
        <f t="shared" si="18"/>
        <v>0.73826169489680882</v>
      </c>
      <c r="O361" s="165">
        <f t="shared" si="19"/>
        <v>0.44</v>
      </c>
      <c r="P361" s="18"/>
      <c r="Q361" s="18"/>
      <c r="R361" s="18"/>
      <c r="S361" s="18"/>
      <c r="T361" s="18"/>
      <c r="U361" s="18"/>
      <c r="V361" s="18"/>
      <c r="W361" s="18"/>
      <c r="X361" s="18"/>
    </row>
    <row r="362" spans="13:24">
      <c r="M362" s="558">
        <f t="shared" si="20"/>
        <v>360</v>
      </c>
      <c r="N362" s="15">
        <f t="shared" si="18"/>
        <v>0.7378505351965049</v>
      </c>
      <c r="O362" s="165">
        <f t="shared" si="19"/>
        <v>0.44</v>
      </c>
      <c r="P362" s="18"/>
      <c r="Q362" s="18"/>
      <c r="R362" s="18"/>
      <c r="S362" s="18"/>
      <c r="T362" s="18"/>
      <c r="U362" s="18"/>
      <c r="V362" s="18"/>
      <c r="W362" s="18"/>
      <c r="X362" s="18"/>
    </row>
    <row r="363" spans="13:24">
      <c r="M363" s="558">
        <f t="shared" si="20"/>
        <v>361</v>
      </c>
      <c r="N363" s="15">
        <f t="shared" si="18"/>
        <v>0.73743982700355359</v>
      </c>
      <c r="O363" s="165">
        <f t="shared" si="19"/>
        <v>0.44</v>
      </c>
      <c r="P363" s="18"/>
      <c r="Q363" s="18"/>
      <c r="R363" s="18"/>
      <c r="S363" s="18"/>
      <c r="T363" s="18"/>
      <c r="U363" s="18"/>
      <c r="V363" s="18"/>
      <c r="W363" s="18"/>
      <c r="X363" s="18"/>
    </row>
    <row r="364" spans="13:24">
      <c r="M364" s="558">
        <f t="shared" si="20"/>
        <v>362</v>
      </c>
      <c r="N364" s="15">
        <f t="shared" si="18"/>
        <v>0.73702956975134737</v>
      </c>
      <c r="O364" s="165">
        <f t="shared" si="19"/>
        <v>0.44</v>
      </c>
      <c r="P364" s="18"/>
      <c r="Q364" s="18"/>
      <c r="R364" s="18"/>
      <c r="S364" s="18"/>
      <c r="T364" s="18"/>
      <c r="U364" s="18"/>
      <c r="V364" s="18"/>
      <c r="W364" s="18"/>
      <c r="X364" s="18"/>
    </row>
    <row r="365" spans="13:24">
      <c r="M365" s="558">
        <f t="shared" si="20"/>
        <v>363</v>
      </c>
      <c r="N365" s="15">
        <f t="shared" si="18"/>
        <v>0.73661976287399344</v>
      </c>
      <c r="O365" s="165">
        <f t="shared" si="19"/>
        <v>0.44</v>
      </c>
      <c r="P365" s="18"/>
      <c r="Q365" s="18"/>
      <c r="R365" s="18"/>
      <c r="S365" s="18"/>
      <c r="T365" s="18"/>
      <c r="U365" s="18"/>
      <c r="V365" s="18"/>
      <c r="W365" s="18"/>
      <c r="X365" s="18"/>
    </row>
    <row r="366" spans="13:24">
      <c r="M366" s="558">
        <f t="shared" si="20"/>
        <v>364</v>
      </c>
      <c r="N366" s="15">
        <f t="shared" si="18"/>
        <v>0.73621040580630681</v>
      </c>
      <c r="O366" s="165">
        <f t="shared" si="19"/>
        <v>0.44</v>
      </c>
      <c r="P366" s="18"/>
      <c r="Q366" s="18"/>
      <c r="R366" s="18"/>
      <c r="S366" s="18"/>
      <c r="T366" s="18"/>
      <c r="U366" s="18"/>
      <c r="V366" s="18"/>
      <c r="W366" s="18"/>
      <c r="X366" s="18"/>
    </row>
    <row r="367" spans="13:24">
      <c r="M367" s="558">
        <f t="shared" si="20"/>
        <v>365</v>
      </c>
      <c r="N367" s="15">
        <f t="shared" si="18"/>
        <v>0.73580149798381278</v>
      </c>
      <c r="O367" s="165">
        <f t="shared" si="19"/>
        <v>0.44</v>
      </c>
      <c r="P367" s="18"/>
      <c r="Q367" s="18"/>
      <c r="R367" s="18"/>
      <c r="S367" s="18"/>
      <c r="T367" s="18"/>
      <c r="U367" s="18"/>
      <c r="V367" s="18"/>
      <c r="W367" s="18"/>
      <c r="X367" s="18"/>
    </row>
    <row r="368" spans="13:24">
      <c r="M368" s="558">
        <f t="shared" si="20"/>
        <v>366</v>
      </c>
      <c r="N368" s="15">
        <f t="shared" si="18"/>
        <v>0.7353930388427441</v>
      </c>
      <c r="O368" s="165">
        <f t="shared" si="19"/>
        <v>0.44</v>
      </c>
      <c r="P368" s="18"/>
      <c r="Q368" s="18"/>
      <c r="R368" s="18"/>
      <c r="S368" s="18"/>
      <c r="T368" s="18"/>
      <c r="U368" s="18"/>
      <c r="V368" s="18"/>
      <c r="W368" s="18"/>
      <c r="X368" s="18"/>
    </row>
    <row r="369" spans="13:24">
      <c r="M369" s="558">
        <f t="shared" si="20"/>
        <v>367</v>
      </c>
      <c r="N369" s="15">
        <f t="shared" si="18"/>
        <v>0.73498502782004238</v>
      </c>
      <c r="O369" s="165">
        <f t="shared" si="19"/>
        <v>0.44</v>
      </c>
      <c r="P369" s="18"/>
      <c r="Q369" s="18"/>
      <c r="R369" s="18"/>
      <c r="S369" s="18"/>
      <c r="T369" s="18"/>
      <c r="U369" s="18"/>
      <c r="V369" s="18"/>
      <c r="W369" s="18"/>
      <c r="X369" s="18"/>
    </row>
    <row r="370" spans="13:24">
      <c r="M370" s="558">
        <f t="shared" si="20"/>
        <v>368</v>
      </c>
      <c r="N370" s="15">
        <f t="shared" si="18"/>
        <v>0.73457746435335469</v>
      </c>
      <c r="O370" s="165">
        <f t="shared" si="19"/>
        <v>0.44</v>
      </c>
      <c r="P370" s="18"/>
      <c r="Q370" s="18"/>
      <c r="R370" s="18"/>
      <c r="S370" s="18"/>
      <c r="T370" s="18"/>
      <c r="U370" s="18"/>
      <c r="V370" s="18"/>
      <c r="W370" s="18"/>
      <c r="X370" s="18"/>
    </row>
    <row r="371" spans="13:24">
      <c r="M371" s="558">
        <f t="shared" si="20"/>
        <v>369</v>
      </c>
      <c r="N371" s="15">
        <f t="shared" si="18"/>
        <v>0.73417034788103397</v>
      </c>
      <c r="O371" s="165">
        <f t="shared" si="19"/>
        <v>0.44</v>
      </c>
      <c r="P371" s="18"/>
      <c r="Q371" s="18"/>
      <c r="R371" s="18"/>
      <c r="S371" s="18"/>
      <c r="T371" s="18"/>
      <c r="U371" s="18"/>
      <c r="V371" s="18"/>
      <c r="W371" s="18"/>
      <c r="X371" s="18"/>
    </row>
    <row r="372" spans="13:24">
      <c r="M372" s="558">
        <f t="shared" si="20"/>
        <v>370</v>
      </c>
      <c r="N372" s="15">
        <f t="shared" si="18"/>
        <v>0.73376367784213881</v>
      </c>
      <c r="O372" s="165">
        <f t="shared" si="19"/>
        <v>0.44</v>
      </c>
      <c r="P372" s="18"/>
      <c r="Q372" s="18"/>
      <c r="R372" s="18"/>
      <c r="S372" s="18"/>
      <c r="T372" s="18"/>
      <c r="U372" s="18"/>
      <c r="V372" s="18"/>
      <c r="W372" s="18"/>
      <c r="X372" s="18"/>
    </row>
    <row r="373" spans="13:24">
      <c r="M373" s="558">
        <f t="shared" si="20"/>
        <v>371</v>
      </c>
      <c r="N373" s="15">
        <f t="shared" si="18"/>
        <v>0.73335745367643068</v>
      </c>
      <c r="O373" s="165">
        <f t="shared" si="19"/>
        <v>0.44</v>
      </c>
      <c r="P373" s="18"/>
      <c r="Q373" s="18"/>
      <c r="R373" s="18"/>
      <c r="S373" s="18"/>
      <c r="T373" s="18"/>
      <c r="U373" s="18"/>
      <c r="V373" s="18"/>
      <c r="W373" s="18"/>
      <c r="X373" s="18"/>
    </row>
    <row r="374" spans="13:24">
      <c r="M374" s="558">
        <f t="shared" si="20"/>
        <v>372</v>
      </c>
      <c r="N374" s="15">
        <f t="shared" si="18"/>
        <v>0.73295167482437407</v>
      </c>
      <c r="O374" s="165">
        <f t="shared" si="19"/>
        <v>0.44</v>
      </c>
      <c r="P374" s="18"/>
      <c r="Q374" s="18"/>
      <c r="R374" s="18"/>
      <c r="S374" s="18"/>
      <c r="T374" s="18"/>
      <c r="U374" s="18"/>
      <c r="V374" s="18"/>
      <c r="W374" s="18"/>
      <c r="X374" s="18"/>
    </row>
    <row r="375" spans="13:24">
      <c r="M375" s="558">
        <f t="shared" si="20"/>
        <v>373</v>
      </c>
      <c r="N375" s="15">
        <f t="shared" si="18"/>
        <v>0.73254634072713731</v>
      </c>
      <c r="O375" s="165">
        <f t="shared" si="19"/>
        <v>0.44</v>
      </c>
      <c r="P375" s="18"/>
      <c r="Q375" s="18"/>
      <c r="R375" s="18"/>
      <c r="S375" s="18"/>
      <c r="T375" s="18"/>
      <c r="U375" s="18"/>
      <c r="V375" s="18"/>
      <c r="W375" s="18"/>
      <c r="X375" s="18"/>
    </row>
    <row r="376" spans="13:24">
      <c r="M376" s="558">
        <f t="shared" si="20"/>
        <v>374</v>
      </c>
      <c r="N376" s="15">
        <f t="shared" si="18"/>
        <v>0.7321414508265881</v>
      </c>
      <c r="O376" s="165">
        <f t="shared" si="19"/>
        <v>0.44</v>
      </c>
      <c r="P376" s="18"/>
      <c r="Q376" s="18"/>
      <c r="R376" s="18"/>
      <c r="S376" s="18"/>
      <c r="T376" s="18"/>
      <c r="U376" s="18"/>
      <c r="V376" s="18"/>
      <c r="W376" s="18"/>
      <c r="X376" s="18"/>
    </row>
    <row r="377" spans="13:24">
      <c r="M377" s="558">
        <f t="shared" si="20"/>
        <v>375</v>
      </c>
      <c r="N377" s="15">
        <f t="shared" si="18"/>
        <v>0.73173700456529467</v>
      </c>
      <c r="O377" s="165">
        <f t="shared" si="19"/>
        <v>0.44</v>
      </c>
      <c r="P377" s="18"/>
      <c r="Q377" s="18"/>
      <c r="R377" s="18"/>
      <c r="S377" s="18"/>
      <c r="T377" s="18"/>
      <c r="U377" s="18"/>
      <c r="V377" s="18"/>
      <c r="W377" s="18"/>
      <c r="X377" s="18"/>
    </row>
    <row r="378" spans="13:24">
      <c r="M378" s="558">
        <f t="shared" si="20"/>
        <v>376</v>
      </c>
      <c r="N378" s="15">
        <f t="shared" si="18"/>
        <v>0.73133300138652679</v>
      </c>
      <c r="O378" s="165">
        <f t="shared" si="19"/>
        <v>0.44</v>
      </c>
      <c r="P378" s="18"/>
      <c r="Q378" s="18"/>
      <c r="R378" s="18"/>
      <c r="S378" s="18"/>
      <c r="T378" s="18"/>
      <c r="U378" s="18"/>
      <c r="V378" s="18"/>
      <c r="W378" s="18"/>
      <c r="X378" s="18"/>
    </row>
    <row r="379" spans="13:24">
      <c r="M379" s="558">
        <f t="shared" si="20"/>
        <v>377</v>
      </c>
      <c r="N379" s="15">
        <f t="shared" si="18"/>
        <v>0.73092944073425059</v>
      </c>
      <c r="O379" s="165">
        <f t="shared" si="19"/>
        <v>0.44</v>
      </c>
      <c r="P379" s="18"/>
      <c r="Q379" s="18"/>
      <c r="R379" s="18"/>
      <c r="S379" s="18"/>
      <c r="T379" s="18"/>
      <c r="U379" s="18"/>
      <c r="V379" s="18"/>
      <c r="W379" s="18"/>
      <c r="X379" s="18"/>
    </row>
    <row r="380" spans="13:24">
      <c r="M380" s="558">
        <f t="shared" si="20"/>
        <v>378</v>
      </c>
      <c r="N380" s="15">
        <f t="shared" si="18"/>
        <v>0.73052632205313095</v>
      </c>
      <c r="O380" s="165">
        <f t="shared" si="19"/>
        <v>0.44</v>
      </c>
      <c r="P380" s="18"/>
      <c r="Q380" s="18"/>
      <c r="R380" s="18"/>
      <c r="S380" s="18"/>
      <c r="T380" s="18"/>
      <c r="U380" s="18"/>
      <c r="V380" s="18"/>
      <c r="W380" s="18"/>
      <c r="X380" s="18"/>
    </row>
    <row r="381" spans="13:24">
      <c r="M381" s="558">
        <f t="shared" si="20"/>
        <v>379</v>
      </c>
      <c r="N381" s="15">
        <f t="shared" si="18"/>
        <v>0.73012364478852909</v>
      </c>
      <c r="O381" s="165">
        <f t="shared" si="19"/>
        <v>0.44</v>
      </c>
      <c r="P381" s="18"/>
      <c r="Q381" s="18"/>
      <c r="R381" s="18"/>
      <c r="S381" s="18"/>
      <c r="T381" s="18"/>
      <c r="U381" s="18"/>
      <c r="V381" s="18"/>
      <c r="W381" s="18"/>
      <c r="X381" s="18"/>
    </row>
    <row r="382" spans="13:24">
      <c r="M382" s="558">
        <f t="shared" si="20"/>
        <v>380</v>
      </c>
      <c r="N382" s="15">
        <f t="shared" si="18"/>
        <v>0.72972140838650379</v>
      </c>
      <c r="O382" s="165">
        <f t="shared" si="19"/>
        <v>0.44</v>
      </c>
      <c r="P382" s="18"/>
      <c r="Q382" s="18"/>
      <c r="R382" s="18"/>
      <c r="S382" s="18"/>
      <c r="T382" s="18"/>
      <c r="U382" s="18"/>
      <c r="V382" s="18"/>
      <c r="W382" s="18"/>
      <c r="X382" s="18"/>
    </row>
    <row r="383" spans="13:24">
      <c r="M383" s="558">
        <f t="shared" si="20"/>
        <v>381</v>
      </c>
      <c r="N383" s="15">
        <f t="shared" si="18"/>
        <v>0.72931961229380737</v>
      </c>
      <c r="O383" s="165">
        <f t="shared" si="19"/>
        <v>0.44</v>
      </c>
      <c r="P383" s="18"/>
      <c r="Q383" s="18"/>
      <c r="R383" s="18"/>
      <c r="S383" s="18"/>
      <c r="T383" s="18"/>
      <c r="U383" s="18"/>
      <c r="V383" s="18"/>
      <c r="W383" s="18"/>
      <c r="X383" s="18"/>
    </row>
    <row r="384" spans="13:24">
      <c r="M384" s="558">
        <f t="shared" si="20"/>
        <v>382</v>
      </c>
      <c r="N384" s="15">
        <f t="shared" si="18"/>
        <v>0.72891825595788651</v>
      </c>
      <c r="O384" s="165">
        <f t="shared" si="19"/>
        <v>0.44</v>
      </c>
      <c r="P384" s="18"/>
      <c r="Q384" s="18"/>
      <c r="R384" s="18"/>
      <c r="S384" s="18"/>
      <c r="T384" s="18"/>
      <c r="U384" s="18"/>
      <c r="V384" s="18"/>
      <c r="W384" s="18"/>
      <c r="X384" s="18"/>
    </row>
    <row r="385" spans="13:24">
      <c r="M385" s="558">
        <f t="shared" si="20"/>
        <v>383</v>
      </c>
      <c r="N385" s="15">
        <f t="shared" si="18"/>
        <v>0.72851733882688263</v>
      </c>
      <c r="O385" s="165">
        <f t="shared" si="19"/>
        <v>0.44</v>
      </c>
      <c r="P385" s="18"/>
      <c r="Q385" s="18"/>
      <c r="R385" s="18"/>
      <c r="S385" s="18"/>
      <c r="T385" s="18"/>
      <c r="U385" s="18"/>
      <c r="V385" s="18"/>
      <c r="W385" s="18"/>
      <c r="X385" s="18"/>
    </row>
    <row r="386" spans="13:24">
      <c r="M386" s="558">
        <f t="shared" si="20"/>
        <v>384</v>
      </c>
      <c r="N386" s="15">
        <f t="shared" si="18"/>
        <v>0.72811686034962864</v>
      </c>
      <c r="O386" s="165">
        <f t="shared" si="19"/>
        <v>0.44</v>
      </c>
      <c r="P386" s="18"/>
      <c r="Q386" s="18"/>
      <c r="R386" s="18"/>
      <c r="S386" s="18"/>
      <c r="T386" s="18"/>
      <c r="U386" s="18"/>
      <c r="V386" s="18"/>
      <c r="W386" s="18"/>
      <c r="X386" s="18"/>
    </row>
    <row r="387" spans="13:24">
      <c r="M387" s="558">
        <f t="shared" si="20"/>
        <v>385</v>
      </c>
      <c r="N387" s="15">
        <f t="shared" si="18"/>
        <v>0.72771681997564841</v>
      </c>
      <c r="O387" s="165">
        <f t="shared" si="19"/>
        <v>0.44</v>
      </c>
      <c r="P387" s="18"/>
      <c r="Q387" s="18"/>
      <c r="R387" s="18"/>
      <c r="S387" s="18"/>
      <c r="T387" s="18"/>
      <c r="U387" s="18"/>
      <c r="V387" s="18"/>
      <c r="W387" s="18"/>
      <c r="X387" s="18"/>
    </row>
    <row r="388" spans="13:24">
      <c r="M388" s="558">
        <f t="shared" si="20"/>
        <v>386</v>
      </c>
      <c r="N388" s="15">
        <f t="shared" ref="N388:N451" si="21">IF(M388&lt;$B$31+1,$B$32+$B$33/$B$31*(8760-M388)+$B$34*IF(M388&lt;$B$36-$B$31/(2*$B$35),1,IF(M388&lt;$B$36+$B$31/(2*$B$35),COS(PI()/2*(M388-($B$36-$B$31/(2*$B$35)))*$B$35/$B$31)^2,0))+$B$37*EXP((8760-M388)/8760*$B$38)/EXP($B$38)-(8760-$B$31)*$B$33/$B$31,0)</f>
        <v>0.72731721715515874</v>
      </c>
      <c r="O388" s="165">
        <f t="shared" ref="O388:O451" si="22">MIN(N388,C$24)</f>
        <v>0.44</v>
      </c>
      <c r="P388" s="18"/>
      <c r="Q388" s="18"/>
      <c r="R388" s="18"/>
      <c r="S388" s="18"/>
      <c r="T388" s="18"/>
      <c r="U388" s="18"/>
      <c r="V388" s="18"/>
      <c r="W388" s="18"/>
      <c r="X388" s="18"/>
    </row>
    <row r="389" spans="13:24">
      <c r="M389" s="558">
        <f t="shared" ref="M389:M452" si="23">M388+1</f>
        <v>387</v>
      </c>
      <c r="N389" s="15">
        <f t="shared" si="21"/>
        <v>0.72691805133906473</v>
      </c>
      <c r="O389" s="165">
        <f t="shared" si="22"/>
        <v>0.44</v>
      </c>
      <c r="P389" s="18"/>
      <c r="Q389" s="18"/>
      <c r="R389" s="18"/>
      <c r="S389" s="18"/>
      <c r="T389" s="18"/>
      <c r="U389" s="18"/>
      <c r="V389" s="18"/>
      <c r="W389" s="18"/>
      <c r="X389" s="18"/>
    </row>
    <row r="390" spans="13:24">
      <c r="M390" s="558">
        <f t="shared" si="23"/>
        <v>388</v>
      </c>
      <c r="N390" s="15">
        <f t="shared" si="21"/>
        <v>0.72651932197896085</v>
      </c>
      <c r="O390" s="165">
        <f t="shared" si="22"/>
        <v>0.44</v>
      </c>
      <c r="P390" s="18"/>
      <c r="Q390" s="18"/>
      <c r="R390" s="18"/>
      <c r="S390" s="18"/>
      <c r="T390" s="18"/>
      <c r="U390" s="18"/>
      <c r="V390" s="18"/>
      <c r="W390" s="18"/>
      <c r="X390" s="18"/>
    </row>
    <row r="391" spans="13:24">
      <c r="M391" s="558">
        <f t="shared" si="23"/>
        <v>389</v>
      </c>
      <c r="N391" s="15">
        <f t="shared" si="21"/>
        <v>0.72612102852712979</v>
      </c>
      <c r="O391" s="165">
        <f t="shared" si="22"/>
        <v>0.44</v>
      </c>
      <c r="P391" s="18"/>
      <c r="Q391" s="18"/>
      <c r="R391" s="18"/>
      <c r="S391" s="18"/>
      <c r="T391" s="18"/>
      <c r="U391" s="18"/>
      <c r="V391" s="18"/>
      <c r="W391" s="18"/>
      <c r="X391" s="18"/>
    </row>
    <row r="392" spans="13:24">
      <c r="M392" s="558">
        <f t="shared" si="23"/>
        <v>390</v>
      </c>
      <c r="N392" s="15">
        <f t="shared" si="21"/>
        <v>0.72572317043654144</v>
      </c>
      <c r="O392" s="165">
        <f t="shared" si="22"/>
        <v>0.44</v>
      </c>
      <c r="P392" s="18"/>
      <c r="Q392" s="18"/>
      <c r="R392" s="18"/>
      <c r="S392" s="18"/>
      <c r="T392" s="18"/>
      <c r="U392" s="18"/>
      <c r="V392" s="18"/>
      <c r="W392" s="18"/>
      <c r="X392" s="18"/>
    </row>
    <row r="393" spans="13:24">
      <c r="M393" s="558">
        <f t="shared" si="23"/>
        <v>391</v>
      </c>
      <c r="N393" s="15">
        <f t="shared" si="21"/>
        <v>0.72532574716085307</v>
      </c>
      <c r="O393" s="165">
        <f t="shared" si="22"/>
        <v>0.44</v>
      </c>
      <c r="P393" s="18"/>
      <c r="Q393" s="18"/>
      <c r="R393" s="18"/>
      <c r="S393" s="18"/>
      <c r="T393" s="18"/>
      <c r="U393" s="18"/>
      <c r="V393" s="18"/>
      <c r="W393" s="18"/>
      <c r="X393" s="18"/>
    </row>
    <row r="394" spans="13:24">
      <c r="M394" s="558">
        <f t="shared" si="23"/>
        <v>392</v>
      </c>
      <c r="N394" s="15">
        <f t="shared" si="21"/>
        <v>0.72492875815440661</v>
      </c>
      <c r="O394" s="165">
        <f t="shared" si="22"/>
        <v>0.44</v>
      </c>
      <c r="P394" s="18"/>
      <c r="Q394" s="18"/>
      <c r="R394" s="18"/>
      <c r="S394" s="18"/>
      <c r="T394" s="18"/>
      <c r="U394" s="18"/>
      <c r="V394" s="18"/>
      <c r="W394" s="18"/>
      <c r="X394" s="18"/>
    </row>
    <row r="395" spans="13:24">
      <c r="M395" s="558">
        <f t="shared" si="23"/>
        <v>393</v>
      </c>
      <c r="N395" s="15">
        <f t="shared" si="21"/>
        <v>0.72453220287222897</v>
      </c>
      <c r="O395" s="165">
        <f t="shared" si="22"/>
        <v>0.44</v>
      </c>
      <c r="P395" s="18"/>
      <c r="Q395" s="18"/>
      <c r="R395" s="18"/>
      <c r="S395" s="18"/>
      <c r="T395" s="18"/>
      <c r="U395" s="18"/>
      <c r="V395" s="18"/>
      <c r="W395" s="18"/>
      <c r="X395" s="18"/>
    </row>
    <row r="396" spans="13:24">
      <c r="M396" s="558">
        <f t="shared" si="23"/>
        <v>394</v>
      </c>
      <c r="N396" s="15">
        <f t="shared" si="21"/>
        <v>0.72413608077003055</v>
      </c>
      <c r="O396" s="165">
        <f t="shared" si="22"/>
        <v>0.44</v>
      </c>
      <c r="P396" s="18"/>
      <c r="Q396" s="18"/>
      <c r="R396" s="18"/>
      <c r="S396" s="18"/>
      <c r="T396" s="18"/>
      <c r="U396" s="18"/>
      <c r="V396" s="18"/>
      <c r="W396" s="18"/>
      <c r="X396" s="18"/>
    </row>
    <row r="397" spans="13:24">
      <c r="M397" s="558">
        <f t="shared" si="23"/>
        <v>395</v>
      </c>
      <c r="N397" s="15">
        <f t="shared" si="21"/>
        <v>0.72374039130420642</v>
      </c>
      <c r="O397" s="165">
        <f t="shared" si="22"/>
        <v>0.44</v>
      </c>
      <c r="P397" s="18"/>
      <c r="Q397" s="18"/>
      <c r="R397" s="18"/>
      <c r="S397" s="18"/>
      <c r="T397" s="18"/>
      <c r="U397" s="18"/>
      <c r="V397" s="18"/>
      <c r="W397" s="18"/>
      <c r="X397" s="18"/>
    </row>
    <row r="398" spans="13:24">
      <c r="M398" s="558">
        <f t="shared" si="23"/>
        <v>396</v>
      </c>
      <c r="N398" s="15">
        <f t="shared" si="21"/>
        <v>0.72334513393183175</v>
      </c>
      <c r="O398" s="165">
        <f t="shared" si="22"/>
        <v>0.44</v>
      </c>
      <c r="P398" s="18"/>
      <c r="Q398" s="18"/>
      <c r="R398" s="18"/>
      <c r="S398" s="18"/>
      <c r="T398" s="18"/>
      <c r="U398" s="18"/>
      <c r="V398" s="18"/>
      <c r="W398" s="18"/>
      <c r="X398" s="18"/>
    </row>
    <row r="399" spans="13:24">
      <c r="M399" s="558">
        <f t="shared" si="23"/>
        <v>397</v>
      </c>
      <c r="N399" s="15">
        <f t="shared" si="21"/>
        <v>0.72295030811066396</v>
      </c>
      <c r="O399" s="165">
        <f t="shared" si="22"/>
        <v>0.44</v>
      </c>
      <c r="P399" s="18"/>
      <c r="Q399" s="18"/>
      <c r="R399" s="18"/>
      <c r="S399" s="18"/>
      <c r="T399" s="18"/>
      <c r="U399" s="18"/>
      <c r="V399" s="18"/>
      <c r="W399" s="18"/>
      <c r="X399" s="18"/>
    </row>
    <row r="400" spans="13:24">
      <c r="M400" s="558">
        <f t="shared" si="23"/>
        <v>398</v>
      </c>
      <c r="N400" s="15">
        <f t="shared" si="21"/>
        <v>0.72255591329914148</v>
      </c>
      <c r="O400" s="165">
        <f t="shared" si="22"/>
        <v>0.44</v>
      </c>
      <c r="P400" s="18"/>
      <c r="Q400" s="18"/>
      <c r="R400" s="18"/>
      <c r="S400" s="18"/>
      <c r="T400" s="18"/>
      <c r="U400" s="18"/>
      <c r="V400" s="18"/>
      <c r="W400" s="18"/>
      <c r="X400" s="18"/>
    </row>
    <row r="401" spans="13:24">
      <c r="M401" s="558">
        <f t="shared" si="23"/>
        <v>399</v>
      </c>
      <c r="N401" s="15">
        <f t="shared" si="21"/>
        <v>0.72216194895638175</v>
      </c>
      <c r="O401" s="165">
        <f t="shared" si="22"/>
        <v>0.44</v>
      </c>
      <c r="P401" s="18"/>
      <c r="Q401" s="18"/>
      <c r="R401" s="18"/>
      <c r="S401" s="18"/>
      <c r="T401" s="18"/>
      <c r="U401" s="18"/>
      <c r="V401" s="18"/>
      <c r="W401" s="18"/>
      <c r="X401" s="18"/>
    </row>
    <row r="402" spans="13:24">
      <c r="M402" s="558">
        <f t="shared" si="23"/>
        <v>400</v>
      </c>
      <c r="N402" s="15">
        <f t="shared" si="21"/>
        <v>0.72176841454218021</v>
      </c>
      <c r="O402" s="165">
        <f t="shared" si="22"/>
        <v>0.44</v>
      </c>
      <c r="P402" s="18"/>
      <c r="Q402" s="18"/>
      <c r="R402" s="18"/>
      <c r="S402" s="18"/>
      <c r="T402" s="18"/>
      <c r="U402" s="18"/>
      <c r="V402" s="18"/>
      <c r="W402" s="18"/>
      <c r="X402" s="18"/>
    </row>
    <row r="403" spans="13:24">
      <c r="M403" s="558">
        <f t="shared" si="23"/>
        <v>401</v>
      </c>
      <c r="N403" s="15">
        <f t="shared" si="21"/>
        <v>0.72137530951701212</v>
      </c>
      <c r="O403" s="165">
        <f t="shared" si="22"/>
        <v>0.44</v>
      </c>
      <c r="P403" s="18"/>
      <c r="Q403" s="18"/>
      <c r="R403" s="18"/>
      <c r="S403" s="18"/>
      <c r="T403" s="18"/>
      <c r="U403" s="18"/>
      <c r="V403" s="18"/>
      <c r="W403" s="18"/>
      <c r="X403" s="18"/>
    </row>
    <row r="404" spans="13:24">
      <c r="M404" s="558">
        <f t="shared" si="23"/>
        <v>402</v>
      </c>
      <c r="N404" s="15">
        <f t="shared" si="21"/>
        <v>0.72098263334202839</v>
      </c>
      <c r="O404" s="165">
        <f t="shared" si="22"/>
        <v>0.44</v>
      </c>
      <c r="P404" s="18"/>
      <c r="Q404" s="18"/>
      <c r="R404" s="18"/>
      <c r="S404" s="18"/>
      <c r="T404" s="18"/>
      <c r="U404" s="18"/>
      <c r="V404" s="18"/>
      <c r="W404" s="18"/>
      <c r="X404" s="18"/>
    </row>
    <row r="405" spans="13:24">
      <c r="M405" s="558">
        <f t="shared" si="23"/>
        <v>403</v>
      </c>
      <c r="N405" s="15">
        <f t="shared" si="21"/>
        <v>0.72059038547905596</v>
      </c>
      <c r="O405" s="165">
        <f t="shared" si="22"/>
        <v>0.44</v>
      </c>
      <c r="P405" s="18"/>
      <c r="Q405" s="18"/>
      <c r="R405" s="18"/>
      <c r="S405" s="18"/>
      <c r="T405" s="18"/>
      <c r="U405" s="18"/>
      <c r="V405" s="18"/>
      <c r="W405" s="18"/>
      <c r="X405" s="18"/>
    </row>
    <row r="406" spans="13:24">
      <c r="M406" s="558">
        <f t="shared" si="23"/>
        <v>404</v>
      </c>
      <c r="N406" s="15">
        <f t="shared" si="21"/>
        <v>0.72019856539059846</v>
      </c>
      <c r="O406" s="165">
        <f t="shared" si="22"/>
        <v>0.44</v>
      </c>
      <c r="P406" s="18"/>
      <c r="Q406" s="18"/>
      <c r="R406" s="18"/>
      <c r="S406" s="18"/>
      <c r="T406" s="18"/>
      <c r="U406" s="18"/>
      <c r="V406" s="18"/>
      <c r="W406" s="18"/>
      <c r="X406" s="18"/>
    </row>
    <row r="407" spans="13:24">
      <c r="M407" s="558">
        <f t="shared" si="23"/>
        <v>405</v>
      </c>
      <c r="N407" s="15">
        <f t="shared" si="21"/>
        <v>0.71980717253983284</v>
      </c>
      <c r="O407" s="165">
        <f t="shared" si="22"/>
        <v>0.44</v>
      </c>
      <c r="P407" s="18"/>
      <c r="Q407" s="18"/>
      <c r="R407" s="18"/>
      <c r="S407" s="18"/>
      <c r="T407" s="18"/>
      <c r="U407" s="18"/>
      <c r="V407" s="18"/>
      <c r="W407" s="18"/>
      <c r="X407" s="18"/>
    </row>
    <row r="408" spans="13:24">
      <c r="M408" s="558">
        <f t="shared" si="23"/>
        <v>406</v>
      </c>
      <c r="N408" s="15">
        <f t="shared" si="21"/>
        <v>0.71941620639060955</v>
      </c>
      <c r="O408" s="165">
        <f t="shared" si="22"/>
        <v>0.44</v>
      </c>
      <c r="P408" s="18"/>
      <c r="Q408" s="18"/>
      <c r="R408" s="18"/>
      <c r="S408" s="18"/>
      <c r="T408" s="18"/>
      <c r="U408" s="18"/>
      <c r="V408" s="18"/>
      <c r="W408" s="18"/>
      <c r="X408" s="18"/>
    </row>
    <row r="409" spans="13:24">
      <c r="M409" s="558">
        <f t="shared" si="23"/>
        <v>407</v>
      </c>
      <c r="N409" s="15">
        <f t="shared" si="21"/>
        <v>0.71902566640745358</v>
      </c>
      <c r="O409" s="165">
        <f t="shared" si="22"/>
        <v>0.44</v>
      </c>
      <c r="P409" s="18"/>
      <c r="Q409" s="18"/>
      <c r="R409" s="18"/>
      <c r="S409" s="18"/>
      <c r="T409" s="18"/>
      <c r="U409" s="18"/>
      <c r="V409" s="18"/>
      <c r="W409" s="18"/>
      <c r="X409" s="18"/>
    </row>
    <row r="410" spans="13:24">
      <c r="M410" s="558">
        <f t="shared" si="23"/>
        <v>408</v>
      </c>
      <c r="N410" s="15">
        <f t="shared" si="21"/>
        <v>0.71863555205556007</v>
      </c>
      <c r="O410" s="165">
        <f t="shared" si="22"/>
        <v>0.44</v>
      </c>
      <c r="P410" s="18"/>
      <c r="Q410" s="18"/>
      <c r="R410" s="18"/>
      <c r="S410" s="18"/>
      <c r="T410" s="18"/>
      <c r="U410" s="18"/>
      <c r="V410" s="18"/>
      <c r="W410" s="18"/>
      <c r="X410" s="18"/>
    </row>
    <row r="411" spans="13:24">
      <c r="M411" s="558">
        <f t="shared" si="23"/>
        <v>409</v>
      </c>
      <c r="N411" s="15">
        <f t="shared" si="21"/>
        <v>0.7182458628007955</v>
      </c>
      <c r="O411" s="165">
        <f t="shared" si="22"/>
        <v>0.44</v>
      </c>
      <c r="P411" s="18"/>
      <c r="Q411" s="18"/>
      <c r="R411" s="18"/>
      <c r="S411" s="18"/>
      <c r="T411" s="18"/>
      <c r="U411" s="18"/>
      <c r="V411" s="18"/>
      <c r="W411" s="18"/>
      <c r="X411" s="18"/>
    </row>
    <row r="412" spans="13:24">
      <c r="M412" s="558">
        <f t="shared" si="23"/>
        <v>410</v>
      </c>
      <c r="N412" s="15">
        <f t="shared" si="21"/>
        <v>0.71785659810969826</v>
      </c>
      <c r="O412" s="165">
        <f t="shared" si="22"/>
        <v>0.44</v>
      </c>
      <c r="P412" s="18"/>
      <c r="Q412" s="18"/>
      <c r="R412" s="18"/>
      <c r="S412" s="18"/>
      <c r="T412" s="18"/>
      <c r="U412" s="18"/>
      <c r="V412" s="18"/>
      <c r="W412" s="18"/>
      <c r="X412" s="18"/>
    </row>
    <row r="413" spans="13:24">
      <c r="M413" s="558">
        <f t="shared" si="23"/>
        <v>411</v>
      </c>
      <c r="N413" s="15">
        <f t="shared" si="21"/>
        <v>0.71746775744947433</v>
      </c>
      <c r="O413" s="165">
        <f t="shared" si="22"/>
        <v>0.44</v>
      </c>
      <c r="P413" s="18"/>
      <c r="Q413" s="18"/>
      <c r="R413" s="18"/>
      <c r="S413" s="18"/>
      <c r="T413" s="18"/>
      <c r="U413" s="18"/>
      <c r="V413" s="18"/>
      <c r="W413" s="18"/>
      <c r="X413" s="18"/>
    </row>
    <row r="414" spans="13:24">
      <c r="M414" s="558">
        <f t="shared" si="23"/>
        <v>412</v>
      </c>
      <c r="N414" s="15">
        <f t="shared" si="21"/>
        <v>0.71707934028799902</v>
      </c>
      <c r="O414" s="165">
        <f t="shared" si="22"/>
        <v>0.44</v>
      </c>
      <c r="P414" s="18"/>
      <c r="Q414" s="18"/>
      <c r="R414" s="18"/>
      <c r="S414" s="18"/>
      <c r="T414" s="18"/>
      <c r="U414" s="18"/>
      <c r="V414" s="18"/>
      <c r="W414" s="18"/>
      <c r="X414" s="18"/>
    </row>
    <row r="415" spans="13:24">
      <c r="M415" s="558">
        <f t="shared" si="23"/>
        <v>413</v>
      </c>
      <c r="N415" s="15">
        <f t="shared" si="21"/>
        <v>0.71669134609381513</v>
      </c>
      <c r="O415" s="165">
        <f t="shared" si="22"/>
        <v>0.44</v>
      </c>
      <c r="P415" s="18"/>
      <c r="Q415" s="18"/>
      <c r="R415" s="18"/>
      <c r="S415" s="18"/>
      <c r="T415" s="18"/>
      <c r="U415" s="18"/>
      <c r="V415" s="18"/>
      <c r="W415" s="18"/>
      <c r="X415" s="18"/>
    </row>
    <row r="416" spans="13:24">
      <c r="M416" s="558">
        <f t="shared" si="23"/>
        <v>414</v>
      </c>
      <c r="N416" s="15">
        <f t="shared" si="21"/>
        <v>0.71630377433613401</v>
      </c>
      <c r="O416" s="165">
        <f t="shared" si="22"/>
        <v>0.44</v>
      </c>
      <c r="P416" s="18"/>
      <c r="Q416" s="18"/>
      <c r="R416" s="18"/>
      <c r="S416" s="18"/>
      <c r="T416" s="18"/>
      <c r="U416" s="18"/>
      <c r="V416" s="18"/>
      <c r="W416" s="18"/>
      <c r="X416" s="18"/>
    </row>
    <row r="417" spans="13:24">
      <c r="M417" s="558">
        <f t="shared" si="23"/>
        <v>415</v>
      </c>
      <c r="N417" s="15">
        <f t="shared" si="21"/>
        <v>0.71591662448482984</v>
      </c>
      <c r="O417" s="165">
        <f t="shared" si="22"/>
        <v>0.44</v>
      </c>
      <c r="P417" s="18"/>
      <c r="Q417" s="18"/>
      <c r="R417" s="18"/>
      <c r="S417" s="18"/>
      <c r="T417" s="18"/>
      <c r="U417" s="18"/>
      <c r="V417" s="18"/>
      <c r="W417" s="18"/>
      <c r="X417" s="18"/>
    </row>
    <row r="418" spans="13:24">
      <c r="M418" s="558">
        <f t="shared" si="23"/>
        <v>416</v>
      </c>
      <c r="N418" s="15">
        <f t="shared" si="21"/>
        <v>0.71552989601044537</v>
      </c>
      <c r="O418" s="165">
        <f t="shared" si="22"/>
        <v>0.44</v>
      </c>
      <c r="P418" s="18"/>
      <c r="Q418" s="18"/>
      <c r="R418" s="18"/>
      <c r="S418" s="18"/>
      <c r="T418" s="18"/>
      <c r="U418" s="18"/>
      <c r="V418" s="18"/>
      <c r="W418" s="18"/>
      <c r="X418" s="18"/>
    </row>
    <row r="419" spans="13:24">
      <c r="M419" s="558">
        <f t="shared" si="23"/>
        <v>417</v>
      </c>
      <c r="N419" s="15">
        <f t="shared" si="21"/>
        <v>0.71514358838418612</v>
      </c>
      <c r="O419" s="165">
        <f t="shared" si="22"/>
        <v>0.44</v>
      </c>
      <c r="P419" s="18"/>
      <c r="Q419" s="18"/>
      <c r="R419" s="18"/>
      <c r="S419" s="18"/>
      <c r="T419" s="18"/>
      <c r="U419" s="18"/>
      <c r="V419" s="18"/>
      <c r="W419" s="18"/>
      <c r="X419" s="18"/>
    </row>
    <row r="420" spans="13:24">
      <c r="M420" s="558">
        <f t="shared" si="23"/>
        <v>418</v>
      </c>
      <c r="N420" s="15">
        <f t="shared" si="21"/>
        <v>0.71475770107792092</v>
      </c>
      <c r="O420" s="165">
        <f t="shared" si="22"/>
        <v>0.44</v>
      </c>
      <c r="P420" s="18"/>
      <c r="Q420" s="18"/>
      <c r="R420" s="18"/>
      <c r="S420" s="18"/>
      <c r="T420" s="18"/>
      <c r="U420" s="18"/>
      <c r="V420" s="18"/>
      <c r="W420" s="18"/>
      <c r="X420" s="18"/>
    </row>
    <row r="421" spans="13:24">
      <c r="M421" s="558">
        <f t="shared" si="23"/>
        <v>419</v>
      </c>
      <c r="N421" s="15">
        <f t="shared" si="21"/>
        <v>0.71437223356418289</v>
      </c>
      <c r="O421" s="165">
        <f t="shared" si="22"/>
        <v>0.44</v>
      </c>
      <c r="P421" s="18"/>
      <c r="Q421" s="18"/>
      <c r="R421" s="18"/>
      <c r="S421" s="18"/>
      <c r="T421" s="18"/>
      <c r="U421" s="18"/>
      <c r="V421" s="18"/>
      <c r="W421" s="18"/>
      <c r="X421" s="18"/>
    </row>
    <row r="422" spans="13:24">
      <c r="M422" s="558">
        <f t="shared" si="23"/>
        <v>420</v>
      </c>
      <c r="N422" s="15">
        <f t="shared" si="21"/>
        <v>0.71398718531616545</v>
      </c>
      <c r="O422" s="165">
        <f t="shared" si="22"/>
        <v>0.44</v>
      </c>
      <c r="P422" s="18"/>
      <c r="Q422" s="18"/>
      <c r="R422" s="18"/>
      <c r="S422" s="18"/>
      <c r="T422" s="18"/>
      <c r="U422" s="18"/>
      <c r="V422" s="18"/>
      <c r="W422" s="18"/>
      <c r="X422" s="18"/>
    </row>
    <row r="423" spans="13:24">
      <c r="M423" s="558">
        <f t="shared" si="23"/>
        <v>421</v>
      </c>
      <c r="N423" s="15">
        <f t="shared" si="21"/>
        <v>0.71360255580772369</v>
      </c>
      <c r="O423" s="165">
        <f t="shared" si="22"/>
        <v>0.44</v>
      </c>
      <c r="P423" s="18"/>
      <c r="Q423" s="18"/>
      <c r="R423" s="18"/>
      <c r="S423" s="18"/>
      <c r="T423" s="18"/>
      <c r="U423" s="18"/>
      <c r="V423" s="18"/>
      <c r="W423" s="18"/>
      <c r="X423" s="18"/>
    </row>
    <row r="424" spans="13:24">
      <c r="M424" s="558">
        <f t="shared" si="23"/>
        <v>422</v>
      </c>
      <c r="N424" s="15">
        <f t="shared" si="21"/>
        <v>0.71321834451337374</v>
      </c>
      <c r="O424" s="165">
        <f t="shared" si="22"/>
        <v>0.44</v>
      </c>
      <c r="P424" s="18"/>
      <c r="Q424" s="18"/>
      <c r="R424" s="18"/>
      <c r="S424" s="18"/>
      <c r="T424" s="18"/>
      <c r="U424" s="18"/>
      <c r="V424" s="18"/>
      <c r="W424" s="18"/>
      <c r="X424" s="18"/>
    </row>
    <row r="425" spans="13:24">
      <c r="M425" s="558">
        <f t="shared" si="23"/>
        <v>423</v>
      </c>
      <c r="N425" s="15">
        <f t="shared" si="21"/>
        <v>0.71283455090829007</v>
      </c>
      <c r="O425" s="165">
        <f t="shared" si="22"/>
        <v>0.44</v>
      </c>
      <c r="P425" s="18"/>
      <c r="Q425" s="18"/>
      <c r="R425" s="18"/>
      <c r="S425" s="18"/>
      <c r="T425" s="18"/>
      <c r="U425" s="18"/>
      <c r="V425" s="18"/>
      <c r="W425" s="18"/>
      <c r="X425" s="18"/>
    </row>
    <row r="426" spans="13:24">
      <c r="M426" s="558">
        <f t="shared" si="23"/>
        <v>424</v>
      </c>
      <c r="N426" s="15">
        <f t="shared" si="21"/>
        <v>0.71245117446830575</v>
      </c>
      <c r="O426" s="165">
        <f t="shared" si="22"/>
        <v>0.44</v>
      </c>
      <c r="P426" s="18"/>
      <c r="Q426" s="18"/>
      <c r="R426" s="18"/>
      <c r="S426" s="18"/>
      <c r="T426" s="18"/>
      <c r="U426" s="18"/>
      <c r="V426" s="18"/>
      <c r="W426" s="18"/>
      <c r="X426" s="18"/>
    </row>
    <row r="427" spans="13:24">
      <c r="M427" s="558">
        <f t="shared" si="23"/>
        <v>425</v>
      </c>
      <c r="N427" s="15">
        <f t="shared" si="21"/>
        <v>0.7120682146699131</v>
      </c>
      <c r="O427" s="165">
        <f t="shared" si="22"/>
        <v>0.44</v>
      </c>
      <c r="P427" s="18"/>
      <c r="Q427" s="18"/>
      <c r="R427" s="18"/>
      <c r="S427" s="18"/>
      <c r="T427" s="18"/>
      <c r="U427" s="18"/>
      <c r="V427" s="18"/>
      <c r="W427" s="18"/>
      <c r="X427" s="18"/>
    </row>
    <row r="428" spans="13:24">
      <c r="M428" s="558">
        <f t="shared" si="23"/>
        <v>426</v>
      </c>
      <c r="N428" s="15">
        <f t="shared" si="21"/>
        <v>0.71168567099025981</v>
      </c>
      <c r="O428" s="165">
        <f t="shared" si="22"/>
        <v>0.44</v>
      </c>
      <c r="P428" s="18"/>
      <c r="Q428" s="18"/>
      <c r="R428" s="18"/>
      <c r="S428" s="18"/>
      <c r="T428" s="18"/>
      <c r="U428" s="18"/>
      <c r="V428" s="18"/>
      <c r="W428" s="18"/>
      <c r="X428" s="18"/>
    </row>
    <row r="429" spans="13:24">
      <c r="M429" s="558">
        <f t="shared" si="23"/>
        <v>427</v>
      </c>
      <c r="N429" s="15">
        <f t="shared" si="21"/>
        <v>0.71130354290715037</v>
      </c>
      <c r="O429" s="165">
        <f t="shared" si="22"/>
        <v>0.44</v>
      </c>
      <c r="P429" s="18"/>
      <c r="Q429" s="18"/>
      <c r="R429" s="18"/>
      <c r="S429" s="18"/>
      <c r="T429" s="18"/>
      <c r="U429" s="18"/>
      <c r="V429" s="18"/>
      <c r="W429" s="18"/>
      <c r="X429" s="18"/>
    </row>
    <row r="430" spans="13:24">
      <c r="M430" s="558">
        <f t="shared" si="23"/>
        <v>428</v>
      </c>
      <c r="N430" s="15">
        <f t="shared" si="21"/>
        <v>0.71092182989904396</v>
      </c>
      <c r="O430" s="165">
        <f t="shared" si="22"/>
        <v>0.44</v>
      </c>
      <c r="P430" s="18"/>
      <c r="Q430" s="18"/>
      <c r="R430" s="18"/>
      <c r="S430" s="18"/>
      <c r="T430" s="18"/>
      <c r="U430" s="18"/>
      <c r="V430" s="18"/>
      <c r="W430" s="18"/>
      <c r="X430" s="18"/>
    </row>
    <row r="431" spans="13:24">
      <c r="M431" s="558">
        <f t="shared" si="23"/>
        <v>429</v>
      </c>
      <c r="N431" s="15">
        <f t="shared" si="21"/>
        <v>0.71054053144505569</v>
      </c>
      <c r="O431" s="165">
        <f t="shared" si="22"/>
        <v>0.44</v>
      </c>
      <c r="P431" s="18"/>
      <c r="Q431" s="18"/>
      <c r="R431" s="18"/>
      <c r="S431" s="18"/>
      <c r="T431" s="18"/>
      <c r="U431" s="18"/>
      <c r="V431" s="18"/>
      <c r="W431" s="18"/>
      <c r="X431" s="18"/>
    </row>
    <row r="432" spans="13:24">
      <c r="M432" s="558">
        <f t="shared" si="23"/>
        <v>430</v>
      </c>
      <c r="N432" s="15">
        <f t="shared" si="21"/>
        <v>0.71015964702495304</v>
      </c>
      <c r="O432" s="165">
        <f t="shared" si="22"/>
        <v>0.44</v>
      </c>
      <c r="P432" s="18"/>
      <c r="Q432" s="18"/>
      <c r="R432" s="18"/>
      <c r="S432" s="18"/>
      <c r="T432" s="18"/>
      <c r="U432" s="18"/>
      <c r="V432" s="18"/>
      <c r="W432" s="18"/>
      <c r="X432" s="18"/>
    </row>
    <row r="433" spans="13:24">
      <c r="M433" s="558">
        <f t="shared" si="23"/>
        <v>431</v>
      </c>
      <c r="N433" s="15">
        <f t="shared" si="21"/>
        <v>0.7097791761191562</v>
      </c>
      <c r="O433" s="165">
        <f t="shared" si="22"/>
        <v>0.44</v>
      </c>
      <c r="P433" s="18"/>
      <c r="Q433" s="18"/>
      <c r="R433" s="18"/>
      <c r="S433" s="18"/>
      <c r="T433" s="18"/>
      <c r="U433" s="18"/>
      <c r="V433" s="18"/>
      <c r="W433" s="18"/>
      <c r="X433" s="18"/>
    </row>
    <row r="434" spans="13:24">
      <c r="M434" s="558">
        <f t="shared" si="23"/>
        <v>432</v>
      </c>
      <c r="N434" s="15">
        <f t="shared" si="21"/>
        <v>0.70939911820873891</v>
      </c>
      <c r="O434" s="165">
        <f t="shared" si="22"/>
        <v>0.44</v>
      </c>
      <c r="P434" s="18"/>
      <c r="Q434" s="18"/>
      <c r="R434" s="18"/>
      <c r="S434" s="18"/>
      <c r="T434" s="18"/>
      <c r="U434" s="18"/>
      <c r="V434" s="18"/>
      <c r="W434" s="18"/>
      <c r="X434" s="18"/>
    </row>
    <row r="435" spans="13:24">
      <c r="M435" s="558">
        <f t="shared" si="23"/>
        <v>433</v>
      </c>
      <c r="N435" s="15">
        <f t="shared" si="21"/>
        <v>0.70901947277542465</v>
      </c>
      <c r="O435" s="165">
        <f t="shared" si="22"/>
        <v>0.44</v>
      </c>
      <c r="P435" s="18"/>
      <c r="Q435" s="18"/>
      <c r="R435" s="18"/>
      <c r="S435" s="18"/>
      <c r="T435" s="18"/>
      <c r="U435" s="18"/>
      <c r="V435" s="18"/>
      <c r="W435" s="18"/>
      <c r="X435" s="18"/>
    </row>
    <row r="436" spans="13:24">
      <c r="M436" s="558">
        <f t="shared" si="23"/>
        <v>434</v>
      </c>
      <c r="N436" s="15">
        <f t="shared" si="21"/>
        <v>0.70864023930158737</v>
      </c>
      <c r="O436" s="165">
        <f t="shared" si="22"/>
        <v>0.44</v>
      </c>
      <c r="P436" s="18"/>
      <c r="Q436" s="18"/>
      <c r="R436" s="18"/>
      <c r="S436" s="18"/>
      <c r="T436" s="18"/>
      <c r="U436" s="18"/>
      <c r="V436" s="18"/>
      <c r="W436" s="18"/>
      <c r="X436" s="18"/>
    </row>
    <row r="437" spans="13:24">
      <c r="M437" s="558">
        <f t="shared" si="23"/>
        <v>435</v>
      </c>
      <c r="N437" s="15">
        <f t="shared" si="21"/>
        <v>0.70826141727025194</v>
      </c>
      <c r="O437" s="165">
        <f t="shared" si="22"/>
        <v>0.44</v>
      </c>
      <c r="P437" s="18"/>
      <c r="Q437" s="18"/>
      <c r="R437" s="18"/>
      <c r="S437" s="18"/>
      <c r="T437" s="18"/>
      <c r="U437" s="18"/>
      <c r="V437" s="18"/>
      <c r="W437" s="18"/>
      <c r="X437" s="18"/>
    </row>
    <row r="438" spans="13:24">
      <c r="M438" s="558">
        <f t="shared" si="23"/>
        <v>436</v>
      </c>
      <c r="N438" s="15">
        <f t="shared" si="21"/>
        <v>0.70788300616509048</v>
      </c>
      <c r="O438" s="165">
        <f t="shared" si="22"/>
        <v>0.44</v>
      </c>
      <c r="P438" s="18"/>
      <c r="Q438" s="18"/>
      <c r="R438" s="18"/>
      <c r="S438" s="18"/>
      <c r="T438" s="18"/>
      <c r="U438" s="18"/>
      <c r="V438" s="18"/>
      <c r="W438" s="18"/>
      <c r="X438" s="18"/>
    </row>
    <row r="439" spans="13:24">
      <c r="M439" s="558">
        <f t="shared" si="23"/>
        <v>437</v>
      </c>
      <c r="N439" s="15">
        <f t="shared" si="21"/>
        <v>0.70750500547042317</v>
      </c>
      <c r="O439" s="165">
        <f t="shared" si="22"/>
        <v>0.44</v>
      </c>
      <c r="P439" s="18"/>
      <c r="Q439" s="18"/>
      <c r="R439" s="18"/>
      <c r="S439" s="18"/>
      <c r="T439" s="18"/>
      <c r="U439" s="18"/>
      <c r="V439" s="18"/>
      <c r="W439" s="18"/>
      <c r="X439" s="18"/>
    </row>
    <row r="440" spans="13:24">
      <c r="M440" s="558">
        <f t="shared" si="23"/>
        <v>438</v>
      </c>
      <c r="N440" s="15">
        <f t="shared" si="21"/>
        <v>0.70712741467121898</v>
      </c>
      <c r="O440" s="165">
        <f t="shared" si="22"/>
        <v>0.44</v>
      </c>
      <c r="P440" s="18"/>
      <c r="Q440" s="18"/>
      <c r="R440" s="18"/>
      <c r="S440" s="18"/>
      <c r="T440" s="18"/>
      <c r="U440" s="18"/>
      <c r="V440" s="18"/>
      <c r="W440" s="18"/>
      <c r="X440" s="18"/>
    </row>
    <row r="441" spans="13:24">
      <c r="M441" s="558">
        <f t="shared" si="23"/>
        <v>439</v>
      </c>
      <c r="N441" s="15">
        <f t="shared" si="21"/>
        <v>0.70675023325309116</v>
      </c>
      <c r="O441" s="165">
        <f t="shared" si="22"/>
        <v>0.44</v>
      </c>
      <c r="P441" s="18"/>
      <c r="Q441" s="18"/>
      <c r="R441" s="18"/>
      <c r="S441" s="18"/>
      <c r="T441" s="18"/>
      <c r="U441" s="18"/>
      <c r="V441" s="18"/>
      <c r="W441" s="18"/>
      <c r="X441" s="18"/>
    </row>
    <row r="442" spans="13:24">
      <c r="M442" s="558">
        <f t="shared" si="23"/>
        <v>440</v>
      </c>
      <c r="N442" s="15">
        <f t="shared" si="21"/>
        <v>0.70637346070229967</v>
      </c>
      <c r="O442" s="165">
        <f t="shared" si="22"/>
        <v>0.44</v>
      </c>
      <c r="P442" s="18"/>
      <c r="Q442" s="18"/>
      <c r="R442" s="18"/>
      <c r="S442" s="18"/>
      <c r="T442" s="18"/>
      <c r="U442" s="18"/>
      <c r="V442" s="18"/>
      <c r="W442" s="18"/>
      <c r="X442" s="18"/>
    </row>
    <row r="443" spans="13:24">
      <c r="M443" s="558">
        <f t="shared" si="23"/>
        <v>441</v>
      </c>
      <c r="N443" s="15">
        <f t="shared" si="21"/>
        <v>0.70599709650574871</v>
      </c>
      <c r="O443" s="165">
        <f t="shared" si="22"/>
        <v>0.44</v>
      </c>
      <c r="P443" s="18"/>
      <c r="Q443" s="18"/>
      <c r="R443" s="18"/>
      <c r="S443" s="18"/>
      <c r="T443" s="18"/>
      <c r="U443" s="18"/>
      <c r="V443" s="18"/>
      <c r="W443" s="18"/>
      <c r="X443" s="18"/>
    </row>
    <row r="444" spans="13:24">
      <c r="M444" s="558">
        <f t="shared" si="23"/>
        <v>442</v>
      </c>
      <c r="N444" s="15">
        <f t="shared" si="21"/>
        <v>0.70562114015098665</v>
      </c>
      <c r="O444" s="165">
        <f t="shared" si="22"/>
        <v>0.44</v>
      </c>
      <c r="P444" s="18"/>
      <c r="Q444" s="18"/>
      <c r="R444" s="18"/>
      <c r="S444" s="18"/>
      <c r="T444" s="18"/>
      <c r="U444" s="18"/>
      <c r="V444" s="18"/>
      <c r="W444" s="18"/>
      <c r="X444" s="18"/>
    </row>
    <row r="445" spans="13:24">
      <c r="M445" s="558">
        <f t="shared" si="23"/>
        <v>443</v>
      </c>
      <c r="N445" s="15">
        <f t="shared" si="21"/>
        <v>0.705245591126204</v>
      </c>
      <c r="O445" s="165">
        <f t="shared" si="22"/>
        <v>0.44</v>
      </c>
      <c r="P445" s="18"/>
      <c r="Q445" s="18"/>
      <c r="R445" s="18"/>
      <c r="S445" s="18"/>
      <c r="T445" s="18"/>
      <c r="U445" s="18"/>
      <c r="V445" s="18"/>
      <c r="W445" s="18"/>
      <c r="X445" s="18"/>
    </row>
    <row r="446" spans="13:24">
      <c r="M446" s="558">
        <f t="shared" si="23"/>
        <v>444</v>
      </c>
      <c r="N446" s="15">
        <f t="shared" si="21"/>
        <v>0.70487044892023554</v>
      </c>
      <c r="O446" s="165">
        <f t="shared" si="22"/>
        <v>0.44</v>
      </c>
      <c r="P446" s="18"/>
      <c r="Q446" s="18"/>
      <c r="R446" s="18"/>
      <c r="S446" s="18"/>
      <c r="T446" s="18"/>
      <c r="U446" s="18"/>
      <c r="V446" s="18"/>
      <c r="W446" s="18"/>
      <c r="X446" s="18"/>
    </row>
    <row r="447" spans="13:24">
      <c r="M447" s="558">
        <f t="shared" si="23"/>
        <v>445</v>
      </c>
      <c r="N447" s="15">
        <f t="shared" si="21"/>
        <v>0.70449571302255587</v>
      </c>
      <c r="O447" s="165">
        <f t="shared" si="22"/>
        <v>0.44</v>
      </c>
      <c r="P447" s="18"/>
      <c r="Q447" s="18"/>
      <c r="R447" s="18"/>
      <c r="S447" s="18"/>
      <c r="T447" s="18"/>
      <c r="U447" s="18"/>
      <c r="V447" s="18"/>
      <c r="W447" s="18"/>
      <c r="X447" s="18"/>
    </row>
    <row r="448" spans="13:24">
      <c r="M448" s="558">
        <f t="shared" si="23"/>
        <v>446</v>
      </c>
      <c r="N448" s="15">
        <f t="shared" si="21"/>
        <v>0.70412138292328019</v>
      </c>
      <c r="O448" s="165">
        <f t="shared" si="22"/>
        <v>0.44</v>
      </c>
      <c r="P448" s="18"/>
      <c r="Q448" s="18"/>
      <c r="R448" s="18"/>
      <c r="S448" s="18"/>
      <c r="T448" s="18"/>
      <c r="U448" s="18"/>
      <c r="V448" s="18"/>
      <c r="W448" s="18"/>
      <c r="X448" s="18"/>
    </row>
    <row r="449" spans="13:24">
      <c r="M449" s="558">
        <f t="shared" si="23"/>
        <v>447</v>
      </c>
      <c r="N449" s="15">
        <f t="shared" si="21"/>
        <v>0.70374745811316497</v>
      </c>
      <c r="O449" s="165">
        <f t="shared" si="22"/>
        <v>0.44</v>
      </c>
      <c r="P449" s="18"/>
      <c r="Q449" s="18"/>
      <c r="R449" s="18"/>
      <c r="S449" s="18"/>
      <c r="T449" s="18"/>
      <c r="U449" s="18"/>
      <c r="V449" s="18"/>
      <c r="W449" s="18"/>
      <c r="X449" s="18"/>
    </row>
    <row r="450" spans="13:24">
      <c r="M450" s="558">
        <f t="shared" si="23"/>
        <v>448</v>
      </c>
      <c r="N450" s="15">
        <f t="shared" si="21"/>
        <v>0.70337393808360449</v>
      </c>
      <c r="O450" s="165">
        <f t="shared" si="22"/>
        <v>0.44</v>
      </c>
      <c r="P450" s="18"/>
      <c r="Q450" s="18"/>
      <c r="R450" s="18"/>
      <c r="S450" s="18"/>
      <c r="T450" s="18"/>
      <c r="U450" s="18"/>
      <c r="V450" s="18"/>
      <c r="W450" s="18"/>
      <c r="X450" s="18"/>
    </row>
    <row r="451" spans="13:24">
      <c r="M451" s="558">
        <f t="shared" si="23"/>
        <v>449</v>
      </c>
      <c r="N451" s="15">
        <f t="shared" si="21"/>
        <v>0.70300082232663108</v>
      </c>
      <c r="O451" s="165">
        <f t="shared" si="22"/>
        <v>0.44</v>
      </c>
      <c r="P451" s="18"/>
      <c r="Q451" s="18"/>
      <c r="R451" s="18"/>
      <c r="S451" s="18"/>
      <c r="T451" s="18"/>
      <c r="U451" s="18"/>
      <c r="V451" s="18"/>
      <c r="W451" s="18"/>
      <c r="X451" s="18"/>
    </row>
    <row r="452" spans="13:24">
      <c r="M452" s="558">
        <f t="shared" si="23"/>
        <v>450</v>
      </c>
      <c r="N452" s="15">
        <f t="shared" ref="N452:N515" si="24">IF(M452&lt;$B$31+1,$B$32+$B$33/$B$31*(8760-M452)+$B$34*IF(M452&lt;$B$36-$B$31/(2*$B$35),1,IF(M452&lt;$B$36+$B$31/(2*$B$35),COS(PI()/2*(M452-($B$36-$B$31/(2*$B$35)))*$B$35/$B$31)^2,0))+$B$37*EXP((8760-M452)/8760*$B$38)/EXP($B$38)-(8760-$B$31)*$B$33/$B$31,0)</f>
        <v>0.70262811033491612</v>
      </c>
      <c r="O452" s="165">
        <f t="shared" ref="O452:O515" si="25">MIN(N452,C$24)</f>
        <v>0.44</v>
      </c>
      <c r="P452" s="18"/>
      <c r="Q452" s="18"/>
      <c r="R452" s="18"/>
      <c r="S452" s="18"/>
      <c r="T452" s="18"/>
      <c r="U452" s="18"/>
      <c r="V452" s="18"/>
      <c r="W452" s="18"/>
      <c r="X452" s="18"/>
    </row>
    <row r="453" spans="13:24">
      <c r="M453" s="558">
        <f t="shared" ref="M453:M516" si="26">M452+1</f>
        <v>451</v>
      </c>
      <c r="N453" s="15">
        <f t="shared" si="24"/>
        <v>0.70225580160176615</v>
      </c>
      <c r="O453" s="165">
        <f t="shared" si="25"/>
        <v>0.44</v>
      </c>
      <c r="P453" s="18"/>
      <c r="Q453" s="18"/>
      <c r="R453" s="18"/>
      <c r="S453" s="18"/>
      <c r="T453" s="18"/>
      <c r="U453" s="18"/>
      <c r="V453" s="18"/>
      <c r="W453" s="18"/>
      <c r="X453" s="18"/>
    </row>
    <row r="454" spans="13:24">
      <c r="M454" s="558">
        <f t="shared" si="26"/>
        <v>452</v>
      </c>
      <c r="N454" s="15">
        <f t="shared" si="24"/>
        <v>0.70188389562112374</v>
      </c>
      <c r="O454" s="165">
        <f t="shared" si="25"/>
        <v>0.44</v>
      </c>
      <c r="P454" s="18"/>
      <c r="Q454" s="18"/>
      <c r="R454" s="18"/>
      <c r="S454" s="18"/>
      <c r="T454" s="18"/>
      <c r="U454" s="18"/>
      <c r="V454" s="18"/>
      <c r="W454" s="18"/>
      <c r="X454" s="18"/>
    </row>
    <row r="455" spans="13:24">
      <c r="M455" s="558">
        <f t="shared" si="26"/>
        <v>453</v>
      </c>
      <c r="N455" s="15">
        <f t="shared" si="24"/>
        <v>0.70151239188756764</v>
      </c>
      <c r="O455" s="165">
        <f t="shared" si="25"/>
        <v>0.44</v>
      </c>
      <c r="P455" s="18"/>
      <c r="Q455" s="18"/>
      <c r="R455" s="18"/>
      <c r="S455" s="18"/>
      <c r="T455" s="18"/>
      <c r="U455" s="18"/>
      <c r="V455" s="18"/>
      <c r="W455" s="18"/>
      <c r="X455" s="18"/>
    </row>
    <row r="456" spans="13:24">
      <c r="M456" s="558">
        <f t="shared" si="26"/>
        <v>454</v>
      </c>
      <c r="N456" s="15">
        <f t="shared" si="24"/>
        <v>0.70114128989630942</v>
      </c>
      <c r="O456" s="165">
        <f t="shared" si="25"/>
        <v>0.44</v>
      </c>
      <c r="P456" s="18"/>
      <c r="Q456" s="18"/>
      <c r="R456" s="18"/>
      <c r="S456" s="18"/>
      <c r="T456" s="18"/>
      <c r="U456" s="18"/>
      <c r="V456" s="18"/>
      <c r="W456" s="18"/>
      <c r="X456" s="18"/>
    </row>
    <row r="457" spans="13:24">
      <c r="M457" s="558">
        <f t="shared" si="26"/>
        <v>455</v>
      </c>
      <c r="N457" s="15">
        <f t="shared" si="24"/>
        <v>0.70077058914319501</v>
      </c>
      <c r="O457" s="165">
        <f t="shared" si="25"/>
        <v>0.44</v>
      </c>
      <c r="P457" s="18"/>
      <c r="Q457" s="18"/>
      <c r="R457" s="18"/>
      <c r="S457" s="18"/>
      <c r="T457" s="18"/>
      <c r="U457" s="18"/>
      <c r="V457" s="18"/>
      <c r="W457" s="18"/>
      <c r="X457" s="18"/>
    </row>
    <row r="458" spans="13:24">
      <c r="M458" s="558">
        <f t="shared" si="26"/>
        <v>456</v>
      </c>
      <c r="N458" s="15">
        <f t="shared" si="24"/>
        <v>0.7004002891247022</v>
      </c>
      <c r="O458" s="165">
        <f t="shared" si="25"/>
        <v>0.44</v>
      </c>
      <c r="P458" s="18"/>
      <c r="Q458" s="18"/>
      <c r="R458" s="18"/>
      <c r="S458" s="18"/>
      <c r="T458" s="18"/>
      <c r="U458" s="18"/>
      <c r="V458" s="18"/>
      <c r="W458" s="18"/>
      <c r="X458" s="18"/>
    </row>
    <row r="459" spans="13:24">
      <c r="M459" s="558">
        <f t="shared" si="26"/>
        <v>457</v>
      </c>
      <c r="N459" s="15">
        <f t="shared" si="24"/>
        <v>0.70003038933794215</v>
      </c>
      <c r="O459" s="165">
        <f t="shared" si="25"/>
        <v>0.44</v>
      </c>
      <c r="P459" s="18"/>
      <c r="Q459" s="18"/>
      <c r="R459" s="18"/>
      <c r="S459" s="18"/>
      <c r="T459" s="18"/>
      <c r="U459" s="18"/>
      <c r="V459" s="18"/>
      <c r="W459" s="18"/>
      <c r="X459" s="18"/>
    </row>
    <row r="460" spans="13:24">
      <c r="M460" s="558">
        <f t="shared" si="26"/>
        <v>458</v>
      </c>
      <c r="N460" s="15">
        <f t="shared" si="24"/>
        <v>0.69966088928065573</v>
      </c>
      <c r="O460" s="165">
        <f t="shared" si="25"/>
        <v>0.44</v>
      </c>
      <c r="P460" s="18"/>
      <c r="Q460" s="18"/>
      <c r="R460" s="18"/>
      <c r="S460" s="18"/>
      <c r="T460" s="18"/>
      <c r="U460" s="18"/>
      <c r="V460" s="18"/>
      <c r="W460" s="18"/>
      <c r="X460" s="18"/>
    </row>
    <row r="461" spans="13:24">
      <c r="M461" s="558">
        <f t="shared" si="26"/>
        <v>459</v>
      </c>
      <c r="N461" s="15">
        <f t="shared" si="24"/>
        <v>0.69929178845121409</v>
      </c>
      <c r="O461" s="165">
        <f t="shared" si="25"/>
        <v>0.44</v>
      </c>
      <c r="P461" s="18"/>
      <c r="Q461" s="18"/>
      <c r="R461" s="18"/>
      <c r="S461" s="18"/>
      <c r="T461" s="18"/>
      <c r="U461" s="18"/>
      <c r="V461" s="18"/>
      <c r="W461" s="18"/>
      <c r="X461" s="18"/>
    </row>
    <row r="462" spans="13:24">
      <c r="M462" s="558">
        <f t="shared" si="26"/>
        <v>460</v>
      </c>
      <c r="N462" s="15">
        <f t="shared" si="24"/>
        <v>0.69892308634861933</v>
      </c>
      <c r="O462" s="165">
        <f t="shared" si="25"/>
        <v>0.44</v>
      </c>
      <c r="P462" s="18"/>
      <c r="Q462" s="18"/>
      <c r="R462" s="18"/>
      <c r="S462" s="18"/>
      <c r="T462" s="18"/>
      <c r="U462" s="18"/>
      <c r="V462" s="18"/>
      <c r="W462" s="18"/>
      <c r="X462" s="18"/>
    </row>
    <row r="463" spans="13:24">
      <c r="M463" s="558">
        <f t="shared" si="26"/>
        <v>461</v>
      </c>
      <c r="N463" s="15">
        <f t="shared" si="24"/>
        <v>0.69855478247250069</v>
      </c>
      <c r="O463" s="165">
        <f t="shared" si="25"/>
        <v>0.44</v>
      </c>
      <c r="P463" s="18"/>
      <c r="Q463" s="18"/>
      <c r="R463" s="18"/>
      <c r="S463" s="18"/>
      <c r="T463" s="18"/>
      <c r="U463" s="18"/>
      <c r="V463" s="18"/>
      <c r="W463" s="18"/>
      <c r="X463" s="18"/>
    </row>
    <row r="464" spans="13:24">
      <c r="M464" s="558">
        <f t="shared" si="26"/>
        <v>462</v>
      </c>
      <c r="N464" s="15">
        <f t="shared" si="24"/>
        <v>0.69818687632311549</v>
      </c>
      <c r="O464" s="165">
        <f t="shared" si="25"/>
        <v>0.44</v>
      </c>
      <c r="P464" s="18"/>
      <c r="Q464" s="18"/>
      <c r="R464" s="18"/>
      <c r="S464" s="18"/>
      <c r="T464" s="18"/>
      <c r="U464" s="18"/>
      <c r="V464" s="18"/>
      <c r="W464" s="18"/>
      <c r="X464" s="18"/>
    </row>
    <row r="465" spans="13:24">
      <c r="M465" s="558">
        <f t="shared" si="26"/>
        <v>463</v>
      </c>
      <c r="N465" s="15">
        <f t="shared" si="24"/>
        <v>0.69781936740134975</v>
      </c>
      <c r="O465" s="165">
        <f t="shared" si="25"/>
        <v>0.44</v>
      </c>
      <c r="P465" s="18"/>
      <c r="Q465" s="18"/>
      <c r="R465" s="18"/>
      <c r="S465" s="18"/>
      <c r="T465" s="18"/>
      <c r="U465" s="18"/>
      <c r="V465" s="18"/>
      <c r="W465" s="18"/>
      <c r="X465" s="18"/>
    </row>
    <row r="466" spans="13:24">
      <c r="M466" s="558">
        <f t="shared" si="26"/>
        <v>464</v>
      </c>
      <c r="N466" s="15">
        <f t="shared" si="24"/>
        <v>0.6974522552087139</v>
      </c>
      <c r="O466" s="165">
        <f t="shared" si="25"/>
        <v>0.44</v>
      </c>
      <c r="P466" s="18"/>
      <c r="Q466" s="18"/>
      <c r="R466" s="18"/>
      <c r="S466" s="18"/>
      <c r="T466" s="18"/>
      <c r="U466" s="18"/>
      <c r="V466" s="18"/>
      <c r="W466" s="18"/>
      <c r="X466" s="18"/>
    </row>
    <row r="467" spans="13:24">
      <c r="M467" s="558">
        <f t="shared" si="26"/>
        <v>465</v>
      </c>
      <c r="N467" s="15">
        <f t="shared" si="24"/>
        <v>0.69708553924734451</v>
      </c>
      <c r="O467" s="165">
        <f t="shared" si="25"/>
        <v>0.44</v>
      </c>
      <c r="P467" s="18"/>
      <c r="Q467" s="18"/>
      <c r="R467" s="18"/>
      <c r="S467" s="18"/>
      <c r="T467" s="18"/>
      <c r="U467" s="18"/>
      <c r="V467" s="18"/>
      <c r="W467" s="18"/>
      <c r="X467" s="18"/>
    </row>
    <row r="468" spans="13:24">
      <c r="M468" s="558">
        <f t="shared" si="26"/>
        <v>466</v>
      </c>
      <c r="N468" s="15">
        <f t="shared" si="24"/>
        <v>0.696719219020004</v>
      </c>
      <c r="O468" s="165">
        <f t="shared" si="25"/>
        <v>0.44</v>
      </c>
      <c r="P468" s="18"/>
      <c r="Q468" s="18"/>
      <c r="R468" s="18"/>
      <c r="S468" s="18"/>
      <c r="T468" s="18"/>
      <c r="U468" s="18"/>
      <c r="V468" s="18"/>
      <c r="W468" s="18"/>
      <c r="X468" s="18"/>
    </row>
    <row r="469" spans="13:24">
      <c r="M469" s="558">
        <f t="shared" si="26"/>
        <v>467</v>
      </c>
      <c r="N469" s="15">
        <f t="shared" si="24"/>
        <v>0.69635329403007762</v>
      </c>
      <c r="O469" s="165">
        <f t="shared" si="25"/>
        <v>0.44</v>
      </c>
      <c r="P469" s="18"/>
      <c r="Q469" s="18"/>
      <c r="R469" s="18"/>
      <c r="S469" s="18"/>
      <c r="T469" s="18"/>
      <c r="U469" s="18"/>
      <c r="V469" s="18"/>
      <c r="W469" s="18"/>
      <c r="X469" s="18"/>
    </row>
    <row r="470" spans="13:24">
      <c r="M470" s="558">
        <f t="shared" si="26"/>
        <v>468</v>
      </c>
      <c r="N470" s="15">
        <f t="shared" si="24"/>
        <v>0.69598776378157401</v>
      </c>
      <c r="O470" s="165">
        <f t="shared" si="25"/>
        <v>0.44</v>
      </c>
      <c r="P470" s="18"/>
      <c r="Q470" s="18"/>
      <c r="R470" s="18"/>
      <c r="S470" s="18"/>
      <c r="T470" s="18"/>
      <c r="U470" s="18"/>
      <c r="V470" s="18"/>
      <c r="W470" s="18"/>
      <c r="X470" s="18"/>
    </row>
    <row r="471" spans="13:24">
      <c r="M471" s="558">
        <f t="shared" si="26"/>
        <v>469</v>
      </c>
      <c r="N471" s="15">
        <f t="shared" si="24"/>
        <v>0.69562262777912443</v>
      </c>
      <c r="O471" s="165">
        <f t="shared" si="25"/>
        <v>0.44</v>
      </c>
      <c r="P471" s="18"/>
      <c r="Q471" s="18"/>
      <c r="R471" s="18"/>
      <c r="S471" s="18"/>
      <c r="T471" s="18"/>
      <c r="U471" s="18"/>
      <c r="V471" s="18"/>
      <c r="W471" s="18"/>
      <c r="X471" s="18"/>
    </row>
    <row r="472" spans="13:24">
      <c r="M472" s="558">
        <f t="shared" si="26"/>
        <v>470</v>
      </c>
      <c r="N472" s="15">
        <f t="shared" si="24"/>
        <v>0.69525788552798173</v>
      </c>
      <c r="O472" s="165">
        <f t="shared" si="25"/>
        <v>0.44</v>
      </c>
      <c r="P472" s="18"/>
      <c r="Q472" s="18"/>
      <c r="R472" s="18"/>
      <c r="S472" s="18"/>
      <c r="T472" s="18"/>
      <c r="U472" s="18"/>
      <c r="V472" s="18"/>
      <c r="W472" s="18"/>
      <c r="X472" s="18"/>
    </row>
    <row r="473" spans="13:24">
      <c r="M473" s="558">
        <f t="shared" si="26"/>
        <v>471</v>
      </c>
      <c r="N473" s="15">
        <f t="shared" si="24"/>
        <v>0.6948935365340192</v>
      </c>
      <c r="O473" s="165">
        <f t="shared" si="25"/>
        <v>0.44</v>
      </c>
      <c r="P473" s="18"/>
      <c r="Q473" s="18"/>
      <c r="R473" s="18"/>
      <c r="S473" s="18"/>
      <c r="T473" s="18"/>
      <c r="U473" s="18"/>
      <c r="V473" s="18"/>
      <c r="W473" s="18"/>
      <c r="X473" s="18"/>
    </row>
    <row r="474" spans="13:24">
      <c r="M474" s="558">
        <f t="shared" si="26"/>
        <v>472</v>
      </c>
      <c r="N474" s="15">
        <f t="shared" si="24"/>
        <v>0.69452958030373158</v>
      </c>
      <c r="O474" s="165">
        <f t="shared" si="25"/>
        <v>0.44</v>
      </c>
      <c r="P474" s="18"/>
      <c r="Q474" s="18"/>
      <c r="R474" s="18"/>
      <c r="S474" s="18"/>
      <c r="T474" s="18"/>
      <c r="U474" s="18"/>
      <c r="V474" s="18"/>
      <c r="W474" s="18"/>
      <c r="X474" s="18"/>
    </row>
    <row r="475" spans="13:24">
      <c r="M475" s="558">
        <f t="shared" si="26"/>
        <v>473</v>
      </c>
      <c r="N475" s="15">
        <f t="shared" si="24"/>
        <v>0.69416601634423147</v>
      </c>
      <c r="O475" s="165">
        <f t="shared" si="25"/>
        <v>0.44</v>
      </c>
      <c r="P475" s="18"/>
      <c r="Q475" s="18"/>
      <c r="R475" s="18"/>
      <c r="S475" s="18"/>
      <c r="T475" s="18"/>
      <c r="U475" s="18"/>
      <c r="V475" s="18"/>
      <c r="W475" s="18"/>
      <c r="X475" s="18"/>
    </row>
    <row r="476" spans="13:24">
      <c r="M476" s="558">
        <f t="shared" si="26"/>
        <v>474</v>
      </c>
      <c r="N476" s="15">
        <f t="shared" si="24"/>
        <v>0.69380284416325022</v>
      </c>
      <c r="O476" s="165">
        <f t="shared" si="25"/>
        <v>0.44</v>
      </c>
      <c r="P476" s="18"/>
      <c r="Q476" s="18"/>
      <c r="R476" s="18"/>
      <c r="S476" s="18"/>
      <c r="T476" s="18"/>
      <c r="U476" s="18"/>
      <c r="V476" s="18"/>
      <c r="W476" s="18"/>
      <c r="X476" s="18"/>
    </row>
    <row r="477" spans="13:24">
      <c r="M477" s="558">
        <f t="shared" si="26"/>
        <v>475</v>
      </c>
      <c r="N477" s="15">
        <f t="shared" si="24"/>
        <v>0.6934400632691381</v>
      </c>
      <c r="O477" s="165">
        <f t="shared" si="25"/>
        <v>0.44</v>
      </c>
      <c r="P477" s="18"/>
      <c r="Q477" s="18"/>
      <c r="R477" s="18"/>
      <c r="S477" s="18"/>
      <c r="T477" s="18"/>
      <c r="U477" s="18"/>
      <c r="V477" s="18"/>
      <c r="W477" s="18"/>
      <c r="X477" s="18"/>
    </row>
    <row r="478" spans="13:24">
      <c r="M478" s="558">
        <f t="shared" si="26"/>
        <v>476</v>
      </c>
      <c r="N478" s="15">
        <f t="shared" si="24"/>
        <v>0.693077673170861</v>
      </c>
      <c r="O478" s="165">
        <f t="shared" si="25"/>
        <v>0.44</v>
      </c>
      <c r="P478" s="18"/>
      <c r="Q478" s="18"/>
      <c r="R478" s="18"/>
      <c r="S478" s="18"/>
      <c r="T478" s="18"/>
      <c r="U478" s="18"/>
      <c r="V478" s="18"/>
      <c r="W478" s="18"/>
      <c r="X478" s="18"/>
    </row>
    <row r="479" spans="13:24">
      <c r="M479" s="558">
        <f t="shared" si="26"/>
        <v>477</v>
      </c>
      <c r="N479" s="15">
        <f t="shared" si="24"/>
        <v>0.69271567337800111</v>
      </c>
      <c r="O479" s="165">
        <f t="shared" si="25"/>
        <v>0.44</v>
      </c>
      <c r="P479" s="18"/>
      <c r="Q479" s="18"/>
      <c r="R479" s="18"/>
      <c r="S479" s="18"/>
      <c r="T479" s="18"/>
      <c r="U479" s="18"/>
      <c r="V479" s="18"/>
      <c r="W479" s="18"/>
      <c r="X479" s="18"/>
    </row>
    <row r="480" spans="13:24">
      <c r="M480" s="558">
        <f t="shared" si="26"/>
        <v>478</v>
      </c>
      <c r="N480" s="15">
        <f t="shared" si="24"/>
        <v>0.69235406340075734</v>
      </c>
      <c r="O480" s="165">
        <f t="shared" si="25"/>
        <v>0.44</v>
      </c>
      <c r="P480" s="18"/>
      <c r="Q480" s="18"/>
      <c r="R480" s="18"/>
      <c r="S480" s="18"/>
      <c r="T480" s="18"/>
      <c r="U480" s="18"/>
      <c r="V480" s="18"/>
      <c r="W480" s="18"/>
      <c r="X480" s="18"/>
    </row>
    <row r="481" spans="13:24">
      <c r="M481" s="558">
        <f t="shared" si="26"/>
        <v>479</v>
      </c>
      <c r="N481" s="15">
        <f t="shared" si="24"/>
        <v>0.69199284274994211</v>
      </c>
      <c r="O481" s="165">
        <f t="shared" si="25"/>
        <v>0.44</v>
      </c>
      <c r="P481" s="18"/>
      <c r="Q481" s="18"/>
      <c r="R481" s="18"/>
      <c r="S481" s="18"/>
      <c r="T481" s="18"/>
      <c r="U481" s="18"/>
      <c r="V481" s="18"/>
      <c r="W481" s="18"/>
      <c r="X481" s="18"/>
    </row>
    <row r="482" spans="13:24">
      <c r="M482" s="558">
        <f t="shared" si="26"/>
        <v>480</v>
      </c>
      <c r="N482" s="15">
        <f t="shared" si="24"/>
        <v>0.69163201093698135</v>
      </c>
      <c r="O482" s="165">
        <f t="shared" si="25"/>
        <v>0.44</v>
      </c>
      <c r="P482" s="18"/>
      <c r="Q482" s="18"/>
      <c r="R482" s="18"/>
      <c r="S482" s="18"/>
      <c r="T482" s="18"/>
      <c r="U482" s="18"/>
      <c r="V482" s="18"/>
      <c r="W482" s="18"/>
      <c r="X482" s="18"/>
    </row>
    <row r="483" spans="13:24">
      <c r="M483" s="558">
        <f t="shared" si="26"/>
        <v>481</v>
      </c>
      <c r="N483" s="15">
        <f t="shared" si="24"/>
        <v>0.69127156747391594</v>
      </c>
      <c r="O483" s="165">
        <f t="shared" si="25"/>
        <v>0.44</v>
      </c>
      <c r="P483" s="18"/>
      <c r="Q483" s="18"/>
      <c r="R483" s="18"/>
      <c r="S483" s="18"/>
      <c r="T483" s="18"/>
      <c r="U483" s="18"/>
      <c r="V483" s="18"/>
      <c r="W483" s="18"/>
      <c r="X483" s="18"/>
    </row>
    <row r="484" spans="13:24">
      <c r="M484" s="558">
        <f t="shared" si="26"/>
        <v>482</v>
      </c>
      <c r="N484" s="15">
        <f t="shared" si="24"/>
        <v>0.69091151187339728</v>
      </c>
      <c r="O484" s="165">
        <f t="shared" si="25"/>
        <v>0.44</v>
      </c>
      <c r="P484" s="18"/>
      <c r="Q484" s="18"/>
      <c r="R484" s="18"/>
      <c r="S484" s="18"/>
      <c r="T484" s="18"/>
      <c r="U484" s="18"/>
      <c r="V484" s="18"/>
      <c r="W484" s="18"/>
      <c r="X484" s="18"/>
    </row>
    <row r="485" spans="13:24">
      <c r="M485" s="558">
        <f t="shared" si="26"/>
        <v>483</v>
      </c>
      <c r="N485" s="15">
        <f t="shared" si="24"/>
        <v>0.6905518436486886</v>
      </c>
      <c r="O485" s="165">
        <f t="shared" si="25"/>
        <v>0.44</v>
      </c>
      <c r="P485" s="18"/>
      <c r="Q485" s="18"/>
      <c r="R485" s="18"/>
      <c r="S485" s="18"/>
      <c r="T485" s="18"/>
      <c r="U485" s="18"/>
      <c r="V485" s="18"/>
      <c r="W485" s="18"/>
      <c r="X485" s="18"/>
    </row>
    <row r="486" spans="13:24">
      <c r="M486" s="558">
        <f t="shared" si="26"/>
        <v>484</v>
      </c>
      <c r="N486" s="15">
        <f t="shared" si="24"/>
        <v>0.69019256231366533</v>
      </c>
      <c r="O486" s="165">
        <f t="shared" si="25"/>
        <v>0.44</v>
      </c>
      <c r="P486" s="18"/>
      <c r="Q486" s="18"/>
      <c r="R486" s="18"/>
      <c r="S486" s="18"/>
      <c r="T486" s="18"/>
      <c r="U486" s="18"/>
      <c r="V486" s="18"/>
      <c r="W486" s="18"/>
      <c r="X486" s="18"/>
    </row>
    <row r="487" spans="13:24">
      <c r="M487" s="558">
        <f t="shared" si="26"/>
        <v>485</v>
      </c>
      <c r="N487" s="15">
        <f t="shared" si="24"/>
        <v>0.68983366738281149</v>
      </c>
      <c r="O487" s="165">
        <f t="shared" si="25"/>
        <v>0.44</v>
      </c>
      <c r="P487" s="18"/>
      <c r="Q487" s="18"/>
      <c r="R487" s="18"/>
      <c r="S487" s="18"/>
      <c r="T487" s="18"/>
      <c r="U487" s="18"/>
      <c r="V487" s="18"/>
      <c r="W487" s="18"/>
      <c r="X487" s="18"/>
    </row>
    <row r="488" spans="13:24">
      <c r="M488" s="558">
        <f t="shared" si="26"/>
        <v>486</v>
      </c>
      <c r="N488" s="15">
        <f t="shared" si="24"/>
        <v>0.68947515837122042</v>
      </c>
      <c r="O488" s="165">
        <f t="shared" si="25"/>
        <v>0.44</v>
      </c>
      <c r="P488" s="18"/>
      <c r="Q488" s="18"/>
      <c r="R488" s="18"/>
      <c r="S488" s="18"/>
      <c r="T488" s="18"/>
      <c r="U488" s="18"/>
      <c r="V488" s="18"/>
      <c r="W488" s="18"/>
      <c r="X488" s="18"/>
    </row>
    <row r="489" spans="13:24">
      <c r="M489" s="558">
        <f t="shared" si="26"/>
        <v>487</v>
      </c>
      <c r="N489" s="15">
        <f t="shared" si="24"/>
        <v>0.68911703479459541</v>
      </c>
      <c r="O489" s="165">
        <f t="shared" si="25"/>
        <v>0.44</v>
      </c>
      <c r="P489" s="18"/>
      <c r="Q489" s="18"/>
      <c r="R489" s="18"/>
      <c r="S489" s="18"/>
      <c r="T489" s="18"/>
      <c r="U489" s="18"/>
      <c r="V489" s="18"/>
      <c r="W489" s="18"/>
      <c r="X489" s="18"/>
    </row>
    <row r="490" spans="13:24">
      <c r="M490" s="558">
        <f t="shared" si="26"/>
        <v>488</v>
      </c>
      <c r="N490" s="15">
        <f t="shared" si="24"/>
        <v>0.68875929616924603</v>
      </c>
      <c r="O490" s="165">
        <f t="shared" si="25"/>
        <v>0.44</v>
      </c>
      <c r="P490" s="18"/>
      <c r="Q490" s="18"/>
      <c r="R490" s="18"/>
      <c r="S490" s="18"/>
      <c r="T490" s="18"/>
      <c r="U490" s="18"/>
      <c r="V490" s="18"/>
      <c r="W490" s="18"/>
      <c r="X490" s="18"/>
    </row>
    <row r="491" spans="13:24">
      <c r="M491" s="558">
        <f t="shared" si="26"/>
        <v>489</v>
      </c>
      <c r="N491" s="15">
        <f t="shared" si="24"/>
        <v>0.68840194201208937</v>
      </c>
      <c r="O491" s="165">
        <f t="shared" si="25"/>
        <v>0.44</v>
      </c>
      <c r="P491" s="18"/>
      <c r="Q491" s="18"/>
      <c r="R491" s="18"/>
      <c r="S491" s="18"/>
      <c r="T491" s="18"/>
      <c r="U491" s="18"/>
      <c r="V491" s="18"/>
      <c r="W491" s="18"/>
      <c r="X491" s="18"/>
    </row>
    <row r="492" spans="13:24">
      <c r="M492" s="558">
        <f t="shared" si="26"/>
        <v>490</v>
      </c>
      <c r="N492" s="15">
        <f t="shared" si="24"/>
        <v>0.68804497184064828</v>
      </c>
      <c r="O492" s="165">
        <f t="shared" si="25"/>
        <v>0.44</v>
      </c>
      <c r="P492" s="18"/>
      <c r="Q492" s="18"/>
      <c r="R492" s="18"/>
      <c r="S492" s="18"/>
      <c r="T492" s="18"/>
      <c r="U492" s="18"/>
      <c r="V492" s="18"/>
      <c r="W492" s="18"/>
      <c r="X492" s="18"/>
    </row>
    <row r="493" spans="13:24">
      <c r="M493" s="558">
        <f t="shared" si="26"/>
        <v>491</v>
      </c>
      <c r="N493" s="15">
        <f t="shared" si="24"/>
        <v>0.68768838517305242</v>
      </c>
      <c r="O493" s="165">
        <f t="shared" si="25"/>
        <v>0.44</v>
      </c>
      <c r="P493" s="18"/>
      <c r="Q493" s="18"/>
      <c r="R493" s="18"/>
      <c r="S493" s="18"/>
      <c r="T493" s="18"/>
      <c r="U493" s="18"/>
      <c r="V493" s="18"/>
      <c r="W493" s="18"/>
      <c r="X493" s="18"/>
    </row>
    <row r="494" spans="13:24">
      <c r="M494" s="558">
        <f t="shared" si="26"/>
        <v>492</v>
      </c>
      <c r="N494" s="15">
        <f t="shared" si="24"/>
        <v>0.68733218152803466</v>
      </c>
      <c r="O494" s="165">
        <f t="shared" si="25"/>
        <v>0.44</v>
      </c>
      <c r="P494" s="18"/>
      <c r="Q494" s="18"/>
      <c r="R494" s="18"/>
      <c r="S494" s="18"/>
      <c r="T494" s="18"/>
      <c r="U494" s="18"/>
      <c r="V494" s="18"/>
      <c r="W494" s="18"/>
      <c r="X494" s="18"/>
    </row>
    <row r="495" spans="13:24">
      <c r="M495" s="558">
        <f t="shared" si="26"/>
        <v>493</v>
      </c>
      <c r="N495" s="15">
        <f t="shared" si="24"/>
        <v>0.68697636042493226</v>
      </c>
      <c r="O495" s="165">
        <f t="shared" si="25"/>
        <v>0.44</v>
      </c>
      <c r="P495" s="18"/>
      <c r="Q495" s="18"/>
      <c r="R495" s="18"/>
      <c r="S495" s="18"/>
      <c r="T495" s="18"/>
      <c r="U495" s="18"/>
      <c r="V495" s="18"/>
      <c r="W495" s="18"/>
      <c r="X495" s="18"/>
    </row>
    <row r="496" spans="13:24">
      <c r="M496" s="558">
        <f t="shared" si="26"/>
        <v>494</v>
      </c>
      <c r="N496" s="15">
        <f t="shared" si="24"/>
        <v>0.68662092138368658</v>
      </c>
      <c r="O496" s="165">
        <f t="shared" si="25"/>
        <v>0.44</v>
      </c>
      <c r="P496" s="18"/>
      <c r="Q496" s="18"/>
      <c r="R496" s="18"/>
      <c r="S496" s="18"/>
      <c r="T496" s="18"/>
      <c r="U496" s="18"/>
      <c r="V496" s="18"/>
      <c r="W496" s="18"/>
      <c r="X496" s="18"/>
    </row>
    <row r="497" spans="13:24">
      <c r="M497" s="558">
        <f t="shared" si="26"/>
        <v>495</v>
      </c>
      <c r="N497" s="15">
        <f t="shared" si="24"/>
        <v>0.68626586392484012</v>
      </c>
      <c r="O497" s="165">
        <f t="shared" si="25"/>
        <v>0.44</v>
      </c>
      <c r="P497" s="18"/>
      <c r="Q497" s="18"/>
      <c r="R497" s="18"/>
      <c r="S497" s="18"/>
      <c r="T497" s="18"/>
      <c r="U497" s="18"/>
      <c r="V497" s="18"/>
      <c r="W497" s="18"/>
      <c r="X497" s="18"/>
    </row>
    <row r="498" spans="13:24">
      <c r="M498" s="558">
        <f t="shared" si="26"/>
        <v>496</v>
      </c>
      <c r="N498" s="15">
        <f t="shared" si="24"/>
        <v>0.68591118756953773</v>
      </c>
      <c r="O498" s="165">
        <f t="shared" si="25"/>
        <v>0.44</v>
      </c>
      <c r="P498" s="18"/>
      <c r="Q498" s="18"/>
      <c r="R498" s="18"/>
      <c r="S498" s="18"/>
      <c r="T498" s="18"/>
      <c r="U498" s="18"/>
      <c r="V498" s="18"/>
      <c r="W498" s="18"/>
      <c r="X498" s="18"/>
    </row>
    <row r="499" spans="13:24">
      <c r="M499" s="558">
        <f t="shared" si="26"/>
        <v>497</v>
      </c>
      <c r="N499" s="15">
        <f t="shared" si="24"/>
        <v>0.68555689183952517</v>
      </c>
      <c r="O499" s="165">
        <f t="shared" si="25"/>
        <v>0.44</v>
      </c>
      <c r="P499" s="18"/>
      <c r="Q499" s="18"/>
      <c r="R499" s="18"/>
      <c r="S499" s="18"/>
      <c r="T499" s="18"/>
      <c r="U499" s="18"/>
      <c r="V499" s="18"/>
      <c r="W499" s="18"/>
      <c r="X499" s="18"/>
    </row>
    <row r="500" spans="13:24">
      <c r="M500" s="558">
        <f t="shared" si="26"/>
        <v>498</v>
      </c>
      <c r="N500" s="15">
        <f t="shared" si="24"/>
        <v>0.68520297625714766</v>
      </c>
      <c r="O500" s="165">
        <f t="shared" si="25"/>
        <v>0.44</v>
      </c>
      <c r="P500" s="18"/>
      <c r="Q500" s="18"/>
      <c r="R500" s="18"/>
      <c r="S500" s="18"/>
      <c r="T500" s="18"/>
      <c r="U500" s="18"/>
      <c r="V500" s="18"/>
      <c r="W500" s="18"/>
      <c r="X500" s="18"/>
    </row>
    <row r="501" spans="13:24">
      <c r="M501" s="558">
        <f t="shared" si="26"/>
        <v>499</v>
      </c>
      <c r="N501" s="15">
        <f t="shared" si="24"/>
        <v>0.68484944034535133</v>
      </c>
      <c r="O501" s="165">
        <f t="shared" si="25"/>
        <v>0.44</v>
      </c>
      <c r="P501" s="18"/>
      <c r="Q501" s="18"/>
      <c r="R501" s="18"/>
      <c r="S501" s="18"/>
      <c r="T501" s="18"/>
      <c r="U501" s="18"/>
      <c r="V501" s="18"/>
      <c r="W501" s="18"/>
      <c r="X501" s="18"/>
    </row>
    <row r="502" spans="13:24">
      <c r="M502" s="558">
        <f t="shared" si="26"/>
        <v>500</v>
      </c>
      <c r="N502" s="15">
        <f t="shared" si="24"/>
        <v>0.68449628362767978</v>
      </c>
      <c r="O502" s="165">
        <f t="shared" si="25"/>
        <v>0.44</v>
      </c>
      <c r="P502" s="18"/>
      <c r="Q502" s="18"/>
      <c r="R502" s="18"/>
      <c r="S502" s="18"/>
      <c r="T502" s="18"/>
      <c r="U502" s="18"/>
      <c r="V502" s="18"/>
      <c r="W502" s="18"/>
      <c r="X502" s="18"/>
    </row>
    <row r="503" spans="13:24">
      <c r="M503" s="558">
        <f t="shared" si="26"/>
        <v>501</v>
      </c>
      <c r="N503" s="15">
        <f t="shared" si="24"/>
        <v>0.68414350562827431</v>
      </c>
      <c r="O503" s="165">
        <f t="shared" si="25"/>
        <v>0.44</v>
      </c>
      <c r="P503" s="18"/>
      <c r="Q503" s="18"/>
      <c r="R503" s="18"/>
      <c r="S503" s="18"/>
      <c r="T503" s="18"/>
      <c r="U503" s="18"/>
      <c r="V503" s="18"/>
      <c r="W503" s="18"/>
      <c r="X503" s="18"/>
    </row>
    <row r="504" spans="13:24">
      <c r="M504" s="558">
        <f t="shared" si="26"/>
        <v>502</v>
      </c>
      <c r="N504" s="15">
        <f t="shared" si="24"/>
        <v>0.68379110587187486</v>
      </c>
      <c r="O504" s="165">
        <f t="shared" si="25"/>
        <v>0.44</v>
      </c>
      <c r="P504" s="18"/>
      <c r="Q504" s="18"/>
      <c r="R504" s="18"/>
      <c r="S504" s="18"/>
      <c r="T504" s="18"/>
      <c r="U504" s="18"/>
      <c r="V504" s="18"/>
      <c r="W504" s="18"/>
      <c r="X504" s="18"/>
    </row>
    <row r="505" spans="13:24">
      <c r="M505" s="558">
        <f t="shared" si="26"/>
        <v>503</v>
      </c>
      <c r="N505" s="15">
        <f t="shared" si="24"/>
        <v>0.68343908388381625</v>
      </c>
      <c r="O505" s="165">
        <f t="shared" si="25"/>
        <v>0.44</v>
      </c>
      <c r="P505" s="18"/>
      <c r="Q505" s="18"/>
      <c r="R505" s="18"/>
      <c r="S505" s="18"/>
      <c r="T505" s="18"/>
      <c r="U505" s="18"/>
      <c r="V505" s="18"/>
      <c r="W505" s="18"/>
      <c r="X505" s="18"/>
    </row>
    <row r="506" spans="13:24">
      <c r="M506" s="558">
        <f t="shared" si="26"/>
        <v>504</v>
      </c>
      <c r="N506" s="15">
        <f t="shared" si="24"/>
        <v>0.68308743919002968</v>
      </c>
      <c r="O506" s="165">
        <f t="shared" si="25"/>
        <v>0.44</v>
      </c>
      <c r="P506" s="18"/>
      <c r="Q506" s="18"/>
      <c r="R506" s="18"/>
      <c r="S506" s="18"/>
      <c r="T506" s="18"/>
      <c r="U506" s="18"/>
      <c r="V506" s="18"/>
      <c r="W506" s="18"/>
      <c r="X506" s="18"/>
    </row>
    <row r="507" spans="13:24">
      <c r="M507" s="558">
        <f t="shared" si="26"/>
        <v>505</v>
      </c>
      <c r="N507" s="15">
        <f t="shared" si="24"/>
        <v>0.68273617131704056</v>
      </c>
      <c r="O507" s="165">
        <f t="shared" si="25"/>
        <v>0.44</v>
      </c>
      <c r="P507" s="18"/>
      <c r="Q507" s="18"/>
      <c r="R507" s="18"/>
      <c r="S507" s="18"/>
      <c r="T507" s="18"/>
      <c r="U507" s="18"/>
      <c r="V507" s="18"/>
      <c r="W507" s="18"/>
      <c r="X507" s="18"/>
    </row>
    <row r="508" spans="13:24">
      <c r="M508" s="558">
        <f t="shared" si="26"/>
        <v>506</v>
      </c>
      <c r="N508" s="15">
        <f t="shared" si="24"/>
        <v>0.68238527979197017</v>
      </c>
      <c r="O508" s="165">
        <f t="shared" si="25"/>
        <v>0.44</v>
      </c>
      <c r="P508" s="18"/>
      <c r="Q508" s="18"/>
      <c r="R508" s="18"/>
      <c r="S508" s="18"/>
      <c r="T508" s="18"/>
      <c r="U508" s="18"/>
      <c r="V508" s="18"/>
      <c r="W508" s="18"/>
      <c r="X508" s="18"/>
    </row>
    <row r="509" spans="13:24">
      <c r="M509" s="558">
        <f t="shared" si="26"/>
        <v>507</v>
      </c>
      <c r="N509" s="15">
        <f t="shared" si="24"/>
        <v>0.68203476414253139</v>
      </c>
      <c r="O509" s="165">
        <f t="shared" si="25"/>
        <v>0.44</v>
      </c>
      <c r="P509" s="18"/>
      <c r="Q509" s="18"/>
      <c r="R509" s="18"/>
      <c r="S509" s="18"/>
      <c r="T509" s="18"/>
      <c r="U509" s="18"/>
      <c r="V509" s="18"/>
      <c r="W509" s="18"/>
      <c r="X509" s="18"/>
    </row>
    <row r="510" spans="13:24">
      <c r="M510" s="558">
        <f t="shared" si="26"/>
        <v>508</v>
      </c>
      <c r="N510" s="15">
        <f t="shared" si="24"/>
        <v>0.68168462389703033</v>
      </c>
      <c r="O510" s="165">
        <f t="shared" si="25"/>
        <v>0.44</v>
      </c>
      <c r="P510" s="18"/>
      <c r="Q510" s="18"/>
      <c r="R510" s="18"/>
      <c r="S510" s="18"/>
      <c r="T510" s="18"/>
      <c r="U510" s="18"/>
      <c r="V510" s="18"/>
      <c r="W510" s="18"/>
      <c r="X510" s="18"/>
    </row>
    <row r="511" spans="13:24">
      <c r="M511" s="558">
        <f t="shared" si="26"/>
        <v>509</v>
      </c>
      <c r="N511" s="15">
        <f t="shared" si="24"/>
        <v>0.68133485858436582</v>
      </c>
      <c r="O511" s="165">
        <f t="shared" si="25"/>
        <v>0.44</v>
      </c>
      <c r="P511" s="18"/>
      <c r="Q511" s="18"/>
      <c r="R511" s="18"/>
      <c r="S511" s="18"/>
      <c r="T511" s="18"/>
      <c r="U511" s="18"/>
      <c r="V511" s="18"/>
      <c r="W511" s="18"/>
      <c r="X511" s="18"/>
    </row>
    <row r="512" spans="13:24">
      <c r="M512" s="558">
        <f t="shared" si="26"/>
        <v>510</v>
      </c>
      <c r="N512" s="15">
        <f t="shared" si="24"/>
        <v>0.68098546773402691</v>
      </c>
      <c r="O512" s="165">
        <f t="shared" si="25"/>
        <v>0.44</v>
      </c>
      <c r="P512" s="18"/>
      <c r="Q512" s="18"/>
      <c r="R512" s="18"/>
      <c r="S512" s="18"/>
      <c r="T512" s="18"/>
      <c r="U512" s="18"/>
      <c r="V512" s="18"/>
      <c r="W512" s="18"/>
      <c r="X512" s="18"/>
    </row>
    <row r="513" spans="13:24">
      <c r="M513" s="558">
        <f t="shared" si="26"/>
        <v>511</v>
      </c>
      <c r="N513" s="15">
        <f t="shared" si="24"/>
        <v>0.68063645087609304</v>
      </c>
      <c r="O513" s="165">
        <f t="shared" si="25"/>
        <v>0.44</v>
      </c>
      <c r="P513" s="18"/>
      <c r="Q513" s="18"/>
      <c r="R513" s="18"/>
      <c r="S513" s="18"/>
      <c r="T513" s="18"/>
      <c r="U513" s="18"/>
      <c r="V513" s="18"/>
      <c r="W513" s="18"/>
      <c r="X513" s="18"/>
    </row>
    <row r="514" spans="13:24">
      <c r="M514" s="558">
        <f t="shared" si="26"/>
        <v>512</v>
      </c>
      <c r="N514" s="15">
        <f t="shared" si="24"/>
        <v>0.68028780754123463</v>
      </c>
      <c r="O514" s="165">
        <f t="shared" si="25"/>
        <v>0.44</v>
      </c>
      <c r="P514" s="18"/>
      <c r="Q514" s="18"/>
      <c r="R514" s="18"/>
      <c r="S514" s="18"/>
      <c r="T514" s="18"/>
      <c r="U514" s="18"/>
      <c r="V514" s="18"/>
      <c r="W514" s="18"/>
      <c r="X514" s="18"/>
    </row>
    <row r="515" spans="13:24">
      <c r="M515" s="558">
        <f t="shared" si="26"/>
        <v>513</v>
      </c>
      <c r="N515" s="15">
        <f t="shared" si="24"/>
        <v>0.67993953726070988</v>
      </c>
      <c r="O515" s="165">
        <f t="shared" si="25"/>
        <v>0.44</v>
      </c>
      <c r="P515" s="18"/>
      <c r="Q515" s="18"/>
      <c r="R515" s="18"/>
      <c r="S515" s="18"/>
      <c r="T515" s="18"/>
      <c r="U515" s="18"/>
      <c r="V515" s="18"/>
      <c r="W515" s="18"/>
      <c r="X515" s="18"/>
    </row>
    <row r="516" spans="13:24">
      <c r="M516" s="558">
        <f t="shared" si="26"/>
        <v>514</v>
      </c>
      <c r="N516" s="15">
        <f t="shared" ref="N516:N579" si="27">IF(M516&lt;$B$31+1,$B$32+$B$33/$B$31*(8760-M516)+$B$34*IF(M516&lt;$B$36-$B$31/(2*$B$35),1,IF(M516&lt;$B$36+$B$31/(2*$B$35),COS(PI()/2*(M516-($B$36-$B$31/(2*$B$35)))*$B$35/$B$31)^2,0))+$B$37*EXP((8760-M516)/8760*$B$38)/EXP($B$38)-(8760-$B$31)*$B$33/$B$31,0)</f>
        <v>0.67959163956636492</v>
      </c>
      <c r="O516" s="165">
        <f t="shared" ref="O516:O579" si="28">MIN(N516,C$24)</f>
        <v>0.44</v>
      </c>
      <c r="P516" s="18"/>
      <c r="Q516" s="18"/>
      <c r="R516" s="18"/>
      <c r="S516" s="18"/>
      <c r="T516" s="18"/>
      <c r="U516" s="18"/>
      <c r="V516" s="18"/>
      <c r="W516" s="18"/>
      <c r="X516" s="18"/>
    </row>
    <row r="517" spans="13:24">
      <c r="M517" s="558">
        <f t="shared" ref="M517:M580" si="29">M516+1</f>
        <v>515</v>
      </c>
      <c r="N517" s="15">
        <f t="shared" si="27"/>
        <v>0.679244113990635</v>
      </c>
      <c r="O517" s="165">
        <f t="shared" si="28"/>
        <v>0.44</v>
      </c>
      <c r="P517" s="18"/>
      <c r="Q517" s="18"/>
      <c r="R517" s="18"/>
      <c r="S517" s="18"/>
      <c r="T517" s="18"/>
      <c r="U517" s="18"/>
      <c r="V517" s="18"/>
      <c r="W517" s="18"/>
      <c r="X517" s="18"/>
    </row>
    <row r="518" spans="13:24">
      <c r="M518" s="558">
        <f t="shared" si="29"/>
        <v>516</v>
      </c>
      <c r="N518" s="15">
        <f t="shared" si="27"/>
        <v>0.67889696006654077</v>
      </c>
      <c r="O518" s="165">
        <f t="shared" si="28"/>
        <v>0.44</v>
      </c>
      <c r="P518" s="18"/>
      <c r="Q518" s="18"/>
      <c r="R518" s="18"/>
      <c r="S518" s="18"/>
      <c r="T518" s="18"/>
      <c r="U518" s="18"/>
      <c r="V518" s="18"/>
      <c r="W518" s="18"/>
      <c r="X518" s="18"/>
    </row>
    <row r="519" spans="13:24">
      <c r="M519" s="558">
        <f t="shared" si="29"/>
        <v>517</v>
      </c>
      <c r="N519" s="15">
        <f t="shared" si="27"/>
        <v>0.67855017732768919</v>
      </c>
      <c r="O519" s="165">
        <f t="shared" si="28"/>
        <v>0.44</v>
      </c>
      <c r="P519" s="18"/>
      <c r="Q519" s="18"/>
      <c r="R519" s="18"/>
      <c r="S519" s="18"/>
      <c r="T519" s="18"/>
      <c r="U519" s="18"/>
      <c r="V519" s="18"/>
      <c r="W519" s="18"/>
      <c r="X519" s="18"/>
    </row>
    <row r="520" spans="13:24">
      <c r="M520" s="558">
        <f t="shared" si="29"/>
        <v>518</v>
      </c>
      <c r="N520" s="15">
        <f t="shared" si="27"/>
        <v>0.67820376530827209</v>
      </c>
      <c r="O520" s="165">
        <f t="shared" si="28"/>
        <v>0.44</v>
      </c>
      <c r="P520" s="18"/>
      <c r="Q520" s="18"/>
      <c r="R520" s="18"/>
      <c r="S520" s="18"/>
      <c r="T520" s="18"/>
      <c r="U520" s="18"/>
      <c r="V520" s="18"/>
      <c r="W520" s="18"/>
      <c r="X520" s="18"/>
    </row>
    <row r="521" spans="13:24">
      <c r="M521" s="558">
        <f t="shared" si="29"/>
        <v>519</v>
      </c>
      <c r="N521" s="15">
        <f t="shared" si="27"/>
        <v>0.67785772354306739</v>
      </c>
      <c r="O521" s="165">
        <f t="shared" si="28"/>
        <v>0.44</v>
      </c>
      <c r="P521" s="18"/>
      <c r="Q521" s="18"/>
      <c r="R521" s="18"/>
      <c r="S521" s="18"/>
      <c r="T521" s="18"/>
      <c r="U521" s="18"/>
      <c r="V521" s="18"/>
      <c r="W521" s="18"/>
      <c r="X521" s="18"/>
    </row>
    <row r="522" spans="13:24">
      <c r="M522" s="558">
        <f t="shared" si="29"/>
        <v>520</v>
      </c>
      <c r="N522" s="15">
        <f t="shared" si="27"/>
        <v>0.67751205156743532</v>
      </c>
      <c r="O522" s="165">
        <f t="shared" si="28"/>
        <v>0.44</v>
      </c>
      <c r="P522" s="18"/>
      <c r="Q522" s="18"/>
      <c r="R522" s="18"/>
      <c r="S522" s="18"/>
      <c r="T522" s="18"/>
      <c r="U522" s="18"/>
      <c r="V522" s="18"/>
      <c r="W522" s="18"/>
      <c r="X522" s="18"/>
    </row>
    <row r="523" spans="13:24">
      <c r="M523" s="558">
        <f t="shared" si="29"/>
        <v>521</v>
      </c>
      <c r="N523" s="15">
        <f t="shared" si="27"/>
        <v>0.67716674891731954</v>
      </c>
      <c r="O523" s="165">
        <f t="shared" si="28"/>
        <v>0.44</v>
      </c>
      <c r="P523" s="18"/>
      <c r="Q523" s="18"/>
      <c r="R523" s="18"/>
      <c r="S523" s="18"/>
      <c r="T523" s="18"/>
      <c r="U523" s="18"/>
      <c r="V523" s="18"/>
      <c r="W523" s="18"/>
      <c r="X523" s="18"/>
    </row>
    <row r="524" spans="13:24">
      <c r="M524" s="558">
        <f t="shared" si="29"/>
        <v>522</v>
      </c>
      <c r="N524" s="15">
        <f t="shared" si="27"/>
        <v>0.67682181512924622</v>
      </c>
      <c r="O524" s="165">
        <f t="shared" si="28"/>
        <v>0.44</v>
      </c>
      <c r="P524" s="18"/>
      <c r="Q524" s="18"/>
      <c r="R524" s="18"/>
      <c r="S524" s="18"/>
      <c r="T524" s="18"/>
      <c r="U524" s="18"/>
      <c r="V524" s="18"/>
      <c r="W524" s="18"/>
      <c r="X524" s="18"/>
    </row>
    <row r="525" spans="13:24">
      <c r="M525" s="558">
        <f t="shared" si="29"/>
        <v>523</v>
      </c>
      <c r="N525" s="15">
        <f t="shared" si="27"/>
        <v>0.67647724974032286</v>
      </c>
      <c r="O525" s="165">
        <f t="shared" si="28"/>
        <v>0.44</v>
      </c>
      <c r="P525" s="18"/>
      <c r="Q525" s="18"/>
      <c r="R525" s="18"/>
      <c r="S525" s="18"/>
      <c r="T525" s="18"/>
      <c r="U525" s="18"/>
      <c r="V525" s="18"/>
      <c r="W525" s="18"/>
      <c r="X525" s="18"/>
    </row>
    <row r="526" spans="13:24">
      <c r="M526" s="558">
        <f t="shared" si="29"/>
        <v>524</v>
      </c>
      <c r="N526" s="15">
        <f t="shared" si="27"/>
        <v>0.67613305228823872</v>
      </c>
      <c r="O526" s="165">
        <f t="shared" si="28"/>
        <v>0.44</v>
      </c>
      <c r="P526" s="18"/>
      <c r="Q526" s="18"/>
      <c r="R526" s="18"/>
      <c r="S526" s="18"/>
      <c r="T526" s="18"/>
      <c r="U526" s="18"/>
      <c r="V526" s="18"/>
      <c r="W526" s="18"/>
      <c r="X526" s="18"/>
    </row>
    <row r="527" spans="13:24">
      <c r="M527" s="558">
        <f t="shared" si="29"/>
        <v>525</v>
      </c>
      <c r="N527" s="15">
        <f t="shared" si="27"/>
        <v>0.67578922231126226</v>
      </c>
      <c r="O527" s="165">
        <f t="shared" si="28"/>
        <v>0.44</v>
      </c>
      <c r="P527" s="18"/>
      <c r="Q527" s="18"/>
      <c r="R527" s="18"/>
      <c r="S527" s="18"/>
      <c r="T527" s="18"/>
      <c r="U527" s="18"/>
      <c r="V527" s="18"/>
      <c r="W527" s="18"/>
      <c r="X527" s="18"/>
    </row>
    <row r="528" spans="13:24">
      <c r="M528" s="558">
        <f t="shared" si="29"/>
        <v>526</v>
      </c>
      <c r="N528" s="15">
        <f t="shared" si="27"/>
        <v>0.67544575934824147</v>
      </c>
      <c r="O528" s="165">
        <f t="shared" si="28"/>
        <v>0.44</v>
      </c>
      <c r="P528" s="18"/>
      <c r="Q528" s="18"/>
      <c r="R528" s="18"/>
      <c r="S528" s="18"/>
      <c r="T528" s="18"/>
      <c r="U528" s="18"/>
      <c r="V528" s="18"/>
      <c r="W528" s="18"/>
      <c r="X528" s="18"/>
    </row>
    <row r="529" spans="13:24">
      <c r="M529" s="558">
        <f t="shared" si="29"/>
        <v>527</v>
      </c>
      <c r="N529" s="15">
        <f t="shared" si="27"/>
        <v>0.6751026629386041</v>
      </c>
      <c r="O529" s="165">
        <f t="shared" si="28"/>
        <v>0.44</v>
      </c>
      <c r="P529" s="18"/>
      <c r="Q529" s="18"/>
      <c r="R529" s="18"/>
      <c r="S529" s="18"/>
      <c r="T529" s="18"/>
      <c r="U529" s="18"/>
      <c r="V529" s="18"/>
      <c r="W529" s="18"/>
      <c r="X529" s="18"/>
    </row>
    <row r="530" spans="13:24">
      <c r="M530" s="558">
        <f t="shared" si="29"/>
        <v>528</v>
      </c>
      <c r="N530" s="15">
        <f t="shared" si="27"/>
        <v>0.67475993262235456</v>
      </c>
      <c r="O530" s="165">
        <f t="shared" si="28"/>
        <v>0.44</v>
      </c>
      <c r="P530" s="18"/>
      <c r="Q530" s="18"/>
      <c r="R530" s="18"/>
      <c r="S530" s="18"/>
      <c r="T530" s="18"/>
      <c r="U530" s="18"/>
      <c r="V530" s="18"/>
      <c r="W530" s="18"/>
      <c r="X530" s="18"/>
    </row>
    <row r="531" spans="13:24">
      <c r="M531" s="558">
        <f t="shared" si="29"/>
        <v>529</v>
      </c>
      <c r="N531" s="15">
        <f t="shared" si="27"/>
        <v>0.67441756794007457</v>
      </c>
      <c r="O531" s="165">
        <f t="shared" si="28"/>
        <v>0.44</v>
      </c>
      <c r="P531" s="18"/>
      <c r="Q531" s="18"/>
      <c r="R531" s="18"/>
      <c r="S531" s="18"/>
      <c r="T531" s="18"/>
      <c r="U531" s="18"/>
      <c r="V531" s="18"/>
      <c r="W531" s="18"/>
      <c r="X531" s="18"/>
    </row>
    <row r="532" spans="13:24">
      <c r="M532" s="558">
        <f t="shared" si="29"/>
        <v>530</v>
      </c>
      <c r="N532" s="15">
        <f t="shared" si="27"/>
        <v>0.67407556843292393</v>
      </c>
      <c r="O532" s="165">
        <f t="shared" si="28"/>
        <v>0.44</v>
      </c>
      <c r="P532" s="18"/>
      <c r="Q532" s="18"/>
      <c r="R532" s="18"/>
      <c r="S532" s="18"/>
      <c r="T532" s="18"/>
      <c r="U532" s="18"/>
      <c r="V532" s="18"/>
      <c r="W532" s="18"/>
      <c r="X532" s="18"/>
    </row>
    <row r="533" spans="13:24">
      <c r="M533" s="558">
        <f t="shared" si="29"/>
        <v>531</v>
      </c>
      <c r="N533" s="15">
        <f t="shared" si="27"/>
        <v>0.67373393364263656</v>
      </c>
      <c r="O533" s="165">
        <f t="shared" si="28"/>
        <v>0.44</v>
      </c>
      <c r="P533" s="18"/>
      <c r="Q533" s="18"/>
      <c r="R533" s="18"/>
      <c r="S533" s="18"/>
      <c r="T533" s="18"/>
      <c r="U533" s="18"/>
      <c r="V533" s="18"/>
      <c r="W533" s="18"/>
      <c r="X533" s="18"/>
    </row>
    <row r="534" spans="13:24">
      <c r="M534" s="558">
        <f t="shared" si="29"/>
        <v>532</v>
      </c>
      <c r="N534" s="15">
        <f t="shared" si="27"/>
        <v>0.67339266311152224</v>
      </c>
      <c r="O534" s="165">
        <f t="shared" si="28"/>
        <v>0.44</v>
      </c>
      <c r="P534" s="18"/>
      <c r="Q534" s="18"/>
      <c r="R534" s="18"/>
      <c r="S534" s="18"/>
      <c r="T534" s="18"/>
      <c r="U534" s="18"/>
      <c r="V534" s="18"/>
      <c r="W534" s="18"/>
      <c r="X534" s="18"/>
    </row>
    <row r="535" spans="13:24">
      <c r="M535" s="558">
        <f t="shared" si="29"/>
        <v>533</v>
      </c>
      <c r="N535" s="15">
        <f t="shared" si="27"/>
        <v>0.67305175638246439</v>
      </c>
      <c r="O535" s="165">
        <f t="shared" si="28"/>
        <v>0.44</v>
      </c>
      <c r="P535" s="18"/>
      <c r="Q535" s="18"/>
      <c r="R535" s="18"/>
      <c r="S535" s="18"/>
      <c r="T535" s="18"/>
      <c r="U535" s="18"/>
      <c r="V535" s="18"/>
      <c r="W535" s="18"/>
      <c r="X535" s="18"/>
    </row>
    <row r="536" spans="13:24">
      <c r="M536" s="558">
        <f t="shared" si="29"/>
        <v>534</v>
      </c>
      <c r="N536" s="15">
        <f t="shared" si="27"/>
        <v>0.67271121299892167</v>
      </c>
      <c r="O536" s="165">
        <f t="shared" si="28"/>
        <v>0.44</v>
      </c>
      <c r="P536" s="18"/>
      <c r="Q536" s="18"/>
      <c r="R536" s="18"/>
      <c r="S536" s="18"/>
      <c r="T536" s="18"/>
      <c r="U536" s="18"/>
      <c r="V536" s="18"/>
      <c r="W536" s="18"/>
      <c r="X536" s="18"/>
    </row>
    <row r="537" spans="13:24">
      <c r="M537" s="558">
        <f t="shared" si="29"/>
        <v>535</v>
      </c>
      <c r="N537" s="15">
        <f t="shared" si="27"/>
        <v>0.67237103250492403</v>
      </c>
      <c r="O537" s="165">
        <f t="shared" si="28"/>
        <v>0.44</v>
      </c>
      <c r="P537" s="18"/>
      <c r="Q537" s="18"/>
      <c r="R537" s="18"/>
      <c r="S537" s="18"/>
      <c r="T537" s="18"/>
      <c r="U537" s="18"/>
      <c r="V537" s="18"/>
      <c r="W537" s="18"/>
      <c r="X537" s="18"/>
    </row>
    <row r="538" spans="13:24">
      <c r="M538" s="558">
        <f t="shared" si="29"/>
        <v>536</v>
      </c>
      <c r="N538" s="15">
        <f t="shared" si="27"/>
        <v>0.67203121444507397</v>
      </c>
      <c r="O538" s="165">
        <f t="shared" si="28"/>
        <v>0.44</v>
      </c>
      <c r="P538" s="18"/>
      <c r="Q538" s="18"/>
      <c r="R538" s="18"/>
      <c r="S538" s="18"/>
      <c r="T538" s="18"/>
      <c r="U538" s="18"/>
      <c r="V538" s="18"/>
      <c r="W538" s="18"/>
      <c r="X538" s="18"/>
    </row>
    <row r="539" spans="13:24">
      <c r="M539" s="558">
        <f t="shared" si="29"/>
        <v>537</v>
      </c>
      <c r="N539" s="15">
        <f t="shared" si="27"/>
        <v>0.67169175836454631</v>
      </c>
      <c r="O539" s="165">
        <f t="shared" si="28"/>
        <v>0.44</v>
      </c>
      <c r="P539" s="18"/>
      <c r="Q539" s="18"/>
      <c r="R539" s="18"/>
      <c r="S539" s="18"/>
      <c r="T539" s="18"/>
      <c r="U539" s="18"/>
      <c r="V539" s="18"/>
      <c r="W539" s="18"/>
      <c r="X539" s="18"/>
    </row>
    <row r="540" spans="13:24">
      <c r="M540" s="558">
        <f t="shared" si="29"/>
        <v>538</v>
      </c>
      <c r="N540" s="15">
        <f t="shared" si="27"/>
        <v>0.67135266380908598</v>
      </c>
      <c r="O540" s="165">
        <f t="shared" si="28"/>
        <v>0.44</v>
      </c>
      <c r="P540" s="18"/>
      <c r="Q540" s="18"/>
      <c r="R540" s="18"/>
      <c r="S540" s="18"/>
      <c r="T540" s="18"/>
      <c r="U540" s="18"/>
      <c r="V540" s="18"/>
      <c r="W540" s="18"/>
      <c r="X540" s="18"/>
    </row>
    <row r="541" spans="13:24">
      <c r="M541" s="558">
        <f t="shared" si="29"/>
        <v>539</v>
      </c>
      <c r="N541" s="15">
        <f t="shared" si="27"/>
        <v>0.67101393032500756</v>
      </c>
      <c r="O541" s="165">
        <f t="shared" si="28"/>
        <v>0.44</v>
      </c>
      <c r="P541" s="18"/>
      <c r="Q541" s="18"/>
      <c r="R541" s="18"/>
      <c r="S541" s="18"/>
      <c r="T541" s="18"/>
      <c r="U541" s="18"/>
      <c r="V541" s="18"/>
      <c r="W541" s="18"/>
      <c r="X541" s="18"/>
    </row>
    <row r="542" spans="13:24">
      <c r="M542" s="558">
        <f t="shared" si="29"/>
        <v>540</v>
      </c>
      <c r="N542" s="15">
        <f t="shared" si="27"/>
        <v>0.67067555745919616</v>
      </c>
      <c r="O542" s="165">
        <f t="shared" si="28"/>
        <v>0.44</v>
      </c>
      <c r="P542" s="18"/>
      <c r="Q542" s="18"/>
      <c r="R542" s="18"/>
      <c r="S542" s="18"/>
      <c r="T542" s="18"/>
      <c r="U542" s="18"/>
      <c r="V542" s="18"/>
      <c r="W542" s="18"/>
      <c r="X542" s="18"/>
    </row>
    <row r="543" spans="13:24">
      <c r="M543" s="558">
        <f t="shared" si="29"/>
        <v>541</v>
      </c>
      <c r="N543" s="15">
        <f t="shared" si="27"/>
        <v>0.67033754475910445</v>
      </c>
      <c r="O543" s="165">
        <f t="shared" si="28"/>
        <v>0.44</v>
      </c>
      <c r="P543" s="18"/>
      <c r="Q543" s="18"/>
      <c r="R543" s="18"/>
      <c r="S543" s="18"/>
      <c r="T543" s="18"/>
      <c r="U543" s="18"/>
      <c r="V543" s="18"/>
      <c r="W543" s="18"/>
      <c r="X543" s="18"/>
    </row>
    <row r="544" spans="13:24">
      <c r="M544" s="558">
        <f t="shared" si="29"/>
        <v>542</v>
      </c>
      <c r="N544" s="15">
        <f t="shared" si="27"/>
        <v>0.6699998917727531</v>
      </c>
      <c r="O544" s="165">
        <f t="shared" si="28"/>
        <v>0.44</v>
      </c>
      <c r="P544" s="18"/>
      <c r="Q544" s="18"/>
      <c r="R544" s="18"/>
      <c r="S544" s="18"/>
      <c r="T544" s="18"/>
      <c r="U544" s="18"/>
      <c r="V544" s="18"/>
      <c r="W544" s="18"/>
      <c r="X544" s="18"/>
    </row>
    <row r="545" spans="13:24">
      <c r="M545" s="558">
        <f t="shared" si="29"/>
        <v>543</v>
      </c>
      <c r="N545" s="15">
        <f t="shared" si="27"/>
        <v>0.66966259804873096</v>
      </c>
      <c r="O545" s="165">
        <f t="shared" si="28"/>
        <v>0.44</v>
      </c>
      <c r="P545" s="18"/>
      <c r="Q545" s="18"/>
      <c r="R545" s="18"/>
      <c r="S545" s="18"/>
      <c r="T545" s="18"/>
      <c r="U545" s="18"/>
      <c r="V545" s="18"/>
      <c r="W545" s="18"/>
      <c r="X545" s="18"/>
    </row>
    <row r="546" spans="13:24">
      <c r="M546" s="558">
        <f t="shared" si="29"/>
        <v>544</v>
      </c>
      <c r="N546" s="15">
        <f t="shared" si="27"/>
        <v>0.66932566313619213</v>
      </c>
      <c r="O546" s="165">
        <f t="shared" si="28"/>
        <v>0.44</v>
      </c>
      <c r="P546" s="18"/>
      <c r="Q546" s="18"/>
      <c r="R546" s="18"/>
      <c r="S546" s="18"/>
      <c r="T546" s="18"/>
      <c r="U546" s="18"/>
      <c r="V546" s="18"/>
      <c r="W546" s="18"/>
      <c r="X546" s="18"/>
    </row>
    <row r="547" spans="13:24">
      <c r="M547" s="558">
        <f t="shared" si="29"/>
        <v>545</v>
      </c>
      <c r="N547" s="15">
        <f t="shared" si="27"/>
        <v>0.6689890865848569</v>
      </c>
      <c r="O547" s="165">
        <f t="shared" si="28"/>
        <v>0.44</v>
      </c>
      <c r="P547" s="18"/>
      <c r="Q547" s="18"/>
      <c r="R547" s="18"/>
      <c r="S547" s="18"/>
      <c r="T547" s="18"/>
      <c r="U547" s="18"/>
      <c r="V547" s="18"/>
      <c r="W547" s="18"/>
      <c r="X547" s="18"/>
    </row>
    <row r="548" spans="13:24">
      <c r="M548" s="558">
        <f t="shared" si="29"/>
        <v>546</v>
      </c>
      <c r="N548" s="15">
        <f t="shared" si="27"/>
        <v>0.66865286794501133</v>
      </c>
      <c r="O548" s="165">
        <f t="shared" si="28"/>
        <v>0.44</v>
      </c>
      <c r="P548" s="18"/>
      <c r="Q548" s="18"/>
      <c r="R548" s="18"/>
      <c r="S548" s="18"/>
      <c r="T548" s="18"/>
      <c r="U548" s="18"/>
      <c r="V548" s="18"/>
      <c r="W548" s="18"/>
      <c r="X548" s="18"/>
    </row>
    <row r="549" spans="13:24">
      <c r="M549" s="558">
        <f t="shared" si="29"/>
        <v>547</v>
      </c>
      <c r="N549" s="15">
        <f t="shared" si="27"/>
        <v>0.66831700676750483</v>
      </c>
      <c r="O549" s="165">
        <f t="shared" si="28"/>
        <v>0.44</v>
      </c>
      <c r="P549" s="18"/>
      <c r="Q549" s="18"/>
      <c r="R549" s="18"/>
      <c r="S549" s="18"/>
      <c r="T549" s="18"/>
      <c r="U549" s="18"/>
      <c r="V549" s="18"/>
      <c r="W549" s="18"/>
      <c r="X549" s="18"/>
    </row>
    <row r="550" spans="13:24">
      <c r="M550" s="558">
        <f t="shared" si="29"/>
        <v>548</v>
      </c>
      <c r="N550" s="15">
        <f t="shared" si="27"/>
        <v>0.667981502603751</v>
      </c>
      <c r="O550" s="165">
        <f t="shared" si="28"/>
        <v>0.44</v>
      </c>
      <c r="P550" s="18"/>
      <c r="Q550" s="18"/>
      <c r="R550" s="18"/>
      <c r="S550" s="18"/>
      <c r="T550" s="18"/>
      <c r="U550" s="18"/>
      <c r="V550" s="18"/>
      <c r="W550" s="18"/>
      <c r="X550" s="18"/>
    </row>
    <row r="551" spans="13:24">
      <c r="M551" s="558">
        <f t="shared" si="29"/>
        <v>549</v>
      </c>
      <c r="N551" s="15">
        <f t="shared" si="27"/>
        <v>0.66764635500572611</v>
      </c>
      <c r="O551" s="165">
        <f t="shared" si="28"/>
        <v>0.44</v>
      </c>
      <c r="P551" s="18"/>
      <c r="Q551" s="18"/>
      <c r="R551" s="18"/>
      <c r="S551" s="18"/>
      <c r="T551" s="18"/>
      <c r="U551" s="18"/>
      <c r="V551" s="18"/>
      <c r="W551" s="18"/>
      <c r="X551" s="18"/>
    </row>
    <row r="552" spans="13:24">
      <c r="M552" s="558">
        <f t="shared" si="29"/>
        <v>550</v>
      </c>
      <c r="N552" s="15">
        <f t="shared" si="27"/>
        <v>0.66731156352596899</v>
      </c>
      <c r="O552" s="165">
        <f t="shared" si="28"/>
        <v>0.44</v>
      </c>
      <c r="P552" s="18"/>
      <c r="Q552" s="18"/>
      <c r="R552" s="18"/>
      <c r="S552" s="18"/>
      <c r="T552" s="18"/>
      <c r="U552" s="18"/>
      <c r="V552" s="18"/>
      <c r="W552" s="18"/>
      <c r="X552" s="18"/>
    </row>
    <row r="553" spans="13:24">
      <c r="M553" s="558">
        <f t="shared" si="29"/>
        <v>551</v>
      </c>
      <c r="N553" s="15">
        <f t="shared" si="27"/>
        <v>0.66697712771757933</v>
      </c>
      <c r="O553" s="165">
        <f t="shared" si="28"/>
        <v>0.44</v>
      </c>
      <c r="P553" s="18"/>
      <c r="Q553" s="18"/>
      <c r="R553" s="18"/>
      <c r="S553" s="18"/>
      <c r="T553" s="18"/>
      <c r="U553" s="18"/>
      <c r="V553" s="18"/>
      <c r="W553" s="18"/>
      <c r="X553" s="18"/>
    </row>
    <row r="554" spans="13:24">
      <c r="M554" s="558">
        <f t="shared" si="29"/>
        <v>552</v>
      </c>
      <c r="N554" s="15">
        <f t="shared" si="27"/>
        <v>0.66664304713421874</v>
      </c>
      <c r="O554" s="165">
        <f t="shared" si="28"/>
        <v>0.44</v>
      </c>
      <c r="P554" s="18"/>
      <c r="Q554" s="18"/>
      <c r="R554" s="18"/>
      <c r="S554" s="18"/>
      <c r="T554" s="18"/>
      <c r="U554" s="18"/>
      <c r="V554" s="18"/>
      <c r="W554" s="18"/>
      <c r="X554" s="18"/>
    </row>
    <row r="555" spans="13:24">
      <c r="M555" s="558">
        <f t="shared" si="29"/>
        <v>553</v>
      </c>
      <c r="N555" s="15">
        <f t="shared" si="27"/>
        <v>0.66630932133010823</v>
      </c>
      <c r="O555" s="165">
        <f t="shared" si="28"/>
        <v>0.44</v>
      </c>
      <c r="P555" s="18"/>
      <c r="Q555" s="18"/>
      <c r="R555" s="18"/>
      <c r="S555" s="18"/>
      <c r="T555" s="18"/>
      <c r="U555" s="18"/>
      <c r="V555" s="18"/>
      <c r="W555" s="18"/>
      <c r="X555" s="18"/>
    </row>
    <row r="556" spans="13:24">
      <c r="M556" s="558">
        <f t="shared" si="29"/>
        <v>554</v>
      </c>
      <c r="N556" s="15">
        <f t="shared" si="27"/>
        <v>0.66597594986002773</v>
      </c>
      <c r="O556" s="165">
        <f t="shared" si="28"/>
        <v>0.44</v>
      </c>
      <c r="P556" s="18"/>
      <c r="Q556" s="18"/>
      <c r="R556" s="18"/>
      <c r="S556" s="18"/>
      <c r="T556" s="18"/>
      <c r="U556" s="18"/>
      <c r="V556" s="18"/>
      <c r="W556" s="18"/>
      <c r="X556" s="18"/>
    </row>
    <row r="557" spans="13:24">
      <c r="M557" s="558">
        <f t="shared" si="29"/>
        <v>555</v>
      </c>
      <c r="N557" s="15">
        <f t="shared" si="27"/>
        <v>0.66564293227931737</v>
      </c>
      <c r="O557" s="165">
        <f t="shared" si="28"/>
        <v>0.44</v>
      </c>
      <c r="P557" s="18"/>
      <c r="Q557" s="18"/>
      <c r="R557" s="18"/>
      <c r="S557" s="18"/>
      <c r="T557" s="18"/>
      <c r="U557" s="18"/>
      <c r="V557" s="18"/>
      <c r="W557" s="18"/>
      <c r="X557" s="18"/>
    </row>
    <row r="558" spans="13:24">
      <c r="M558" s="558">
        <f t="shared" si="29"/>
        <v>556</v>
      </c>
      <c r="N558" s="15">
        <f t="shared" si="27"/>
        <v>0.66531026814387406</v>
      </c>
      <c r="O558" s="165">
        <f t="shared" si="28"/>
        <v>0.44</v>
      </c>
      <c r="P558" s="18"/>
      <c r="Q558" s="18"/>
      <c r="R558" s="18"/>
      <c r="S558" s="18"/>
      <c r="T558" s="18"/>
      <c r="U558" s="18"/>
      <c r="V558" s="18"/>
      <c r="W558" s="18"/>
      <c r="X558" s="18"/>
    </row>
    <row r="559" spans="13:24">
      <c r="M559" s="558">
        <f t="shared" si="29"/>
        <v>557</v>
      </c>
      <c r="N559" s="15">
        <f t="shared" si="27"/>
        <v>0.66497795701015194</v>
      </c>
      <c r="O559" s="165">
        <f t="shared" si="28"/>
        <v>0.44</v>
      </c>
      <c r="P559" s="18"/>
      <c r="Q559" s="18"/>
      <c r="R559" s="18"/>
      <c r="S559" s="18"/>
      <c r="T559" s="18"/>
      <c r="U559" s="18"/>
      <c r="V559" s="18"/>
      <c r="W559" s="18"/>
      <c r="X559" s="18"/>
    </row>
    <row r="560" spans="13:24">
      <c r="M560" s="558">
        <f t="shared" si="29"/>
        <v>558</v>
      </c>
      <c r="N560" s="15">
        <f t="shared" si="27"/>
        <v>0.66464599843516292</v>
      </c>
      <c r="O560" s="165">
        <f t="shared" si="28"/>
        <v>0.44</v>
      </c>
      <c r="P560" s="18"/>
      <c r="Q560" s="18"/>
      <c r="R560" s="18"/>
      <c r="S560" s="18"/>
      <c r="T560" s="18"/>
      <c r="U560" s="18"/>
      <c r="V560" s="18"/>
      <c r="W560" s="18"/>
      <c r="X560" s="18"/>
    </row>
    <row r="561" spans="13:24">
      <c r="M561" s="558">
        <f t="shared" si="29"/>
        <v>559</v>
      </c>
      <c r="N561" s="15">
        <f t="shared" si="27"/>
        <v>0.66431439197647368</v>
      </c>
      <c r="O561" s="165">
        <f t="shared" si="28"/>
        <v>0.44</v>
      </c>
      <c r="P561" s="18"/>
      <c r="Q561" s="18"/>
      <c r="R561" s="18"/>
      <c r="S561" s="18"/>
      <c r="T561" s="18"/>
      <c r="U561" s="18"/>
      <c r="V561" s="18"/>
      <c r="W561" s="18"/>
      <c r="X561" s="18"/>
    </row>
    <row r="562" spans="13:24">
      <c r="M562" s="558">
        <f t="shared" si="29"/>
        <v>560</v>
      </c>
      <c r="N562" s="15">
        <f t="shared" si="27"/>
        <v>0.66398313719220636</v>
      </c>
      <c r="O562" s="165">
        <f t="shared" si="28"/>
        <v>0.44</v>
      </c>
      <c r="P562" s="18"/>
      <c r="Q562" s="18"/>
      <c r="R562" s="18"/>
      <c r="S562" s="18"/>
      <c r="T562" s="18"/>
      <c r="U562" s="18"/>
      <c r="V562" s="18"/>
      <c r="W562" s="18"/>
      <c r="X562" s="18"/>
    </row>
    <row r="563" spans="13:24">
      <c r="M563" s="558">
        <f t="shared" si="29"/>
        <v>561</v>
      </c>
      <c r="N563" s="15">
        <f t="shared" si="27"/>
        <v>0.66365223364103842</v>
      </c>
      <c r="O563" s="165">
        <f t="shared" si="28"/>
        <v>0.44</v>
      </c>
      <c r="P563" s="18"/>
      <c r="Q563" s="18"/>
      <c r="R563" s="18"/>
      <c r="S563" s="18"/>
      <c r="T563" s="18"/>
      <c r="U563" s="18"/>
      <c r="V563" s="18"/>
      <c r="W563" s="18"/>
      <c r="X563" s="18"/>
    </row>
    <row r="564" spans="13:24">
      <c r="M564" s="558">
        <f t="shared" si="29"/>
        <v>562</v>
      </c>
      <c r="N564" s="15">
        <f t="shared" si="27"/>
        <v>0.66332168088220023</v>
      </c>
      <c r="O564" s="165">
        <f t="shared" si="28"/>
        <v>0.44</v>
      </c>
      <c r="P564" s="18"/>
      <c r="Q564" s="18"/>
      <c r="R564" s="18"/>
      <c r="S564" s="18"/>
      <c r="T564" s="18"/>
      <c r="U564" s="18"/>
      <c r="V564" s="18"/>
      <c r="W564" s="18"/>
      <c r="X564" s="18"/>
    </row>
    <row r="565" spans="13:24">
      <c r="M565" s="558">
        <f t="shared" si="29"/>
        <v>563</v>
      </c>
      <c r="N565" s="15">
        <f t="shared" si="27"/>
        <v>0.6629914784754749</v>
      </c>
      <c r="O565" s="165">
        <f t="shared" si="28"/>
        <v>0.44</v>
      </c>
      <c r="P565" s="18"/>
      <c r="Q565" s="18"/>
      <c r="R565" s="18"/>
      <c r="S565" s="18"/>
      <c r="T565" s="18"/>
      <c r="U565" s="18"/>
      <c r="V565" s="18"/>
      <c r="W565" s="18"/>
      <c r="X565" s="18"/>
    </row>
    <row r="566" spans="13:24">
      <c r="M566" s="558">
        <f t="shared" si="29"/>
        <v>564</v>
      </c>
      <c r="N566" s="15">
        <f t="shared" si="27"/>
        <v>0.66266162598119993</v>
      </c>
      <c r="O566" s="165">
        <f t="shared" si="28"/>
        <v>0.44</v>
      </c>
      <c r="P566" s="18"/>
      <c r="Q566" s="18"/>
      <c r="R566" s="18"/>
      <c r="S566" s="18"/>
      <c r="T566" s="18"/>
      <c r="U566" s="18"/>
      <c r="V566" s="18"/>
      <c r="W566" s="18"/>
      <c r="X566" s="18"/>
    </row>
    <row r="567" spans="13:24">
      <c r="M567" s="558">
        <f t="shared" si="29"/>
        <v>565</v>
      </c>
      <c r="N567" s="15">
        <f t="shared" si="27"/>
        <v>0.66233212296026256</v>
      </c>
      <c r="O567" s="165">
        <f t="shared" si="28"/>
        <v>0.44</v>
      </c>
      <c r="P567" s="18"/>
      <c r="Q567" s="18"/>
      <c r="R567" s="18"/>
      <c r="S567" s="18"/>
      <c r="T567" s="18"/>
      <c r="U567" s="18"/>
      <c r="V567" s="18"/>
      <c r="W567" s="18"/>
      <c r="X567" s="18"/>
    </row>
    <row r="568" spans="13:24">
      <c r="M568" s="558">
        <f t="shared" si="29"/>
        <v>566</v>
      </c>
      <c r="N568" s="15">
        <f t="shared" si="27"/>
        <v>0.66200296897410205</v>
      </c>
      <c r="O568" s="165">
        <f t="shared" si="28"/>
        <v>0.44</v>
      </c>
      <c r="P568" s="18"/>
      <c r="Q568" s="18"/>
      <c r="R568" s="18"/>
      <c r="S568" s="18"/>
      <c r="T568" s="18"/>
      <c r="U568" s="18"/>
      <c r="V568" s="18"/>
      <c r="W568" s="18"/>
      <c r="X568" s="18"/>
    </row>
    <row r="569" spans="13:24">
      <c r="M569" s="558">
        <f t="shared" si="29"/>
        <v>567</v>
      </c>
      <c r="N569" s="15">
        <f t="shared" si="27"/>
        <v>0.66167416358470699</v>
      </c>
      <c r="O569" s="165">
        <f t="shared" si="28"/>
        <v>0.44</v>
      </c>
      <c r="P569" s="18"/>
      <c r="Q569" s="18"/>
      <c r="R569" s="18"/>
      <c r="S569" s="18"/>
      <c r="T569" s="18"/>
      <c r="U569" s="18"/>
      <c r="V569" s="18"/>
      <c r="W569" s="18"/>
      <c r="X569" s="18"/>
    </row>
    <row r="570" spans="13:24">
      <c r="M570" s="558">
        <f t="shared" si="29"/>
        <v>568</v>
      </c>
      <c r="N570" s="15">
        <f t="shared" si="27"/>
        <v>0.66134570635461776</v>
      </c>
      <c r="O570" s="165">
        <f t="shared" si="28"/>
        <v>0.44</v>
      </c>
      <c r="P570" s="18"/>
      <c r="Q570" s="18"/>
      <c r="R570" s="18"/>
      <c r="S570" s="18"/>
      <c r="T570" s="18"/>
      <c r="U570" s="18"/>
      <c r="V570" s="18"/>
      <c r="W570" s="18"/>
      <c r="X570" s="18"/>
    </row>
    <row r="571" spans="13:24">
      <c r="M571" s="558">
        <f t="shared" si="29"/>
        <v>569</v>
      </c>
      <c r="N571" s="15">
        <f t="shared" si="27"/>
        <v>0.66101759684692163</v>
      </c>
      <c r="O571" s="165">
        <f t="shared" si="28"/>
        <v>0.44</v>
      </c>
      <c r="P571" s="18"/>
      <c r="Q571" s="18"/>
      <c r="R571" s="18"/>
      <c r="S571" s="18"/>
      <c r="T571" s="18"/>
      <c r="U571" s="18"/>
      <c r="V571" s="18"/>
      <c r="W571" s="18"/>
      <c r="X571" s="18"/>
    </row>
    <row r="572" spans="13:24">
      <c r="M572" s="558">
        <f t="shared" si="29"/>
        <v>570</v>
      </c>
      <c r="N572" s="15">
        <f t="shared" si="27"/>
        <v>0.66068983462525455</v>
      </c>
      <c r="O572" s="165">
        <f t="shared" si="28"/>
        <v>0.44</v>
      </c>
      <c r="P572" s="18"/>
      <c r="Q572" s="18"/>
      <c r="R572" s="18"/>
      <c r="S572" s="18"/>
      <c r="T572" s="18"/>
      <c r="U572" s="18"/>
      <c r="V572" s="18"/>
      <c r="W572" s="18"/>
      <c r="X572" s="18"/>
    </row>
    <row r="573" spans="13:24">
      <c r="M573" s="558">
        <f t="shared" si="29"/>
        <v>571</v>
      </c>
      <c r="N573" s="15">
        <f t="shared" si="27"/>
        <v>0.66036241925380135</v>
      </c>
      <c r="O573" s="165">
        <f t="shared" si="28"/>
        <v>0.44</v>
      </c>
      <c r="P573" s="18"/>
      <c r="Q573" s="18"/>
      <c r="R573" s="18"/>
      <c r="S573" s="18"/>
      <c r="T573" s="18"/>
      <c r="U573" s="18"/>
      <c r="V573" s="18"/>
      <c r="W573" s="18"/>
      <c r="X573" s="18"/>
    </row>
    <row r="574" spans="13:24">
      <c r="M574" s="558">
        <f t="shared" si="29"/>
        <v>572</v>
      </c>
      <c r="N574" s="15">
        <f t="shared" si="27"/>
        <v>0.66003535029729254</v>
      </c>
      <c r="O574" s="165">
        <f t="shared" si="28"/>
        <v>0.44</v>
      </c>
      <c r="P574" s="18"/>
      <c r="Q574" s="18"/>
      <c r="R574" s="18"/>
      <c r="S574" s="18"/>
      <c r="T574" s="18"/>
      <c r="U574" s="18"/>
      <c r="V574" s="18"/>
      <c r="W574" s="18"/>
      <c r="X574" s="18"/>
    </row>
    <row r="575" spans="13:24">
      <c r="M575" s="558">
        <f t="shared" si="29"/>
        <v>573</v>
      </c>
      <c r="N575" s="15">
        <f t="shared" si="27"/>
        <v>0.65970862732100455</v>
      </c>
      <c r="O575" s="165">
        <f t="shared" si="28"/>
        <v>0.44</v>
      </c>
      <c r="P575" s="18"/>
      <c r="Q575" s="18"/>
      <c r="R575" s="18"/>
      <c r="S575" s="18"/>
      <c r="T575" s="18"/>
      <c r="U575" s="18"/>
      <c r="V575" s="18"/>
      <c r="W575" s="18"/>
      <c r="X575" s="18"/>
    </row>
    <row r="576" spans="13:24">
      <c r="M576" s="558">
        <f t="shared" si="29"/>
        <v>574</v>
      </c>
      <c r="N576" s="15">
        <f t="shared" si="27"/>
        <v>0.65938224989076089</v>
      </c>
      <c r="O576" s="165">
        <f t="shared" si="28"/>
        <v>0.44</v>
      </c>
      <c r="P576" s="18"/>
      <c r="Q576" s="18"/>
      <c r="R576" s="18"/>
      <c r="S576" s="18"/>
      <c r="T576" s="18"/>
      <c r="U576" s="18"/>
      <c r="V576" s="18"/>
      <c r="W576" s="18"/>
      <c r="X576" s="18"/>
    </row>
    <row r="577" spans="13:24">
      <c r="M577" s="558">
        <f t="shared" si="29"/>
        <v>575</v>
      </c>
      <c r="N577" s="15">
        <f t="shared" si="27"/>
        <v>0.65905621757292876</v>
      </c>
      <c r="O577" s="165">
        <f t="shared" si="28"/>
        <v>0.44</v>
      </c>
      <c r="P577" s="18"/>
      <c r="Q577" s="18"/>
      <c r="R577" s="18"/>
      <c r="S577" s="18"/>
      <c r="T577" s="18"/>
      <c r="U577" s="18"/>
      <c r="V577" s="18"/>
      <c r="W577" s="18"/>
      <c r="X577" s="18"/>
    </row>
    <row r="578" spans="13:24">
      <c r="M578" s="558">
        <f t="shared" si="29"/>
        <v>576</v>
      </c>
      <c r="N578" s="15">
        <f t="shared" si="27"/>
        <v>0.65873052993441961</v>
      </c>
      <c r="O578" s="165">
        <f t="shared" si="28"/>
        <v>0.44</v>
      </c>
      <c r="P578" s="18"/>
      <c r="Q578" s="18"/>
      <c r="R578" s="18"/>
      <c r="S578" s="18"/>
      <c r="T578" s="18"/>
      <c r="U578" s="18"/>
      <c r="V578" s="18"/>
      <c r="W578" s="18"/>
      <c r="X578" s="18"/>
    </row>
    <row r="579" spans="13:24">
      <c r="M579" s="558">
        <f t="shared" si="29"/>
        <v>577</v>
      </c>
      <c r="N579" s="15">
        <f t="shared" si="27"/>
        <v>0.65840518654268876</v>
      </c>
      <c r="O579" s="165">
        <f t="shared" si="28"/>
        <v>0.44</v>
      </c>
      <c r="P579" s="18"/>
      <c r="Q579" s="18"/>
      <c r="R579" s="18"/>
      <c r="S579" s="18"/>
      <c r="T579" s="18"/>
      <c r="U579" s="18"/>
      <c r="V579" s="18"/>
      <c r="W579" s="18"/>
      <c r="X579" s="18"/>
    </row>
    <row r="580" spans="13:24">
      <c r="M580" s="558">
        <f t="shared" si="29"/>
        <v>578</v>
      </c>
      <c r="N580" s="15">
        <f t="shared" ref="N580:N643" si="30">IF(M580&lt;$B$31+1,$B$32+$B$33/$B$31*(8760-M580)+$B$34*IF(M580&lt;$B$36-$B$31/(2*$B$35),1,IF(M580&lt;$B$36+$B$31/(2*$B$35),COS(PI()/2*(M580-($B$36-$B$31/(2*$B$35)))*$B$35/$B$31)^2,0))+$B$37*EXP((8760-M580)/8760*$B$38)/EXP($B$38)-(8760-$B$31)*$B$33/$B$31,0)</f>
        <v>0.65808018696573345</v>
      </c>
      <c r="O580" s="165">
        <f t="shared" ref="O580:O643" si="31">MIN(N580,C$24)</f>
        <v>0.44</v>
      </c>
      <c r="P580" s="18"/>
      <c r="Q580" s="18"/>
      <c r="R580" s="18"/>
      <c r="S580" s="18"/>
      <c r="T580" s="18"/>
      <c r="U580" s="18"/>
      <c r="V580" s="18"/>
      <c r="W580" s="18"/>
      <c r="X580" s="18"/>
    </row>
    <row r="581" spans="13:24">
      <c r="M581" s="558">
        <f t="shared" ref="M581:M644" si="32">M580+1</f>
        <v>579</v>
      </c>
      <c r="N581" s="15">
        <f t="shared" si="30"/>
        <v>0.65775553077209481</v>
      </c>
      <c r="O581" s="165">
        <f t="shared" si="31"/>
        <v>0.44</v>
      </c>
      <c r="P581" s="18"/>
      <c r="Q581" s="18"/>
      <c r="R581" s="18"/>
      <c r="S581" s="18"/>
      <c r="T581" s="18"/>
      <c r="U581" s="18"/>
      <c r="V581" s="18"/>
      <c r="W581" s="18"/>
      <c r="X581" s="18"/>
    </row>
    <row r="582" spans="13:24">
      <c r="M582" s="558">
        <f t="shared" si="32"/>
        <v>580</v>
      </c>
      <c r="N582" s="15">
        <f t="shared" si="30"/>
        <v>0.65743121753085398</v>
      </c>
      <c r="O582" s="165">
        <f t="shared" si="31"/>
        <v>0.44</v>
      </c>
      <c r="P582" s="18"/>
      <c r="Q582" s="18"/>
      <c r="R582" s="18"/>
      <c r="S582" s="18"/>
      <c r="T582" s="18"/>
      <c r="U582" s="18"/>
      <c r="V582" s="18"/>
      <c r="W582" s="18"/>
      <c r="X582" s="18"/>
    </row>
    <row r="583" spans="13:24">
      <c r="M583" s="558">
        <f t="shared" si="32"/>
        <v>581</v>
      </c>
      <c r="N583" s="15">
        <f t="shared" si="30"/>
        <v>0.65710724681163313</v>
      </c>
      <c r="O583" s="165">
        <f t="shared" si="31"/>
        <v>0.44</v>
      </c>
      <c r="P583" s="18"/>
      <c r="Q583" s="18"/>
      <c r="R583" s="18"/>
      <c r="S583" s="18"/>
      <c r="T583" s="18"/>
      <c r="U583" s="18"/>
      <c r="V583" s="18"/>
      <c r="W583" s="18"/>
      <c r="X583" s="18"/>
    </row>
    <row r="584" spans="13:24">
      <c r="M584" s="558">
        <f t="shared" si="32"/>
        <v>582</v>
      </c>
      <c r="N584" s="15">
        <f t="shared" si="30"/>
        <v>0.65678361818459408</v>
      </c>
      <c r="O584" s="165">
        <f t="shared" si="31"/>
        <v>0.44</v>
      </c>
      <c r="P584" s="18"/>
      <c r="Q584" s="18"/>
      <c r="R584" s="18"/>
      <c r="S584" s="18"/>
      <c r="T584" s="18"/>
      <c r="U584" s="18"/>
      <c r="V584" s="18"/>
      <c r="W584" s="18"/>
      <c r="X584" s="18"/>
    </row>
    <row r="585" spans="13:24">
      <c r="M585" s="558">
        <f t="shared" si="32"/>
        <v>583</v>
      </c>
      <c r="N585" s="15">
        <f t="shared" si="30"/>
        <v>0.65646033122043967</v>
      </c>
      <c r="O585" s="165">
        <f t="shared" si="31"/>
        <v>0.44</v>
      </c>
      <c r="P585" s="18"/>
      <c r="Q585" s="18"/>
      <c r="R585" s="18"/>
      <c r="S585" s="18"/>
      <c r="T585" s="18"/>
      <c r="U585" s="18"/>
      <c r="V585" s="18"/>
      <c r="W585" s="18"/>
      <c r="X585" s="18"/>
    </row>
    <row r="586" spans="13:24">
      <c r="M586" s="558">
        <f t="shared" si="32"/>
        <v>584</v>
      </c>
      <c r="N586" s="15">
        <f t="shared" si="30"/>
        <v>0.65613738549041001</v>
      </c>
      <c r="O586" s="165">
        <f t="shared" si="31"/>
        <v>0.44</v>
      </c>
      <c r="P586" s="18"/>
      <c r="Q586" s="18"/>
      <c r="R586" s="18"/>
      <c r="S586" s="18"/>
      <c r="T586" s="18"/>
      <c r="U586" s="18"/>
      <c r="V586" s="18"/>
      <c r="W586" s="18"/>
      <c r="X586" s="18"/>
    </row>
    <row r="587" spans="13:24">
      <c r="M587" s="558">
        <f t="shared" si="32"/>
        <v>585</v>
      </c>
      <c r="N587" s="15">
        <f t="shared" si="30"/>
        <v>0.65581478056628306</v>
      </c>
      <c r="O587" s="165">
        <f t="shared" si="31"/>
        <v>0.44</v>
      </c>
      <c r="P587" s="18"/>
      <c r="Q587" s="18"/>
      <c r="R587" s="18"/>
      <c r="S587" s="18"/>
      <c r="T587" s="18"/>
      <c r="U587" s="18"/>
      <c r="V587" s="18"/>
      <c r="W587" s="18"/>
      <c r="X587" s="18"/>
    </row>
    <row r="588" spans="13:24">
      <c r="M588" s="558">
        <f t="shared" si="32"/>
        <v>586</v>
      </c>
      <c r="N588" s="15">
        <f t="shared" si="30"/>
        <v>0.65549251602037573</v>
      </c>
      <c r="O588" s="165">
        <f t="shared" si="31"/>
        <v>0.44</v>
      </c>
      <c r="P588" s="18"/>
      <c r="Q588" s="18"/>
      <c r="R588" s="18"/>
      <c r="S588" s="18"/>
      <c r="T588" s="18"/>
      <c r="U588" s="18"/>
      <c r="V588" s="18"/>
      <c r="W588" s="18"/>
      <c r="X588" s="18"/>
    </row>
    <row r="589" spans="13:24">
      <c r="M589" s="558">
        <f t="shared" si="32"/>
        <v>587</v>
      </c>
      <c r="N589" s="15">
        <f t="shared" si="30"/>
        <v>0.65517059142554035</v>
      </c>
      <c r="O589" s="165">
        <f t="shared" si="31"/>
        <v>0.44</v>
      </c>
      <c r="P589" s="18"/>
      <c r="Q589" s="18"/>
      <c r="R589" s="18"/>
      <c r="S589" s="18"/>
      <c r="T589" s="18"/>
      <c r="U589" s="18"/>
      <c r="V589" s="18"/>
      <c r="W589" s="18"/>
      <c r="X589" s="18"/>
    </row>
    <row r="590" spans="13:24">
      <c r="M590" s="558">
        <f t="shared" si="32"/>
        <v>588</v>
      </c>
      <c r="N590" s="15">
        <f t="shared" si="30"/>
        <v>0.65484900635516519</v>
      </c>
      <c r="O590" s="165">
        <f t="shared" si="31"/>
        <v>0.44</v>
      </c>
      <c r="P590" s="18"/>
      <c r="Q590" s="18"/>
      <c r="R590" s="18"/>
      <c r="S590" s="18"/>
      <c r="T590" s="18"/>
      <c r="U590" s="18"/>
      <c r="V590" s="18"/>
      <c r="W590" s="18"/>
      <c r="X590" s="18"/>
    </row>
    <row r="591" spans="13:24">
      <c r="M591" s="558">
        <f t="shared" si="32"/>
        <v>589</v>
      </c>
      <c r="N591" s="15">
        <f t="shared" si="30"/>
        <v>0.65452776038317495</v>
      </c>
      <c r="O591" s="165">
        <f t="shared" si="31"/>
        <v>0.44</v>
      </c>
      <c r="P591" s="18"/>
      <c r="Q591" s="18"/>
      <c r="R591" s="18"/>
      <c r="S591" s="18"/>
      <c r="T591" s="18"/>
      <c r="U591" s="18"/>
      <c r="V591" s="18"/>
      <c r="W591" s="18"/>
      <c r="X591" s="18"/>
    </row>
    <row r="592" spans="13:24">
      <c r="M592" s="558">
        <f t="shared" si="32"/>
        <v>590</v>
      </c>
      <c r="N592" s="15">
        <f t="shared" si="30"/>
        <v>0.65420685308402815</v>
      </c>
      <c r="O592" s="165">
        <f t="shared" si="31"/>
        <v>0.44</v>
      </c>
      <c r="P592" s="18"/>
      <c r="Q592" s="18"/>
      <c r="R592" s="18"/>
      <c r="S592" s="18"/>
      <c r="T592" s="18"/>
      <c r="U592" s="18"/>
      <c r="V592" s="18"/>
      <c r="W592" s="18"/>
      <c r="X592" s="18"/>
    </row>
    <row r="593" spans="13:24">
      <c r="M593" s="558">
        <f t="shared" si="32"/>
        <v>591</v>
      </c>
      <c r="N593" s="15">
        <f t="shared" si="30"/>
        <v>0.6538862840327172</v>
      </c>
      <c r="O593" s="165">
        <f t="shared" si="31"/>
        <v>0.44</v>
      </c>
      <c r="P593" s="18"/>
      <c r="Q593" s="18"/>
      <c r="R593" s="18"/>
      <c r="S593" s="18"/>
      <c r="T593" s="18"/>
      <c r="U593" s="18"/>
      <c r="V593" s="18"/>
      <c r="W593" s="18"/>
      <c r="X593" s="18"/>
    </row>
    <row r="594" spans="13:24">
      <c r="M594" s="558">
        <f t="shared" si="32"/>
        <v>592</v>
      </c>
      <c r="N594" s="15">
        <f t="shared" si="30"/>
        <v>0.65356605280476898</v>
      </c>
      <c r="O594" s="165">
        <f t="shared" si="31"/>
        <v>0.44</v>
      </c>
      <c r="P594" s="18"/>
      <c r="Q594" s="18"/>
      <c r="R594" s="18"/>
      <c r="S594" s="18"/>
      <c r="T594" s="18"/>
      <c r="U594" s="18"/>
      <c r="V594" s="18"/>
      <c r="W594" s="18"/>
      <c r="X594" s="18"/>
    </row>
    <row r="595" spans="13:24">
      <c r="M595" s="558">
        <f t="shared" si="32"/>
        <v>593</v>
      </c>
      <c r="N595" s="15">
        <f t="shared" si="30"/>
        <v>0.65324615897624183</v>
      </c>
      <c r="O595" s="165">
        <f t="shared" si="31"/>
        <v>0.44</v>
      </c>
      <c r="P595" s="18"/>
      <c r="Q595" s="18"/>
      <c r="R595" s="18"/>
      <c r="S595" s="18"/>
      <c r="T595" s="18"/>
      <c r="U595" s="18"/>
      <c r="V595" s="18"/>
      <c r="W595" s="18"/>
      <c r="X595" s="18"/>
    </row>
    <row r="596" spans="13:24">
      <c r="M596" s="558">
        <f t="shared" si="32"/>
        <v>594</v>
      </c>
      <c r="N596" s="15">
        <f t="shared" si="30"/>
        <v>0.65292660212372666</v>
      </c>
      <c r="O596" s="165">
        <f t="shared" si="31"/>
        <v>0.44</v>
      </c>
      <c r="P596" s="18"/>
      <c r="Q596" s="18"/>
      <c r="R596" s="18"/>
      <c r="S596" s="18"/>
      <c r="T596" s="18"/>
      <c r="U596" s="18"/>
      <c r="V596" s="18"/>
      <c r="W596" s="18"/>
      <c r="X596" s="18"/>
    </row>
    <row r="597" spans="13:24">
      <c r="M597" s="558">
        <f t="shared" si="32"/>
        <v>595</v>
      </c>
      <c r="N597" s="15">
        <f t="shared" si="30"/>
        <v>0.65260738182434519</v>
      </c>
      <c r="O597" s="165">
        <f t="shared" si="31"/>
        <v>0.44</v>
      </c>
      <c r="P597" s="18"/>
      <c r="Q597" s="18"/>
      <c r="R597" s="18"/>
      <c r="S597" s="18"/>
      <c r="T597" s="18"/>
      <c r="U597" s="18"/>
      <c r="V597" s="18"/>
      <c r="W597" s="18"/>
      <c r="X597" s="18"/>
    </row>
    <row r="598" spans="13:24">
      <c r="M598" s="558">
        <f t="shared" si="32"/>
        <v>596</v>
      </c>
      <c r="N598" s="15">
        <f t="shared" si="30"/>
        <v>0.65228849765575103</v>
      </c>
      <c r="O598" s="165">
        <f t="shared" si="31"/>
        <v>0.44</v>
      </c>
      <c r="P598" s="18"/>
      <c r="Q598" s="18"/>
      <c r="R598" s="18"/>
      <c r="S598" s="18"/>
      <c r="T598" s="18"/>
      <c r="U598" s="18"/>
      <c r="V598" s="18"/>
      <c r="W598" s="18"/>
      <c r="X598" s="18"/>
    </row>
    <row r="599" spans="13:24">
      <c r="M599" s="558">
        <f t="shared" si="32"/>
        <v>597</v>
      </c>
      <c r="N599" s="15">
        <f t="shared" si="30"/>
        <v>0.65196994919612683</v>
      </c>
      <c r="O599" s="165">
        <f t="shared" si="31"/>
        <v>0.44</v>
      </c>
      <c r="P599" s="18"/>
      <c r="Q599" s="18"/>
      <c r="R599" s="18"/>
      <c r="S599" s="18"/>
      <c r="T599" s="18"/>
      <c r="U599" s="18"/>
      <c r="V599" s="18"/>
      <c r="W599" s="18"/>
      <c r="X599" s="18"/>
    </row>
    <row r="600" spans="13:24">
      <c r="M600" s="558">
        <f t="shared" si="32"/>
        <v>598</v>
      </c>
      <c r="N600" s="15">
        <f t="shared" si="30"/>
        <v>0.65165173602418414</v>
      </c>
      <c r="O600" s="165">
        <f t="shared" si="31"/>
        <v>0.44</v>
      </c>
      <c r="P600" s="18"/>
      <c r="Q600" s="18"/>
      <c r="R600" s="18"/>
      <c r="S600" s="18"/>
      <c r="T600" s="18"/>
      <c r="U600" s="18"/>
      <c r="V600" s="18"/>
      <c r="W600" s="18"/>
      <c r="X600" s="18"/>
    </row>
    <row r="601" spans="13:24">
      <c r="M601" s="558">
        <f t="shared" si="32"/>
        <v>599</v>
      </c>
      <c r="N601" s="15">
        <f t="shared" si="30"/>
        <v>0.65133385771916485</v>
      </c>
      <c r="O601" s="165">
        <f t="shared" si="31"/>
        <v>0.44</v>
      </c>
      <c r="P601" s="18"/>
      <c r="Q601" s="18"/>
      <c r="R601" s="18"/>
      <c r="S601" s="18"/>
      <c r="T601" s="18"/>
      <c r="U601" s="18"/>
      <c r="V601" s="18"/>
      <c r="W601" s="18"/>
      <c r="X601" s="18"/>
    </row>
    <row r="602" spans="13:24">
      <c r="M602" s="558">
        <f t="shared" si="32"/>
        <v>600</v>
      </c>
      <c r="N602" s="15">
        <f t="shared" si="30"/>
        <v>0.65101631386083725</v>
      </c>
      <c r="O602" s="165">
        <f t="shared" si="31"/>
        <v>0.44</v>
      </c>
      <c r="P602" s="18"/>
      <c r="Q602" s="18"/>
      <c r="R602" s="18"/>
      <c r="S602" s="18"/>
      <c r="T602" s="18"/>
      <c r="U602" s="18"/>
      <c r="V602" s="18"/>
      <c r="W602" s="18"/>
      <c r="X602" s="18"/>
    </row>
    <row r="603" spans="13:24">
      <c r="M603" s="558">
        <f t="shared" si="32"/>
        <v>601</v>
      </c>
      <c r="N603" s="15">
        <f t="shared" si="30"/>
        <v>0.65069910402949782</v>
      </c>
      <c r="O603" s="165">
        <f t="shared" si="31"/>
        <v>0.44</v>
      </c>
      <c r="P603" s="18"/>
      <c r="Q603" s="18"/>
      <c r="R603" s="18"/>
      <c r="S603" s="18"/>
      <c r="T603" s="18"/>
      <c r="U603" s="18"/>
      <c r="V603" s="18"/>
      <c r="W603" s="18"/>
      <c r="X603" s="18"/>
    </row>
    <row r="604" spans="13:24">
      <c r="M604" s="558">
        <f t="shared" si="32"/>
        <v>602</v>
      </c>
      <c r="N604" s="15">
        <f t="shared" si="30"/>
        <v>0.65038222780596944</v>
      </c>
      <c r="O604" s="165">
        <f t="shared" si="31"/>
        <v>0.44</v>
      </c>
      <c r="P604" s="18"/>
      <c r="Q604" s="18"/>
      <c r="R604" s="18"/>
      <c r="S604" s="18"/>
      <c r="T604" s="18"/>
      <c r="U604" s="18"/>
      <c r="V604" s="18"/>
      <c r="W604" s="18"/>
      <c r="X604" s="18"/>
    </row>
    <row r="605" spans="13:24">
      <c r="M605" s="558">
        <f t="shared" si="32"/>
        <v>603</v>
      </c>
      <c r="N605" s="15">
        <f t="shared" si="30"/>
        <v>0.65006568477160065</v>
      </c>
      <c r="O605" s="165">
        <f t="shared" si="31"/>
        <v>0.44</v>
      </c>
      <c r="P605" s="18"/>
      <c r="Q605" s="18"/>
      <c r="R605" s="18"/>
      <c r="S605" s="18"/>
      <c r="T605" s="18"/>
      <c r="U605" s="18"/>
      <c r="V605" s="18"/>
      <c r="W605" s="18"/>
      <c r="X605" s="18"/>
    </row>
    <row r="606" spans="13:24">
      <c r="M606" s="558">
        <f t="shared" si="32"/>
        <v>604</v>
      </c>
      <c r="N606" s="15">
        <f t="shared" si="30"/>
        <v>0.64974947450826659</v>
      </c>
      <c r="O606" s="165">
        <f t="shared" si="31"/>
        <v>0.44</v>
      </c>
      <c r="P606" s="18"/>
      <c r="Q606" s="18"/>
      <c r="R606" s="18"/>
      <c r="S606" s="18"/>
      <c r="T606" s="18"/>
      <c r="U606" s="18"/>
      <c r="V606" s="18"/>
      <c r="W606" s="18"/>
      <c r="X606" s="18"/>
    </row>
    <row r="607" spans="13:24">
      <c r="M607" s="558">
        <f t="shared" si="32"/>
        <v>605</v>
      </c>
      <c r="N607" s="15">
        <f t="shared" si="30"/>
        <v>0.64943359659836597</v>
      </c>
      <c r="O607" s="165">
        <f t="shared" si="31"/>
        <v>0.44</v>
      </c>
      <c r="P607" s="18"/>
      <c r="Q607" s="18"/>
      <c r="R607" s="18"/>
      <c r="S607" s="18"/>
      <c r="T607" s="18"/>
      <c r="U607" s="18"/>
      <c r="V607" s="18"/>
      <c r="W607" s="18"/>
      <c r="X607" s="18"/>
    </row>
    <row r="608" spans="13:24">
      <c r="M608" s="558">
        <f t="shared" si="32"/>
        <v>606</v>
      </c>
      <c r="N608" s="15">
        <f t="shared" si="30"/>
        <v>0.64911805062482153</v>
      </c>
      <c r="O608" s="165">
        <f t="shared" si="31"/>
        <v>0.44</v>
      </c>
      <c r="P608" s="18"/>
      <c r="Q608" s="18"/>
      <c r="R608" s="18"/>
      <c r="S608" s="18"/>
      <c r="T608" s="18"/>
      <c r="U608" s="18"/>
      <c r="V608" s="18"/>
      <c r="W608" s="18"/>
      <c r="X608" s="18"/>
    </row>
    <row r="609" spans="13:24">
      <c r="M609" s="558">
        <f t="shared" si="32"/>
        <v>607</v>
      </c>
      <c r="N609" s="15">
        <f t="shared" si="30"/>
        <v>0.6488028361710807</v>
      </c>
      <c r="O609" s="165">
        <f t="shared" si="31"/>
        <v>0.44</v>
      </c>
      <c r="P609" s="18"/>
      <c r="Q609" s="18"/>
      <c r="R609" s="18"/>
      <c r="S609" s="18"/>
      <c r="T609" s="18"/>
      <c r="U609" s="18"/>
      <c r="V609" s="18"/>
      <c r="W609" s="18"/>
      <c r="X609" s="18"/>
    </row>
    <row r="610" spans="13:24">
      <c r="M610" s="558">
        <f t="shared" si="32"/>
        <v>608</v>
      </c>
      <c r="N610" s="15">
        <f t="shared" si="30"/>
        <v>0.64848795282111227</v>
      </c>
      <c r="O610" s="165">
        <f t="shared" si="31"/>
        <v>0.44</v>
      </c>
      <c r="P610" s="18"/>
      <c r="Q610" s="18"/>
      <c r="R610" s="18"/>
      <c r="S610" s="18"/>
      <c r="T610" s="18"/>
      <c r="U610" s="18"/>
      <c r="V610" s="18"/>
      <c r="W610" s="18"/>
      <c r="X610" s="18"/>
    </row>
    <row r="611" spans="13:24">
      <c r="M611" s="558">
        <f t="shared" si="32"/>
        <v>609</v>
      </c>
      <c r="N611" s="15">
        <f t="shared" si="30"/>
        <v>0.6481734001594075</v>
      </c>
      <c r="O611" s="165">
        <f t="shared" si="31"/>
        <v>0.44</v>
      </c>
      <c r="P611" s="18"/>
      <c r="Q611" s="18"/>
      <c r="R611" s="18"/>
      <c r="S611" s="18"/>
      <c r="T611" s="18"/>
      <c r="U611" s="18"/>
      <c r="V611" s="18"/>
      <c r="W611" s="18"/>
      <c r="X611" s="18"/>
    </row>
    <row r="612" spans="13:24">
      <c r="M612" s="558">
        <f t="shared" si="32"/>
        <v>610</v>
      </c>
      <c r="N612" s="15">
        <f t="shared" si="30"/>
        <v>0.64785917777097901</v>
      </c>
      <c r="O612" s="165">
        <f t="shared" si="31"/>
        <v>0.44</v>
      </c>
      <c r="P612" s="18"/>
      <c r="Q612" s="18"/>
      <c r="R612" s="18"/>
      <c r="S612" s="18"/>
      <c r="T612" s="18"/>
      <c r="U612" s="18"/>
      <c r="V612" s="18"/>
      <c r="W612" s="18"/>
      <c r="X612" s="18"/>
    </row>
    <row r="613" spans="13:24">
      <c r="M613" s="558">
        <f t="shared" si="32"/>
        <v>611</v>
      </c>
      <c r="N613" s="15">
        <f t="shared" si="30"/>
        <v>0.64754528524136079</v>
      </c>
      <c r="O613" s="165">
        <f t="shared" si="31"/>
        <v>0.44</v>
      </c>
      <c r="P613" s="18"/>
      <c r="Q613" s="18"/>
      <c r="R613" s="18"/>
      <c r="S613" s="18"/>
      <c r="T613" s="18"/>
      <c r="U613" s="18"/>
      <c r="V613" s="18"/>
      <c r="W613" s="18"/>
      <c r="X613" s="18"/>
    </row>
    <row r="614" spans="13:24">
      <c r="M614" s="558">
        <f t="shared" si="32"/>
        <v>612</v>
      </c>
      <c r="N614" s="15">
        <f t="shared" si="30"/>
        <v>0.6472317221566064</v>
      </c>
      <c r="O614" s="165">
        <f t="shared" si="31"/>
        <v>0.44</v>
      </c>
      <c r="P614" s="18"/>
      <c r="Q614" s="18"/>
      <c r="R614" s="18"/>
      <c r="S614" s="18"/>
      <c r="T614" s="18"/>
      <c r="U614" s="18"/>
      <c r="V614" s="18"/>
      <c r="W614" s="18"/>
      <c r="X614" s="18"/>
    </row>
    <row r="615" spans="13:24">
      <c r="M615" s="558">
        <f t="shared" si="32"/>
        <v>613</v>
      </c>
      <c r="N615" s="15">
        <f t="shared" si="30"/>
        <v>0.64691848810328878</v>
      </c>
      <c r="O615" s="165">
        <f t="shared" si="31"/>
        <v>0.44</v>
      </c>
      <c r="P615" s="18"/>
      <c r="Q615" s="18"/>
      <c r="R615" s="18"/>
      <c r="S615" s="18"/>
      <c r="T615" s="18"/>
      <c r="U615" s="18"/>
      <c r="V615" s="18"/>
      <c r="W615" s="18"/>
      <c r="X615" s="18"/>
    </row>
    <row r="616" spans="13:24">
      <c r="M616" s="558">
        <f t="shared" si="32"/>
        <v>614</v>
      </c>
      <c r="N616" s="15">
        <f t="shared" si="30"/>
        <v>0.64660558266850021</v>
      </c>
      <c r="O616" s="165">
        <f t="shared" si="31"/>
        <v>0.44</v>
      </c>
      <c r="P616" s="18"/>
      <c r="Q616" s="18"/>
      <c r="R616" s="18"/>
      <c r="S616" s="18"/>
      <c r="T616" s="18"/>
      <c r="U616" s="18"/>
      <c r="V616" s="18"/>
      <c r="W616" s="18"/>
      <c r="X616" s="18"/>
    </row>
    <row r="617" spans="13:24">
      <c r="M617" s="558">
        <f t="shared" si="32"/>
        <v>615</v>
      </c>
      <c r="N617" s="15">
        <f t="shared" si="30"/>
        <v>0.64629300543985069</v>
      </c>
      <c r="O617" s="165">
        <f t="shared" si="31"/>
        <v>0.44</v>
      </c>
      <c r="P617" s="18"/>
      <c r="Q617" s="18"/>
      <c r="R617" s="18"/>
      <c r="S617" s="18"/>
      <c r="T617" s="18"/>
      <c r="U617" s="18"/>
      <c r="V617" s="18"/>
      <c r="W617" s="18"/>
      <c r="X617" s="18"/>
    </row>
    <row r="618" spans="13:24">
      <c r="M618" s="558">
        <f t="shared" si="32"/>
        <v>616</v>
      </c>
      <c r="N618" s="15">
        <f t="shared" si="30"/>
        <v>0.64598075600546756</v>
      </c>
      <c r="O618" s="165">
        <f t="shared" si="31"/>
        <v>0.44</v>
      </c>
      <c r="P618" s="18"/>
      <c r="Q618" s="18"/>
      <c r="R618" s="18"/>
      <c r="S618" s="18"/>
      <c r="T618" s="18"/>
      <c r="U618" s="18"/>
      <c r="V618" s="18"/>
      <c r="W618" s="18"/>
      <c r="X618" s="18"/>
    </row>
    <row r="619" spans="13:24">
      <c r="M619" s="558">
        <f t="shared" si="32"/>
        <v>617</v>
      </c>
      <c r="N619" s="15">
        <f t="shared" si="30"/>
        <v>0.64566883395399599</v>
      </c>
      <c r="O619" s="165">
        <f t="shared" si="31"/>
        <v>0.44</v>
      </c>
      <c r="P619" s="18"/>
      <c r="Q619" s="18"/>
      <c r="R619" s="18"/>
      <c r="S619" s="18"/>
      <c r="T619" s="18"/>
      <c r="U619" s="18"/>
      <c r="V619" s="18"/>
      <c r="W619" s="18"/>
      <c r="X619" s="18"/>
    </row>
    <row r="620" spans="13:24">
      <c r="M620" s="558">
        <f t="shared" si="32"/>
        <v>618</v>
      </c>
      <c r="N620" s="15">
        <f t="shared" si="30"/>
        <v>0.6453572388745964</v>
      </c>
      <c r="O620" s="165">
        <f t="shared" si="31"/>
        <v>0.44</v>
      </c>
      <c r="P620" s="18"/>
      <c r="Q620" s="18"/>
      <c r="R620" s="18"/>
      <c r="S620" s="18"/>
      <c r="T620" s="18"/>
      <c r="U620" s="18"/>
      <c r="V620" s="18"/>
      <c r="W620" s="18"/>
      <c r="X620" s="18"/>
    </row>
    <row r="621" spans="13:24">
      <c r="M621" s="558">
        <f t="shared" si="32"/>
        <v>619</v>
      </c>
      <c r="N621" s="15">
        <f t="shared" si="30"/>
        <v>0.64504597035694466</v>
      </c>
      <c r="O621" s="165">
        <f t="shared" si="31"/>
        <v>0.44</v>
      </c>
      <c r="P621" s="18"/>
      <c r="Q621" s="18"/>
      <c r="R621" s="18"/>
      <c r="S621" s="18"/>
      <c r="T621" s="18"/>
      <c r="U621" s="18"/>
      <c r="V621" s="18"/>
      <c r="W621" s="18"/>
      <c r="X621" s="18"/>
    </row>
    <row r="622" spans="13:24">
      <c r="M622" s="558">
        <f t="shared" si="32"/>
        <v>620</v>
      </c>
      <c r="N622" s="15">
        <f t="shared" si="30"/>
        <v>0.64473502799123283</v>
      </c>
      <c r="O622" s="165">
        <f t="shared" si="31"/>
        <v>0.44</v>
      </c>
      <c r="P622" s="18"/>
      <c r="Q622" s="18"/>
      <c r="R622" s="18"/>
      <c r="S622" s="18"/>
      <c r="T622" s="18"/>
      <c r="U622" s="18"/>
      <c r="V622" s="18"/>
      <c r="W622" s="18"/>
      <c r="X622" s="18"/>
    </row>
    <row r="623" spans="13:24">
      <c r="M623" s="558">
        <f t="shared" si="32"/>
        <v>621</v>
      </c>
      <c r="N623" s="15">
        <f t="shared" si="30"/>
        <v>0.64442441136816597</v>
      </c>
      <c r="O623" s="165">
        <f t="shared" si="31"/>
        <v>0.44</v>
      </c>
      <c r="P623" s="18"/>
      <c r="Q623" s="18"/>
      <c r="R623" s="18"/>
      <c r="S623" s="18"/>
      <c r="T623" s="18"/>
      <c r="U623" s="18"/>
      <c r="V623" s="18"/>
      <c r="W623" s="18"/>
      <c r="X623" s="18"/>
    </row>
    <row r="624" spans="13:24">
      <c r="M624" s="558">
        <f t="shared" si="32"/>
        <v>622</v>
      </c>
      <c r="N624" s="15">
        <f t="shared" si="30"/>
        <v>0.64411412007896285</v>
      </c>
      <c r="O624" s="165">
        <f t="shared" si="31"/>
        <v>0.44</v>
      </c>
      <c r="P624" s="18"/>
      <c r="Q624" s="18"/>
      <c r="R624" s="18"/>
      <c r="S624" s="18"/>
      <c r="T624" s="18"/>
      <c r="U624" s="18"/>
      <c r="V624" s="18"/>
      <c r="W624" s="18"/>
      <c r="X624" s="18"/>
    </row>
    <row r="625" spans="13:24">
      <c r="M625" s="558">
        <f t="shared" si="32"/>
        <v>623</v>
      </c>
      <c r="N625" s="15">
        <f t="shared" si="30"/>
        <v>0.64380415371535638</v>
      </c>
      <c r="O625" s="165">
        <f t="shared" si="31"/>
        <v>0.44</v>
      </c>
      <c r="P625" s="18"/>
      <c r="Q625" s="18"/>
      <c r="R625" s="18"/>
      <c r="S625" s="18"/>
      <c r="T625" s="18"/>
      <c r="U625" s="18"/>
      <c r="V625" s="18"/>
      <c r="W625" s="18"/>
      <c r="X625" s="18"/>
    </row>
    <row r="626" spans="13:24">
      <c r="M626" s="558">
        <f t="shared" si="32"/>
        <v>624</v>
      </c>
      <c r="N626" s="15">
        <f t="shared" si="30"/>
        <v>0.64349451186959061</v>
      </c>
      <c r="O626" s="165">
        <f t="shared" si="31"/>
        <v>0.44</v>
      </c>
      <c r="P626" s="18"/>
      <c r="Q626" s="18"/>
      <c r="R626" s="18"/>
      <c r="S626" s="18"/>
      <c r="T626" s="18"/>
      <c r="U626" s="18"/>
      <c r="V626" s="18"/>
      <c r="W626" s="18"/>
      <c r="X626" s="18"/>
    </row>
    <row r="627" spans="13:24">
      <c r="M627" s="558">
        <f t="shared" si="32"/>
        <v>625</v>
      </c>
      <c r="N627" s="15">
        <f t="shared" si="30"/>
        <v>0.64318519413442143</v>
      </c>
      <c r="O627" s="165">
        <f t="shared" si="31"/>
        <v>0.44</v>
      </c>
      <c r="P627" s="18"/>
      <c r="Q627" s="18"/>
      <c r="R627" s="18"/>
      <c r="S627" s="18"/>
      <c r="T627" s="18"/>
      <c r="U627" s="18"/>
      <c r="V627" s="18"/>
      <c r="W627" s="18"/>
      <c r="X627" s="18"/>
    </row>
    <row r="628" spans="13:24">
      <c r="M628" s="558">
        <f t="shared" si="32"/>
        <v>626</v>
      </c>
      <c r="N628" s="15">
        <f t="shared" si="30"/>
        <v>0.64287620010311675</v>
      </c>
      <c r="O628" s="165">
        <f t="shared" si="31"/>
        <v>0.44</v>
      </c>
      <c r="P628" s="18"/>
      <c r="Q628" s="18"/>
      <c r="R628" s="18"/>
      <c r="S628" s="18"/>
      <c r="T628" s="18"/>
      <c r="U628" s="18"/>
      <c r="V628" s="18"/>
      <c r="W628" s="18"/>
      <c r="X628" s="18"/>
    </row>
    <row r="629" spans="13:24">
      <c r="M629" s="558">
        <f t="shared" si="32"/>
        <v>627</v>
      </c>
      <c r="N629" s="15">
        <f t="shared" si="30"/>
        <v>0.64256752936945383</v>
      </c>
      <c r="O629" s="165">
        <f t="shared" si="31"/>
        <v>0.44</v>
      </c>
      <c r="P629" s="18"/>
      <c r="Q629" s="18"/>
      <c r="R629" s="18"/>
      <c r="S629" s="18"/>
      <c r="T629" s="18"/>
      <c r="U629" s="18"/>
      <c r="V629" s="18"/>
      <c r="W629" s="18"/>
      <c r="X629" s="18"/>
    </row>
    <row r="630" spans="13:24">
      <c r="M630" s="558">
        <f t="shared" si="32"/>
        <v>628</v>
      </c>
      <c r="N630" s="15">
        <f t="shared" si="30"/>
        <v>0.64225918152772021</v>
      </c>
      <c r="O630" s="165">
        <f t="shared" si="31"/>
        <v>0.44</v>
      </c>
      <c r="P630" s="18"/>
      <c r="Q630" s="18"/>
      <c r="R630" s="18"/>
      <c r="S630" s="18"/>
      <c r="T630" s="18"/>
      <c r="U630" s="18"/>
      <c r="V630" s="18"/>
      <c r="W630" s="18"/>
      <c r="X630" s="18"/>
    </row>
    <row r="631" spans="13:24">
      <c r="M631" s="558">
        <f t="shared" si="32"/>
        <v>629</v>
      </c>
      <c r="N631" s="15">
        <f t="shared" si="30"/>
        <v>0.64195115617271226</v>
      </c>
      <c r="O631" s="165">
        <f t="shared" si="31"/>
        <v>0.44</v>
      </c>
      <c r="P631" s="18"/>
      <c r="Q631" s="18"/>
      <c r="R631" s="18"/>
      <c r="S631" s="18"/>
      <c r="T631" s="18"/>
      <c r="U631" s="18"/>
      <c r="V631" s="18"/>
      <c r="W631" s="18"/>
      <c r="X631" s="18"/>
    </row>
    <row r="632" spans="13:24">
      <c r="M632" s="558">
        <f t="shared" si="32"/>
        <v>630</v>
      </c>
      <c r="N632" s="15">
        <f t="shared" si="30"/>
        <v>0.64164345289973512</v>
      </c>
      <c r="O632" s="165">
        <f t="shared" si="31"/>
        <v>0.44</v>
      </c>
      <c r="P632" s="18"/>
      <c r="Q632" s="18"/>
      <c r="R632" s="18"/>
      <c r="S632" s="18"/>
      <c r="T632" s="18"/>
      <c r="U632" s="18"/>
      <c r="V632" s="18"/>
      <c r="W632" s="18"/>
      <c r="X632" s="18"/>
    </row>
    <row r="633" spans="13:24">
      <c r="M633" s="558">
        <f t="shared" si="32"/>
        <v>631</v>
      </c>
      <c r="N633" s="15">
        <f t="shared" si="30"/>
        <v>0.64133607130460146</v>
      </c>
      <c r="O633" s="165">
        <f t="shared" si="31"/>
        <v>0.44</v>
      </c>
      <c r="P633" s="18"/>
      <c r="Q633" s="18"/>
      <c r="R633" s="18"/>
      <c r="S633" s="18"/>
      <c r="T633" s="18"/>
      <c r="U633" s="18"/>
      <c r="V633" s="18"/>
      <c r="W633" s="18"/>
      <c r="X633" s="18"/>
    </row>
    <row r="634" spans="13:24">
      <c r="M634" s="558">
        <f t="shared" si="32"/>
        <v>632</v>
      </c>
      <c r="N634" s="15">
        <f t="shared" si="30"/>
        <v>0.64102901098363196</v>
      </c>
      <c r="O634" s="165">
        <f t="shared" si="31"/>
        <v>0.44</v>
      </c>
      <c r="P634" s="18"/>
      <c r="Q634" s="18"/>
      <c r="R634" s="18"/>
      <c r="S634" s="18"/>
      <c r="T634" s="18"/>
      <c r="U634" s="18"/>
      <c r="V634" s="18"/>
      <c r="W634" s="18"/>
      <c r="X634" s="18"/>
    </row>
    <row r="635" spans="13:24">
      <c r="M635" s="558">
        <f t="shared" si="32"/>
        <v>633</v>
      </c>
      <c r="N635" s="15">
        <f t="shared" si="30"/>
        <v>0.64072227153365313</v>
      </c>
      <c r="O635" s="165">
        <f t="shared" si="31"/>
        <v>0.44</v>
      </c>
      <c r="P635" s="18"/>
      <c r="Q635" s="18"/>
      <c r="R635" s="18"/>
      <c r="S635" s="18"/>
      <c r="T635" s="18"/>
      <c r="U635" s="18"/>
      <c r="V635" s="18"/>
      <c r="W635" s="18"/>
      <c r="X635" s="18"/>
    </row>
    <row r="636" spans="13:24">
      <c r="M636" s="558">
        <f t="shared" si="32"/>
        <v>634</v>
      </c>
      <c r="N636" s="15">
        <f t="shared" si="30"/>
        <v>0.64041585255199718</v>
      </c>
      <c r="O636" s="165">
        <f t="shared" si="31"/>
        <v>0.44</v>
      </c>
      <c r="P636" s="18"/>
      <c r="Q636" s="18"/>
      <c r="R636" s="18"/>
      <c r="S636" s="18"/>
      <c r="T636" s="18"/>
      <c r="U636" s="18"/>
      <c r="V636" s="18"/>
      <c r="W636" s="18"/>
      <c r="X636" s="18"/>
    </row>
    <row r="637" spans="13:24">
      <c r="M637" s="558">
        <f t="shared" si="32"/>
        <v>635</v>
      </c>
      <c r="N637" s="15">
        <f t="shared" si="30"/>
        <v>0.6401097536365028</v>
      </c>
      <c r="O637" s="165">
        <f t="shared" si="31"/>
        <v>0.44</v>
      </c>
      <c r="P637" s="18"/>
      <c r="Q637" s="18"/>
      <c r="R637" s="18"/>
      <c r="S637" s="18"/>
      <c r="T637" s="18"/>
      <c r="U637" s="18"/>
      <c r="V637" s="18"/>
      <c r="W637" s="18"/>
      <c r="X637" s="18"/>
    </row>
    <row r="638" spans="13:24">
      <c r="M638" s="558">
        <f t="shared" si="32"/>
        <v>636</v>
      </c>
      <c r="N638" s="15">
        <f t="shared" si="30"/>
        <v>0.63980397438551251</v>
      </c>
      <c r="O638" s="165">
        <f t="shared" si="31"/>
        <v>0.44</v>
      </c>
      <c r="P638" s="18"/>
      <c r="Q638" s="18"/>
      <c r="R638" s="18"/>
      <c r="S638" s="18"/>
      <c r="T638" s="18"/>
      <c r="U638" s="18"/>
      <c r="V638" s="18"/>
      <c r="W638" s="18"/>
      <c r="X638" s="18"/>
    </row>
    <row r="639" spans="13:24">
      <c r="M639" s="558">
        <f t="shared" si="32"/>
        <v>637</v>
      </c>
      <c r="N639" s="15">
        <f t="shared" si="30"/>
        <v>0.63949851439787242</v>
      </c>
      <c r="O639" s="165">
        <f t="shared" si="31"/>
        <v>0.44</v>
      </c>
      <c r="P639" s="18"/>
      <c r="Q639" s="18"/>
      <c r="R639" s="18"/>
      <c r="S639" s="18"/>
      <c r="T639" s="18"/>
      <c r="U639" s="18"/>
      <c r="V639" s="18"/>
      <c r="W639" s="18"/>
      <c r="X639" s="18"/>
    </row>
    <row r="640" spans="13:24">
      <c r="M640" s="558">
        <f t="shared" si="32"/>
        <v>638</v>
      </c>
      <c r="N640" s="15">
        <f t="shared" si="30"/>
        <v>0.63919337327293357</v>
      </c>
      <c r="O640" s="165">
        <f t="shared" si="31"/>
        <v>0.44</v>
      </c>
      <c r="P640" s="18"/>
      <c r="Q640" s="18"/>
      <c r="R640" s="18"/>
      <c r="S640" s="18"/>
      <c r="T640" s="18"/>
      <c r="U640" s="18"/>
      <c r="V640" s="18"/>
      <c r="W640" s="18"/>
      <c r="X640" s="18"/>
    </row>
    <row r="641" spans="13:24">
      <c r="M641" s="558">
        <f t="shared" si="32"/>
        <v>639</v>
      </c>
      <c r="N641" s="15">
        <f t="shared" si="30"/>
        <v>0.63888855061054839</v>
      </c>
      <c r="O641" s="165">
        <f t="shared" si="31"/>
        <v>0.44</v>
      </c>
      <c r="P641" s="18"/>
      <c r="Q641" s="18"/>
      <c r="R641" s="18"/>
      <c r="S641" s="18"/>
      <c r="T641" s="18"/>
      <c r="U641" s="18"/>
      <c r="V641" s="18"/>
      <c r="W641" s="18"/>
      <c r="X641" s="18"/>
    </row>
    <row r="642" spans="13:24">
      <c r="M642" s="558">
        <f t="shared" si="32"/>
        <v>640</v>
      </c>
      <c r="N642" s="15">
        <f t="shared" si="30"/>
        <v>0.63858404601107155</v>
      </c>
      <c r="O642" s="165">
        <f t="shared" si="31"/>
        <v>0.44</v>
      </c>
      <c r="P642" s="18"/>
      <c r="Q642" s="18"/>
      <c r="R642" s="18"/>
      <c r="S642" s="18"/>
      <c r="T642" s="18"/>
      <c r="U642" s="18"/>
      <c r="V642" s="18"/>
      <c r="W642" s="18"/>
      <c r="X642" s="18"/>
    </row>
    <row r="643" spans="13:24">
      <c r="M643" s="558">
        <f t="shared" si="32"/>
        <v>641</v>
      </c>
      <c r="N643" s="15">
        <f t="shared" si="30"/>
        <v>0.63827985907536056</v>
      </c>
      <c r="O643" s="165">
        <f t="shared" si="31"/>
        <v>0.44</v>
      </c>
      <c r="P643" s="18"/>
      <c r="Q643" s="18"/>
      <c r="R643" s="18"/>
      <c r="S643" s="18"/>
      <c r="T643" s="18"/>
      <c r="U643" s="18"/>
      <c r="V643" s="18"/>
      <c r="W643" s="18"/>
      <c r="X643" s="18"/>
    </row>
    <row r="644" spans="13:24">
      <c r="M644" s="558">
        <f t="shared" si="32"/>
        <v>642</v>
      </c>
      <c r="N644" s="15">
        <f t="shared" ref="N644:N707" si="33">IF(M644&lt;$B$31+1,$B$32+$B$33/$B$31*(8760-M644)+$B$34*IF(M644&lt;$B$36-$B$31/(2*$B$35),1,IF(M644&lt;$B$36+$B$31/(2*$B$35),COS(PI()/2*(M644-($B$36-$B$31/(2*$B$35)))*$B$35/$B$31)^2,0))+$B$37*EXP((8760-M644)/8760*$B$38)/EXP($B$38)-(8760-$B$31)*$B$33/$B$31,0)</f>
        <v>0.6379759894047724</v>
      </c>
      <c r="O644" s="165">
        <f t="shared" ref="O644:O707" si="34">MIN(N644,C$24)</f>
        <v>0.44</v>
      </c>
      <c r="P644" s="18"/>
      <c r="Q644" s="18"/>
      <c r="R644" s="18"/>
      <c r="S644" s="18"/>
      <c r="T644" s="18"/>
      <c r="U644" s="18"/>
      <c r="V644" s="18"/>
      <c r="W644" s="18"/>
      <c r="X644" s="18"/>
    </row>
    <row r="645" spans="13:24">
      <c r="M645" s="558">
        <f t="shared" ref="M645:M708" si="35">M644+1</f>
        <v>643</v>
      </c>
      <c r="N645" s="15">
        <f t="shared" si="33"/>
        <v>0.6376724366011649</v>
      </c>
      <c r="O645" s="165">
        <f t="shared" si="34"/>
        <v>0.44</v>
      </c>
      <c r="P645" s="18"/>
      <c r="Q645" s="18"/>
      <c r="R645" s="18"/>
      <c r="S645" s="18"/>
      <c r="T645" s="18"/>
      <c r="U645" s="18"/>
      <c r="V645" s="18"/>
      <c r="W645" s="18"/>
      <c r="X645" s="18"/>
    </row>
    <row r="646" spans="13:24">
      <c r="M646" s="558">
        <f t="shared" si="35"/>
        <v>644</v>
      </c>
      <c r="N646" s="15">
        <f t="shared" si="33"/>
        <v>0.63736920026689503</v>
      </c>
      <c r="O646" s="165">
        <f t="shared" si="34"/>
        <v>0.44</v>
      </c>
      <c r="P646" s="18"/>
      <c r="Q646" s="18"/>
      <c r="R646" s="18"/>
      <c r="S646" s="18"/>
      <c r="T646" s="18"/>
      <c r="U646" s="18"/>
      <c r="V646" s="18"/>
      <c r="W646" s="18"/>
      <c r="X646" s="18"/>
    </row>
    <row r="647" spans="13:24">
      <c r="M647" s="558">
        <f t="shared" si="35"/>
        <v>645</v>
      </c>
      <c r="N647" s="15">
        <f t="shared" si="33"/>
        <v>0.63706628000481991</v>
      </c>
      <c r="O647" s="165">
        <f t="shared" si="34"/>
        <v>0.44</v>
      </c>
      <c r="P647" s="18"/>
      <c r="Q647" s="18"/>
      <c r="R647" s="18"/>
      <c r="S647" s="18"/>
      <c r="T647" s="18"/>
      <c r="U647" s="18"/>
      <c r="V647" s="18"/>
      <c r="W647" s="18"/>
      <c r="X647" s="18"/>
    </row>
    <row r="648" spans="13:24">
      <c r="M648" s="558">
        <f t="shared" si="35"/>
        <v>646</v>
      </c>
      <c r="N648" s="15">
        <f t="shared" si="33"/>
        <v>0.63676367541829393</v>
      </c>
      <c r="O648" s="165">
        <f t="shared" si="34"/>
        <v>0.44</v>
      </c>
      <c r="P648" s="18"/>
      <c r="Q648" s="18"/>
      <c r="R648" s="18"/>
      <c r="S648" s="18"/>
      <c r="T648" s="18"/>
      <c r="U648" s="18"/>
      <c r="V648" s="18"/>
      <c r="W648" s="18"/>
      <c r="X648" s="18"/>
    </row>
    <row r="649" spans="13:24">
      <c r="M649" s="558">
        <f t="shared" si="35"/>
        <v>647</v>
      </c>
      <c r="N649" s="15">
        <f t="shared" si="33"/>
        <v>0.63646138611116931</v>
      </c>
      <c r="O649" s="165">
        <f t="shared" si="34"/>
        <v>0.44</v>
      </c>
      <c r="P649" s="18"/>
      <c r="Q649" s="18"/>
      <c r="R649" s="18"/>
      <c r="S649" s="18"/>
      <c r="T649" s="18"/>
      <c r="U649" s="18"/>
      <c r="V649" s="18"/>
      <c r="W649" s="18"/>
      <c r="X649" s="18"/>
    </row>
    <row r="650" spans="13:24">
      <c r="M650" s="558">
        <f t="shared" si="35"/>
        <v>648</v>
      </c>
      <c r="N650" s="15">
        <f t="shared" si="33"/>
        <v>0.63615941168779644</v>
      </c>
      <c r="O650" s="165">
        <f t="shared" si="34"/>
        <v>0.44</v>
      </c>
      <c r="P650" s="18"/>
      <c r="Q650" s="18"/>
      <c r="R650" s="18"/>
      <c r="S650" s="18"/>
      <c r="T650" s="18"/>
      <c r="U650" s="18"/>
      <c r="V650" s="18"/>
      <c r="W650" s="18"/>
      <c r="X650" s="18"/>
    </row>
    <row r="651" spans="13:24">
      <c r="M651" s="558">
        <f t="shared" si="35"/>
        <v>649</v>
      </c>
      <c r="N651" s="15">
        <f t="shared" si="33"/>
        <v>0.63585775175302106</v>
      </c>
      <c r="O651" s="165">
        <f t="shared" si="34"/>
        <v>0.44</v>
      </c>
      <c r="P651" s="18"/>
      <c r="Q651" s="18"/>
      <c r="R651" s="18"/>
      <c r="S651" s="18"/>
      <c r="T651" s="18"/>
      <c r="U651" s="18"/>
      <c r="V651" s="18"/>
      <c r="W651" s="18"/>
      <c r="X651" s="18"/>
    </row>
    <row r="652" spans="13:24">
      <c r="M652" s="558">
        <f t="shared" si="35"/>
        <v>650</v>
      </c>
      <c r="N652" s="15">
        <f t="shared" si="33"/>
        <v>0.63555640591218521</v>
      </c>
      <c r="O652" s="165">
        <f t="shared" si="34"/>
        <v>0.44</v>
      </c>
      <c r="P652" s="18"/>
      <c r="Q652" s="18"/>
      <c r="R652" s="18"/>
      <c r="S652" s="18"/>
      <c r="T652" s="18"/>
      <c r="U652" s="18"/>
      <c r="V652" s="18"/>
      <c r="W652" s="18"/>
      <c r="X652" s="18"/>
    </row>
    <row r="653" spans="13:24">
      <c r="M653" s="558">
        <f t="shared" si="35"/>
        <v>651</v>
      </c>
      <c r="N653" s="15">
        <f t="shared" si="33"/>
        <v>0.6352553737711264</v>
      </c>
      <c r="O653" s="165">
        <f t="shared" si="34"/>
        <v>0.44</v>
      </c>
      <c r="P653" s="18"/>
      <c r="Q653" s="18"/>
      <c r="R653" s="18"/>
      <c r="S653" s="18"/>
      <c r="T653" s="18"/>
      <c r="U653" s="18"/>
      <c r="V653" s="18"/>
      <c r="W653" s="18"/>
      <c r="X653" s="18"/>
    </row>
    <row r="654" spans="13:24">
      <c r="M654" s="558">
        <f t="shared" si="35"/>
        <v>652</v>
      </c>
      <c r="N654" s="15">
        <f t="shared" si="33"/>
        <v>0.63495465493617664</v>
      </c>
      <c r="O654" s="165">
        <f t="shared" si="34"/>
        <v>0.44</v>
      </c>
      <c r="P654" s="18"/>
      <c r="Q654" s="18"/>
      <c r="R654" s="18"/>
      <c r="S654" s="18"/>
      <c r="T654" s="18"/>
      <c r="U654" s="18"/>
      <c r="V654" s="18"/>
      <c r="W654" s="18"/>
      <c r="X654" s="18"/>
    </row>
    <row r="655" spans="13:24">
      <c r="M655" s="558">
        <f t="shared" si="35"/>
        <v>653</v>
      </c>
      <c r="N655" s="15">
        <f t="shared" si="33"/>
        <v>0.63465424901416145</v>
      </c>
      <c r="O655" s="165">
        <f t="shared" si="34"/>
        <v>0.44</v>
      </c>
      <c r="P655" s="18"/>
      <c r="Q655" s="18"/>
      <c r="R655" s="18"/>
      <c r="S655" s="18"/>
      <c r="T655" s="18"/>
      <c r="U655" s="18"/>
      <c r="V655" s="18"/>
      <c r="W655" s="18"/>
      <c r="X655" s="18"/>
    </row>
    <row r="656" spans="13:24">
      <c r="M656" s="558">
        <f t="shared" si="35"/>
        <v>654</v>
      </c>
      <c r="N656" s="15">
        <f t="shared" si="33"/>
        <v>0.63435415561240094</v>
      </c>
      <c r="O656" s="165">
        <f t="shared" si="34"/>
        <v>0.44</v>
      </c>
      <c r="P656" s="18"/>
      <c r="Q656" s="18"/>
      <c r="R656" s="18"/>
      <c r="S656" s="18"/>
      <c r="T656" s="18"/>
      <c r="U656" s="18"/>
      <c r="V656" s="18"/>
      <c r="W656" s="18"/>
      <c r="X656" s="18"/>
    </row>
    <row r="657" spans="13:24">
      <c r="M657" s="558">
        <f t="shared" si="35"/>
        <v>655</v>
      </c>
      <c r="N657" s="15">
        <f t="shared" si="33"/>
        <v>0.63405437433870693</v>
      </c>
      <c r="O657" s="165">
        <f t="shared" si="34"/>
        <v>0.44</v>
      </c>
      <c r="P657" s="18"/>
      <c r="Q657" s="18"/>
      <c r="R657" s="18"/>
      <c r="S657" s="18"/>
      <c r="T657" s="18"/>
      <c r="U657" s="18"/>
      <c r="V657" s="18"/>
      <c r="W657" s="18"/>
      <c r="X657" s="18"/>
    </row>
    <row r="658" spans="13:24">
      <c r="M658" s="558">
        <f t="shared" si="35"/>
        <v>656</v>
      </c>
      <c r="N658" s="15">
        <f t="shared" si="33"/>
        <v>0.63375490480138374</v>
      </c>
      <c r="O658" s="165">
        <f t="shared" si="34"/>
        <v>0.44</v>
      </c>
      <c r="P658" s="18"/>
      <c r="Q658" s="18"/>
      <c r="R658" s="18"/>
      <c r="S658" s="18"/>
      <c r="T658" s="18"/>
      <c r="U658" s="18"/>
      <c r="V658" s="18"/>
      <c r="W658" s="18"/>
      <c r="X658" s="18"/>
    </row>
    <row r="659" spans="13:24">
      <c r="M659" s="558">
        <f t="shared" si="35"/>
        <v>657</v>
      </c>
      <c r="N659" s="15">
        <f t="shared" si="33"/>
        <v>0.63345574660922732</v>
      </c>
      <c r="O659" s="165">
        <f t="shared" si="34"/>
        <v>0.44</v>
      </c>
      <c r="P659" s="18"/>
      <c r="Q659" s="18"/>
      <c r="R659" s="18"/>
      <c r="S659" s="18"/>
      <c r="T659" s="18"/>
      <c r="U659" s="18"/>
      <c r="V659" s="18"/>
      <c r="W659" s="18"/>
      <c r="X659" s="18"/>
    </row>
    <row r="660" spans="13:24">
      <c r="M660" s="558">
        <f t="shared" si="35"/>
        <v>658</v>
      </c>
      <c r="N660" s="15">
        <f t="shared" si="33"/>
        <v>0.63315689937152442</v>
      </c>
      <c r="O660" s="165">
        <f t="shared" si="34"/>
        <v>0.44</v>
      </c>
      <c r="P660" s="18"/>
      <c r="Q660" s="18"/>
      <c r="R660" s="18"/>
      <c r="S660" s="18"/>
      <c r="T660" s="18"/>
      <c r="U660" s="18"/>
      <c r="V660" s="18"/>
      <c r="W660" s="18"/>
      <c r="X660" s="18"/>
    </row>
    <row r="661" spans="13:24">
      <c r="M661" s="558">
        <f t="shared" si="35"/>
        <v>659</v>
      </c>
      <c r="N661" s="15">
        <f t="shared" si="33"/>
        <v>0.63285836269805196</v>
      </c>
      <c r="O661" s="165">
        <f t="shared" si="34"/>
        <v>0.44</v>
      </c>
      <c r="P661" s="18"/>
      <c r="Q661" s="18"/>
      <c r="R661" s="18"/>
      <c r="S661" s="18"/>
      <c r="T661" s="18"/>
      <c r="U661" s="18"/>
      <c r="V661" s="18"/>
      <c r="W661" s="18"/>
      <c r="X661" s="18"/>
    </row>
    <row r="662" spans="13:24">
      <c r="M662" s="558">
        <f t="shared" si="35"/>
        <v>660</v>
      </c>
      <c r="N662" s="15">
        <f t="shared" si="33"/>
        <v>0.63256013619907725</v>
      </c>
      <c r="O662" s="165">
        <f t="shared" si="34"/>
        <v>0.44</v>
      </c>
      <c r="P662" s="18"/>
      <c r="Q662" s="18"/>
      <c r="R662" s="18"/>
      <c r="S662" s="18"/>
      <c r="T662" s="18"/>
      <c r="U662" s="18"/>
      <c r="V662" s="18"/>
      <c r="W662" s="18"/>
      <c r="X662" s="18"/>
    </row>
    <row r="663" spans="13:24">
      <c r="M663" s="558">
        <f t="shared" si="35"/>
        <v>661</v>
      </c>
      <c r="N663" s="15">
        <f t="shared" si="33"/>
        <v>0.63226221948535599</v>
      </c>
      <c r="O663" s="165">
        <f t="shared" si="34"/>
        <v>0.44</v>
      </c>
      <c r="P663" s="18"/>
      <c r="Q663" s="18"/>
      <c r="R663" s="18"/>
      <c r="S663" s="18"/>
      <c r="T663" s="18"/>
      <c r="U663" s="18"/>
      <c r="V663" s="18"/>
      <c r="W663" s="18"/>
      <c r="X663" s="18"/>
    </row>
    <row r="664" spans="13:24">
      <c r="M664" s="558">
        <f t="shared" si="35"/>
        <v>662</v>
      </c>
      <c r="N664" s="15">
        <f t="shared" si="33"/>
        <v>0.63196461216813227</v>
      </c>
      <c r="O664" s="165">
        <f t="shared" si="34"/>
        <v>0.44</v>
      </c>
      <c r="P664" s="18"/>
      <c r="Q664" s="18"/>
      <c r="R664" s="18"/>
      <c r="S664" s="18"/>
      <c r="T664" s="18"/>
      <c r="U664" s="18"/>
      <c r="V664" s="18"/>
      <c r="W664" s="18"/>
      <c r="X664" s="18"/>
    </row>
    <row r="665" spans="13:24">
      <c r="M665" s="558">
        <f t="shared" si="35"/>
        <v>663</v>
      </c>
      <c r="N665" s="15">
        <f t="shared" si="33"/>
        <v>0.63166731385913899</v>
      </c>
      <c r="O665" s="165">
        <f t="shared" si="34"/>
        <v>0.44</v>
      </c>
      <c r="P665" s="18"/>
      <c r="Q665" s="18"/>
      <c r="R665" s="18"/>
      <c r="S665" s="18"/>
      <c r="T665" s="18"/>
      <c r="U665" s="18"/>
      <c r="V665" s="18"/>
      <c r="W665" s="18"/>
      <c r="X665" s="18"/>
    </row>
    <row r="666" spans="13:24">
      <c r="M666" s="558">
        <f t="shared" si="35"/>
        <v>664</v>
      </c>
      <c r="N666" s="15">
        <f t="shared" si="33"/>
        <v>0.63137032417059513</v>
      </c>
      <c r="O666" s="165">
        <f t="shared" si="34"/>
        <v>0.44</v>
      </c>
      <c r="P666" s="18"/>
      <c r="Q666" s="18"/>
      <c r="R666" s="18"/>
      <c r="S666" s="18"/>
      <c r="T666" s="18"/>
      <c r="U666" s="18"/>
      <c r="V666" s="18"/>
      <c r="W666" s="18"/>
      <c r="X666" s="18"/>
    </row>
    <row r="667" spans="13:24">
      <c r="M667" s="558">
        <f t="shared" si="35"/>
        <v>665</v>
      </c>
      <c r="N667" s="15">
        <f t="shared" si="33"/>
        <v>0.63107364271520661</v>
      </c>
      <c r="O667" s="165">
        <f t="shared" si="34"/>
        <v>0.44</v>
      </c>
      <c r="P667" s="18"/>
      <c r="Q667" s="18"/>
      <c r="R667" s="18"/>
      <c r="S667" s="18"/>
      <c r="T667" s="18"/>
      <c r="U667" s="18"/>
      <c r="V667" s="18"/>
      <c r="W667" s="18"/>
      <c r="X667" s="18"/>
    </row>
    <row r="668" spans="13:24">
      <c r="M668" s="558">
        <f t="shared" si="35"/>
        <v>666</v>
      </c>
      <c r="N668" s="15">
        <f t="shared" si="33"/>
        <v>0.63077726910616638</v>
      </c>
      <c r="O668" s="165">
        <f t="shared" si="34"/>
        <v>0.44</v>
      </c>
      <c r="P668" s="18"/>
      <c r="Q668" s="18"/>
      <c r="R668" s="18"/>
      <c r="S668" s="18"/>
      <c r="T668" s="18"/>
      <c r="U668" s="18"/>
      <c r="V668" s="18"/>
      <c r="W668" s="18"/>
      <c r="X668" s="18"/>
    </row>
    <row r="669" spans="13:24">
      <c r="M669" s="558">
        <f t="shared" si="35"/>
        <v>667</v>
      </c>
      <c r="N669" s="15">
        <f t="shared" si="33"/>
        <v>0.63048120295715138</v>
      </c>
      <c r="O669" s="165">
        <f t="shared" si="34"/>
        <v>0.44</v>
      </c>
      <c r="P669" s="18"/>
      <c r="Q669" s="18"/>
      <c r="R669" s="18"/>
      <c r="S669" s="18"/>
      <c r="T669" s="18"/>
      <c r="U669" s="18"/>
      <c r="V669" s="18"/>
      <c r="W669" s="18"/>
      <c r="X669" s="18"/>
    </row>
    <row r="670" spans="13:24">
      <c r="M670" s="558">
        <f t="shared" si="35"/>
        <v>668</v>
      </c>
      <c r="N670" s="15">
        <f t="shared" si="33"/>
        <v>0.63018544388232378</v>
      </c>
      <c r="O670" s="165">
        <f t="shared" si="34"/>
        <v>0.44</v>
      </c>
      <c r="P670" s="18"/>
      <c r="Q670" s="18"/>
      <c r="R670" s="18"/>
      <c r="S670" s="18"/>
      <c r="T670" s="18"/>
      <c r="U670" s="18"/>
      <c r="V670" s="18"/>
      <c r="W670" s="18"/>
      <c r="X670" s="18"/>
    </row>
    <row r="671" spans="13:24">
      <c r="M671" s="558">
        <f t="shared" si="35"/>
        <v>669</v>
      </c>
      <c r="N671" s="15">
        <f t="shared" si="33"/>
        <v>0.62988999149633096</v>
      </c>
      <c r="O671" s="165">
        <f t="shared" si="34"/>
        <v>0.44</v>
      </c>
      <c r="P671" s="18"/>
      <c r="Q671" s="18"/>
      <c r="R671" s="18"/>
      <c r="S671" s="18"/>
      <c r="T671" s="18"/>
      <c r="U671" s="18"/>
      <c r="V671" s="18"/>
      <c r="W671" s="18"/>
      <c r="X671" s="18"/>
    </row>
    <row r="672" spans="13:24">
      <c r="M672" s="558">
        <f t="shared" si="35"/>
        <v>670</v>
      </c>
      <c r="N672" s="15">
        <f t="shared" si="33"/>
        <v>0.62959484541430244</v>
      </c>
      <c r="O672" s="165">
        <f t="shared" si="34"/>
        <v>0.44</v>
      </c>
      <c r="P672" s="18"/>
      <c r="Q672" s="18"/>
      <c r="R672" s="18"/>
      <c r="S672" s="18"/>
      <c r="T672" s="18"/>
      <c r="U672" s="18"/>
      <c r="V672" s="18"/>
      <c r="W672" s="18"/>
      <c r="X672" s="18"/>
    </row>
    <row r="673" spans="13:24">
      <c r="M673" s="558">
        <f t="shared" si="35"/>
        <v>671</v>
      </c>
      <c r="N673" s="15">
        <f t="shared" si="33"/>
        <v>0.62930000525185148</v>
      </c>
      <c r="O673" s="165">
        <f t="shared" si="34"/>
        <v>0.44</v>
      </c>
      <c r="P673" s="18"/>
      <c r="Q673" s="18"/>
      <c r="R673" s="18"/>
      <c r="S673" s="18"/>
      <c r="T673" s="18"/>
      <c r="U673" s="18"/>
      <c r="V673" s="18"/>
      <c r="W673" s="18"/>
      <c r="X673" s="18"/>
    </row>
    <row r="674" spans="13:24">
      <c r="M674" s="558">
        <f t="shared" si="35"/>
        <v>672</v>
      </c>
      <c r="N674" s="15">
        <f t="shared" si="33"/>
        <v>0.62900547062507317</v>
      </c>
      <c r="O674" s="165">
        <f t="shared" si="34"/>
        <v>0.44</v>
      </c>
      <c r="P674" s="18"/>
      <c r="Q674" s="18"/>
      <c r="R674" s="18"/>
      <c r="S674" s="18"/>
      <c r="T674" s="18"/>
      <c r="U674" s="18"/>
      <c r="V674" s="18"/>
      <c r="W674" s="18"/>
      <c r="X674" s="18"/>
    </row>
    <row r="675" spans="13:24">
      <c r="M675" s="558">
        <f t="shared" si="35"/>
        <v>673</v>
      </c>
      <c r="N675" s="15">
        <f t="shared" si="33"/>
        <v>0.62871124115054566</v>
      </c>
      <c r="O675" s="165">
        <f t="shared" si="34"/>
        <v>0.44</v>
      </c>
      <c r="P675" s="18"/>
      <c r="Q675" s="18"/>
      <c r="R675" s="18"/>
      <c r="S675" s="18"/>
      <c r="T675" s="18"/>
      <c r="U675" s="18"/>
      <c r="V675" s="18"/>
      <c r="W675" s="18"/>
      <c r="X675" s="18"/>
    </row>
    <row r="676" spans="13:24">
      <c r="M676" s="558">
        <f t="shared" si="35"/>
        <v>674</v>
      </c>
      <c r="N676" s="15">
        <f t="shared" si="33"/>
        <v>0.62841731644532683</v>
      </c>
      <c r="O676" s="165">
        <f t="shared" si="34"/>
        <v>0.44</v>
      </c>
      <c r="P676" s="18"/>
      <c r="Q676" s="18"/>
      <c r="R676" s="18"/>
      <c r="S676" s="18"/>
      <c r="T676" s="18"/>
      <c r="U676" s="18"/>
      <c r="V676" s="18"/>
      <c r="W676" s="18"/>
      <c r="X676" s="18"/>
    </row>
    <row r="677" spans="13:24">
      <c r="M677" s="558">
        <f t="shared" si="35"/>
        <v>675</v>
      </c>
      <c r="N677" s="15">
        <f t="shared" si="33"/>
        <v>0.6281236961269554</v>
      </c>
      <c r="O677" s="165">
        <f t="shared" si="34"/>
        <v>0.44</v>
      </c>
      <c r="P677" s="18"/>
      <c r="Q677" s="18"/>
      <c r="R677" s="18"/>
      <c r="S677" s="18"/>
      <c r="T677" s="18"/>
      <c r="U677" s="18"/>
      <c r="V677" s="18"/>
      <c r="W677" s="18"/>
      <c r="X677" s="18"/>
    </row>
    <row r="678" spans="13:24">
      <c r="M678" s="558">
        <f t="shared" si="35"/>
        <v>676</v>
      </c>
      <c r="N678" s="15">
        <f t="shared" si="33"/>
        <v>0.62783037981345102</v>
      </c>
      <c r="O678" s="165">
        <f t="shared" si="34"/>
        <v>0.44</v>
      </c>
      <c r="P678" s="18"/>
      <c r="Q678" s="18"/>
      <c r="R678" s="18"/>
      <c r="S678" s="18"/>
      <c r="T678" s="18"/>
      <c r="U678" s="18"/>
      <c r="V678" s="18"/>
      <c r="W678" s="18"/>
      <c r="X678" s="18"/>
    </row>
    <row r="679" spans="13:24">
      <c r="M679" s="558">
        <f t="shared" si="35"/>
        <v>677</v>
      </c>
      <c r="N679" s="15">
        <f t="shared" si="33"/>
        <v>0.62753736712331165</v>
      </c>
      <c r="O679" s="165">
        <f t="shared" si="34"/>
        <v>0.44</v>
      </c>
      <c r="P679" s="18"/>
      <c r="Q679" s="18"/>
      <c r="R679" s="18"/>
      <c r="S679" s="18"/>
      <c r="T679" s="18"/>
      <c r="U679" s="18"/>
      <c r="V679" s="18"/>
      <c r="W679" s="18"/>
      <c r="X679" s="18"/>
    </row>
    <row r="680" spans="13:24">
      <c r="M680" s="558">
        <f t="shared" si="35"/>
        <v>678</v>
      </c>
      <c r="N680" s="15">
        <f t="shared" si="33"/>
        <v>0.62724465767551396</v>
      </c>
      <c r="O680" s="165">
        <f t="shared" si="34"/>
        <v>0.44</v>
      </c>
      <c r="P680" s="18"/>
      <c r="Q680" s="18"/>
      <c r="R680" s="18"/>
      <c r="S680" s="18"/>
      <c r="T680" s="18"/>
      <c r="U680" s="18"/>
      <c r="V680" s="18"/>
      <c r="W680" s="18"/>
      <c r="X680" s="18"/>
    </row>
    <row r="681" spans="13:24">
      <c r="M681" s="558">
        <f t="shared" si="35"/>
        <v>679</v>
      </c>
      <c r="N681" s="15">
        <f t="shared" si="33"/>
        <v>0.62695225108951391</v>
      </c>
      <c r="O681" s="165">
        <f t="shared" si="34"/>
        <v>0.44</v>
      </c>
      <c r="P681" s="18"/>
      <c r="Q681" s="18"/>
      <c r="R681" s="18"/>
      <c r="S681" s="18"/>
      <c r="T681" s="18"/>
      <c r="U681" s="18"/>
      <c r="V681" s="18"/>
      <c r="W681" s="18"/>
      <c r="X681" s="18"/>
    </row>
    <row r="682" spans="13:24">
      <c r="M682" s="558">
        <f t="shared" si="35"/>
        <v>680</v>
      </c>
      <c r="N682" s="15">
        <f t="shared" si="33"/>
        <v>0.62666014698524386</v>
      </c>
      <c r="O682" s="165">
        <f t="shared" si="34"/>
        <v>0.44</v>
      </c>
      <c r="P682" s="18"/>
      <c r="Q682" s="18"/>
      <c r="R682" s="18"/>
      <c r="S682" s="18"/>
      <c r="T682" s="18"/>
      <c r="U682" s="18"/>
      <c r="V682" s="18"/>
      <c r="W682" s="18"/>
      <c r="X682" s="18"/>
    </row>
    <row r="683" spans="13:24">
      <c r="M683" s="558">
        <f t="shared" si="35"/>
        <v>681</v>
      </c>
      <c r="N683" s="15">
        <f t="shared" si="33"/>
        <v>0.62636834498311333</v>
      </c>
      <c r="O683" s="165">
        <f t="shared" si="34"/>
        <v>0.44</v>
      </c>
      <c r="P683" s="18"/>
      <c r="Q683" s="18"/>
      <c r="R683" s="18"/>
      <c r="S683" s="18"/>
      <c r="T683" s="18"/>
      <c r="U683" s="18"/>
      <c r="V683" s="18"/>
      <c r="W683" s="18"/>
      <c r="X683" s="18"/>
    </row>
    <row r="684" spans="13:24">
      <c r="M684" s="558">
        <f t="shared" si="35"/>
        <v>682</v>
      </c>
      <c r="N684" s="15">
        <f t="shared" si="33"/>
        <v>0.62607684470400926</v>
      </c>
      <c r="O684" s="165">
        <f t="shared" si="34"/>
        <v>0.44</v>
      </c>
      <c r="P684" s="18"/>
      <c r="Q684" s="18"/>
      <c r="R684" s="18"/>
      <c r="S684" s="18"/>
      <c r="T684" s="18"/>
      <c r="U684" s="18"/>
      <c r="V684" s="18"/>
      <c r="W684" s="18"/>
      <c r="X684" s="18"/>
    </row>
    <row r="685" spans="13:24">
      <c r="M685" s="558">
        <f t="shared" si="35"/>
        <v>683</v>
      </c>
      <c r="N685" s="15">
        <f t="shared" si="33"/>
        <v>0.62578564576929208</v>
      </c>
      <c r="O685" s="165">
        <f t="shared" si="34"/>
        <v>0.44</v>
      </c>
      <c r="P685" s="18"/>
      <c r="Q685" s="18"/>
      <c r="R685" s="18"/>
      <c r="S685" s="18"/>
      <c r="T685" s="18"/>
      <c r="U685" s="18"/>
      <c r="V685" s="18"/>
      <c r="W685" s="18"/>
      <c r="X685" s="18"/>
    </row>
    <row r="686" spans="13:24">
      <c r="M686" s="558">
        <f t="shared" si="35"/>
        <v>684</v>
      </c>
      <c r="N686" s="15">
        <f t="shared" si="33"/>
        <v>0.62549474780080005</v>
      </c>
      <c r="O686" s="165">
        <f t="shared" si="34"/>
        <v>0.44</v>
      </c>
      <c r="P686" s="18"/>
      <c r="Q686" s="18"/>
      <c r="R686" s="18"/>
      <c r="S686" s="18"/>
      <c r="T686" s="18"/>
      <c r="U686" s="18"/>
      <c r="V686" s="18"/>
      <c r="W686" s="18"/>
      <c r="X686" s="18"/>
    </row>
    <row r="687" spans="13:24">
      <c r="M687" s="558">
        <f t="shared" si="35"/>
        <v>685</v>
      </c>
      <c r="N687" s="15">
        <f t="shared" si="33"/>
        <v>0.62520415042084421</v>
      </c>
      <c r="O687" s="165">
        <f t="shared" si="34"/>
        <v>0.44</v>
      </c>
      <c r="P687" s="18"/>
      <c r="Q687" s="18"/>
      <c r="R687" s="18"/>
      <c r="S687" s="18"/>
      <c r="T687" s="18"/>
      <c r="U687" s="18"/>
      <c r="V687" s="18"/>
      <c r="W687" s="18"/>
      <c r="X687" s="18"/>
    </row>
    <row r="688" spans="13:24">
      <c r="M688" s="558">
        <f t="shared" si="35"/>
        <v>686</v>
      </c>
      <c r="N688" s="15">
        <f t="shared" si="33"/>
        <v>0.62491385325221016</v>
      </c>
      <c r="O688" s="165">
        <f t="shared" si="34"/>
        <v>0.44</v>
      </c>
      <c r="P688" s="18"/>
      <c r="Q688" s="18"/>
      <c r="R688" s="18"/>
      <c r="S688" s="18"/>
      <c r="T688" s="18"/>
      <c r="U688" s="18"/>
      <c r="V688" s="18"/>
      <c r="W688" s="18"/>
      <c r="X688" s="18"/>
    </row>
    <row r="689" spans="13:24">
      <c r="M689" s="558">
        <f t="shared" si="35"/>
        <v>687</v>
      </c>
      <c r="N689" s="15">
        <f t="shared" si="33"/>
        <v>0.62462385591815628</v>
      </c>
      <c r="O689" s="165">
        <f t="shared" si="34"/>
        <v>0.44</v>
      </c>
      <c r="P689" s="18"/>
      <c r="Q689" s="18"/>
      <c r="R689" s="18"/>
      <c r="S689" s="18"/>
      <c r="T689" s="18"/>
      <c r="U689" s="18"/>
      <c r="V689" s="18"/>
      <c r="W689" s="18"/>
      <c r="X689" s="18"/>
    </row>
    <row r="690" spans="13:24">
      <c r="M690" s="558">
        <f t="shared" si="35"/>
        <v>688</v>
      </c>
      <c r="N690" s="15">
        <f t="shared" si="33"/>
        <v>0.62433415804241521</v>
      </c>
      <c r="O690" s="165">
        <f t="shared" si="34"/>
        <v>0.44</v>
      </c>
      <c r="P690" s="18"/>
      <c r="Q690" s="18"/>
      <c r="R690" s="18"/>
      <c r="S690" s="18"/>
      <c r="T690" s="18"/>
      <c r="U690" s="18"/>
      <c r="V690" s="18"/>
      <c r="W690" s="18"/>
      <c r="X690" s="18"/>
    </row>
    <row r="691" spans="13:24">
      <c r="M691" s="558">
        <f t="shared" si="35"/>
        <v>689</v>
      </c>
      <c r="N691" s="15">
        <f t="shared" si="33"/>
        <v>0.62404475924919023</v>
      </c>
      <c r="O691" s="165">
        <f t="shared" si="34"/>
        <v>0.44</v>
      </c>
      <c r="P691" s="18"/>
      <c r="Q691" s="18"/>
      <c r="R691" s="18"/>
      <c r="S691" s="18"/>
      <c r="T691" s="18"/>
      <c r="U691" s="18"/>
      <c r="V691" s="18"/>
      <c r="W691" s="18"/>
      <c r="X691" s="18"/>
    </row>
    <row r="692" spans="13:24">
      <c r="M692" s="558">
        <f t="shared" si="35"/>
        <v>690</v>
      </c>
      <c r="N692" s="15">
        <f t="shared" si="33"/>
        <v>0.62375565916315667</v>
      </c>
      <c r="O692" s="165">
        <f t="shared" si="34"/>
        <v>0.44</v>
      </c>
      <c r="P692" s="18"/>
      <c r="Q692" s="18"/>
      <c r="R692" s="18"/>
      <c r="S692" s="18"/>
      <c r="T692" s="18"/>
      <c r="U692" s="18"/>
      <c r="V692" s="18"/>
      <c r="W692" s="18"/>
      <c r="X692" s="18"/>
    </row>
    <row r="693" spans="13:24">
      <c r="M693" s="558">
        <f t="shared" si="35"/>
        <v>691</v>
      </c>
      <c r="N693" s="15">
        <f t="shared" si="33"/>
        <v>0.62346685740946151</v>
      </c>
      <c r="O693" s="165">
        <f t="shared" si="34"/>
        <v>0.44</v>
      </c>
      <c r="P693" s="18"/>
      <c r="Q693" s="18"/>
      <c r="R693" s="18"/>
      <c r="S693" s="18"/>
      <c r="T693" s="18"/>
      <c r="U693" s="18"/>
      <c r="V693" s="18"/>
      <c r="W693" s="18"/>
      <c r="X693" s="18"/>
    </row>
    <row r="694" spans="13:24">
      <c r="M694" s="558">
        <f t="shared" si="35"/>
        <v>692</v>
      </c>
      <c r="N694" s="15">
        <f t="shared" si="33"/>
        <v>0.62317835361372131</v>
      </c>
      <c r="O694" s="165">
        <f t="shared" si="34"/>
        <v>0.44</v>
      </c>
      <c r="P694" s="18"/>
      <c r="Q694" s="18"/>
      <c r="R694" s="18"/>
      <c r="S694" s="18"/>
      <c r="T694" s="18"/>
      <c r="U694" s="18"/>
      <c r="V694" s="18"/>
      <c r="W694" s="18"/>
      <c r="X694" s="18"/>
    </row>
    <row r="695" spans="13:24">
      <c r="M695" s="558">
        <f t="shared" si="35"/>
        <v>693</v>
      </c>
      <c r="N695" s="15">
        <f t="shared" si="33"/>
        <v>0.62289014740202253</v>
      </c>
      <c r="O695" s="165">
        <f t="shared" si="34"/>
        <v>0.44</v>
      </c>
      <c r="P695" s="18"/>
      <c r="Q695" s="18"/>
      <c r="R695" s="18"/>
      <c r="S695" s="18"/>
      <c r="T695" s="18"/>
      <c r="U695" s="18"/>
      <c r="V695" s="18"/>
      <c r="W695" s="18"/>
      <c r="X695" s="18"/>
    </row>
    <row r="696" spans="13:24">
      <c r="M696" s="558">
        <f t="shared" si="35"/>
        <v>694</v>
      </c>
      <c r="N696" s="15">
        <f t="shared" si="33"/>
        <v>0.62260223840092166</v>
      </c>
      <c r="O696" s="165">
        <f t="shared" si="34"/>
        <v>0.44</v>
      </c>
      <c r="P696" s="18"/>
      <c r="Q696" s="18"/>
      <c r="R696" s="18"/>
      <c r="S696" s="18"/>
      <c r="T696" s="18"/>
      <c r="U696" s="18"/>
      <c r="V696" s="18"/>
      <c r="W696" s="18"/>
      <c r="X696" s="18"/>
    </row>
    <row r="697" spans="13:24">
      <c r="M697" s="558">
        <f t="shared" si="35"/>
        <v>695</v>
      </c>
      <c r="N697" s="15">
        <f t="shared" si="33"/>
        <v>0.62231462623744305</v>
      </c>
      <c r="O697" s="165">
        <f t="shared" si="34"/>
        <v>0.44</v>
      </c>
      <c r="P697" s="18"/>
      <c r="Q697" s="18"/>
      <c r="R697" s="18"/>
      <c r="S697" s="18"/>
      <c r="T697" s="18"/>
      <c r="U697" s="18"/>
      <c r="V697" s="18"/>
      <c r="W697" s="18"/>
      <c r="X697" s="18"/>
    </row>
    <row r="698" spans="13:24">
      <c r="M698" s="558">
        <f t="shared" si="35"/>
        <v>696</v>
      </c>
      <c r="N698" s="15">
        <f t="shared" si="33"/>
        <v>0.62202731053907889</v>
      </c>
      <c r="O698" s="165">
        <f t="shared" si="34"/>
        <v>0.44</v>
      </c>
      <c r="P698" s="18"/>
      <c r="Q698" s="18"/>
      <c r="R698" s="18"/>
      <c r="S698" s="18"/>
      <c r="T698" s="18"/>
      <c r="U698" s="18"/>
      <c r="V698" s="18"/>
      <c r="W698" s="18"/>
      <c r="X698" s="18"/>
    </row>
    <row r="699" spans="13:24">
      <c r="M699" s="558">
        <f t="shared" si="35"/>
        <v>697</v>
      </c>
      <c r="N699" s="15">
        <f t="shared" si="33"/>
        <v>0.62174029093379002</v>
      </c>
      <c r="O699" s="165">
        <f t="shared" si="34"/>
        <v>0.44</v>
      </c>
      <c r="P699" s="18"/>
      <c r="Q699" s="18"/>
      <c r="R699" s="18"/>
      <c r="S699" s="18"/>
      <c r="T699" s="18"/>
      <c r="U699" s="18"/>
      <c r="V699" s="18"/>
      <c r="W699" s="18"/>
      <c r="X699" s="18"/>
    </row>
    <row r="700" spans="13:24">
      <c r="M700" s="558">
        <f t="shared" si="35"/>
        <v>698</v>
      </c>
      <c r="N700" s="15">
        <f t="shared" si="33"/>
        <v>0.62145356705000288</v>
      </c>
      <c r="O700" s="165">
        <f t="shared" si="34"/>
        <v>0.44</v>
      </c>
      <c r="P700" s="18"/>
      <c r="Q700" s="18"/>
      <c r="R700" s="18"/>
      <c r="S700" s="18"/>
      <c r="T700" s="18"/>
      <c r="U700" s="18"/>
      <c r="V700" s="18"/>
      <c r="W700" s="18"/>
      <c r="X700" s="18"/>
    </row>
    <row r="701" spans="13:24">
      <c r="M701" s="558">
        <f t="shared" si="35"/>
        <v>699</v>
      </c>
      <c r="N701" s="15">
        <f t="shared" si="33"/>
        <v>0.62116713851661065</v>
      </c>
      <c r="O701" s="165">
        <f t="shared" si="34"/>
        <v>0.44</v>
      </c>
      <c r="P701" s="18"/>
      <c r="Q701" s="18"/>
      <c r="R701" s="18"/>
      <c r="S701" s="18"/>
      <c r="T701" s="18"/>
      <c r="U701" s="18"/>
      <c r="V701" s="18"/>
      <c r="W701" s="18"/>
      <c r="X701" s="18"/>
    </row>
    <row r="702" spans="13:24">
      <c r="M702" s="558">
        <f t="shared" si="35"/>
        <v>700</v>
      </c>
      <c r="N702" s="15">
        <f t="shared" si="33"/>
        <v>0.62088100496297283</v>
      </c>
      <c r="O702" s="165">
        <f t="shared" si="34"/>
        <v>0.44</v>
      </c>
      <c r="P702" s="18"/>
      <c r="Q702" s="18"/>
      <c r="R702" s="18"/>
      <c r="S702" s="18"/>
      <c r="T702" s="18"/>
      <c r="U702" s="18"/>
      <c r="V702" s="18"/>
      <c r="W702" s="18"/>
      <c r="X702" s="18"/>
    </row>
    <row r="703" spans="13:24">
      <c r="M703" s="558">
        <f t="shared" si="35"/>
        <v>701</v>
      </c>
      <c r="N703" s="15">
        <f t="shared" si="33"/>
        <v>0.62059516601891318</v>
      </c>
      <c r="O703" s="165">
        <f t="shared" si="34"/>
        <v>0.44</v>
      </c>
      <c r="P703" s="18"/>
      <c r="Q703" s="18"/>
      <c r="R703" s="18"/>
      <c r="S703" s="18"/>
      <c r="T703" s="18"/>
      <c r="U703" s="18"/>
      <c r="V703" s="18"/>
      <c r="W703" s="18"/>
      <c r="X703" s="18"/>
    </row>
    <row r="704" spans="13:24">
      <c r="M704" s="558">
        <f t="shared" si="35"/>
        <v>702</v>
      </c>
      <c r="N704" s="15">
        <f t="shared" si="33"/>
        <v>0.62030962131472001</v>
      </c>
      <c r="O704" s="165">
        <f t="shared" si="34"/>
        <v>0.44</v>
      </c>
      <c r="P704" s="18"/>
      <c r="Q704" s="18"/>
      <c r="R704" s="18"/>
      <c r="S704" s="18"/>
      <c r="T704" s="18"/>
      <c r="U704" s="18"/>
      <c r="V704" s="18"/>
      <c r="W704" s="18"/>
      <c r="X704" s="18"/>
    </row>
    <row r="705" spans="13:24">
      <c r="M705" s="558">
        <f t="shared" si="35"/>
        <v>703</v>
      </c>
      <c r="N705" s="15">
        <f t="shared" si="33"/>
        <v>0.62002437048114678</v>
      </c>
      <c r="O705" s="165">
        <f t="shared" si="34"/>
        <v>0.44</v>
      </c>
      <c r="P705" s="18"/>
      <c r="Q705" s="18"/>
      <c r="R705" s="18"/>
      <c r="S705" s="18"/>
      <c r="T705" s="18"/>
      <c r="U705" s="18"/>
      <c r="V705" s="18"/>
      <c r="W705" s="18"/>
      <c r="X705" s="18"/>
    </row>
    <row r="706" spans="13:24">
      <c r="M706" s="558">
        <f t="shared" si="35"/>
        <v>704</v>
      </c>
      <c r="N706" s="15">
        <f t="shared" si="33"/>
        <v>0.61973941314940872</v>
      </c>
      <c r="O706" s="165">
        <f t="shared" si="34"/>
        <v>0.44</v>
      </c>
      <c r="P706" s="18"/>
      <c r="Q706" s="18"/>
      <c r="R706" s="18"/>
      <c r="S706" s="18"/>
      <c r="T706" s="18"/>
      <c r="U706" s="18"/>
      <c r="V706" s="18"/>
      <c r="W706" s="18"/>
      <c r="X706" s="18"/>
    </row>
    <row r="707" spans="13:24">
      <c r="M707" s="558">
        <f t="shared" si="35"/>
        <v>705</v>
      </c>
      <c r="N707" s="15">
        <f t="shared" si="33"/>
        <v>0.61945474895118502</v>
      </c>
      <c r="O707" s="165">
        <f t="shared" si="34"/>
        <v>0.44</v>
      </c>
      <c r="P707" s="18"/>
      <c r="Q707" s="18"/>
      <c r="R707" s="18"/>
      <c r="S707" s="18"/>
      <c r="T707" s="18"/>
      <c r="U707" s="18"/>
      <c r="V707" s="18"/>
      <c r="W707" s="18"/>
      <c r="X707" s="18"/>
    </row>
    <row r="708" spans="13:24">
      <c r="M708" s="558">
        <f t="shared" si="35"/>
        <v>706</v>
      </c>
      <c r="N708" s="15">
        <f t="shared" ref="N708:N771" si="36">IF(M708&lt;$B$31+1,$B$32+$B$33/$B$31*(8760-M708)+$B$34*IF(M708&lt;$B$36-$B$31/(2*$B$35),1,IF(M708&lt;$B$36+$B$31/(2*$B$35),COS(PI()/2*(M708-($B$36-$B$31/(2*$B$35)))*$B$35/$B$31)^2,0))+$B$37*EXP((8760-M708)/8760*$B$38)/EXP($B$38)-(8760-$B$31)*$B$33/$B$31,0)</f>
        <v>0.61917037751861614</v>
      </c>
      <c r="O708" s="165">
        <f t="shared" ref="O708:O771" si="37">MIN(N708,C$24)</f>
        <v>0.44</v>
      </c>
      <c r="P708" s="18"/>
      <c r="Q708" s="18"/>
      <c r="R708" s="18"/>
      <c r="S708" s="18"/>
      <c r="T708" s="18"/>
      <c r="U708" s="18"/>
      <c r="V708" s="18"/>
      <c r="W708" s="18"/>
      <c r="X708" s="18"/>
    </row>
    <row r="709" spans="13:24">
      <c r="M709" s="558">
        <f t="shared" ref="M709:M772" si="38">M708+1</f>
        <v>707</v>
      </c>
      <c r="N709" s="15">
        <f t="shared" si="36"/>
        <v>0.61888629848430532</v>
      </c>
      <c r="O709" s="165">
        <f t="shared" si="37"/>
        <v>0.44</v>
      </c>
      <c r="P709" s="18"/>
      <c r="Q709" s="18"/>
      <c r="R709" s="18"/>
      <c r="S709" s="18"/>
      <c r="T709" s="18"/>
      <c r="U709" s="18"/>
      <c r="V709" s="18"/>
      <c r="W709" s="18"/>
      <c r="X709" s="18"/>
    </row>
    <row r="710" spans="13:24">
      <c r="M710" s="558">
        <f t="shared" si="38"/>
        <v>708</v>
      </c>
      <c r="N710" s="15">
        <f t="shared" si="36"/>
        <v>0.61860251148131595</v>
      </c>
      <c r="O710" s="165">
        <f t="shared" si="37"/>
        <v>0.44</v>
      </c>
      <c r="P710" s="18"/>
      <c r="Q710" s="18"/>
      <c r="R710" s="18"/>
      <c r="S710" s="18"/>
      <c r="T710" s="18"/>
      <c r="U710" s="18"/>
      <c r="V710" s="18"/>
      <c r="W710" s="18"/>
      <c r="X710" s="18"/>
    </row>
    <row r="711" spans="13:24">
      <c r="M711" s="558">
        <f t="shared" si="38"/>
        <v>709</v>
      </c>
      <c r="N711" s="15">
        <f t="shared" si="36"/>
        <v>0.61831901614317208</v>
      </c>
      <c r="O711" s="165">
        <f t="shared" si="37"/>
        <v>0.44</v>
      </c>
      <c r="P711" s="18"/>
      <c r="Q711" s="18"/>
      <c r="R711" s="18"/>
      <c r="S711" s="18"/>
      <c r="T711" s="18"/>
      <c r="U711" s="18"/>
      <c r="V711" s="18"/>
      <c r="W711" s="18"/>
      <c r="X711" s="18"/>
    </row>
    <row r="712" spans="13:24">
      <c r="M712" s="558">
        <f t="shared" si="38"/>
        <v>710</v>
      </c>
      <c r="N712" s="15">
        <f t="shared" si="36"/>
        <v>0.61803581210385805</v>
      </c>
      <c r="O712" s="165">
        <f t="shared" si="37"/>
        <v>0.44</v>
      </c>
      <c r="P712" s="18"/>
      <c r="Q712" s="18"/>
      <c r="R712" s="18"/>
      <c r="S712" s="18"/>
      <c r="T712" s="18"/>
      <c r="U712" s="18"/>
      <c r="V712" s="18"/>
      <c r="W712" s="18"/>
      <c r="X712" s="18"/>
    </row>
    <row r="713" spans="13:24">
      <c r="M713" s="558">
        <f t="shared" si="38"/>
        <v>711</v>
      </c>
      <c r="N713" s="15">
        <f t="shared" si="36"/>
        <v>0.61775289899781649</v>
      </c>
      <c r="O713" s="165">
        <f t="shared" si="37"/>
        <v>0.44</v>
      </c>
      <c r="P713" s="18"/>
      <c r="Q713" s="18"/>
      <c r="R713" s="18"/>
      <c r="S713" s="18"/>
      <c r="T713" s="18"/>
      <c r="U713" s="18"/>
      <c r="V713" s="18"/>
      <c r="W713" s="18"/>
      <c r="X713" s="18"/>
    </row>
    <row r="714" spans="13:24">
      <c r="M714" s="558">
        <f t="shared" si="38"/>
        <v>712</v>
      </c>
      <c r="N714" s="15">
        <f t="shared" si="36"/>
        <v>0.61747027645995045</v>
      </c>
      <c r="O714" s="165">
        <f t="shared" si="37"/>
        <v>0.44</v>
      </c>
      <c r="P714" s="18"/>
      <c r="Q714" s="18"/>
      <c r="R714" s="18"/>
      <c r="S714" s="18"/>
      <c r="T714" s="18"/>
      <c r="U714" s="18"/>
      <c r="V714" s="18"/>
      <c r="W714" s="18"/>
      <c r="X714" s="18"/>
    </row>
    <row r="715" spans="13:24">
      <c r="M715" s="558">
        <f t="shared" si="38"/>
        <v>713</v>
      </c>
      <c r="N715" s="15">
        <f t="shared" si="36"/>
        <v>0.61718794412561973</v>
      </c>
      <c r="O715" s="165">
        <f t="shared" si="37"/>
        <v>0.44</v>
      </c>
      <c r="P715" s="18"/>
      <c r="Q715" s="18"/>
      <c r="R715" s="18"/>
      <c r="S715" s="18"/>
      <c r="T715" s="18"/>
      <c r="U715" s="18"/>
      <c r="V715" s="18"/>
      <c r="W715" s="18"/>
      <c r="X715" s="18"/>
    </row>
    <row r="716" spans="13:24">
      <c r="M716" s="558">
        <f t="shared" si="38"/>
        <v>714</v>
      </c>
      <c r="N716" s="15">
        <f t="shared" si="36"/>
        <v>0.61690590163064196</v>
      </c>
      <c r="O716" s="165">
        <f t="shared" si="37"/>
        <v>0.44</v>
      </c>
      <c r="P716" s="18"/>
      <c r="Q716" s="18"/>
      <c r="R716" s="18"/>
      <c r="S716" s="18"/>
      <c r="T716" s="18"/>
      <c r="U716" s="18"/>
      <c r="V716" s="18"/>
      <c r="W716" s="18"/>
      <c r="X716" s="18"/>
    </row>
    <row r="717" spans="13:24">
      <c r="M717" s="558">
        <f t="shared" si="38"/>
        <v>715</v>
      </c>
      <c r="N717" s="15">
        <f t="shared" si="36"/>
        <v>0.61662414861129267</v>
      </c>
      <c r="O717" s="165">
        <f t="shared" si="37"/>
        <v>0.44</v>
      </c>
      <c r="P717" s="18"/>
      <c r="Q717" s="18"/>
      <c r="R717" s="18"/>
      <c r="S717" s="18"/>
      <c r="T717" s="18"/>
      <c r="U717" s="18"/>
      <c r="V717" s="18"/>
      <c r="W717" s="18"/>
      <c r="X717" s="18"/>
    </row>
    <row r="718" spans="13:24">
      <c r="M718" s="558">
        <f t="shared" si="38"/>
        <v>716</v>
      </c>
      <c r="N718" s="15">
        <f t="shared" si="36"/>
        <v>0.61634268470430287</v>
      </c>
      <c r="O718" s="165">
        <f t="shared" si="37"/>
        <v>0.44</v>
      </c>
      <c r="P718" s="18"/>
      <c r="Q718" s="18"/>
      <c r="R718" s="18"/>
      <c r="S718" s="18"/>
      <c r="T718" s="18"/>
      <c r="U718" s="18"/>
      <c r="V718" s="18"/>
      <c r="W718" s="18"/>
      <c r="X718" s="18"/>
    </row>
    <row r="719" spans="13:24">
      <c r="M719" s="558">
        <f t="shared" si="38"/>
        <v>717</v>
      </c>
      <c r="N719" s="15">
        <f t="shared" si="36"/>
        <v>0.61606150954685934</v>
      </c>
      <c r="O719" s="165">
        <f t="shared" si="37"/>
        <v>0.44</v>
      </c>
      <c r="P719" s="18"/>
      <c r="Q719" s="18"/>
      <c r="R719" s="18"/>
      <c r="S719" s="18"/>
      <c r="T719" s="18"/>
      <c r="U719" s="18"/>
      <c r="V719" s="18"/>
      <c r="W719" s="18"/>
      <c r="X719" s="18"/>
    </row>
    <row r="720" spans="13:24">
      <c r="M720" s="558">
        <f t="shared" si="38"/>
        <v>718</v>
      </c>
      <c r="N720" s="15">
        <f t="shared" si="36"/>
        <v>0.61578062277660539</v>
      </c>
      <c r="O720" s="165">
        <f t="shared" si="37"/>
        <v>0.44</v>
      </c>
      <c r="P720" s="18"/>
      <c r="Q720" s="18"/>
      <c r="R720" s="18"/>
      <c r="S720" s="18"/>
      <c r="T720" s="18"/>
      <c r="U720" s="18"/>
      <c r="V720" s="18"/>
      <c r="W720" s="18"/>
      <c r="X720" s="18"/>
    </row>
    <row r="721" spans="13:24">
      <c r="M721" s="558">
        <f t="shared" si="38"/>
        <v>719</v>
      </c>
      <c r="N721" s="15">
        <f t="shared" si="36"/>
        <v>0.61550002403163784</v>
      </c>
      <c r="O721" s="165">
        <f t="shared" si="37"/>
        <v>0.44</v>
      </c>
      <c r="P721" s="18"/>
      <c r="Q721" s="18"/>
      <c r="R721" s="18"/>
      <c r="S721" s="18"/>
      <c r="T721" s="18"/>
      <c r="U721" s="18"/>
      <c r="V721" s="18"/>
      <c r="W721" s="18"/>
      <c r="X721" s="18"/>
    </row>
    <row r="722" spans="13:24">
      <c r="M722" s="558">
        <f t="shared" si="38"/>
        <v>720</v>
      </c>
      <c r="N722" s="15">
        <f t="shared" si="36"/>
        <v>0.61521971295050815</v>
      </c>
      <c r="O722" s="165">
        <f t="shared" si="37"/>
        <v>0.44</v>
      </c>
      <c r="P722" s="18"/>
      <c r="Q722" s="18"/>
      <c r="R722" s="18"/>
      <c r="S722" s="18"/>
      <c r="T722" s="18"/>
      <c r="U722" s="18"/>
      <c r="V722" s="18"/>
      <c r="W722" s="18"/>
      <c r="X722" s="18"/>
    </row>
    <row r="723" spans="13:24">
      <c r="M723" s="558">
        <f t="shared" si="38"/>
        <v>721</v>
      </c>
      <c r="N723" s="15">
        <f t="shared" si="36"/>
        <v>0.61493968917222075</v>
      </c>
      <c r="O723" s="165">
        <f t="shared" si="37"/>
        <v>0.44</v>
      </c>
      <c r="P723" s="18"/>
      <c r="Q723" s="18"/>
      <c r="R723" s="18"/>
      <c r="S723" s="18"/>
      <c r="T723" s="18"/>
      <c r="U723" s="18"/>
      <c r="V723" s="18"/>
      <c r="W723" s="18"/>
      <c r="X723" s="18"/>
    </row>
    <row r="724" spans="13:24">
      <c r="M724" s="558">
        <f t="shared" si="38"/>
        <v>722</v>
      </c>
      <c r="N724" s="15">
        <f t="shared" si="36"/>
        <v>0.61465995233623472</v>
      </c>
      <c r="O724" s="165">
        <f t="shared" si="37"/>
        <v>0.44</v>
      </c>
      <c r="P724" s="18"/>
      <c r="Q724" s="18"/>
      <c r="R724" s="18"/>
      <c r="S724" s="18"/>
      <c r="T724" s="18"/>
      <c r="U724" s="18"/>
      <c r="V724" s="18"/>
      <c r="W724" s="18"/>
      <c r="X724" s="18"/>
    </row>
    <row r="725" spans="13:24">
      <c r="M725" s="558">
        <f t="shared" si="38"/>
        <v>723</v>
      </c>
      <c r="N725" s="15">
        <f t="shared" si="36"/>
        <v>0.61438050208245976</v>
      </c>
      <c r="O725" s="165">
        <f t="shared" si="37"/>
        <v>0.44</v>
      </c>
      <c r="P725" s="18"/>
      <c r="Q725" s="18"/>
      <c r="R725" s="18"/>
      <c r="S725" s="18"/>
      <c r="T725" s="18"/>
      <c r="U725" s="18"/>
      <c r="V725" s="18"/>
      <c r="W725" s="18"/>
      <c r="X725" s="18"/>
    </row>
    <row r="726" spans="13:24">
      <c r="M726" s="558">
        <f t="shared" si="38"/>
        <v>724</v>
      </c>
      <c r="N726" s="15">
        <f t="shared" si="36"/>
        <v>0.61410133805125822</v>
      </c>
      <c r="O726" s="165">
        <f t="shared" si="37"/>
        <v>0.44</v>
      </c>
      <c r="P726" s="18"/>
      <c r="Q726" s="18"/>
      <c r="R726" s="18"/>
      <c r="S726" s="18"/>
      <c r="T726" s="18"/>
      <c r="U726" s="18"/>
      <c r="V726" s="18"/>
      <c r="W726" s="18"/>
      <c r="X726" s="18"/>
    </row>
    <row r="727" spans="13:24">
      <c r="M727" s="558">
        <f t="shared" si="38"/>
        <v>725</v>
      </c>
      <c r="N727" s="15">
        <f t="shared" si="36"/>
        <v>0.61382245988344419</v>
      </c>
      <c r="O727" s="165">
        <f t="shared" si="37"/>
        <v>0.44</v>
      </c>
      <c r="P727" s="18"/>
      <c r="Q727" s="18"/>
      <c r="R727" s="18"/>
      <c r="S727" s="18"/>
      <c r="T727" s="18"/>
      <c r="U727" s="18"/>
      <c r="V727" s="18"/>
      <c r="W727" s="18"/>
      <c r="X727" s="18"/>
    </row>
    <row r="728" spans="13:24">
      <c r="M728" s="558">
        <f t="shared" si="38"/>
        <v>726</v>
      </c>
      <c r="N728" s="15">
        <f t="shared" si="36"/>
        <v>0.61354386722028187</v>
      </c>
      <c r="O728" s="165">
        <f t="shared" si="37"/>
        <v>0.44</v>
      </c>
      <c r="P728" s="18"/>
      <c r="Q728" s="18"/>
      <c r="R728" s="18"/>
      <c r="S728" s="18"/>
      <c r="T728" s="18"/>
      <c r="U728" s="18"/>
      <c r="V728" s="18"/>
      <c r="W728" s="18"/>
      <c r="X728" s="18"/>
    </row>
    <row r="729" spans="13:24">
      <c r="M729" s="558">
        <f t="shared" si="38"/>
        <v>727</v>
      </c>
      <c r="N729" s="15">
        <f t="shared" si="36"/>
        <v>0.6132655597034854</v>
      </c>
      <c r="O729" s="165">
        <f t="shared" si="37"/>
        <v>0.44</v>
      </c>
      <c r="P729" s="18"/>
      <c r="Q729" s="18"/>
      <c r="R729" s="18"/>
      <c r="S729" s="18"/>
      <c r="T729" s="18"/>
      <c r="U729" s="18"/>
      <c r="V729" s="18"/>
      <c r="W729" s="18"/>
      <c r="X729" s="18"/>
    </row>
    <row r="730" spans="13:24">
      <c r="M730" s="558">
        <f t="shared" si="38"/>
        <v>728</v>
      </c>
      <c r="N730" s="15">
        <f t="shared" si="36"/>
        <v>0.61298753697521979</v>
      </c>
      <c r="O730" s="165">
        <f t="shared" si="37"/>
        <v>0.44</v>
      </c>
      <c r="P730" s="18"/>
      <c r="Q730" s="18"/>
      <c r="R730" s="18"/>
      <c r="S730" s="18"/>
      <c r="T730" s="18"/>
      <c r="U730" s="18"/>
      <c r="V730" s="18"/>
      <c r="W730" s="18"/>
      <c r="X730" s="18"/>
    </row>
    <row r="731" spans="13:24">
      <c r="M731" s="558">
        <f t="shared" si="38"/>
        <v>729</v>
      </c>
      <c r="N731" s="15">
        <f t="shared" si="36"/>
        <v>0.61270979867809783</v>
      </c>
      <c r="O731" s="165">
        <f t="shared" si="37"/>
        <v>0.44</v>
      </c>
      <c r="P731" s="18"/>
      <c r="Q731" s="18"/>
      <c r="R731" s="18"/>
      <c r="S731" s="18"/>
      <c r="T731" s="18"/>
      <c r="U731" s="18"/>
      <c r="V731" s="18"/>
      <c r="W731" s="18"/>
      <c r="X731" s="18"/>
    </row>
    <row r="732" spans="13:24">
      <c r="M732" s="558">
        <f t="shared" si="38"/>
        <v>730</v>
      </c>
      <c r="N732" s="15">
        <f t="shared" si="36"/>
        <v>0.61243234445518113</v>
      </c>
      <c r="O732" s="165">
        <f t="shared" si="37"/>
        <v>0.44</v>
      </c>
      <c r="P732" s="18"/>
      <c r="Q732" s="18"/>
      <c r="R732" s="18"/>
      <c r="S732" s="18"/>
      <c r="T732" s="18"/>
      <c r="U732" s="18"/>
      <c r="V732" s="18"/>
      <c r="W732" s="18"/>
      <c r="X732" s="18"/>
    </row>
    <row r="733" spans="13:24">
      <c r="M733" s="558">
        <f t="shared" si="38"/>
        <v>731</v>
      </c>
      <c r="N733" s="15">
        <f t="shared" si="36"/>
        <v>0.61215517394997998</v>
      </c>
      <c r="O733" s="165">
        <f t="shared" si="37"/>
        <v>0.44</v>
      </c>
      <c r="P733" s="18"/>
      <c r="Q733" s="18"/>
      <c r="R733" s="18"/>
      <c r="S733" s="18"/>
      <c r="T733" s="18"/>
      <c r="U733" s="18"/>
      <c r="V733" s="18"/>
      <c r="W733" s="18"/>
      <c r="X733" s="18"/>
    </row>
    <row r="734" spans="13:24">
      <c r="M734" s="558">
        <f t="shared" si="38"/>
        <v>732</v>
      </c>
      <c r="N734" s="15">
        <f t="shared" si="36"/>
        <v>0.61187828680645084</v>
      </c>
      <c r="O734" s="165">
        <f t="shared" si="37"/>
        <v>0.44</v>
      </c>
      <c r="P734" s="18"/>
      <c r="Q734" s="18"/>
      <c r="R734" s="18"/>
      <c r="S734" s="18"/>
      <c r="T734" s="18"/>
      <c r="U734" s="18"/>
      <c r="V734" s="18"/>
      <c r="W734" s="18"/>
      <c r="X734" s="18"/>
    </row>
    <row r="735" spans="13:24">
      <c r="M735" s="558">
        <f t="shared" si="38"/>
        <v>733</v>
      </c>
      <c r="N735" s="15">
        <f t="shared" si="36"/>
        <v>0.61160168266899795</v>
      </c>
      <c r="O735" s="165">
        <f t="shared" si="37"/>
        <v>0.44</v>
      </c>
      <c r="P735" s="18"/>
      <c r="Q735" s="18"/>
      <c r="R735" s="18"/>
      <c r="S735" s="18"/>
      <c r="T735" s="18"/>
      <c r="U735" s="18"/>
      <c r="V735" s="18"/>
      <c r="W735" s="18"/>
      <c r="X735" s="18"/>
    </row>
    <row r="736" spans="13:24">
      <c r="M736" s="558">
        <f t="shared" si="38"/>
        <v>734</v>
      </c>
      <c r="N736" s="15">
        <f t="shared" si="36"/>
        <v>0.61132536118247094</v>
      </c>
      <c r="O736" s="165">
        <f t="shared" si="37"/>
        <v>0.44</v>
      </c>
      <c r="P736" s="18"/>
      <c r="Q736" s="18"/>
      <c r="R736" s="18"/>
      <c r="S736" s="18"/>
      <c r="T736" s="18"/>
      <c r="U736" s="18"/>
      <c r="V736" s="18"/>
      <c r="W736" s="18"/>
      <c r="X736" s="18"/>
    </row>
    <row r="737" spans="13:24">
      <c r="M737" s="558">
        <f t="shared" si="38"/>
        <v>735</v>
      </c>
      <c r="N737" s="15">
        <f t="shared" si="36"/>
        <v>0.61104932199216644</v>
      </c>
      <c r="O737" s="165">
        <f t="shared" si="37"/>
        <v>0.44</v>
      </c>
      <c r="P737" s="18"/>
      <c r="Q737" s="18"/>
      <c r="R737" s="18"/>
      <c r="S737" s="18"/>
      <c r="T737" s="18"/>
      <c r="U737" s="18"/>
      <c r="V737" s="18"/>
      <c r="W737" s="18"/>
      <c r="X737" s="18"/>
    </row>
    <row r="738" spans="13:24">
      <c r="M738" s="558">
        <f t="shared" si="38"/>
        <v>736</v>
      </c>
      <c r="N738" s="15">
        <f t="shared" si="36"/>
        <v>0.61077356474382416</v>
      </c>
      <c r="O738" s="165">
        <f t="shared" si="37"/>
        <v>0.44</v>
      </c>
      <c r="P738" s="18"/>
      <c r="Q738" s="18"/>
      <c r="R738" s="18"/>
      <c r="S738" s="18"/>
      <c r="T738" s="18"/>
      <c r="U738" s="18"/>
      <c r="V738" s="18"/>
      <c r="W738" s="18"/>
      <c r="X738" s="18"/>
    </row>
    <row r="739" spans="13:24">
      <c r="M739" s="558">
        <f t="shared" si="38"/>
        <v>737</v>
      </c>
      <c r="N739" s="15">
        <f t="shared" si="36"/>
        <v>0.61049808908363068</v>
      </c>
      <c r="O739" s="165">
        <f t="shared" si="37"/>
        <v>0.44</v>
      </c>
      <c r="P739" s="18"/>
      <c r="Q739" s="18"/>
      <c r="R739" s="18"/>
      <c r="S739" s="18"/>
      <c r="T739" s="18"/>
      <c r="U739" s="18"/>
      <c r="V739" s="18"/>
      <c r="W739" s="18"/>
      <c r="X739" s="18"/>
    </row>
    <row r="740" spans="13:24">
      <c r="M740" s="558">
        <f t="shared" si="38"/>
        <v>738</v>
      </c>
      <c r="N740" s="15">
        <f t="shared" si="36"/>
        <v>0.61022289465821511</v>
      </c>
      <c r="O740" s="165">
        <f t="shared" si="37"/>
        <v>0.44</v>
      </c>
      <c r="P740" s="18"/>
      <c r="Q740" s="18"/>
      <c r="R740" s="18"/>
      <c r="S740" s="18"/>
      <c r="T740" s="18"/>
      <c r="U740" s="18"/>
      <c r="V740" s="18"/>
      <c r="W740" s="18"/>
      <c r="X740" s="18"/>
    </row>
    <row r="741" spans="13:24">
      <c r="M741" s="558">
        <f t="shared" si="38"/>
        <v>739</v>
      </c>
      <c r="N741" s="15">
        <f t="shared" si="36"/>
        <v>0.60994798111464976</v>
      </c>
      <c r="O741" s="165">
        <f t="shared" si="37"/>
        <v>0.44</v>
      </c>
      <c r="P741" s="18"/>
      <c r="Q741" s="18"/>
      <c r="R741" s="18"/>
      <c r="S741" s="18"/>
      <c r="T741" s="18"/>
      <c r="U741" s="18"/>
      <c r="V741" s="18"/>
      <c r="W741" s="18"/>
      <c r="X741" s="18"/>
    </row>
    <row r="742" spans="13:24">
      <c r="M742" s="558">
        <f t="shared" si="38"/>
        <v>740</v>
      </c>
      <c r="N742" s="15">
        <f t="shared" si="36"/>
        <v>0.6096733481004516</v>
      </c>
      <c r="O742" s="165">
        <f t="shared" si="37"/>
        <v>0.44</v>
      </c>
      <c r="P742" s="18"/>
      <c r="Q742" s="18"/>
      <c r="R742" s="18"/>
      <c r="S742" s="18"/>
      <c r="T742" s="18"/>
      <c r="U742" s="18"/>
      <c r="V742" s="18"/>
      <c r="W742" s="18"/>
      <c r="X742" s="18"/>
    </row>
    <row r="743" spans="13:24">
      <c r="M743" s="558">
        <f t="shared" si="38"/>
        <v>741</v>
      </c>
      <c r="N743" s="15">
        <f t="shared" si="36"/>
        <v>0.6093989952635781</v>
      </c>
      <c r="O743" s="165">
        <f t="shared" si="37"/>
        <v>0.44</v>
      </c>
      <c r="P743" s="18"/>
      <c r="Q743" s="18"/>
      <c r="R743" s="18"/>
      <c r="S743" s="18"/>
      <c r="T743" s="18"/>
      <c r="U743" s="18"/>
      <c r="V743" s="18"/>
      <c r="W743" s="18"/>
      <c r="X743" s="18"/>
    </row>
    <row r="744" spans="13:24">
      <c r="M744" s="558">
        <f t="shared" si="38"/>
        <v>742</v>
      </c>
      <c r="N744" s="15">
        <f t="shared" si="36"/>
        <v>0.6091249222524292</v>
      </c>
      <c r="O744" s="165">
        <f t="shared" si="37"/>
        <v>0.44</v>
      </c>
      <c r="P744" s="18"/>
      <c r="Q744" s="18"/>
      <c r="R744" s="18"/>
      <c r="S744" s="18"/>
      <c r="T744" s="18"/>
      <c r="U744" s="18"/>
      <c r="V744" s="18"/>
      <c r="W744" s="18"/>
      <c r="X744" s="18"/>
    </row>
    <row r="745" spans="13:24">
      <c r="M745" s="558">
        <f t="shared" si="38"/>
        <v>743</v>
      </c>
      <c r="N745" s="15">
        <f t="shared" si="36"/>
        <v>0.60885112871584635</v>
      </c>
      <c r="O745" s="165">
        <f t="shared" si="37"/>
        <v>0.44</v>
      </c>
      <c r="P745" s="18"/>
      <c r="Q745" s="18"/>
      <c r="R745" s="18"/>
      <c r="S745" s="18"/>
      <c r="T745" s="18"/>
      <c r="U745" s="18"/>
      <c r="V745" s="18"/>
      <c r="W745" s="18"/>
      <c r="X745" s="18"/>
    </row>
    <row r="746" spans="13:24">
      <c r="M746" s="558">
        <f t="shared" si="38"/>
        <v>744</v>
      </c>
      <c r="N746" s="15">
        <f t="shared" si="36"/>
        <v>0.60857761430311141</v>
      </c>
      <c r="O746" s="165">
        <f t="shared" si="37"/>
        <v>0.44</v>
      </c>
      <c r="P746" s="18"/>
      <c r="Q746" s="18"/>
      <c r="R746" s="18"/>
      <c r="S746" s="18"/>
      <c r="T746" s="18"/>
      <c r="U746" s="18"/>
      <c r="V746" s="18"/>
      <c r="W746" s="18"/>
      <c r="X746" s="18"/>
    </row>
    <row r="747" spans="13:24">
      <c r="M747" s="558">
        <f t="shared" si="38"/>
        <v>745</v>
      </c>
      <c r="N747" s="15">
        <f t="shared" si="36"/>
        <v>0.60830437866394604</v>
      </c>
      <c r="O747" s="165">
        <f t="shared" si="37"/>
        <v>0.44</v>
      </c>
      <c r="P747" s="18"/>
      <c r="Q747" s="18"/>
      <c r="R747" s="18"/>
      <c r="S747" s="18"/>
      <c r="T747" s="18"/>
      <c r="U747" s="18"/>
      <c r="V747" s="18"/>
      <c r="W747" s="18"/>
      <c r="X747" s="18"/>
    </row>
    <row r="748" spans="13:24">
      <c r="M748" s="558">
        <f t="shared" si="38"/>
        <v>746</v>
      </c>
      <c r="N748" s="15">
        <f t="shared" si="36"/>
        <v>0.60803142144851219</v>
      </c>
      <c r="O748" s="165">
        <f t="shared" si="37"/>
        <v>0.44</v>
      </c>
      <c r="P748" s="18"/>
      <c r="Q748" s="18"/>
      <c r="R748" s="18"/>
      <c r="S748" s="18"/>
      <c r="T748" s="18"/>
      <c r="U748" s="18"/>
      <c r="V748" s="18"/>
      <c r="W748" s="18"/>
      <c r="X748" s="18"/>
    </row>
    <row r="749" spans="13:24">
      <c r="M749" s="558">
        <f t="shared" si="38"/>
        <v>747</v>
      </c>
      <c r="N749" s="15">
        <f t="shared" si="36"/>
        <v>0.60775874230741034</v>
      </c>
      <c r="O749" s="165">
        <f t="shared" si="37"/>
        <v>0.44</v>
      </c>
      <c r="P749" s="18"/>
      <c r="Q749" s="18"/>
      <c r="R749" s="18"/>
      <c r="S749" s="18"/>
      <c r="T749" s="18"/>
      <c r="U749" s="18"/>
      <c r="V749" s="18"/>
      <c r="W749" s="18"/>
      <c r="X749" s="18"/>
    </row>
    <row r="750" spans="13:24">
      <c r="M750" s="558">
        <f t="shared" si="38"/>
        <v>748</v>
      </c>
      <c r="N750" s="15">
        <f t="shared" si="36"/>
        <v>0.60748634089167941</v>
      </c>
      <c r="O750" s="165">
        <f t="shared" si="37"/>
        <v>0.44</v>
      </c>
      <c r="P750" s="18"/>
      <c r="Q750" s="18"/>
      <c r="R750" s="18"/>
      <c r="S750" s="18"/>
      <c r="T750" s="18"/>
      <c r="U750" s="18"/>
      <c r="V750" s="18"/>
      <c r="W750" s="18"/>
      <c r="X750" s="18"/>
    </row>
    <row r="751" spans="13:24">
      <c r="M751" s="558">
        <f t="shared" si="38"/>
        <v>749</v>
      </c>
      <c r="N751" s="15">
        <f t="shared" si="36"/>
        <v>0.6072142168527962</v>
      </c>
      <c r="O751" s="165">
        <f t="shared" si="37"/>
        <v>0.44</v>
      </c>
      <c r="P751" s="18"/>
      <c r="Q751" s="18"/>
      <c r="R751" s="18"/>
      <c r="S751" s="18"/>
      <c r="T751" s="18"/>
      <c r="U751" s="18"/>
      <c r="V751" s="18"/>
      <c r="W751" s="18"/>
      <c r="X751" s="18"/>
    </row>
    <row r="752" spans="13:24">
      <c r="M752" s="558">
        <f t="shared" si="38"/>
        <v>750</v>
      </c>
      <c r="N752" s="15">
        <f t="shared" si="36"/>
        <v>0.60694236984267547</v>
      </c>
      <c r="O752" s="165">
        <f t="shared" si="37"/>
        <v>0.44</v>
      </c>
      <c r="P752" s="18"/>
      <c r="Q752" s="18"/>
      <c r="R752" s="18"/>
      <c r="S752" s="18"/>
      <c r="T752" s="18"/>
      <c r="U752" s="18"/>
      <c r="V752" s="18"/>
      <c r="W752" s="18"/>
      <c r="X752" s="18"/>
    </row>
    <row r="753" spans="13:24">
      <c r="M753" s="558">
        <f t="shared" si="38"/>
        <v>751</v>
      </c>
      <c r="N753" s="15">
        <f t="shared" si="36"/>
        <v>0.6066707995136682</v>
      </c>
      <c r="O753" s="165">
        <f t="shared" si="37"/>
        <v>0.44</v>
      </c>
      <c r="P753" s="18"/>
      <c r="Q753" s="18"/>
      <c r="R753" s="18"/>
      <c r="S753" s="18"/>
      <c r="T753" s="18"/>
      <c r="U753" s="18"/>
      <c r="V753" s="18"/>
      <c r="W753" s="18"/>
      <c r="X753" s="18"/>
    </row>
    <row r="754" spans="13:24">
      <c r="M754" s="558">
        <f t="shared" si="38"/>
        <v>752</v>
      </c>
      <c r="N754" s="15">
        <f t="shared" si="36"/>
        <v>0.60639950551856159</v>
      </c>
      <c r="O754" s="165">
        <f t="shared" si="37"/>
        <v>0.44</v>
      </c>
      <c r="P754" s="18"/>
      <c r="Q754" s="18"/>
      <c r="R754" s="18"/>
      <c r="S754" s="18"/>
      <c r="T754" s="18"/>
      <c r="U754" s="18"/>
      <c r="V754" s="18"/>
      <c r="W754" s="18"/>
      <c r="X754" s="18"/>
    </row>
    <row r="755" spans="13:24">
      <c r="M755" s="558">
        <f t="shared" si="38"/>
        <v>753</v>
      </c>
      <c r="N755" s="15">
        <f t="shared" si="36"/>
        <v>0.60612848751057913</v>
      </c>
      <c r="O755" s="165">
        <f t="shared" si="37"/>
        <v>0.44</v>
      </c>
      <c r="P755" s="18"/>
      <c r="Q755" s="18"/>
      <c r="R755" s="18"/>
      <c r="S755" s="18"/>
      <c r="T755" s="18"/>
      <c r="U755" s="18"/>
      <c r="V755" s="18"/>
      <c r="W755" s="18"/>
      <c r="X755" s="18"/>
    </row>
    <row r="756" spans="13:24">
      <c r="M756" s="558">
        <f t="shared" si="38"/>
        <v>754</v>
      </c>
      <c r="N756" s="15">
        <f t="shared" si="36"/>
        <v>0.60585774514337898</v>
      </c>
      <c r="O756" s="165">
        <f t="shared" si="37"/>
        <v>0.44</v>
      </c>
      <c r="P756" s="18"/>
      <c r="Q756" s="18"/>
      <c r="R756" s="18"/>
      <c r="S756" s="18"/>
      <c r="T756" s="18"/>
      <c r="U756" s="18"/>
      <c r="V756" s="18"/>
      <c r="W756" s="18"/>
      <c r="X756" s="18"/>
    </row>
    <row r="757" spans="13:24">
      <c r="M757" s="558">
        <f t="shared" si="38"/>
        <v>755</v>
      </c>
      <c r="N757" s="15">
        <f t="shared" si="36"/>
        <v>0.60558727807105384</v>
      </c>
      <c r="O757" s="165">
        <f t="shared" si="37"/>
        <v>0.44</v>
      </c>
      <c r="P757" s="18"/>
      <c r="Q757" s="18"/>
      <c r="R757" s="18"/>
      <c r="S757" s="18"/>
      <c r="T757" s="18"/>
      <c r="U757" s="18"/>
      <c r="V757" s="18"/>
      <c r="W757" s="18"/>
      <c r="X757" s="18"/>
    </row>
    <row r="758" spans="13:24">
      <c r="M758" s="558">
        <f t="shared" si="38"/>
        <v>756</v>
      </c>
      <c r="N758" s="15">
        <f t="shared" si="36"/>
        <v>0.60531708594813138</v>
      </c>
      <c r="O758" s="165">
        <f t="shared" si="37"/>
        <v>0.44</v>
      </c>
      <c r="P758" s="18"/>
      <c r="Q758" s="18"/>
      <c r="R758" s="18"/>
      <c r="S758" s="18"/>
      <c r="T758" s="18"/>
      <c r="U758" s="18"/>
      <c r="V758" s="18"/>
      <c r="W758" s="18"/>
      <c r="X758" s="18"/>
    </row>
    <row r="759" spans="13:24">
      <c r="M759" s="558">
        <f t="shared" si="38"/>
        <v>757</v>
      </c>
      <c r="N759" s="15">
        <f t="shared" si="36"/>
        <v>0.60504716842957174</v>
      </c>
      <c r="O759" s="165">
        <f t="shared" si="37"/>
        <v>0.44</v>
      </c>
      <c r="P759" s="18"/>
      <c r="Q759" s="18"/>
      <c r="R759" s="18"/>
      <c r="S759" s="18"/>
      <c r="T759" s="18"/>
      <c r="U759" s="18"/>
      <c r="V759" s="18"/>
      <c r="W759" s="18"/>
      <c r="X759" s="18"/>
    </row>
    <row r="760" spans="13:24">
      <c r="M760" s="558">
        <f t="shared" si="38"/>
        <v>758</v>
      </c>
      <c r="N760" s="15">
        <f t="shared" si="36"/>
        <v>0.60477752517076822</v>
      </c>
      <c r="O760" s="165">
        <f t="shared" si="37"/>
        <v>0.44</v>
      </c>
      <c r="P760" s="18"/>
      <c r="Q760" s="18"/>
      <c r="R760" s="18"/>
      <c r="S760" s="18"/>
      <c r="T760" s="18"/>
      <c r="U760" s="18"/>
      <c r="V760" s="18"/>
      <c r="W760" s="18"/>
      <c r="X760" s="18"/>
    </row>
    <row r="761" spans="13:24">
      <c r="M761" s="558">
        <f t="shared" si="38"/>
        <v>759</v>
      </c>
      <c r="N761" s="15">
        <f t="shared" si="36"/>
        <v>0.60450815582754758</v>
      </c>
      <c r="O761" s="165">
        <f t="shared" si="37"/>
        <v>0.44</v>
      </c>
      <c r="P761" s="18"/>
      <c r="Q761" s="18"/>
      <c r="R761" s="18"/>
      <c r="S761" s="18"/>
      <c r="T761" s="18"/>
      <c r="U761" s="18"/>
      <c r="V761" s="18"/>
      <c r="W761" s="18"/>
      <c r="X761" s="18"/>
    </row>
    <row r="762" spans="13:24">
      <c r="M762" s="558">
        <f t="shared" si="38"/>
        <v>760</v>
      </c>
      <c r="N762" s="15">
        <f t="shared" si="36"/>
        <v>0.60423906005616734</v>
      </c>
      <c r="O762" s="165">
        <f t="shared" si="37"/>
        <v>0.44</v>
      </c>
      <c r="P762" s="18"/>
      <c r="Q762" s="18"/>
      <c r="R762" s="18"/>
      <c r="S762" s="18"/>
      <c r="T762" s="18"/>
      <c r="U762" s="18"/>
      <c r="V762" s="18"/>
      <c r="W762" s="18"/>
      <c r="X762" s="18"/>
    </row>
    <row r="763" spans="13:24">
      <c r="M763" s="558">
        <f t="shared" si="38"/>
        <v>761</v>
      </c>
      <c r="N763" s="15">
        <f t="shared" si="36"/>
        <v>0.60397023751331658</v>
      </c>
      <c r="O763" s="165">
        <f t="shared" si="37"/>
        <v>0.44</v>
      </c>
      <c r="P763" s="18"/>
      <c r="Q763" s="18"/>
      <c r="R763" s="18"/>
      <c r="S763" s="18"/>
      <c r="T763" s="18"/>
      <c r="U763" s="18"/>
      <c r="V763" s="18"/>
      <c r="W763" s="18"/>
      <c r="X763" s="18"/>
    </row>
    <row r="764" spans="13:24">
      <c r="M764" s="558">
        <f t="shared" si="38"/>
        <v>762</v>
      </c>
      <c r="N764" s="15">
        <f t="shared" si="36"/>
        <v>0.60370168785611622</v>
      </c>
      <c r="O764" s="165">
        <f t="shared" si="37"/>
        <v>0.44</v>
      </c>
      <c r="P764" s="18"/>
      <c r="Q764" s="18"/>
      <c r="R764" s="18"/>
      <c r="S764" s="18"/>
      <c r="T764" s="18"/>
      <c r="U764" s="18"/>
      <c r="V764" s="18"/>
      <c r="W764" s="18"/>
      <c r="X764" s="18"/>
    </row>
    <row r="765" spans="13:24">
      <c r="M765" s="558">
        <f t="shared" si="38"/>
        <v>763</v>
      </c>
      <c r="N765" s="15">
        <f t="shared" si="36"/>
        <v>0.60343341074211598</v>
      </c>
      <c r="O765" s="165">
        <f t="shared" si="37"/>
        <v>0.44</v>
      </c>
      <c r="P765" s="18"/>
      <c r="Q765" s="18"/>
      <c r="R765" s="18"/>
      <c r="S765" s="18"/>
      <c r="T765" s="18"/>
      <c r="U765" s="18"/>
      <c r="V765" s="18"/>
      <c r="W765" s="18"/>
      <c r="X765" s="18"/>
    </row>
    <row r="766" spans="13:24">
      <c r="M766" s="558">
        <f t="shared" si="38"/>
        <v>764</v>
      </c>
      <c r="N766" s="15">
        <f t="shared" si="36"/>
        <v>0.6031654058292959</v>
      </c>
      <c r="O766" s="165">
        <f t="shared" si="37"/>
        <v>0.44</v>
      </c>
      <c r="P766" s="18"/>
      <c r="Q766" s="18"/>
      <c r="R766" s="18"/>
      <c r="S766" s="18"/>
      <c r="T766" s="18"/>
      <c r="U766" s="18"/>
      <c r="V766" s="18"/>
      <c r="W766" s="18"/>
      <c r="X766" s="18"/>
    </row>
    <row r="767" spans="13:24">
      <c r="M767" s="558">
        <f t="shared" si="38"/>
        <v>765</v>
      </c>
      <c r="N767" s="15">
        <f t="shared" si="36"/>
        <v>0.60289767277606598</v>
      </c>
      <c r="O767" s="165">
        <f t="shared" si="37"/>
        <v>0.44</v>
      </c>
      <c r="P767" s="18"/>
      <c r="Q767" s="18"/>
      <c r="R767" s="18"/>
      <c r="S767" s="18"/>
      <c r="T767" s="18"/>
      <c r="U767" s="18"/>
      <c r="V767" s="18"/>
      <c r="W767" s="18"/>
      <c r="X767" s="18"/>
    </row>
    <row r="768" spans="13:24">
      <c r="M768" s="558">
        <f t="shared" si="38"/>
        <v>766</v>
      </c>
      <c r="N768" s="15">
        <f t="shared" si="36"/>
        <v>0.60263021124126381</v>
      </c>
      <c r="O768" s="165">
        <f t="shared" si="37"/>
        <v>0.44</v>
      </c>
      <c r="P768" s="18"/>
      <c r="Q768" s="18"/>
      <c r="R768" s="18"/>
      <c r="S768" s="18"/>
      <c r="T768" s="18"/>
      <c r="U768" s="18"/>
      <c r="V768" s="18"/>
      <c r="W768" s="18"/>
      <c r="X768" s="18"/>
    </row>
    <row r="769" spans="13:24">
      <c r="M769" s="558">
        <f t="shared" si="38"/>
        <v>767</v>
      </c>
      <c r="N769" s="15">
        <f t="shared" si="36"/>
        <v>0.60236302088415561</v>
      </c>
      <c r="O769" s="165">
        <f t="shared" si="37"/>
        <v>0.44</v>
      </c>
      <c r="P769" s="18"/>
      <c r="Q769" s="18"/>
      <c r="R769" s="18"/>
      <c r="S769" s="18"/>
      <c r="T769" s="18"/>
      <c r="U769" s="18"/>
      <c r="V769" s="18"/>
      <c r="W769" s="18"/>
      <c r="X769" s="18"/>
    </row>
    <row r="770" spans="13:24">
      <c r="M770" s="558">
        <f t="shared" si="38"/>
        <v>768</v>
      </c>
      <c r="N770" s="15">
        <f t="shared" si="36"/>
        <v>0.60209610136443559</v>
      </c>
      <c r="O770" s="165">
        <f t="shared" si="37"/>
        <v>0.44</v>
      </c>
      <c r="P770" s="18"/>
      <c r="Q770" s="18"/>
      <c r="R770" s="18"/>
      <c r="S770" s="18"/>
      <c r="T770" s="18"/>
      <c r="U770" s="18"/>
      <c r="V770" s="18"/>
      <c r="W770" s="18"/>
      <c r="X770" s="18"/>
    </row>
    <row r="771" spans="13:24">
      <c r="M771" s="558">
        <f t="shared" si="38"/>
        <v>769</v>
      </c>
      <c r="N771" s="15">
        <f t="shared" si="36"/>
        <v>0.60182945234222418</v>
      </c>
      <c r="O771" s="165">
        <f t="shared" si="37"/>
        <v>0.44</v>
      </c>
      <c r="P771" s="18"/>
      <c r="Q771" s="18"/>
      <c r="R771" s="18"/>
      <c r="S771" s="18"/>
      <c r="T771" s="18"/>
      <c r="U771" s="18"/>
      <c r="V771" s="18"/>
      <c r="W771" s="18"/>
      <c r="X771" s="18"/>
    </row>
    <row r="772" spans="13:24">
      <c r="M772" s="558">
        <f t="shared" si="38"/>
        <v>770</v>
      </c>
      <c r="N772" s="15">
        <f t="shared" ref="N772:N835" si="39">IF(M772&lt;$B$31+1,$B$32+$B$33/$B$31*(8760-M772)+$B$34*IF(M772&lt;$B$36-$B$31/(2*$B$35),1,IF(M772&lt;$B$36+$B$31/(2*$B$35),COS(PI()/2*(M772-($B$36-$B$31/(2*$B$35)))*$B$35/$B$31)^2,0))+$B$37*EXP((8760-M772)/8760*$B$38)/EXP($B$38)-(8760-$B$31)*$B$33/$B$31,0)</f>
        <v>0.60156307347806848</v>
      </c>
      <c r="O772" s="165">
        <f t="shared" ref="O772:O835" si="40">MIN(N772,C$24)</f>
        <v>0.44</v>
      </c>
      <c r="P772" s="18"/>
      <c r="Q772" s="18"/>
      <c r="R772" s="18"/>
      <c r="S772" s="18"/>
      <c r="T772" s="18"/>
      <c r="U772" s="18"/>
      <c r="V772" s="18"/>
      <c r="W772" s="18"/>
      <c r="X772" s="18"/>
    </row>
    <row r="773" spans="13:24">
      <c r="M773" s="558">
        <f t="shared" ref="M773:M836" si="41">M772+1</f>
        <v>771</v>
      </c>
      <c r="N773" s="15">
        <f t="shared" si="39"/>
        <v>0.60129696443294256</v>
      </c>
      <c r="O773" s="165">
        <f t="shared" si="40"/>
        <v>0.44</v>
      </c>
      <c r="P773" s="18"/>
      <c r="Q773" s="18"/>
      <c r="R773" s="18"/>
      <c r="S773" s="18"/>
      <c r="T773" s="18"/>
      <c r="U773" s="18"/>
      <c r="V773" s="18"/>
      <c r="W773" s="18"/>
      <c r="X773" s="18"/>
    </row>
    <row r="774" spans="13:24">
      <c r="M774" s="558">
        <f t="shared" si="41"/>
        <v>772</v>
      </c>
      <c r="N774" s="15">
        <f t="shared" si="39"/>
        <v>0.60103112486824473</v>
      </c>
      <c r="O774" s="165">
        <f t="shared" si="40"/>
        <v>0.44</v>
      </c>
      <c r="P774" s="18"/>
      <c r="Q774" s="18"/>
      <c r="R774" s="18"/>
      <c r="S774" s="18"/>
      <c r="T774" s="18"/>
      <c r="U774" s="18"/>
      <c r="V774" s="18"/>
      <c r="W774" s="18"/>
      <c r="X774" s="18"/>
    </row>
    <row r="775" spans="13:24">
      <c r="M775" s="558">
        <f t="shared" si="41"/>
        <v>773</v>
      </c>
      <c r="N775" s="15">
        <f t="shared" si="39"/>
        <v>0.60076555444579849</v>
      </c>
      <c r="O775" s="165">
        <f t="shared" si="40"/>
        <v>0.44</v>
      </c>
      <c r="P775" s="18"/>
      <c r="Q775" s="18"/>
      <c r="R775" s="18"/>
      <c r="S775" s="18"/>
      <c r="T775" s="18"/>
      <c r="U775" s="18"/>
      <c r="V775" s="18"/>
      <c r="W775" s="18"/>
      <c r="X775" s="18"/>
    </row>
    <row r="776" spans="13:24">
      <c r="M776" s="558">
        <f t="shared" si="41"/>
        <v>774</v>
      </c>
      <c r="N776" s="15">
        <f t="shared" si="39"/>
        <v>0.60050025282785247</v>
      </c>
      <c r="O776" s="165">
        <f t="shared" si="40"/>
        <v>0.44</v>
      </c>
      <c r="P776" s="18"/>
      <c r="Q776" s="18"/>
      <c r="R776" s="18"/>
      <c r="S776" s="18"/>
      <c r="T776" s="18"/>
      <c r="U776" s="18"/>
      <c r="V776" s="18"/>
      <c r="W776" s="18"/>
      <c r="X776" s="18"/>
    </row>
    <row r="777" spans="13:24">
      <c r="M777" s="558">
        <f t="shared" si="41"/>
        <v>775</v>
      </c>
      <c r="N777" s="15">
        <f t="shared" si="39"/>
        <v>0.60023521967707838</v>
      </c>
      <c r="O777" s="165">
        <f t="shared" si="40"/>
        <v>0.44</v>
      </c>
      <c r="P777" s="18"/>
      <c r="Q777" s="18"/>
      <c r="R777" s="18"/>
      <c r="S777" s="18"/>
      <c r="T777" s="18"/>
      <c r="U777" s="18"/>
      <c r="V777" s="18"/>
      <c r="W777" s="18"/>
      <c r="X777" s="18"/>
    </row>
    <row r="778" spans="13:24">
      <c r="M778" s="558">
        <f t="shared" si="41"/>
        <v>776</v>
      </c>
      <c r="N778" s="15">
        <f t="shared" si="39"/>
        <v>0.59997045465657117</v>
      </c>
      <c r="O778" s="165">
        <f t="shared" si="40"/>
        <v>0.44</v>
      </c>
      <c r="P778" s="18"/>
      <c r="Q778" s="18"/>
      <c r="R778" s="18"/>
      <c r="S778" s="18"/>
      <c r="T778" s="18"/>
      <c r="U778" s="18"/>
      <c r="V778" s="18"/>
      <c r="W778" s="18"/>
      <c r="X778" s="18"/>
    </row>
    <row r="779" spans="13:24">
      <c r="M779" s="558">
        <f t="shared" si="41"/>
        <v>777</v>
      </c>
      <c r="N779" s="15">
        <f t="shared" si="39"/>
        <v>0.59970595742984933</v>
      </c>
      <c r="O779" s="165">
        <f t="shared" si="40"/>
        <v>0.44</v>
      </c>
      <c r="P779" s="18"/>
      <c r="Q779" s="18"/>
      <c r="R779" s="18"/>
      <c r="S779" s="18"/>
      <c r="T779" s="18"/>
      <c r="U779" s="18"/>
      <c r="V779" s="18"/>
      <c r="W779" s="18"/>
      <c r="X779" s="18"/>
    </row>
    <row r="780" spans="13:24">
      <c r="M780" s="558">
        <f t="shared" si="41"/>
        <v>778</v>
      </c>
      <c r="N780" s="15">
        <f t="shared" si="39"/>
        <v>0.59944172766085313</v>
      </c>
      <c r="O780" s="165">
        <f t="shared" si="40"/>
        <v>0.44</v>
      </c>
      <c r="P780" s="18"/>
      <c r="Q780" s="18"/>
      <c r="R780" s="18"/>
      <c r="S780" s="18"/>
      <c r="T780" s="18"/>
      <c r="U780" s="18"/>
      <c r="V780" s="18"/>
      <c r="W780" s="18"/>
      <c r="X780" s="18"/>
    </row>
    <row r="781" spans="13:24">
      <c r="M781" s="558">
        <f t="shared" si="41"/>
        <v>779</v>
      </c>
      <c r="N781" s="15">
        <f t="shared" si="39"/>
        <v>0.59917776501394415</v>
      </c>
      <c r="O781" s="165">
        <f t="shared" si="40"/>
        <v>0.44</v>
      </c>
      <c r="P781" s="18"/>
      <c r="Q781" s="18"/>
      <c r="R781" s="18"/>
      <c r="S781" s="18"/>
      <c r="T781" s="18"/>
      <c r="U781" s="18"/>
      <c r="V781" s="18"/>
      <c r="W781" s="18"/>
      <c r="X781" s="18"/>
    </row>
    <row r="782" spans="13:24">
      <c r="M782" s="558">
        <f t="shared" si="41"/>
        <v>780</v>
      </c>
      <c r="N782" s="15">
        <f t="shared" si="39"/>
        <v>0.59891406915390621</v>
      </c>
      <c r="O782" s="165">
        <f t="shared" si="40"/>
        <v>0.44</v>
      </c>
      <c r="P782" s="18"/>
      <c r="Q782" s="18"/>
      <c r="R782" s="18"/>
      <c r="S782" s="18"/>
      <c r="T782" s="18"/>
      <c r="U782" s="18"/>
      <c r="V782" s="18"/>
      <c r="W782" s="18"/>
      <c r="X782" s="18"/>
    </row>
    <row r="783" spans="13:24">
      <c r="M783" s="558">
        <f t="shared" si="41"/>
        <v>781</v>
      </c>
      <c r="N783" s="15">
        <f t="shared" si="39"/>
        <v>0.5986506397459429</v>
      </c>
      <c r="O783" s="165">
        <f t="shared" si="40"/>
        <v>0.44</v>
      </c>
      <c r="P783" s="18"/>
      <c r="Q783" s="18"/>
      <c r="R783" s="18"/>
      <c r="S783" s="18"/>
      <c r="T783" s="18"/>
      <c r="U783" s="18"/>
      <c r="V783" s="18"/>
      <c r="W783" s="18"/>
      <c r="X783" s="18"/>
    </row>
    <row r="784" spans="13:24">
      <c r="M784" s="558">
        <f t="shared" si="41"/>
        <v>782</v>
      </c>
      <c r="N784" s="15">
        <f t="shared" si="39"/>
        <v>0.59838747645567836</v>
      </c>
      <c r="O784" s="165">
        <f t="shared" si="40"/>
        <v>0.44</v>
      </c>
      <c r="P784" s="18"/>
      <c r="Q784" s="18"/>
      <c r="R784" s="18"/>
      <c r="S784" s="18"/>
      <c r="T784" s="18"/>
      <c r="U784" s="18"/>
      <c r="V784" s="18"/>
      <c r="W784" s="18"/>
      <c r="X784" s="18"/>
    </row>
    <row r="785" spans="13:24">
      <c r="M785" s="558">
        <f t="shared" si="41"/>
        <v>783</v>
      </c>
      <c r="N785" s="15">
        <f t="shared" si="39"/>
        <v>0.59812457894915594</v>
      </c>
      <c r="O785" s="165">
        <f t="shared" si="40"/>
        <v>0.44</v>
      </c>
      <c r="P785" s="18"/>
      <c r="Q785" s="18"/>
      <c r="R785" s="18"/>
      <c r="S785" s="18"/>
      <c r="T785" s="18"/>
      <c r="U785" s="18"/>
      <c r="V785" s="18"/>
      <c r="W785" s="18"/>
      <c r="X785" s="18"/>
    </row>
    <row r="786" spans="13:24">
      <c r="M786" s="558">
        <f t="shared" si="41"/>
        <v>784</v>
      </c>
      <c r="N786" s="15">
        <f t="shared" si="39"/>
        <v>0.59786194689283889</v>
      </c>
      <c r="O786" s="165">
        <f t="shared" si="40"/>
        <v>0.44</v>
      </c>
      <c r="P786" s="18"/>
      <c r="Q786" s="18"/>
      <c r="R786" s="18"/>
      <c r="S786" s="18"/>
      <c r="T786" s="18"/>
      <c r="U786" s="18"/>
      <c r="V786" s="18"/>
      <c r="W786" s="18"/>
      <c r="X786" s="18"/>
    </row>
    <row r="787" spans="13:24">
      <c r="M787" s="558">
        <f t="shared" si="41"/>
        <v>785</v>
      </c>
      <c r="N787" s="15">
        <f t="shared" si="39"/>
        <v>0.59759957995360835</v>
      </c>
      <c r="O787" s="165">
        <f t="shared" si="40"/>
        <v>0.44</v>
      </c>
      <c r="P787" s="18"/>
      <c r="Q787" s="18"/>
      <c r="R787" s="18"/>
      <c r="S787" s="18"/>
      <c r="T787" s="18"/>
      <c r="U787" s="18"/>
      <c r="V787" s="18"/>
      <c r="W787" s="18"/>
      <c r="X787" s="18"/>
    </row>
    <row r="788" spans="13:24">
      <c r="M788" s="558">
        <f t="shared" si="41"/>
        <v>786</v>
      </c>
      <c r="N788" s="15">
        <f t="shared" si="39"/>
        <v>0.59733747779876323</v>
      </c>
      <c r="O788" s="165">
        <f t="shared" si="40"/>
        <v>0.44</v>
      </c>
      <c r="P788" s="18"/>
      <c r="Q788" s="18"/>
      <c r="R788" s="18"/>
      <c r="S788" s="18"/>
      <c r="T788" s="18"/>
      <c r="U788" s="18"/>
      <c r="V788" s="18"/>
      <c r="W788" s="18"/>
      <c r="X788" s="18"/>
    </row>
    <row r="789" spans="13:24">
      <c r="M789" s="558">
        <f t="shared" si="41"/>
        <v>787</v>
      </c>
      <c r="N789" s="15">
        <f t="shared" si="39"/>
        <v>0.5970756400960211</v>
      </c>
      <c r="O789" s="165">
        <f t="shared" si="40"/>
        <v>0.44</v>
      </c>
      <c r="P789" s="18"/>
      <c r="Q789" s="18"/>
      <c r="R789" s="18"/>
      <c r="S789" s="18"/>
      <c r="T789" s="18"/>
      <c r="U789" s="18"/>
      <c r="V789" s="18"/>
      <c r="W789" s="18"/>
      <c r="X789" s="18"/>
    </row>
    <row r="790" spans="13:24">
      <c r="M790" s="558">
        <f t="shared" si="41"/>
        <v>788</v>
      </c>
      <c r="N790" s="15">
        <f t="shared" si="39"/>
        <v>0.59681406651351532</v>
      </c>
      <c r="O790" s="165">
        <f t="shared" si="40"/>
        <v>0.44</v>
      </c>
      <c r="P790" s="18"/>
      <c r="Q790" s="18"/>
      <c r="R790" s="18"/>
      <c r="S790" s="18"/>
      <c r="T790" s="18"/>
      <c r="U790" s="18"/>
      <c r="V790" s="18"/>
      <c r="W790" s="18"/>
      <c r="X790" s="18"/>
    </row>
    <row r="791" spans="13:24">
      <c r="M791" s="558">
        <f t="shared" si="41"/>
        <v>789</v>
      </c>
      <c r="N791" s="15">
        <f t="shared" si="39"/>
        <v>0.59655275671979657</v>
      </c>
      <c r="O791" s="165">
        <f t="shared" si="40"/>
        <v>0.44</v>
      </c>
      <c r="P791" s="18"/>
      <c r="Q791" s="18"/>
      <c r="R791" s="18"/>
      <c r="S791" s="18"/>
      <c r="T791" s="18"/>
      <c r="U791" s="18"/>
      <c r="V791" s="18"/>
      <c r="W791" s="18"/>
      <c r="X791" s="18"/>
    </row>
    <row r="792" spans="13:24">
      <c r="M792" s="558">
        <f t="shared" si="41"/>
        <v>790</v>
      </c>
      <c r="N792" s="15">
        <f t="shared" si="39"/>
        <v>0.59629171038383078</v>
      </c>
      <c r="O792" s="165">
        <f t="shared" si="40"/>
        <v>0.44</v>
      </c>
      <c r="P792" s="18"/>
      <c r="Q792" s="18"/>
      <c r="R792" s="18"/>
      <c r="S792" s="18"/>
      <c r="T792" s="18"/>
      <c r="U792" s="18"/>
      <c r="V792" s="18"/>
      <c r="W792" s="18"/>
      <c r="X792" s="18"/>
    </row>
    <row r="793" spans="13:24">
      <c r="M793" s="558">
        <f t="shared" si="41"/>
        <v>791</v>
      </c>
      <c r="N793" s="15">
        <f t="shared" si="39"/>
        <v>0.59603092717499939</v>
      </c>
      <c r="O793" s="165">
        <f t="shared" si="40"/>
        <v>0.44</v>
      </c>
      <c r="P793" s="18"/>
      <c r="Q793" s="18"/>
      <c r="R793" s="18"/>
      <c r="S793" s="18"/>
      <c r="T793" s="18"/>
      <c r="U793" s="18"/>
      <c r="V793" s="18"/>
      <c r="W793" s="18"/>
      <c r="X793" s="18"/>
    </row>
    <row r="794" spans="13:24">
      <c r="M794" s="558">
        <f t="shared" si="41"/>
        <v>792</v>
      </c>
      <c r="N794" s="15">
        <f t="shared" si="39"/>
        <v>0.59577040676309967</v>
      </c>
      <c r="O794" s="165">
        <f t="shared" si="40"/>
        <v>0.44</v>
      </c>
      <c r="P794" s="18"/>
      <c r="Q794" s="18"/>
      <c r="R794" s="18"/>
      <c r="S794" s="18"/>
      <c r="T794" s="18"/>
      <c r="U794" s="18"/>
      <c r="V794" s="18"/>
      <c r="W794" s="18"/>
      <c r="X794" s="18"/>
    </row>
    <row r="795" spans="13:24">
      <c r="M795" s="558">
        <f t="shared" si="41"/>
        <v>793</v>
      </c>
      <c r="N795" s="15">
        <f t="shared" si="39"/>
        <v>0.59551014881834219</v>
      </c>
      <c r="O795" s="165">
        <f t="shared" si="40"/>
        <v>0.44</v>
      </c>
      <c r="P795" s="18"/>
      <c r="Q795" s="18"/>
      <c r="R795" s="18"/>
      <c r="S795" s="18"/>
      <c r="T795" s="18"/>
      <c r="U795" s="18"/>
      <c r="V795" s="18"/>
      <c r="W795" s="18"/>
      <c r="X795" s="18"/>
    </row>
    <row r="796" spans="13:24">
      <c r="M796" s="558">
        <f t="shared" si="41"/>
        <v>794</v>
      </c>
      <c r="N796" s="15">
        <f t="shared" si="39"/>
        <v>0.59525015301135165</v>
      </c>
      <c r="O796" s="165">
        <f t="shared" si="40"/>
        <v>0.44</v>
      </c>
      <c r="P796" s="18"/>
      <c r="Q796" s="18"/>
      <c r="R796" s="18"/>
      <c r="S796" s="18"/>
      <c r="T796" s="18"/>
      <c r="U796" s="18"/>
      <c r="V796" s="18"/>
      <c r="W796" s="18"/>
      <c r="X796" s="18"/>
    </row>
    <row r="797" spans="13:24">
      <c r="M797" s="558">
        <f t="shared" si="41"/>
        <v>795</v>
      </c>
      <c r="N797" s="15">
        <f t="shared" si="39"/>
        <v>0.59499041901316652</v>
      </c>
      <c r="O797" s="165">
        <f t="shared" si="40"/>
        <v>0.44</v>
      </c>
      <c r="P797" s="18"/>
      <c r="Q797" s="18"/>
      <c r="R797" s="18"/>
      <c r="S797" s="18"/>
      <c r="T797" s="18"/>
      <c r="U797" s="18"/>
      <c r="V797" s="18"/>
      <c r="W797" s="18"/>
      <c r="X797" s="18"/>
    </row>
    <row r="798" spans="13:24">
      <c r="M798" s="558">
        <f t="shared" si="41"/>
        <v>796</v>
      </c>
      <c r="N798" s="15">
        <f t="shared" si="39"/>
        <v>0.5947309464952375</v>
      </c>
      <c r="O798" s="165">
        <f t="shared" si="40"/>
        <v>0.44</v>
      </c>
      <c r="P798" s="18"/>
      <c r="Q798" s="18"/>
      <c r="R798" s="18"/>
      <c r="S798" s="18"/>
      <c r="T798" s="18"/>
      <c r="U798" s="18"/>
      <c r="V798" s="18"/>
      <c r="W798" s="18"/>
      <c r="X798" s="18"/>
    </row>
    <row r="799" spans="13:24">
      <c r="M799" s="558">
        <f t="shared" si="41"/>
        <v>797</v>
      </c>
      <c r="N799" s="15">
        <f t="shared" si="39"/>
        <v>0.59447173512942819</v>
      </c>
      <c r="O799" s="165">
        <f t="shared" si="40"/>
        <v>0.44</v>
      </c>
      <c r="P799" s="18"/>
      <c r="Q799" s="18"/>
      <c r="R799" s="18"/>
      <c r="S799" s="18"/>
      <c r="T799" s="18"/>
      <c r="U799" s="18"/>
      <c r="V799" s="18"/>
      <c r="W799" s="18"/>
      <c r="X799" s="18"/>
    </row>
    <row r="800" spans="13:24">
      <c r="M800" s="558">
        <f t="shared" si="41"/>
        <v>798</v>
      </c>
      <c r="N800" s="15">
        <f t="shared" si="39"/>
        <v>0.59421278458801308</v>
      </c>
      <c r="O800" s="165">
        <f t="shared" si="40"/>
        <v>0.44</v>
      </c>
      <c r="P800" s="18"/>
      <c r="Q800" s="18"/>
      <c r="R800" s="18"/>
      <c r="S800" s="18"/>
      <c r="T800" s="18"/>
      <c r="U800" s="18"/>
      <c r="V800" s="18"/>
      <c r="W800" s="18"/>
      <c r="X800" s="18"/>
    </row>
    <row r="801" spans="13:24">
      <c r="M801" s="558">
        <f t="shared" si="41"/>
        <v>799</v>
      </c>
      <c r="N801" s="15">
        <f t="shared" si="39"/>
        <v>0.59395409454367909</v>
      </c>
      <c r="O801" s="165">
        <f t="shared" si="40"/>
        <v>0.44</v>
      </c>
      <c r="P801" s="18"/>
      <c r="Q801" s="18"/>
      <c r="R801" s="18"/>
      <c r="S801" s="18"/>
      <c r="T801" s="18"/>
      <c r="U801" s="18"/>
      <c r="V801" s="18"/>
      <c r="W801" s="18"/>
      <c r="X801" s="18"/>
    </row>
    <row r="802" spans="13:24">
      <c r="M802" s="558">
        <f t="shared" si="41"/>
        <v>800</v>
      </c>
      <c r="N802" s="15">
        <f t="shared" si="39"/>
        <v>0.59369566466952317</v>
      </c>
      <c r="O802" s="165">
        <f t="shared" si="40"/>
        <v>0.44</v>
      </c>
      <c r="P802" s="18"/>
      <c r="Q802" s="18"/>
      <c r="R802" s="18"/>
      <c r="S802" s="18"/>
      <c r="T802" s="18"/>
      <c r="U802" s="18"/>
      <c r="V802" s="18"/>
      <c r="W802" s="18"/>
      <c r="X802" s="18"/>
    </row>
    <row r="803" spans="13:24">
      <c r="M803" s="558">
        <f t="shared" si="41"/>
        <v>801</v>
      </c>
      <c r="N803" s="15">
        <f t="shared" si="39"/>
        <v>0.59343749463905215</v>
      </c>
      <c r="O803" s="165">
        <f t="shared" si="40"/>
        <v>0.44</v>
      </c>
      <c r="P803" s="18"/>
      <c r="Q803" s="18"/>
      <c r="R803" s="18"/>
      <c r="S803" s="18"/>
      <c r="T803" s="18"/>
      <c r="U803" s="18"/>
      <c r="V803" s="18"/>
      <c r="W803" s="18"/>
      <c r="X803" s="18"/>
    </row>
    <row r="804" spans="13:24">
      <c r="M804" s="558">
        <f t="shared" si="41"/>
        <v>802</v>
      </c>
      <c r="N804" s="15">
        <f t="shared" si="39"/>
        <v>0.59317958412618388</v>
      </c>
      <c r="O804" s="165">
        <f t="shared" si="40"/>
        <v>0.44</v>
      </c>
      <c r="P804" s="18"/>
      <c r="Q804" s="18"/>
      <c r="R804" s="18"/>
      <c r="S804" s="18"/>
      <c r="T804" s="18"/>
      <c r="U804" s="18"/>
      <c r="V804" s="18"/>
      <c r="W804" s="18"/>
      <c r="X804" s="18"/>
    </row>
    <row r="805" spans="13:24">
      <c r="M805" s="558">
        <f t="shared" si="41"/>
        <v>803</v>
      </c>
      <c r="N805" s="15">
        <f t="shared" si="39"/>
        <v>0.59292193280524408</v>
      </c>
      <c r="O805" s="165">
        <f t="shared" si="40"/>
        <v>0.44</v>
      </c>
      <c r="P805" s="18"/>
      <c r="Q805" s="18"/>
      <c r="R805" s="18"/>
      <c r="S805" s="18"/>
      <c r="T805" s="18"/>
      <c r="U805" s="18"/>
      <c r="V805" s="18"/>
      <c r="W805" s="18"/>
      <c r="X805" s="18"/>
    </row>
    <row r="806" spans="13:24">
      <c r="M806" s="558">
        <f t="shared" si="41"/>
        <v>804</v>
      </c>
      <c r="N806" s="15">
        <f t="shared" si="39"/>
        <v>0.59266454035096761</v>
      </c>
      <c r="O806" s="165">
        <f t="shared" si="40"/>
        <v>0.44</v>
      </c>
      <c r="P806" s="18"/>
      <c r="Q806" s="18"/>
      <c r="R806" s="18"/>
      <c r="S806" s="18"/>
      <c r="T806" s="18"/>
      <c r="U806" s="18"/>
      <c r="V806" s="18"/>
      <c r="W806" s="18"/>
      <c r="X806" s="18"/>
    </row>
    <row r="807" spans="13:24">
      <c r="M807" s="558">
        <f t="shared" si="41"/>
        <v>805</v>
      </c>
      <c r="N807" s="15">
        <f t="shared" si="39"/>
        <v>0.5924074064384981</v>
      </c>
      <c r="O807" s="165">
        <f t="shared" si="40"/>
        <v>0.44</v>
      </c>
      <c r="P807" s="18"/>
      <c r="Q807" s="18"/>
      <c r="R807" s="18"/>
      <c r="S807" s="18"/>
      <c r="T807" s="18"/>
      <c r="U807" s="18"/>
      <c r="V807" s="18"/>
      <c r="W807" s="18"/>
      <c r="X807" s="18"/>
    </row>
    <row r="808" spans="13:24">
      <c r="M808" s="558">
        <f t="shared" si="41"/>
        <v>806</v>
      </c>
      <c r="N808" s="15">
        <f t="shared" si="39"/>
        <v>0.59215053074338608</v>
      </c>
      <c r="O808" s="165">
        <f t="shared" si="40"/>
        <v>0.44</v>
      </c>
      <c r="P808" s="18"/>
      <c r="Q808" s="18"/>
      <c r="R808" s="18"/>
      <c r="S808" s="18"/>
      <c r="T808" s="18"/>
      <c r="U808" s="18"/>
      <c r="V808" s="18"/>
      <c r="W808" s="18"/>
      <c r="X808" s="18"/>
    </row>
    <row r="809" spans="13:24">
      <c r="M809" s="558">
        <f t="shared" si="41"/>
        <v>807</v>
      </c>
      <c r="N809" s="15">
        <f t="shared" si="39"/>
        <v>0.591893912941589</v>
      </c>
      <c r="O809" s="165">
        <f t="shared" si="40"/>
        <v>0.44</v>
      </c>
      <c r="P809" s="18"/>
      <c r="Q809" s="18"/>
      <c r="R809" s="18"/>
      <c r="S809" s="18"/>
      <c r="T809" s="18"/>
      <c r="U809" s="18"/>
      <c r="V809" s="18"/>
      <c r="W809" s="18"/>
      <c r="X809" s="18"/>
    </row>
    <row r="810" spans="13:24">
      <c r="M810" s="558">
        <f t="shared" si="41"/>
        <v>808</v>
      </c>
      <c r="N810" s="15">
        <f t="shared" si="39"/>
        <v>0.59163755270947238</v>
      </c>
      <c r="O810" s="165">
        <f t="shared" si="40"/>
        <v>0.44</v>
      </c>
      <c r="P810" s="18"/>
      <c r="Q810" s="18"/>
      <c r="R810" s="18"/>
      <c r="S810" s="18"/>
      <c r="T810" s="18"/>
      <c r="U810" s="18"/>
      <c r="V810" s="18"/>
      <c r="W810" s="18"/>
      <c r="X810" s="18"/>
    </row>
    <row r="811" spans="13:24">
      <c r="M811" s="558">
        <f t="shared" si="41"/>
        <v>809</v>
      </c>
      <c r="N811" s="15">
        <f t="shared" si="39"/>
        <v>0.59138144972380646</v>
      </c>
      <c r="O811" s="165">
        <f t="shared" si="40"/>
        <v>0.44</v>
      </c>
      <c r="P811" s="18"/>
      <c r="Q811" s="18"/>
      <c r="R811" s="18"/>
      <c r="S811" s="18"/>
      <c r="T811" s="18"/>
      <c r="U811" s="18"/>
      <c r="V811" s="18"/>
      <c r="W811" s="18"/>
      <c r="X811" s="18"/>
    </row>
    <row r="812" spans="13:24">
      <c r="M812" s="558">
        <f t="shared" si="41"/>
        <v>810</v>
      </c>
      <c r="N812" s="15">
        <f t="shared" si="39"/>
        <v>0.5911256036617677</v>
      </c>
      <c r="O812" s="165">
        <f t="shared" si="40"/>
        <v>0.44</v>
      </c>
      <c r="P812" s="18"/>
      <c r="Q812" s="18"/>
      <c r="R812" s="18"/>
      <c r="S812" s="18"/>
      <c r="T812" s="18"/>
      <c r="U812" s="18"/>
      <c r="V812" s="18"/>
      <c r="W812" s="18"/>
      <c r="X812" s="18"/>
    </row>
    <row r="813" spans="13:24">
      <c r="M813" s="558">
        <f t="shared" si="41"/>
        <v>811</v>
      </c>
      <c r="N813" s="15">
        <f t="shared" si="39"/>
        <v>0.5908700142009371</v>
      </c>
      <c r="O813" s="165">
        <f t="shared" si="40"/>
        <v>0.44</v>
      </c>
      <c r="P813" s="18"/>
      <c r="Q813" s="18"/>
      <c r="R813" s="18"/>
      <c r="S813" s="18"/>
      <c r="T813" s="18"/>
      <c r="U813" s="18"/>
      <c r="V813" s="18"/>
      <c r="W813" s="18"/>
      <c r="X813" s="18"/>
    </row>
    <row r="814" spans="13:24">
      <c r="M814" s="558">
        <f t="shared" si="41"/>
        <v>812</v>
      </c>
      <c r="N814" s="15">
        <f t="shared" si="39"/>
        <v>0.59061468101930159</v>
      </c>
      <c r="O814" s="165">
        <f t="shared" si="40"/>
        <v>0.44</v>
      </c>
      <c r="P814" s="18"/>
      <c r="Q814" s="18"/>
      <c r="R814" s="18"/>
      <c r="S814" s="18"/>
      <c r="T814" s="18"/>
      <c r="U814" s="18"/>
      <c r="V814" s="18"/>
      <c r="W814" s="18"/>
      <c r="X814" s="18"/>
    </row>
    <row r="815" spans="13:24">
      <c r="M815" s="558">
        <f t="shared" si="41"/>
        <v>813</v>
      </c>
      <c r="N815" s="15">
        <f t="shared" si="39"/>
        <v>0.59035960379525099</v>
      </c>
      <c r="O815" s="165">
        <f t="shared" si="40"/>
        <v>0.44</v>
      </c>
      <c r="P815" s="18"/>
      <c r="Q815" s="18"/>
      <c r="R815" s="18"/>
      <c r="S815" s="18"/>
      <c r="T815" s="18"/>
      <c r="U815" s="18"/>
      <c r="V815" s="18"/>
      <c r="W815" s="18"/>
      <c r="X815" s="18"/>
    </row>
    <row r="816" spans="13:24">
      <c r="M816" s="558">
        <f t="shared" si="41"/>
        <v>814</v>
      </c>
      <c r="N816" s="15">
        <f t="shared" si="39"/>
        <v>0.59010478220757867</v>
      </c>
      <c r="O816" s="165">
        <f t="shared" si="40"/>
        <v>0.44</v>
      </c>
      <c r="P816" s="18"/>
      <c r="Q816" s="18"/>
      <c r="R816" s="18"/>
      <c r="S816" s="18"/>
      <c r="T816" s="18"/>
      <c r="U816" s="18"/>
      <c r="V816" s="18"/>
      <c r="W816" s="18"/>
      <c r="X816" s="18"/>
    </row>
    <row r="817" spans="13:24">
      <c r="M817" s="558">
        <f t="shared" si="41"/>
        <v>815</v>
      </c>
      <c r="N817" s="15">
        <f t="shared" si="39"/>
        <v>0.58985021593548259</v>
      </c>
      <c r="O817" s="165">
        <f t="shared" si="40"/>
        <v>0.44</v>
      </c>
      <c r="P817" s="18"/>
      <c r="Q817" s="18"/>
      <c r="R817" s="18"/>
      <c r="S817" s="18"/>
      <c r="T817" s="18"/>
      <c r="U817" s="18"/>
      <c r="V817" s="18"/>
      <c r="W817" s="18"/>
      <c r="X817" s="18"/>
    </row>
    <row r="818" spans="13:24">
      <c r="M818" s="558">
        <f t="shared" si="41"/>
        <v>816</v>
      </c>
      <c r="N818" s="15">
        <f t="shared" si="39"/>
        <v>0.58959590465856082</v>
      </c>
      <c r="O818" s="165">
        <f t="shared" si="40"/>
        <v>0.44</v>
      </c>
      <c r="P818" s="18"/>
      <c r="Q818" s="18"/>
      <c r="R818" s="18"/>
      <c r="S818" s="18"/>
      <c r="T818" s="18"/>
      <c r="U818" s="18"/>
      <c r="V818" s="18"/>
      <c r="W818" s="18"/>
      <c r="X818" s="18"/>
    </row>
    <row r="819" spans="13:24">
      <c r="M819" s="558">
        <f t="shared" si="41"/>
        <v>817</v>
      </c>
      <c r="N819" s="15">
        <f t="shared" si="39"/>
        <v>0.58934184805681578</v>
      </c>
      <c r="O819" s="165">
        <f t="shared" si="40"/>
        <v>0.44</v>
      </c>
      <c r="P819" s="18"/>
      <c r="Q819" s="18"/>
      <c r="R819" s="18"/>
      <c r="S819" s="18"/>
      <c r="T819" s="18"/>
      <c r="U819" s="18"/>
      <c r="V819" s="18"/>
      <c r="W819" s="18"/>
      <c r="X819" s="18"/>
    </row>
    <row r="820" spans="13:24">
      <c r="M820" s="558">
        <f t="shared" si="41"/>
        <v>818</v>
      </c>
      <c r="N820" s="15">
        <f t="shared" si="39"/>
        <v>0.58908804581065044</v>
      </c>
      <c r="O820" s="165">
        <f t="shared" si="40"/>
        <v>0.44</v>
      </c>
      <c r="P820" s="18"/>
      <c r="Q820" s="18"/>
      <c r="R820" s="18"/>
      <c r="S820" s="18"/>
      <c r="T820" s="18"/>
      <c r="U820" s="18"/>
      <c r="V820" s="18"/>
      <c r="W820" s="18"/>
      <c r="X820" s="18"/>
    </row>
    <row r="821" spans="13:24">
      <c r="M821" s="558">
        <f t="shared" si="41"/>
        <v>819</v>
      </c>
      <c r="N821" s="15">
        <f t="shared" si="39"/>
        <v>0.5888344976008687</v>
      </c>
      <c r="O821" s="165">
        <f t="shared" si="40"/>
        <v>0.44</v>
      </c>
      <c r="P821" s="18"/>
      <c r="Q821" s="18"/>
      <c r="R821" s="18"/>
      <c r="S821" s="18"/>
      <c r="T821" s="18"/>
      <c r="U821" s="18"/>
      <c r="V821" s="18"/>
      <c r="W821" s="18"/>
      <c r="X821" s="18"/>
    </row>
    <row r="822" spans="13:24">
      <c r="M822" s="558">
        <f t="shared" si="41"/>
        <v>820</v>
      </c>
      <c r="N822" s="15">
        <f t="shared" si="39"/>
        <v>0.58858120310867579</v>
      </c>
      <c r="O822" s="165">
        <f t="shared" si="40"/>
        <v>0.44</v>
      </c>
      <c r="P822" s="18"/>
      <c r="Q822" s="18"/>
      <c r="R822" s="18"/>
      <c r="S822" s="18"/>
      <c r="T822" s="18"/>
      <c r="U822" s="18"/>
      <c r="V822" s="18"/>
      <c r="W822" s="18"/>
      <c r="X822" s="18"/>
    </row>
    <row r="823" spans="13:24">
      <c r="M823" s="558">
        <f t="shared" si="41"/>
        <v>821</v>
      </c>
      <c r="N823" s="15">
        <f t="shared" si="39"/>
        <v>0.58832816201567617</v>
      </c>
      <c r="O823" s="165">
        <f t="shared" si="40"/>
        <v>0.44</v>
      </c>
      <c r="P823" s="18"/>
      <c r="Q823" s="18"/>
      <c r="R823" s="18"/>
      <c r="S823" s="18"/>
      <c r="T823" s="18"/>
      <c r="U823" s="18"/>
      <c r="V823" s="18"/>
      <c r="W823" s="18"/>
      <c r="X823" s="18"/>
    </row>
    <row r="824" spans="13:24">
      <c r="M824" s="558">
        <f t="shared" si="41"/>
        <v>822</v>
      </c>
      <c r="N824" s="15">
        <f t="shared" si="39"/>
        <v>0.588075374003874</v>
      </c>
      <c r="O824" s="165">
        <f t="shared" si="40"/>
        <v>0.44</v>
      </c>
      <c r="P824" s="18"/>
      <c r="Q824" s="18"/>
      <c r="R824" s="18"/>
      <c r="S824" s="18"/>
      <c r="T824" s="18"/>
      <c r="U824" s="18"/>
      <c r="V824" s="18"/>
      <c r="W824" s="18"/>
      <c r="X824" s="18"/>
    </row>
    <row r="825" spans="13:24">
      <c r="M825" s="558">
        <f t="shared" si="41"/>
        <v>823</v>
      </c>
      <c r="N825" s="15">
        <f t="shared" si="39"/>
        <v>0.5878228387556732</v>
      </c>
      <c r="O825" s="165">
        <f t="shared" si="40"/>
        <v>0.44</v>
      </c>
      <c r="P825" s="18"/>
      <c r="Q825" s="18"/>
      <c r="R825" s="18"/>
      <c r="S825" s="18"/>
      <c r="T825" s="18"/>
      <c r="U825" s="18"/>
      <c r="V825" s="18"/>
      <c r="W825" s="18"/>
      <c r="X825" s="18"/>
    </row>
    <row r="826" spans="13:24">
      <c r="M826" s="558">
        <f t="shared" si="41"/>
        <v>824</v>
      </c>
      <c r="N826" s="15">
        <f t="shared" si="39"/>
        <v>0.58757055595387553</v>
      </c>
      <c r="O826" s="165">
        <f t="shared" si="40"/>
        <v>0.44</v>
      </c>
      <c r="P826" s="18"/>
      <c r="Q826" s="18"/>
      <c r="R826" s="18"/>
      <c r="S826" s="18"/>
      <c r="T826" s="18"/>
      <c r="U826" s="18"/>
      <c r="V826" s="18"/>
      <c r="W826" s="18"/>
      <c r="X826" s="18"/>
    </row>
    <row r="827" spans="13:24">
      <c r="M827" s="558">
        <f t="shared" si="41"/>
        <v>825</v>
      </c>
      <c r="N827" s="15">
        <f t="shared" si="39"/>
        <v>0.58731852528168105</v>
      </c>
      <c r="O827" s="165">
        <f t="shared" si="40"/>
        <v>0.44</v>
      </c>
      <c r="P827" s="18"/>
      <c r="Q827" s="18"/>
      <c r="R827" s="18"/>
      <c r="S827" s="18"/>
      <c r="T827" s="18"/>
      <c r="U827" s="18"/>
      <c r="V827" s="18"/>
      <c r="W827" s="18"/>
      <c r="X827" s="18"/>
    </row>
    <row r="828" spans="13:24">
      <c r="M828" s="558">
        <f t="shared" si="41"/>
        <v>826</v>
      </c>
      <c r="N828" s="15">
        <f t="shared" si="39"/>
        <v>0.58706674642268697</v>
      </c>
      <c r="O828" s="165">
        <f t="shared" si="40"/>
        <v>0.44</v>
      </c>
      <c r="P828" s="18"/>
      <c r="Q828" s="18"/>
      <c r="R828" s="18"/>
      <c r="S828" s="18"/>
      <c r="T828" s="18"/>
      <c r="U828" s="18"/>
      <c r="V828" s="18"/>
      <c r="W828" s="18"/>
      <c r="X828" s="18"/>
    </row>
    <row r="829" spans="13:24">
      <c r="M829" s="558">
        <f t="shared" si="41"/>
        <v>827</v>
      </c>
      <c r="N829" s="15">
        <f t="shared" si="39"/>
        <v>0.58681521906088863</v>
      </c>
      <c r="O829" s="165">
        <f t="shared" si="40"/>
        <v>0.44</v>
      </c>
      <c r="P829" s="18"/>
      <c r="Q829" s="18"/>
      <c r="R829" s="18"/>
      <c r="S829" s="18"/>
      <c r="T829" s="18"/>
      <c r="U829" s="18"/>
      <c r="V829" s="18"/>
      <c r="W829" s="18"/>
      <c r="X829" s="18"/>
    </row>
    <row r="830" spans="13:24">
      <c r="M830" s="558">
        <f t="shared" si="41"/>
        <v>828</v>
      </c>
      <c r="N830" s="15">
        <f t="shared" si="39"/>
        <v>0.58656394288067693</v>
      </c>
      <c r="O830" s="165">
        <f t="shared" si="40"/>
        <v>0.44</v>
      </c>
      <c r="P830" s="18"/>
      <c r="Q830" s="18"/>
      <c r="R830" s="18"/>
      <c r="S830" s="18"/>
      <c r="T830" s="18"/>
      <c r="U830" s="18"/>
      <c r="V830" s="18"/>
      <c r="W830" s="18"/>
      <c r="X830" s="18"/>
    </row>
    <row r="831" spans="13:24">
      <c r="M831" s="558">
        <f t="shared" si="41"/>
        <v>829</v>
      </c>
      <c r="N831" s="15">
        <f t="shared" si="39"/>
        <v>0.58631291756683868</v>
      </c>
      <c r="O831" s="165">
        <f t="shared" si="40"/>
        <v>0.44</v>
      </c>
      <c r="P831" s="18"/>
      <c r="Q831" s="18"/>
      <c r="R831" s="18"/>
      <c r="S831" s="18"/>
      <c r="T831" s="18"/>
      <c r="U831" s="18"/>
      <c r="V831" s="18"/>
      <c r="W831" s="18"/>
      <c r="X831" s="18"/>
    </row>
    <row r="832" spans="13:24">
      <c r="M832" s="558">
        <f t="shared" si="41"/>
        <v>830</v>
      </c>
      <c r="N832" s="15">
        <f t="shared" si="39"/>
        <v>0.58606214280455771</v>
      </c>
      <c r="O832" s="165">
        <f t="shared" si="40"/>
        <v>0.44</v>
      </c>
      <c r="P832" s="18"/>
      <c r="Q832" s="18"/>
      <c r="R832" s="18"/>
      <c r="S832" s="18"/>
      <c r="T832" s="18"/>
      <c r="U832" s="18"/>
      <c r="V832" s="18"/>
      <c r="W832" s="18"/>
      <c r="X832" s="18"/>
    </row>
    <row r="833" spans="13:24">
      <c r="M833" s="558">
        <f t="shared" si="41"/>
        <v>831</v>
      </c>
      <c r="N833" s="15">
        <f t="shared" si="39"/>
        <v>0.58581161827941131</v>
      </c>
      <c r="O833" s="165">
        <f t="shared" si="40"/>
        <v>0.44</v>
      </c>
      <c r="P833" s="18"/>
      <c r="Q833" s="18"/>
      <c r="R833" s="18"/>
      <c r="S833" s="18"/>
      <c r="T833" s="18"/>
      <c r="U833" s="18"/>
      <c r="V833" s="18"/>
      <c r="W833" s="18"/>
      <c r="X833" s="18"/>
    </row>
    <row r="834" spans="13:24">
      <c r="M834" s="558">
        <f t="shared" si="41"/>
        <v>832</v>
      </c>
      <c r="N834" s="15">
        <f t="shared" si="39"/>
        <v>0.58556134367737178</v>
      </c>
      <c r="O834" s="165">
        <f t="shared" si="40"/>
        <v>0.44</v>
      </c>
      <c r="P834" s="18"/>
      <c r="Q834" s="18"/>
      <c r="R834" s="18"/>
      <c r="S834" s="18"/>
      <c r="T834" s="18"/>
      <c r="U834" s="18"/>
      <c r="V834" s="18"/>
      <c r="W834" s="18"/>
      <c r="X834" s="18"/>
    </row>
    <row r="835" spans="13:24">
      <c r="M835" s="558">
        <f t="shared" si="41"/>
        <v>833</v>
      </c>
      <c r="N835" s="15">
        <f t="shared" si="39"/>
        <v>0.58531131868480613</v>
      </c>
      <c r="O835" s="165">
        <f t="shared" si="40"/>
        <v>0.44</v>
      </c>
      <c r="P835" s="18"/>
      <c r="Q835" s="18"/>
      <c r="R835" s="18"/>
      <c r="S835" s="18"/>
      <c r="T835" s="18"/>
      <c r="U835" s="18"/>
      <c r="V835" s="18"/>
      <c r="W835" s="18"/>
      <c r="X835" s="18"/>
    </row>
    <row r="836" spans="13:24">
      <c r="M836" s="558">
        <f t="shared" si="41"/>
        <v>834</v>
      </c>
      <c r="N836" s="15">
        <f t="shared" ref="N836:N899" si="42">IF(M836&lt;$B$31+1,$B$32+$B$33/$B$31*(8760-M836)+$B$34*IF(M836&lt;$B$36-$B$31/(2*$B$35),1,IF(M836&lt;$B$36+$B$31/(2*$B$35),COS(PI()/2*(M836-($B$36-$B$31/(2*$B$35)))*$B$35/$B$31)^2,0))+$B$37*EXP((8760-M836)/8760*$B$38)/EXP($B$38)-(8760-$B$31)*$B$33/$B$31,0)</f>
        <v>0.58506154298847446</v>
      </c>
      <c r="O836" s="165">
        <f t="shared" ref="O836:O899" si="43">MIN(N836,C$24)</f>
        <v>0.44</v>
      </c>
      <c r="P836" s="18"/>
      <c r="Q836" s="18"/>
      <c r="R836" s="18"/>
      <c r="S836" s="18"/>
      <c r="T836" s="18"/>
      <c r="U836" s="18"/>
      <c r="V836" s="18"/>
      <c r="W836" s="18"/>
      <c r="X836" s="18"/>
    </row>
    <row r="837" spans="13:24">
      <c r="M837" s="558">
        <f t="shared" ref="M837:M900" si="44">M836+1</f>
        <v>835</v>
      </c>
      <c r="N837" s="15">
        <f t="shared" si="42"/>
        <v>0.5848120162755297</v>
      </c>
      <c r="O837" s="165">
        <f t="shared" si="43"/>
        <v>0.44</v>
      </c>
      <c r="P837" s="18"/>
      <c r="Q837" s="18"/>
      <c r="R837" s="18"/>
      <c r="S837" s="18"/>
      <c r="T837" s="18"/>
      <c r="U837" s="18"/>
      <c r="V837" s="18"/>
      <c r="W837" s="18"/>
      <c r="X837" s="18"/>
    </row>
    <row r="838" spans="13:24">
      <c r="M838" s="558">
        <f t="shared" si="44"/>
        <v>836</v>
      </c>
      <c r="N838" s="15">
        <f t="shared" si="42"/>
        <v>0.58456273823351812</v>
      </c>
      <c r="O838" s="165">
        <f t="shared" si="43"/>
        <v>0.44</v>
      </c>
      <c r="P838" s="18"/>
      <c r="Q838" s="18"/>
      <c r="R838" s="18"/>
      <c r="S838" s="18"/>
      <c r="T838" s="18"/>
      <c r="U838" s="18"/>
      <c r="V838" s="18"/>
      <c r="W838" s="18"/>
      <c r="X838" s="18"/>
    </row>
    <row r="839" spans="13:24">
      <c r="M839" s="558">
        <f t="shared" si="44"/>
        <v>837</v>
      </c>
      <c r="N839" s="15">
        <f t="shared" si="42"/>
        <v>0.58431370855037756</v>
      </c>
      <c r="O839" s="165">
        <f t="shared" si="43"/>
        <v>0.44</v>
      </c>
      <c r="P839" s="18"/>
      <c r="Q839" s="18"/>
      <c r="R839" s="18"/>
      <c r="S839" s="18"/>
      <c r="T839" s="18"/>
      <c r="U839" s="18"/>
      <c r="V839" s="18"/>
      <c r="W839" s="18"/>
      <c r="X839" s="18"/>
    </row>
    <row r="840" spans="13:24">
      <c r="M840" s="558">
        <f t="shared" si="44"/>
        <v>838</v>
      </c>
      <c r="N840" s="15">
        <f t="shared" si="42"/>
        <v>0.58406492691443712</v>
      </c>
      <c r="O840" s="165">
        <f t="shared" si="43"/>
        <v>0.44</v>
      </c>
      <c r="P840" s="18"/>
      <c r="Q840" s="18"/>
      <c r="R840" s="18"/>
      <c r="S840" s="18"/>
      <c r="T840" s="18"/>
      <c r="U840" s="18"/>
      <c r="V840" s="18"/>
      <c r="W840" s="18"/>
      <c r="X840" s="18"/>
    </row>
    <row r="841" spans="13:24">
      <c r="M841" s="558">
        <f t="shared" si="44"/>
        <v>839</v>
      </c>
      <c r="N841" s="15">
        <f t="shared" si="42"/>
        <v>0.58381639301441812</v>
      </c>
      <c r="O841" s="165">
        <f t="shared" si="43"/>
        <v>0.44</v>
      </c>
      <c r="P841" s="18"/>
      <c r="Q841" s="18"/>
      <c r="R841" s="18"/>
      <c r="S841" s="18"/>
      <c r="T841" s="18"/>
      <c r="U841" s="18"/>
      <c r="V841" s="18"/>
      <c r="W841" s="18"/>
      <c r="X841" s="18"/>
    </row>
    <row r="842" spans="13:24">
      <c r="M842" s="558">
        <f t="shared" si="44"/>
        <v>840</v>
      </c>
      <c r="N842" s="15">
        <f t="shared" si="42"/>
        <v>0.5835681065394317</v>
      </c>
      <c r="O842" s="165">
        <f t="shared" si="43"/>
        <v>0.44</v>
      </c>
      <c r="P842" s="18"/>
      <c r="Q842" s="18"/>
      <c r="R842" s="18"/>
      <c r="S842" s="18"/>
      <c r="T842" s="18"/>
      <c r="U842" s="18"/>
      <c r="V842" s="18"/>
      <c r="W842" s="18"/>
      <c r="X842" s="18"/>
    </row>
    <row r="843" spans="13:24">
      <c r="M843" s="558">
        <f t="shared" si="44"/>
        <v>841</v>
      </c>
      <c r="N843" s="15">
        <f t="shared" si="42"/>
        <v>0.58332006717897888</v>
      </c>
      <c r="O843" s="165">
        <f t="shared" si="43"/>
        <v>0.44</v>
      </c>
      <c r="P843" s="18"/>
      <c r="Q843" s="18"/>
      <c r="R843" s="18"/>
      <c r="S843" s="18"/>
      <c r="T843" s="18"/>
      <c r="U843" s="18"/>
      <c r="V843" s="18"/>
      <c r="W843" s="18"/>
      <c r="X843" s="18"/>
    </row>
    <row r="844" spans="13:24">
      <c r="M844" s="558">
        <f t="shared" si="44"/>
        <v>842</v>
      </c>
      <c r="N844" s="15">
        <f t="shared" si="42"/>
        <v>0.58307227462295164</v>
      </c>
      <c r="O844" s="165">
        <f t="shared" si="43"/>
        <v>0.44</v>
      </c>
      <c r="P844" s="18"/>
      <c r="Q844" s="18"/>
      <c r="R844" s="18"/>
      <c r="S844" s="18"/>
      <c r="T844" s="18"/>
      <c r="U844" s="18"/>
      <c r="V844" s="18"/>
      <c r="W844" s="18"/>
      <c r="X844" s="18"/>
    </row>
    <row r="845" spans="13:24">
      <c r="M845" s="558">
        <f t="shared" si="44"/>
        <v>843</v>
      </c>
      <c r="N845" s="15">
        <f t="shared" si="42"/>
        <v>0.58282472856162948</v>
      </c>
      <c r="O845" s="165">
        <f t="shared" si="43"/>
        <v>0.44</v>
      </c>
      <c r="P845" s="18"/>
      <c r="Q845" s="18"/>
      <c r="R845" s="18"/>
      <c r="S845" s="18"/>
      <c r="T845" s="18"/>
      <c r="U845" s="18"/>
      <c r="V845" s="18"/>
      <c r="W845" s="18"/>
      <c r="X845" s="18"/>
    </row>
    <row r="846" spans="13:24">
      <c r="M846" s="558">
        <f t="shared" si="44"/>
        <v>844</v>
      </c>
      <c r="N846" s="15">
        <f t="shared" si="42"/>
        <v>0.58257742868568119</v>
      </c>
      <c r="O846" s="165">
        <f t="shared" si="43"/>
        <v>0.44</v>
      </c>
      <c r="P846" s="18"/>
      <c r="Q846" s="18"/>
      <c r="R846" s="18"/>
      <c r="S846" s="18"/>
      <c r="T846" s="18"/>
      <c r="U846" s="18"/>
      <c r="V846" s="18"/>
      <c r="W846" s="18"/>
      <c r="X846" s="18"/>
    </row>
    <row r="847" spans="13:24">
      <c r="M847" s="558">
        <f t="shared" si="44"/>
        <v>845</v>
      </c>
      <c r="N847" s="15">
        <f t="shared" si="42"/>
        <v>0.58233037468616466</v>
      </c>
      <c r="O847" s="165">
        <f t="shared" si="43"/>
        <v>0.44</v>
      </c>
      <c r="P847" s="18"/>
      <c r="Q847" s="18"/>
      <c r="R847" s="18"/>
      <c r="S847" s="18"/>
      <c r="T847" s="18"/>
      <c r="U847" s="18"/>
      <c r="V847" s="18"/>
      <c r="W847" s="18"/>
      <c r="X847" s="18"/>
    </row>
    <row r="848" spans="13:24">
      <c r="M848" s="558">
        <f t="shared" si="44"/>
        <v>846</v>
      </c>
      <c r="N848" s="15">
        <f t="shared" si="42"/>
        <v>0.58208356625452429</v>
      </c>
      <c r="O848" s="165">
        <f t="shared" si="43"/>
        <v>0.44</v>
      </c>
      <c r="P848" s="18"/>
      <c r="Q848" s="18"/>
      <c r="R848" s="18"/>
      <c r="S848" s="18"/>
      <c r="T848" s="18"/>
      <c r="U848" s="18"/>
      <c r="V848" s="18"/>
      <c r="W848" s="18"/>
      <c r="X848" s="18"/>
    </row>
    <row r="849" spans="13:24">
      <c r="M849" s="558">
        <f t="shared" si="44"/>
        <v>847</v>
      </c>
      <c r="N849" s="15">
        <f t="shared" si="42"/>
        <v>0.58183700308259201</v>
      </c>
      <c r="O849" s="165">
        <f t="shared" si="43"/>
        <v>0.44</v>
      </c>
      <c r="P849" s="18"/>
      <c r="Q849" s="18"/>
      <c r="R849" s="18"/>
      <c r="S849" s="18"/>
      <c r="T849" s="18"/>
      <c r="U849" s="18"/>
      <c r="V849" s="18"/>
      <c r="W849" s="18"/>
      <c r="X849" s="18"/>
    </row>
    <row r="850" spans="13:24">
      <c r="M850" s="558">
        <f t="shared" si="44"/>
        <v>848</v>
      </c>
      <c r="N850" s="15">
        <f t="shared" si="42"/>
        <v>0.58159068486258692</v>
      </c>
      <c r="O850" s="165">
        <f t="shared" si="43"/>
        <v>0.44</v>
      </c>
      <c r="P850" s="18"/>
      <c r="Q850" s="18"/>
      <c r="R850" s="18"/>
      <c r="S850" s="18"/>
      <c r="T850" s="18"/>
      <c r="U850" s="18"/>
      <c r="V850" s="18"/>
      <c r="W850" s="18"/>
      <c r="X850" s="18"/>
    </row>
    <row r="851" spans="13:24">
      <c r="M851" s="558">
        <f t="shared" si="44"/>
        <v>849</v>
      </c>
      <c r="N851" s="15">
        <f t="shared" si="42"/>
        <v>0.58134461128711368</v>
      </c>
      <c r="O851" s="165">
        <f t="shared" si="43"/>
        <v>0.44</v>
      </c>
      <c r="P851" s="18"/>
      <c r="Q851" s="18"/>
      <c r="R851" s="18"/>
      <c r="S851" s="18"/>
      <c r="T851" s="18"/>
      <c r="U851" s="18"/>
      <c r="V851" s="18"/>
      <c r="W851" s="18"/>
      <c r="X851" s="18"/>
    </row>
    <row r="852" spans="13:24">
      <c r="M852" s="558">
        <f t="shared" si="44"/>
        <v>850</v>
      </c>
      <c r="N852" s="15">
        <f t="shared" si="42"/>
        <v>0.5810987820491631</v>
      </c>
      <c r="O852" s="165">
        <f t="shared" si="43"/>
        <v>0.44</v>
      </c>
      <c r="P852" s="18"/>
      <c r="Q852" s="18"/>
      <c r="R852" s="18"/>
      <c r="S852" s="18"/>
      <c r="T852" s="18"/>
      <c r="U852" s="18"/>
      <c r="V852" s="18"/>
      <c r="W852" s="18"/>
      <c r="X852" s="18"/>
    </row>
    <row r="853" spans="13:24">
      <c r="M853" s="558">
        <f t="shared" si="44"/>
        <v>851</v>
      </c>
      <c r="N853" s="15">
        <f t="shared" si="42"/>
        <v>0.58085319684211167</v>
      </c>
      <c r="O853" s="165">
        <f t="shared" si="43"/>
        <v>0.44</v>
      </c>
      <c r="P853" s="18"/>
      <c r="Q853" s="18"/>
      <c r="R853" s="18"/>
      <c r="S853" s="18"/>
      <c r="T853" s="18"/>
      <c r="U853" s="18"/>
      <c r="V853" s="18"/>
      <c r="W853" s="18"/>
      <c r="X853" s="18"/>
    </row>
    <row r="854" spans="13:24">
      <c r="M854" s="558">
        <f t="shared" si="44"/>
        <v>852</v>
      </c>
      <c r="N854" s="15">
        <f t="shared" si="42"/>
        <v>0.5806078553597197</v>
      </c>
      <c r="O854" s="165">
        <f t="shared" si="43"/>
        <v>0.44</v>
      </c>
      <c r="P854" s="18"/>
      <c r="Q854" s="18"/>
      <c r="R854" s="18"/>
      <c r="S854" s="18"/>
      <c r="T854" s="18"/>
      <c r="U854" s="18"/>
      <c r="V854" s="18"/>
      <c r="W854" s="18"/>
      <c r="X854" s="18"/>
    </row>
    <row r="855" spans="13:24">
      <c r="M855" s="558">
        <f t="shared" si="44"/>
        <v>853</v>
      </c>
      <c r="N855" s="15">
        <f t="shared" si="42"/>
        <v>0.58036275729613229</v>
      </c>
      <c r="O855" s="165">
        <f t="shared" si="43"/>
        <v>0.44</v>
      </c>
      <c r="P855" s="18"/>
      <c r="Q855" s="18"/>
      <c r="R855" s="18"/>
      <c r="S855" s="18"/>
      <c r="T855" s="18"/>
      <c r="U855" s="18"/>
      <c r="V855" s="18"/>
      <c r="W855" s="18"/>
      <c r="X855" s="18"/>
    </row>
    <row r="856" spans="13:24">
      <c r="M856" s="558">
        <f t="shared" si="44"/>
        <v>854</v>
      </c>
      <c r="N856" s="15">
        <f t="shared" si="42"/>
        <v>0.58011790234587879</v>
      </c>
      <c r="O856" s="165">
        <f t="shared" si="43"/>
        <v>0.44</v>
      </c>
      <c r="P856" s="18"/>
      <c r="Q856" s="18"/>
      <c r="R856" s="18"/>
      <c r="S856" s="18"/>
      <c r="T856" s="18"/>
      <c r="U856" s="18"/>
      <c r="V856" s="18"/>
      <c r="W856" s="18"/>
      <c r="X856" s="18"/>
    </row>
    <row r="857" spans="13:24">
      <c r="M857" s="558">
        <f t="shared" si="44"/>
        <v>855</v>
      </c>
      <c r="N857" s="15">
        <f t="shared" si="42"/>
        <v>0.57987329020387135</v>
      </c>
      <c r="O857" s="165">
        <f t="shared" si="43"/>
        <v>0.44</v>
      </c>
      <c r="P857" s="18"/>
      <c r="Q857" s="18"/>
      <c r="R857" s="18"/>
      <c r="S857" s="18"/>
      <c r="T857" s="18"/>
      <c r="U857" s="18"/>
      <c r="V857" s="18"/>
      <c r="W857" s="18"/>
      <c r="X857" s="18"/>
    </row>
    <row r="858" spans="13:24">
      <c r="M858" s="558">
        <f t="shared" si="44"/>
        <v>856</v>
      </c>
      <c r="N858" s="15">
        <f t="shared" si="42"/>
        <v>0.5796289205654046</v>
      </c>
      <c r="O858" s="165">
        <f t="shared" si="43"/>
        <v>0.44</v>
      </c>
      <c r="P858" s="18"/>
      <c r="Q858" s="18"/>
      <c r="R858" s="18"/>
      <c r="S858" s="18"/>
      <c r="T858" s="18"/>
      <c r="U858" s="18"/>
      <c r="V858" s="18"/>
      <c r="W858" s="18"/>
      <c r="X858" s="18"/>
    </row>
    <row r="859" spans="13:24">
      <c r="M859" s="558">
        <f t="shared" si="44"/>
        <v>857</v>
      </c>
      <c r="N859" s="15">
        <f t="shared" si="42"/>
        <v>0.57938479312615698</v>
      </c>
      <c r="O859" s="165">
        <f t="shared" si="43"/>
        <v>0.44</v>
      </c>
      <c r="P859" s="18"/>
      <c r="Q859" s="18"/>
      <c r="R859" s="18"/>
      <c r="S859" s="18"/>
      <c r="T859" s="18"/>
      <c r="U859" s="18"/>
      <c r="V859" s="18"/>
      <c r="W859" s="18"/>
      <c r="X859" s="18"/>
    </row>
    <row r="860" spans="13:24">
      <c r="M860" s="558">
        <f t="shared" si="44"/>
        <v>858</v>
      </c>
      <c r="N860" s="15">
        <f t="shared" si="42"/>
        <v>0.57914090758218739</v>
      </c>
      <c r="O860" s="165">
        <f t="shared" si="43"/>
        <v>0.44</v>
      </c>
      <c r="P860" s="18"/>
      <c r="Q860" s="18"/>
      <c r="R860" s="18"/>
      <c r="S860" s="18"/>
      <c r="T860" s="18"/>
      <c r="U860" s="18"/>
      <c r="V860" s="18"/>
      <c r="W860" s="18"/>
      <c r="X860" s="18"/>
    </row>
    <row r="861" spans="13:24">
      <c r="M861" s="558">
        <f t="shared" si="44"/>
        <v>859</v>
      </c>
      <c r="N861" s="15">
        <f t="shared" si="42"/>
        <v>0.57889726362993665</v>
      </c>
      <c r="O861" s="165">
        <f t="shared" si="43"/>
        <v>0.44</v>
      </c>
      <c r="P861" s="18"/>
      <c r="Q861" s="18"/>
      <c r="R861" s="18"/>
      <c r="S861" s="18"/>
      <c r="T861" s="18"/>
      <c r="U861" s="18"/>
      <c r="V861" s="18"/>
      <c r="W861" s="18"/>
      <c r="X861" s="18"/>
    </row>
    <row r="862" spans="13:24">
      <c r="M862" s="558">
        <f t="shared" si="44"/>
        <v>860</v>
      </c>
      <c r="N862" s="15">
        <f t="shared" si="42"/>
        <v>0.57865386096622651</v>
      </c>
      <c r="O862" s="165">
        <f t="shared" si="43"/>
        <v>0.44</v>
      </c>
      <c r="P862" s="18"/>
      <c r="Q862" s="18"/>
      <c r="R862" s="18"/>
      <c r="S862" s="18"/>
      <c r="T862" s="18"/>
      <c r="U862" s="18"/>
      <c r="V862" s="18"/>
      <c r="W862" s="18"/>
      <c r="X862" s="18"/>
    </row>
    <row r="863" spans="13:24">
      <c r="M863" s="558">
        <f t="shared" si="44"/>
        <v>861</v>
      </c>
      <c r="N863" s="15">
        <f t="shared" si="42"/>
        <v>0.57841069928825961</v>
      </c>
      <c r="O863" s="165">
        <f t="shared" si="43"/>
        <v>0.44</v>
      </c>
      <c r="P863" s="18"/>
      <c r="Q863" s="18"/>
      <c r="R863" s="18"/>
      <c r="S863" s="18"/>
      <c r="T863" s="18"/>
      <c r="U863" s="18"/>
      <c r="V863" s="18"/>
      <c r="W863" s="18"/>
      <c r="X863" s="18"/>
    </row>
    <row r="864" spans="13:24">
      <c r="M864" s="558">
        <f t="shared" si="44"/>
        <v>862</v>
      </c>
      <c r="N864" s="15">
        <f t="shared" si="42"/>
        <v>0.57816777829361787</v>
      </c>
      <c r="O864" s="165">
        <f t="shared" si="43"/>
        <v>0.44</v>
      </c>
      <c r="P864" s="18"/>
      <c r="Q864" s="18"/>
      <c r="R864" s="18"/>
      <c r="S864" s="18"/>
      <c r="T864" s="18"/>
      <c r="U864" s="18"/>
      <c r="V864" s="18"/>
      <c r="W864" s="18"/>
      <c r="X864" s="18"/>
    </row>
    <row r="865" spans="13:24">
      <c r="M865" s="558">
        <f t="shared" si="44"/>
        <v>863</v>
      </c>
      <c r="N865" s="15">
        <f t="shared" si="42"/>
        <v>0.5779250976802629</v>
      </c>
      <c r="O865" s="165">
        <f t="shared" si="43"/>
        <v>0.44</v>
      </c>
      <c r="P865" s="18"/>
      <c r="Q865" s="18"/>
      <c r="R865" s="18"/>
      <c r="S865" s="18"/>
      <c r="T865" s="18"/>
      <c r="U865" s="18"/>
      <c r="V865" s="18"/>
      <c r="W865" s="18"/>
      <c r="X865" s="18"/>
    </row>
    <row r="866" spans="13:24">
      <c r="M866" s="558">
        <f t="shared" si="44"/>
        <v>864</v>
      </c>
      <c r="N866" s="15">
        <f t="shared" si="42"/>
        <v>0.5776826571465361</v>
      </c>
      <c r="O866" s="165">
        <f t="shared" si="43"/>
        <v>0.44</v>
      </c>
      <c r="P866" s="18"/>
      <c r="Q866" s="18"/>
      <c r="R866" s="18"/>
      <c r="S866" s="18"/>
      <c r="T866" s="18"/>
      <c r="U866" s="18"/>
      <c r="V866" s="18"/>
      <c r="W866" s="18"/>
      <c r="X866" s="18"/>
    </row>
    <row r="867" spans="13:24">
      <c r="M867" s="558">
        <f t="shared" si="44"/>
        <v>865</v>
      </c>
      <c r="N867" s="15">
        <f t="shared" si="42"/>
        <v>0.57744045639115638</v>
      </c>
      <c r="O867" s="165">
        <f t="shared" si="43"/>
        <v>0.44</v>
      </c>
      <c r="P867" s="18"/>
      <c r="Q867" s="18"/>
      <c r="R867" s="18"/>
      <c r="S867" s="18"/>
      <c r="T867" s="18"/>
      <c r="U867" s="18"/>
      <c r="V867" s="18"/>
      <c r="W867" s="18"/>
      <c r="X867" s="18"/>
    </row>
    <row r="868" spans="13:24">
      <c r="M868" s="558">
        <f t="shared" si="44"/>
        <v>866</v>
      </c>
      <c r="N868" s="15">
        <f t="shared" si="42"/>
        <v>0.57719849511322097</v>
      </c>
      <c r="O868" s="165">
        <f t="shared" si="43"/>
        <v>0.44</v>
      </c>
      <c r="P868" s="18"/>
      <c r="Q868" s="18"/>
      <c r="R868" s="18"/>
      <c r="S868" s="18"/>
      <c r="T868" s="18"/>
      <c r="U868" s="18"/>
      <c r="V868" s="18"/>
      <c r="W868" s="18"/>
      <c r="X868" s="18"/>
    </row>
    <row r="869" spans="13:24">
      <c r="M869" s="558">
        <f t="shared" si="44"/>
        <v>867</v>
      </c>
      <c r="N869" s="15">
        <f t="shared" si="42"/>
        <v>0.57695677301220527</v>
      </c>
      <c r="O869" s="165">
        <f t="shared" si="43"/>
        <v>0.44</v>
      </c>
      <c r="P869" s="18"/>
      <c r="Q869" s="18"/>
      <c r="R869" s="18"/>
      <c r="S869" s="18"/>
      <c r="T869" s="18"/>
      <c r="U869" s="18"/>
      <c r="V869" s="18"/>
      <c r="W869" s="18"/>
      <c r="X869" s="18"/>
    </row>
    <row r="870" spans="13:24">
      <c r="M870" s="558">
        <f t="shared" si="44"/>
        <v>868</v>
      </c>
      <c r="N870" s="15">
        <f t="shared" si="42"/>
        <v>0.57671528978796149</v>
      </c>
      <c r="O870" s="165">
        <f t="shared" si="43"/>
        <v>0.44</v>
      </c>
      <c r="P870" s="18"/>
      <c r="Q870" s="18"/>
      <c r="R870" s="18"/>
      <c r="S870" s="18"/>
      <c r="T870" s="18"/>
      <c r="U870" s="18"/>
      <c r="V870" s="18"/>
      <c r="W870" s="18"/>
      <c r="X870" s="18"/>
    </row>
    <row r="871" spans="13:24">
      <c r="M871" s="558">
        <f t="shared" si="44"/>
        <v>869</v>
      </c>
      <c r="N871" s="15">
        <f t="shared" si="42"/>
        <v>0.57647404514071843</v>
      </c>
      <c r="O871" s="165">
        <f t="shared" si="43"/>
        <v>0.44</v>
      </c>
      <c r="P871" s="18"/>
      <c r="Q871" s="18"/>
      <c r="R871" s="18"/>
      <c r="S871" s="18"/>
      <c r="T871" s="18"/>
      <c r="U871" s="18"/>
      <c r="V871" s="18"/>
      <c r="W871" s="18"/>
      <c r="X871" s="18"/>
    </row>
    <row r="872" spans="13:24">
      <c r="M872" s="558">
        <f t="shared" si="44"/>
        <v>870</v>
      </c>
      <c r="N872" s="15">
        <f t="shared" si="42"/>
        <v>0.5762330387710809</v>
      </c>
      <c r="O872" s="165">
        <f t="shared" si="43"/>
        <v>0.44</v>
      </c>
      <c r="P872" s="18"/>
      <c r="Q872" s="18"/>
      <c r="R872" s="18"/>
      <c r="S872" s="18"/>
      <c r="T872" s="18"/>
      <c r="U872" s="18"/>
      <c r="V872" s="18"/>
      <c r="W872" s="18"/>
      <c r="X872" s="18"/>
    </row>
    <row r="873" spans="13:24">
      <c r="M873" s="558">
        <f t="shared" si="44"/>
        <v>871</v>
      </c>
      <c r="N873" s="15">
        <f t="shared" si="42"/>
        <v>0.57599227038002943</v>
      </c>
      <c r="O873" s="165">
        <f t="shared" si="43"/>
        <v>0.44</v>
      </c>
      <c r="P873" s="18"/>
      <c r="Q873" s="18"/>
      <c r="R873" s="18"/>
      <c r="S873" s="18"/>
      <c r="T873" s="18"/>
      <c r="U873" s="18"/>
      <c r="V873" s="18"/>
      <c r="W873" s="18"/>
      <c r="X873" s="18"/>
    </row>
    <row r="874" spans="13:24">
      <c r="M874" s="558">
        <f t="shared" si="44"/>
        <v>872</v>
      </c>
      <c r="N874" s="15">
        <f t="shared" si="42"/>
        <v>0.57575173966892068</v>
      </c>
      <c r="O874" s="165">
        <f t="shared" si="43"/>
        <v>0.44</v>
      </c>
      <c r="P874" s="18"/>
      <c r="Q874" s="18"/>
      <c r="R874" s="18"/>
      <c r="S874" s="18"/>
      <c r="T874" s="18"/>
      <c r="U874" s="18"/>
      <c r="V874" s="18"/>
      <c r="W874" s="18"/>
      <c r="X874" s="18"/>
    </row>
    <row r="875" spans="13:24">
      <c r="M875" s="558">
        <f t="shared" si="44"/>
        <v>873</v>
      </c>
      <c r="N875" s="15">
        <f t="shared" si="42"/>
        <v>0.57551144633948503</v>
      </c>
      <c r="O875" s="165">
        <f t="shared" si="43"/>
        <v>0.44</v>
      </c>
      <c r="P875" s="18"/>
      <c r="Q875" s="18"/>
      <c r="R875" s="18"/>
      <c r="S875" s="18"/>
      <c r="T875" s="18"/>
      <c r="U875" s="18"/>
      <c r="V875" s="18"/>
      <c r="W875" s="18"/>
      <c r="X875" s="18"/>
    </row>
    <row r="876" spans="13:24">
      <c r="M876" s="558">
        <f t="shared" si="44"/>
        <v>874</v>
      </c>
      <c r="N876" s="15">
        <f t="shared" si="42"/>
        <v>0.57527139009382755</v>
      </c>
      <c r="O876" s="165">
        <f t="shared" si="43"/>
        <v>0.44</v>
      </c>
      <c r="P876" s="18"/>
      <c r="Q876" s="18"/>
      <c r="R876" s="18"/>
      <c r="S876" s="18"/>
      <c r="T876" s="18"/>
      <c r="U876" s="18"/>
      <c r="V876" s="18"/>
      <c r="W876" s="18"/>
      <c r="X876" s="18"/>
    </row>
    <row r="877" spans="13:24">
      <c r="M877" s="558">
        <f t="shared" si="44"/>
        <v>875</v>
      </c>
      <c r="N877" s="15">
        <f t="shared" si="42"/>
        <v>0.57503157063442689</v>
      </c>
      <c r="O877" s="165">
        <f t="shared" si="43"/>
        <v>0.44</v>
      </c>
      <c r="P877" s="18"/>
      <c r="Q877" s="18"/>
      <c r="R877" s="18"/>
      <c r="S877" s="18"/>
      <c r="T877" s="18"/>
      <c r="U877" s="18"/>
      <c r="V877" s="18"/>
      <c r="W877" s="18"/>
      <c r="X877" s="18"/>
    </row>
    <row r="878" spans="13:24">
      <c r="M878" s="558">
        <f t="shared" si="44"/>
        <v>876</v>
      </c>
      <c r="N878" s="15">
        <f t="shared" si="42"/>
        <v>0.57479198766413586</v>
      </c>
      <c r="O878" s="165">
        <f t="shared" si="43"/>
        <v>0.44</v>
      </c>
      <c r="P878" s="18"/>
      <c r="Q878" s="18"/>
      <c r="R878" s="18"/>
      <c r="S878" s="18"/>
      <c r="T878" s="18"/>
      <c r="U878" s="18"/>
      <c r="V878" s="18"/>
      <c r="W878" s="18"/>
      <c r="X878" s="18"/>
    </row>
    <row r="879" spans="13:24">
      <c r="M879" s="558">
        <f t="shared" si="44"/>
        <v>877</v>
      </c>
      <c r="N879" s="15">
        <f t="shared" si="42"/>
        <v>0.57455264088617941</v>
      </c>
      <c r="O879" s="165">
        <f t="shared" si="43"/>
        <v>0.44</v>
      </c>
      <c r="P879" s="18"/>
      <c r="Q879" s="18"/>
      <c r="R879" s="18"/>
      <c r="S879" s="18"/>
      <c r="T879" s="18"/>
      <c r="U879" s="18"/>
      <c r="V879" s="18"/>
      <c r="W879" s="18"/>
      <c r="X879" s="18"/>
    </row>
    <row r="880" spans="13:24">
      <c r="M880" s="558">
        <f t="shared" si="44"/>
        <v>878</v>
      </c>
      <c r="N880" s="15">
        <f t="shared" si="42"/>
        <v>0.57431353000415475</v>
      </c>
      <c r="O880" s="165">
        <f t="shared" si="43"/>
        <v>0.44</v>
      </c>
      <c r="P880" s="18"/>
      <c r="Q880" s="18"/>
      <c r="R880" s="18"/>
      <c r="S880" s="18"/>
      <c r="T880" s="18"/>
      <c r="U880" s="18"/>
      <c r="V880" s="18"/>
      <c r="W880" s="18"/>
      <c r="X880" s="18"/>
    </row>
    <row r="881" spans="13:24">
      <c r="M881" s="558">
        <f t="shared" si="44"/>
        <v>879</v>
      </c>
      <c r="N881" s="15">
        <f t="shared" si="42"/>
        <v>0.57407465472203201</v>
      </c>
      <c r="O881" s="165">
        <f t="shared" si="43"/>
        <v>0.44</v>
      </c>
      <c r="P881" s="18"/>
      <c r="Q881" s="18"/>
      <c r="R881" s="18"/>
      <c r="S881" s="18"/>
      <c r="T881" s="18"/>
      <c r="U881" s="18"/>
      <c r="V881" s="18"/>
      <c r="W881" s="18"/>
      <c r="X881" s="18"/>
    </row>
    <row r="882" spans="13:24">
      <c r="M882" s="558">
        <f t="shared" si="44"/>
        <v>880</v>
      </c>
      <c r="N882" s="15">
        <f t="shared" si="42"/>
        <v>0.57383601474415191</v>
      </c>
      <c r="O882" s="165">
        <f t="shared" si="43"/>
        <v>0.44</v>
      </c>
      <c r="P882" s="18"/>
      <c r="Q882" s="18"/>
      <c r="R882" s="18"/>
      <c r="S882" s="18"/>
      <c r="T882" s="18"/>
      <c r="U882" s="18"/>
      <c r="V882" s="18"/>
      <c r="W882" s="18"/>
      <c r="X882" s="18"/>
    </row>
    <row r="883" spans="13:24">
      <c r="M883" s="558">
        <f t="shared" si="44"/>
        <v>881</v>
      </c>
      <c r="N883" s="15">
        <f t="shared" si="42"/>
        <v>0.57359760977522645</v>
      </c>
      <c r="O883" s="165">
        <f t="shared" si="43"/>
        <v>0.44</v>
      </c>
      <c r="P883" s="18"/>
      <c r="Q883" s="18"/>
      <c r="R883" s="18"/>
      <c r="S883" s="18"/>
      <c r="T883" s="18"/>
      <c r="U883" s="18"/>
      <c r="V883" s="18"/>
      <c r="W883" s="18"/>
      <c r="X883" s="18"/>
    </row>
    <row r="884" spans="13:24">
      <c r="M884" s="558">
        <f t="shared" si="44"/>
        <v>882</v>
      </c>
      <c r="N884" s="15">
        <f t="shared" si="42"/>
        <v>0.57335943952033852</v>
      </c>
      <c r="O884" s="165">
        <f t="shared" si="43"/>
        <v>0.44</v>
      </c>
      <c r="P884" s="18"/>
      <c r="Q884" s="18"/>
      <c r="R884" s="18"/>
      <c r="S884" s="18"/>
      <c r="T884" s="18"/>
      <c r="U884" s="18"/>
      <c r="V884" s="18"/>
      <c r="W884" s="18"/>
      <c r="X884" s="18"/>
    </row>
    <row r="885" spans="13:24">
      <c r="M885" s="558">
        <f t="shared" si="44"/>
        <v>883</v>
      </c>
      <c r="N885" s="15">
        <f t="shared" si="42"/>
        <v>0.57312150368494086</v>
      </c>
      <c r="O885" s="165">
        <f t="shared" si="43"/>
        <v>0.44</v>
      </c>
      <c r="P885" s="18"/>
      <c r="Q885" s="18"/>
      <c r="R885" s="18"/>
      <c r="S885" s="18"/>
      <c r="T885" s="18"/>
      <c r="U885" s="18"/>
      <c r="V885" s="18"/>
      <c r="W885" s="18"/>
      <c r="X885" s="18"/>
    </row>
    <row r="886" spans="13:24">
      <c r="M886" s="558">
        <f t="shared" si="44"/>
        <v>884</v>
      </c>
      <c r="N886" s="15">
        <f t="shared" si="42"/>
        <v>0.57288380197485533</v>
      </c>
      <c r="O886" s="165">
        <f t="shared" si="43"/>
        <v>0.44</v>
      </c>
      <c r="P886" s="18"/>
      <c r="Q886" s="18"/>
      <c r="R886" s="18"/>
      <c r="S886" s="18"/>
      <c r="T886" s="18"/>
      <c r="U886" s="18"/>
      <c r="V886" s="18"/>
      <c r="W886" s="18"/>
      <c r="X886" s="18"/>
    </row>
    <row r="887" spans="13:24">
      <c r="M887" s="558">
        <f t="shared" si="44"/>
        <v>885</v>
      </c>
      <c r="N887" s="15">
        <f t="shared" si="42"/>
        <v>0.57264633409627408</v>
      </c>
      <c r="O887" s="165">
        <f t="shared" si="43"/>
        <v>0.44</v>
      </c>
      <c r="P887" s="18"/>
      <c r="Q887" s="18"/>
      <c r="R887" s="18"/>
      <c r="S887" s="18"/>
      <c r="T887" s="18"/>
      <c r="U887" s="18"/>
      <c r="V887" s="18"/>
      <c r="W887" s="18"/>
      <c r="X887" s="18"/>
    </row>
    <row r="888" spans="13:24">
      <c r="M888" s="558">
        <f t="shared" si="44"/>
        <v>886</v>
      </c>
      <c r="N888" s="15">
        <f t="shared" si="42"/>
        <v>0.57240909975575716</v>
      </c>
      <c r="O888" s="165">
        <f t="shared" si="43"/>
        <v>0.44</v>
      </c>
      <c r="P888" s="18"/>
      <c r="Q888" s="18"/>
      <c r="R888" s="18"/>
      <c r="S888" s="18"/>
      <c r="T888" s="18"/>
      <c r="U888" s="18"/>
      <c r="V888" s="18"/>
      <c r="W888" s="18"/>
      <c r="X888" s="18"/>
    </row>
    <row r="889" spans="13:24">
      <c r="M889" s="558">
        <f t="shared" si="44"/>
        <v>887</v>
      </c>
      <c r="N889" s="15">
        <f t="shared" si="42"/>
        <v>0.572172098660233</v>
      </c>
      <c r="O889" s="165">
        <f t="shared" si="43"/>
        <v>0.44</v>
      </c>
      <c r="P889" s="18"/>
      <c r="Q889" s="18"/>
      <c r="R889" s="18"/>
      <c r="S889" s="18"/>
      <c r="T889" s="18"/>
      <c r="U889" s="18"/>
      <c r="V889" s="18"/>
      <c r="W889" s="18"/>
      <c r="X889" s="18"/>
    </row>
    <row r="890" spans="13:24">
      <c r="M890" s="558">
        <f t="shared" si="44"/>
        <v>888</v>
      </c>
      <c r="N890" s="15">
        <f t="shared" si="42"/>
        <v>0.57193533051699763</v>
      </c>
      <c r="O890" s="165">
        <f t="shared" si="43"/>
        <v>0.44</v>
      </c>
      <c r="P890" s="18"/>
      <c r="Q890" s="18"/>
      <c r="R890" s="18"/>
      <c r="S890" s="18"/>
      <c r="T890" s="18"/>
      <c r="U890" s="18"/>
      <c r="V890" s="18"/>
      <c r="W890" s="18"/>
      <c r="X890" s="18"/>
    </row>
    <row r="891" spans="13:24">
      <c r="M891" s="558">
        <f t="shared" si="44"/>
        <v>889</v>
      </c>
      <c r="N891" s="15">
        <f t="shared" si="42"/>
        <v>0.57169879503371501</v>
      </c>
      <c r="O891" s="165">
        <f t="shared" si="43"/>
        <v>0.44</v>
      </c>
      <c r="P891" s="18"/>
      <c r="Q891" s="18"/>
      <c r="R891" s="18"/>
      <c r="S891" s="18"/>
      <c r="T891" s="18"/>
      <c r="U891" s="18"/>
      <c r="V891" s="18"/>
      <c r="W891" s="18"/>
      <c r="X891" s="18"/>
    </row>
    <row r="892" spans="13:24">
      <c r="M892" s="558">
        <f t="shared" si="44"/>
        <v>890</v>
      </c>
      <c r="N892" s="15">
        <f t="shared" si="42"/>
        <v>0.57146249191841558</v>
      </c>
      <c r="O892" s="165">
        <f t="shared" si="43"/>
        <v>0.44</v>
      </c>
      <c r="P892" s="18"/>
      <c r="Q892" s="18"/>
      <c r="R892" s="18"/>
      <c r="S892" s="18"/>
      <c r="T892" s="18"/>
      <c r="U892" s="18"/>
      <c r="V892" s="18"/>
      <c r="W892" s="18"/>
      <c r="X892" s="18"/>
    </row>
    <row r="893" spans="13:24">
      <c r="M893" s="558">
        <f t="shared" si="44"/>
        <v>891</v>
      </c>
      <c r="N893" s="15">
        <f t="shared" si="42"/>
        <v>0.57122642087949582</v>
      </c>
      <c r="O893" s="165">
        <f t="shared" si="43"/>
        <v>0.44</v>
      </c>
      <c r="P893" s="18"/>
      <c r="Q893" s="18"/>
      <c r="R893" s="18"/>
      <c r="S893" s="18"/>
      <c r="T893" s="18"/>
      <c r="U893" s="18"/>
      <c r="V893" s="18"/>
      <c r="W893" s="18"/>
      <c r="X893" s="18"/>
    </row>
    <row r="894" spans="13:24">
      <c r="M894" s="558">
        <f t="shared" si="44"/>
        <v>892</v>
      </c>
      <c r="N894" s="15">
        <f t="shared" si="42"/>
        <v>0.57099058162571892</v>
      </c>
      <c r="O894" s="165">
        <f t="shared" si="43"/>
        <v>0.44</v>
      </c>
      <c r="P894" s="18"/>
      <c r="Q894" s="18"/>
      <c r="R894" s="18"/>
      <c r="S894" s="18"/>
      <c r="T894" s="18"/>
      <c r="U894" s="18"/>
      <c r="V894" s="18"/>
      <c r="W894" s="18"/>
      <c r="X894" s="18"/>
    </row>
    <row r="895" spans="13:24">
      <c r="M895" s="558">
        <f t="shared" si="44"/>
        <v>893</v>
      </c>
      <c r="N895" s="15">
        <f t="shared" si="42"/>
        <v>0.57075497386621299</v>
      </c>
      <c r="O895" s="165">
        <f t="shared" si="43"/>
        <v>0.44</v>
      </c>
      <c r="P895" s="18"/>
      <c r="Q895" s="18"/>
      <c r="R895" s="18"/>
      <c r="S895" s="18"/>
      <c r="T895" s="18"/>
      <c r="U895" s="18"/>
      <c r="V895" s="18"/>
      <c r="W895" s="18"/>
      <c r="X895" s="18"/>
    </row>
    <row r="896" spans="13:24">
      <c r="M896" s="558">
        <f t="shared" si="44"/>
        <v>894</v>
      </c>
      <c r="N896" s="15">
        <f t="shared" si="42"/>
        <v>0.57051959731047097</v>
      </c>
      <c r="O896" s="165">
        <f t="shared" si="43"/>
        <v>0.44</v>
      </c>
      <c r="P896" s="18"/>
      <c r="Q896" s="18"/>
      <c r="R896" s="18"/>
      <c r="S896" s="18"/>
      <c r="T896" s="18"/>
      <c r="U896" s="18"/>
      <c r="V896" s="18"/>
      <c r="W896" s="18"/>
      <c r="X896" s="18"/>
    </row>
    <row r="897" spans="13:24">
      <c r="M897" s="558">
        <f t="shared" si="44"/>
        <v>895</v>
      </c>
      <c r="N897" s="15">
        <f t="shared" si="42"/>
        <v>0.57028445166835162</v>
      </c>
      <c r="O897" s="165">
        <f t="shared" si="43"/>
        <v>0.44</v>
      </c>
      <c r="P897" s="18"/>
      <c r="Q897" s="18"/>
      <c r="R897" s="18"/>
      <c r="S897" s="18"/>
      <c r="T897" s="18"/>
      <c r="U897" s="18"/>
      <c r="V897" s="18"/>
      <c r="W897" s="18"/>
      <c r="X897" s="18"/>
    </row>
    <row r="898" spans="13:24">
      <c r="M898" s="558">
        <f t="shared" si="44"/>
        <v>896</v>
      </c>
      <c r="N898" s="15">
        <f t="shared" si="42"/>
        <v>0.57004953665007574</v>
      </c>
      <c r="O898" s="165">
        <f t="shared" si="43"/>
        <v>0.44</v>
      </c>
      <c r="P898" s="18"/>
      <c r="Q898" s="18"/>
      <c r="R898" s="18"/>
      <c r="S898" s="18"/>
      <c r="T898" s="18"/>
      <c r="U898" s="18"/>
      <c r="V898" s="18"/>
      <c r="W898" s="18"/>
      <c r="X898" s="18"/>
    </row>
    <row r="899" spans="13:24">
      <c r="M899" s="558">
        <f t="shared" si="44"/>
        <v>897</v>
      </c>
      <c r="N899" s="15">
        <f t="shared" si="42"/>
        <v>0.56981485196622961</v>
      </c>
      <c r="O899" s="165">
        <f t="shared" si="43"/>
        <v>0.44</v>
      </c>
      <c r="P899" s="18"/>
      <c r="Q899" s="18"/>
      <c r="R899" s="18"/>
      <c r="S899" s="18"/>
      <c r="T899" s="18"/>
      <c r="U899" s="18"/>
      <c r="V899" s="18"/>
      <c r="W899" s="18"/>
      <c r="X899" s="18"/>
    </row>
    <row r="900" spans="13:24">
      <c r="M900" s="558">
        <f t="shared" si="44"/>
        <v>898</v>
      </c>
      <c r="N900" s="15">
        <f t="shared" ref="N900:N963" si="45">IF(M900&lt;$B$31+1,$B$32+$B$33/$B$31*(8760-M900)+$B$34*IF(M900&lt;$B$36-$B$31/(2*$B$35),1,IF(M900&lt;$B$36+$B$31/(2*$B$35),COS(PI()/2*(M900-($B$36-$B$31/(2*$B$35)))*$B$35/$B$31)^2,0))+$B$37*EXP((8760-M900)/8760*$B$38)/EXP($B$38)-(8760-$B$31)*$B$33/$B$31,0)</f>
        <v>0.569580397327762</v>
      </c>
      <c r="O900" s="165">
        <f t="shared" ref="O900:O963" si="46">MIN(N900,C$24)</f>
        <v>0.44</v>
      </c>
      <c r="P900" s="18"/>
      <c r="Q900" s="18"/>
      <c r="R900" s="18"/>
      <c r="S900" s="18"/>
      <c r="T900" s="18"/>
      <c r="U900" s="18"/>
      <c r="V900" s="18"/>
      <c r="W900" s="18"/>
      <c r="X900" s="18"/>
    </row>
    <row r="901" spans="13:24">
      <c r="M901" s="558">
        <f t="shared" ref="M901:M964" si="47">M900+1</f>
        <v>899</v>
      </c>
      <c r="N901" s="15">
        <f t="shared" si="45"/>
        <v>0.56934617244598407</v>
      </c>
      <c r="O901" s="165">
        <f t="shared" si="46"/>
        <v>0.44</v>
      </c>
      <c r="P901" s="18"/>
      <c r="Q901" s="18"/>
      <c r="R901" s="18"/>
      <c r="S901" s="18"/>
      <c r="T901" s="18"/>
      <c r="U901" s="18"/>
      <c r="V901" s="18"/>
      <c r="W901" s="18"/>
      <c r="X901" s="18"/>
    </row>
    <row r="902" spans="13:24">
      <c r="M902" s="558">
        <f t="shared" si="47"/>
        <v>900</v>
      </c>
      <c r="N902" s="15">
        <f t="shared" si="45"/>
        <v>0.56911217703257</v>
      </c>
      <c r="O902" s="165">
        <f t="shared" si="46"/>
        <v>0.44</v>
      </c>
      <c r="P902" s="18"/>
      <c r="Q902" s="18"/>
      <c r="R902" s="18"/>
      <c r="S902" s="18"/>
      <c r="T902" s="18"/>
      <c r="U902" s="18"/>
      <c r="V902" s="18"/>
      <c r="W902" s="18"/>
      <c r="X902" s="18"/>
    </row>
    <row r="903" spans="13:24">
      <c r="M903" s="558">
        <f t="shared" si="47"/>
        <v>901</v>
      </c>
      <c r="N903" s="15">
        <f t="shared" si="45"/>
        <v>0.56887841079955548</v>
      </c>
      <c r="O903" s="165">
        <f t="shared" si="46"/>
        <v>0.44</v>
      </c>
      <c r="P903" s="18"/>
      <c r="Q903" s="18"/>
      <c r="R903" s="18"/>
      <c r="S903" s="18"/>
      <c r="T903" s="18"/>
      <c r="U903" s="18"/>
      <c r="V903" s="18"/>
      <c r="W903" s="18"/>
      <c r="X903" s="18"/>
    </row>
    <row r="904" spans="13:24">
      <c r="M904" s="558">
        <f t="shared" si="47"/>
        <v>902</v>
      </c>
      <c r="N904" s="15">
        <f t="shared" si="45"/>
        <v>0.56864487345933712</v>
      </c>
      <c r="O904" s="165">
        <f t="shared" si="46"/>
        <v>0.44</v>
      </c>
      <c r="P904" s="18"/>
      <c r="Q904" s="18"/>
      <c r="R904" s="18"/>
      <c r="S904" s="18"/>
      <c r="T904" s="18"/>
      <c r="U904" s="18"/>
      <c r="V904" s="18"/>
      <c r="W904" s="18"/>
      <c r="X904" s="18"/>
    </row>
    <row r="905" spans="13:24">
      <c r="M905" s="558">
        <f t="shared" si="47"/>
        <v>903</v>
      </c>
      <c r="N905" s="15">
        <f t="shared" si="45"/>
        <v>0.56841156472467302</v>
      </c>
      <c r="O905" s="165">
        <f t="shared" si="46"/>
        <v>0.44</v>
      </c>
      <c r="P905" s="18"/>
      <c r="Q905" s="18"/>
      <c r="R905" s="18"/>
      <c r="S905" s="18"/>
      <c r="T905" s="18"/>
      <c r="U905" s="18"/>
      <c r="V905" s="18"/>
      <c r="W905" s="18"/>
      <c r="X905" s="18"/>
    </row>
    <row r="906" spans="13:24">
      <c r="M906" s="558">
        <f t="shared" si="47"/>
        <v>904</v>
      </c>
      <c r="N906" s="15">
        <f t="shared" si="45"/>
        <v>0.56817848430868167</v>
      </c>
      <c r="O906" s="165">
        <f t="shared" si="46"/>
        <v>0.44</v>
      </c>
      <c r="P906" s="18"/>
      <c r="Q906" s="18"/>
      <c r="R906" s="18"/>
      <c r="S906" s="18"/>
      <c r="T906" s="18"/>
      <c r="U906" s="18"/>
      <c r="V906" s="18"/>
      <c r="W906" s="18"/>
      <c r="X906" s="18"/>
    </row>
    <row r="907" spans="13:24">
      <c r="M907" s="558">
        <f t="shared" si="47"/>
        <v>905</v>
      </c>
      <c r="N907" s="15">
        <f t="shared" si="45"/>
        <v>0.56794563192484149</v>
      </c>
      <c r="O907" s="165">
        <f t="shared" si="46"/>
        <v>0.44</v>
      </c>
      <c r="P907" s="18"/>
      <c r="Q907" s="18"/>
      <c r="R907" s="18"/>
      <c r="S907" s="18"/>
      <c r="T907" s="18"/>
      <c r="U907" s="18"/>
      <c r="V907" s="18"/>
      <c r="W907" s="18"/>
      <c r="X907" s="18"/>
    </row>
    <row r="908" spans="13:24">
      <c r="M908" s="558">
        <f t="shared" si="47"/>
        <v>906</v>
      </c>
      <c r="N908" s="15">
        <f t="shared" si="45"/>
        <v>0.56771300728699003</v>
      </c>
      <c r="O908" s="165">
        <f t="shared" si="46"/>
        <v>0.44</v>
      </c>
      <c r="P908" s="18"/>
      <c r="Q908" s="18"/>
      <c r="R908" s="18"/>
      <c r="S908" s="18"/>
      <c r="T908" s="18"/>
      <c r="U908" s="18"/>
      <c r="V908" s="18"/>
      <c r="W908" s="18"/>
      <c r="X908" s="18"/>
    </row>
    <row r="909" spans="13:24">
      <c r="M909" s="558">
        <f t="shared" si="47"/>
        <v>907</v>
      </c>
      <c r="N909" s="15">
        <f t="shared" si="45"/>
        <v>0.56748061010932493</v>
      </c>
      <c r="O909" s="165">
        <f t="shared" si="46"/>
        <v>0.44</v>
      </c>
      <c r="P909" s="18"/>
      <c r="Q909" s="18"/>
      <c r="R909" s="18"/>
      <c r="S909" s="18"/>
      <c r="T909" s="18"/>
      <c r="U909" s="18"/>
      <c r="V909" s="18"/>
      <c r="W909" s="18"/>
      <c r="X909" s="18"/>
    </row>
    <row r="910" spans="13:24">
      <c r="M910" s="558">
        <f t="shared" si="47"/>
        <v>908</v>
      </c>
      <c r="N910" s="15">
        <f t="shared" si="45"/>
        <v>0.56724844010640174</v>
      </c>
      <c r="O910" s="165">
        <f t="shared" si="46"/>
        <v>0.44</v>
      </c>
      <c r="P910" s="18"/>
      <c r="Q910" s="18"/>
      <c r="R910" s="18"/>
      <c r="S910" s="18"/>
      <c r="T910" s="18"/>
      <c r="U910" s="18"/>
      <c r="V910" s="18"/>
      <c r="W910" s="18"/>
      <c r="X910" s="18"/>
    </row>
    <row r="911" spans="13:24">
      <c r="M911" s="558">
        <f t="shared" si="47"/>
        <v>909</v>
      </c>
      <c r="N911" s="15">
        <f t="shared" si="45"/>
        <v>0.56701649699313406</v>
      </c>
      <c r="O911" s="165">
        <f t="shared" si="46"/>
        <v>0.44</v>
      </c>
      <c r="P911" s="18"/>
      <c r="Q911" s="18"/>
      <c r="R911" s="18"/>
      <c r="S911" s="18"/>
      <c r="T911" s="18"/>
      <c r="U911" s="18"/>
      <c r="V911" s="18"/>
      <c r="W911" s="18"/>
      <c r="X911" s="18"/>
    </row>
    <row r="912" spans="13:24">
      <c r="M912" s="558">
        <f t="shared" si="47"/>
        <v>910</v>
      </c>
      <c r="N912" s="15">
        <f t="shared" si="45"/>
        <v>0.56678478048479419</v>
      </c>
      <c r="O912" s="165">
        <f t="shared" si="46"/>
        <v>0.44</v>
      </c>
      <c r="P912" s="18"/>
      <c r="Q912" s="18"/>
      <c r="R912" s="18"/>
      <c r="S912" s="18"/>
      <c r="T912" s="18"/>
      <c r="U912" s="18"/>
      <c r="V912" s="18"/>
      <c r="W912" s="18"/>
      <c r="X912" s="18"/>
    </row>
    <row r="913" spans="13:24">
      <c r="M913" s="558">
        <f t="shared" si="47"/>
        <v>911</v>
      </c>
      <c r="N913" s="15">
        <f t="shared" si="45"/>
        <v>0.56655329029701074</v>
      </c>
      <c r="O913" s="165">
        <f t="shared" si="46"/>
        <v>0.44</v>
      </c>
      <c r="P913" s="18"/>
      <c r="Q913" s="18"/>
      <c r="R913" s="18"/>
      <c r="S913" s="18"/>
      <c r="T913" s="18"/>
      <c r="U913" s="18"/>
      <c r="V913" s="18"/>
      <c r="W913" s="18"/>
      <c r="X913" s="18"/>
    </row>
    <row r="914" spans="13:24">
      <c r="M914" s="558">
        <f t="shared" si="47"/>
        <v>912</v>
      </c>
      <c r="N914" s="15">
        <f t="shared" si="45"/>
        <v>0.56632202614576943</v>
      </c>
      <c r="O914" s="165">
        <f t="shared" si="46"/>
        <v>0.44</v>
      </c>
      <c r="P914" s="18"/>
      <c r="Q914" s="18"/>
      <c r="R914" s="18"/>
      <c r="S914" s="18"/>
      <c r="T914" s="18"/>
      <c r="U914" s="18"/>
      <c r="V914" s="18"/>
      <c r="W914" s="18"/>
      <c r="X914" s="18"/>
    </row>
    <row r="915" spans="13:24">
      <c r="M915" s="558">
        <f t="shared" si="47"/>
        <v>913</v>
      </c>
      <c r="N915" s="15">
        <f t="shared" si="45"/>
        <v>0.56609098774741307</v>
      </c>
      <c r="O915" s="165">
        <f t="shared" si="46"/>
        <v>0.44</v>
      </c>
      <c r="P915" s="18"/>
      <c r="Q915" s="18"/>
      <c r="R915" s="18"/>
      <c r="S915" s="18"/>
      <c r="T915" s="18"/>
      <c r="U915" s="18"/>
      <c r="V915" s="18"/>
      <c r="W915" s="18"/>
      <c r="X915" s="18"/>
    </row>
    <row r="916" spans="13:24">
      <c r="M916" s="558">
        <f t="shared" si="47"/>
        <v>914</v>
      </c>
      <c r="N916" s="15">
        <f t="shared" si="45"/>
        <v>0.56586017481863971</v>
      </c>
      <c r="O916" s="165">
        <f t="shared" si="46"/>
        <v>0.44</v>
      </c>
      <c r="P916" s="18"/>
      <c r="Q916" s="18"/>
      <c r="R916" s="18"/>
      <c r="S916" s="18"/>
      <c r="T916" s="18"/>
      <c r="U916" s="18"/>
      <c r="V916" s="18"/>
      <c r="W916" s="18"/>
      <c r="X916" s="18"/>
    </row>
    <row r="917" spans="13:24">
      <c r="M917" s="558">
        <f t="shared" si="47"/>
        <v>915</v>
      </c>
      <c r="N917" s="15">
        <f t="shared" si="45"/>
        <v>0.56562958707650268</v>
      </c>
      <c r="O917" s="165">
        <f t="shared" si="46"/>
        <v>0.44</v>
      </c>
      <c r="P917" s="18"/>
      <c r="Q917" s="18"/>
      <c r="R917" s="18"/>
      <c r="S917" s="18"/>
      <c r="T917" s="18"/>
      <c r="U917" s="18"/>
      <c r="V917" s="18"/>
      <c r="W917" s="18"/>
      <c r="X917" s="18"/>
    </row>
    <row r="918" spans="13:24">
      <c r="M918" s="558">
        <f t="shared" si="47"/>
        <v>916</v>
      </c>
      <c r="N918" s="15">
        <f t="shared" si="45"/>
        <v>0.5653992242384116</v>
      </c>
      <c r="O918" s="165">
        <f t="shared" si="46"/>
        <v>0.44</v>
      </c>
      <c r="P918" s="18"/>
      <c r="Q918" s="18"/>
      <c r="R918" s="18"/>
      <c r="S918" s="18"/>
      <c r="T918" s="18"/>
      <c r="U918" s="18"/>
      <c r="V918" s="18"/>
      <c r="W918" s="18"/>
      <c r="X918" s="18"/>
    </row>
    <row r="919" spans="13:24">
      <c r="M919" s="558">
        <f t="shared" si="47"/>
        <v>917</v>
      </c>
      <c r="N919" s="15">
        <f t="shared" si="45"/>
        <v>0.56516908602212956</v>
      </c>
      <c r="O919" s="165">
        <f t="shared" si="46"/>
        <v>0.44</v>
      </c>
      <c r="P919" s="18"/>
      <c r="Q919" s="18"/>
      <c r="R919" s="18"/>
      <c r="S919" s="18"/>
      <c r="T919" s="18"/>
      <c r="U919" s="18"/>
      <c r="V919" s="18"/>
      <c r="W919" s="18"/>
      <c r="X919" s="18"/>
    </row>
    <row r="920" spans="13:24">
      <c r="M920" s="558">
        <f t="shared" si="47"/>
        <v>918</v>
      </c>
      <c r="N920" s="15">
        <f t="shared" si="45"/>
        <v>0.56493917214577394</v>
      </c>
      <c r="O920" s="165">
        <f t="shared" si="46"/>
        <v>0.44</v>
      </c>
      <c r="P920" s="18"/>
      <c r="Q920" s="18"/>
      <c r="R920" s="18"/>
      <c r="S920" s="18"/>
      <c r="T920" s="18"/>
      <c r="U920" s="18"/>
      <c r="V920" s="18"/>
      <c r="W920" s="18"/>
      <c r="X920" s="18"/>
    </row>
    <row r="921" spans="13:24">
      <c r="M921" s="558">
        <f t="shared" si="47"/>
        <v>919</v>
      </c>
      <c r="N921" s="15">
        <f t="shared" si="45"/>
        <v>0.5647094823278167</v>
      </c>
      <c r="O921" s="165">
        <f t="shared" si="46"/>
        <v>0.44</v>
      </c>
      <c r="P921" s="18"/>
      <c r="Q921" s="18"/>
      <c r="R921" s="18"/>
      <c r="S921" s="18"/>
      <c r="T921" s="18"/>
      <c r="U921" s="18"/>
      <c r="V921" s="18"/>
      <c r="W921" s="18"/>
      <c r="X921" s="18"/>
    </row>
    <row r="922" spans="13:24">
      <c r="M922" s="558">
        <f t="shared" si="47"/>
        <v>920</v>
      </c>
      <c r="N922" s="15">
        <f t="shared" si="45"/>
        <v>0.56448001628708233</v>
      </c>
      <c r="O922" s="165">
        <f t="shared" si="46"/>
        <v>0.44</v>
      </c>
      <c r="P922" s="18"/>
      <c r="Q922" s="18"/>
      <c r="R922" s="18"/>
      <c r="S922" s="18"/>
      <c r="T922" s="18"/>
      <c r="U922" s="18"/>
      <c r="V922" s="18"/>
      <c r="W922" s="18"/>
      <c r="X922" s="18"/>
    </row>
    <row r="923" spans="13:24">
      <c r="M923" s="558">
        <f t="shared" si="47"/>
        <v>921</v>
      </c>
      <c r="N923" s="15">
        <f t="shared" si="45"/>
        <v>0.56425077374274846</v>
      </c>
      <c r="O923" s="165">
        <f t="shared" si="46"/>
        <v>0.44</v>
      </c>
      <c r="P923" s="18"/>
      <c r="Q923" s="18"/>
      <c r="R923" s="18"/>
      <c r="S923" s="18"/>
      <c r="T923" s="18"/>
      <c r="U923" s="18"/>
      <c r="V923" s="18"/>
      <c r="W923" s="18"/>
      <c r="X923" s="18"/>
    </row>
    <row r="924" spans="13:24">
      <c r="M924" s="558">
        <f t="shared" si="47"/>
        <v>922</v>
      </c>
      <c r="N924" s="15">
        <f t="shared" si="45"/>
        <v>0.56402175441434488</v>
      </c>
      <c r="O924" s="165">
        <f t="shared" si="46"/>
        <v>0.44</v>
      </c>
      <c r="P924" s="18"/>
      <c r="Q924" s="18"/>
      <c r="R924" s="18"/>
      <c r="S924" s="18"/>
      <c r="T924" s="18"/>
      <c r="U924" s="18"/>
      <c r="V924" s="18"/>
      <c r="W924" s="18"/>
      <c r="X924" s="18"/>
    </row>
    <row r="925" spans="13:24">
      <c r="M925" s="558">
        <f t="shared" si="47"/>
        <v>923</v>
      </c>
      <c r="N925" s="15">
        <f t="shared" si="45"/>
        <v>0.56379295802175355</v>
      </c>
      <c r="O925" s="165">
        <f t="shared" si="46"/>
        <v>0.44</v>
      </c>
      <c r="P925" s="18"/>
      <c r="Q925" s="18"/>
      <c r="R925" s="18"/>
      <c r="S925" s="18"/>
      <c r="T925" s="18"/>
      <c r="U925" s="18"/>
      <c r="V925" s="18"/>
      <c r="W925" s="18"/>
      <c r="X925" s="18"/>
    </row>
    <row r="926" spans="13:24">
      <c r="M926" s="558">
        <f t="shared" si="47"/>
        <v>924</v>
      </c>
      <c r="N926" s="15">
        <f t="shared" si="45"/>
        <v>0.56356438428520772</v>
      </c>
      <c r="O926" s="165">
        <f t="shared" si="46"/>
        <v>0.44</v>
      </c>
      <c r="P926" s="18"/>
      <c r="Q926" s="18"/>
      <c r="R926" s="18"/>
      <c r="S926" s="18"/>
      <c r="T926" s="18"/>
      <c r="U926" s="18"/>
      <c r="V926" s="18"/>
      <c r="W926" s="18"/>
      <c r="X926" s="18"/>
    </row>
    <row r="927" spans="13:24">
      <c r="M927" s="558">
        <f t="shared" si="47"/>
        <v>925</v>
      </c>
      <c r="N927" s="15">
        <f t="shared" si="45"/>
        <v>0.56333603292529244</v>
      </c>
      <c r="O927" s="165">
        <f t="shared" si="46"/>
        <v>0.44</v>
      </c>
      <c r="P927" s="18"/>
      <c r="Q927" s="18"/>
      <c r="R927" s="18"/>
      <c r="S927" s="18"/>
      <c r="T927" s="18"/>
      <c r="U927" s="18"/>
      <c r="V927" s="18"/>
      <c r="W927" s="18"/>
      <c r="X927" s="18"/>
    </row>
    <row r="928" spans="13:24">
      <c r="M928" s="558">
        <f t="shared" si="47"/>
        <v>926</v>
      </c>
      <c r="N928" s="15">
        <f t="shared" si="45"/>
        <v>0.56310790366294272</v>
      </c>
      <c r="O928" s="165">
        <f t="shared" si="46"/>
        <v>0.44</v>
      </c>
      <c r="P928" s="18"/>
      <c r="Q928" s="18"/>
      <c r="R928" s="18"/>
      <c r="S928" s="18"/>
      <c r="T928" s="18"/>
      <c r="U928" s="18"/>
      <c r="V928" s="18"/>
      <c r="W928" s="18"/>
      <c r="X928" s="18"/>
    </row>
    <row r="929" spans="13:24">
      <c r="M929" s="558">
        <f t="shared" si="47"/>
        <v>927</v>
      </c>
      <c r="N929" s="15">
        <f t="shared" si="45"/>
        <v>0.56287999621944351</v>
      </c>
      <c r="O929" s="165">
        <f t="shared" si="46"/>
        <v>0.44</v>
      </c>
      <c r="P929" s="18"/>
      <c r="Q929" s="18"/>
      <c r="R929" s="18"/>
      <c r="S929" s="18"/>
      <c r="T929" s="18"/>
      <c r="U929" s="18"/>
      <c r="V929" s="18"/>
      <c r="W929" s="18"/>
      <c r="X929" s="18"/>
    </row>
    <row r="930" spans="13:24">
      <c r="M930" s="558">
        <f t="shared" si="47"/>
        <v>928</v>
      </c>
      <c r="N930" s="15">
        <f t="shared" si="45"/>
        <v>0.5626523103164307</v>
      </c>
      <c r="O930" s="165">
        <f t="shared" si="46"/>
        <v>0.44</v>
      </c>
      <c r="P930" s="18"/>
      <c r="Q930" s="18"/>
      <c r="R930" s="18"/>
      <c r="S930" s="18"/>
      <c r="T930" s="18"/>
      <c r="U930" s="18"/>
      <c r="V930" s="18"/>
      <c r="W930" s="18"/>
      <c r="X930" s="18"/>
    </row>
    <row r="931" spans="13:24">
      <c r="M931" s="558">
        <f t="shared" si="47"/>
        <v>929</v>
      </c>
      <c r="N931" s="15">
        <f t="shared" si="45"/>
        <v>0.56242484567588835</v>
      </c>
      <c r="O931" s="165">
        <f t="shared" si="46"/>
        <v>0.44</v>
      </c>
      <c r="P931" s="18"/>
      <c r="Q931" s="18"/>
      <c r="R931" s="18"/>
      <c r="S931" s="18"/>
      <c r="T931" s="18"/>
      <c r="U931" s="18"/>
      <c r="V931" s="18"/>
      <c r="W931" s="18"/>
      <c r="X931" s="18"/>
    </row>
    <row r="932" spans="13:24">
      <c r="M932" s="558">
        <f t="shared" si="47"/>
        <v>930</v>
      </c>
      <c r="N932" s="15">
        <f t="shared" si="45"/>
        <v>0.56219760202014968</v>
      </c>
      <c r="O932" s="165">
        <f t="shared" si="46"/>
        <v>0.44</v>
      </c>
      <c r="P932" s="18"/>
      <c r="Q932" s="18"/>
      <c r="R932" s="18"/>
      <c r="S932" s="18"/>
      <c r="T932" s="18"/>
      <c r="U932" s="18"/>
      <c r="V932" s="18"/>
      <c r="W932" s="18"/>
      <c r="X932" s="18"/>
    </row>
    <row r="933" spans="13:24">
      <c r="M933" s="558">
        <f t="shared" si="47"/>
        <v>931</v>
      </c>
      <c r="N933" s="15">
        <f t="shared" si="45"/>
        <v>0.56197057907189685</v>
      </c>
      <c r="O933" s="165">
        <f t="shared" si="46"/>
        <v>0.44</v>
      </c>
      <c r="P933" s="18"/>
      <c r="Q933" s="18"/>
      <c r="R933" s="18"/>
      <c r="S933" s="18"/>
      <c r="T933" s="18"/>
      <c r="U933" s="18"/>
      <c r="V933" s="18"/>
      <c r="W933" s="18"/>
      <c r="X933" s="18"/>
    </row>
    <row r="934" spans="13:24">
      <c r="M934" s="558">
        <f t="shared" si="47"/>
        <v>932</v>
      </c>
      <c r="N934" s="15">
        <f t="shared" si="45"/>
        <v>0.56174377655415964</v>
      </c>
      <c r="O934" s="165">
        <f t="shared" si="46"/>
        <v>0.44</v>
      </c>
      <c r="P934" s="18"/>
      <c r="Q934" s="18"/>
      <c r="R934" s="18"/>
      <c r="S934" s="18"/>
      <c r="T934" s="18"/>
      <c r="U934" s="18"/>
      <c r="V934" s="18"/>
      <c r="W934" s="18"/>
      <c r="X934" s="18"/>
    </row>
    <row r="935" spans="13:24">
      <c r="M935" s="558">
        <f t="shared" si="47"/>
        <v>933</v>
      </c>
      <c r="N935" s="15">
        <f t="shared" si="45"/>
        <v>0.56151719419031509</v>
      </c>
      <c r="O935" s="165">
        <f t="shared" si="46"/>
        <v>0.44</v>
      </c>
      <c r="P935" s="18"/>
      <c r="Q935" s="18"/>
      <c r="R935" s="18"/>
      <c r="S935" s="18"/>
      <c r="T935" s="18"/>
      <c r="U935" s="18"/>
      <c r="V935" s="18"/>
      <c r="W935" s="18"/>
      <c r="X935" s="18"/>
    </row>
    <row r="936" spans="13:24">
      <c r="M936" s="558">
        <f t="shared" si="47"/>
        <v>934</v>
      </c>
      <c r="N936" s="15">
        <f t="shared" si="45"/>
        <v>0.56129083170408833</v>
      </c>
      <c r="O936" s="165">
        <f t="shared" si="46"/>
        <v>0.44</v>
      </c>
      <c r="P936" s="18"/>
      <c r="Q936" s="18"/>
      <c r="R936" s="18"/>
      <c r="S936" s="18"/>
      <c r="T936" s="18"/>
      <c r="U936" s="18"/>
      <c r="V936" s="18"/>
      <c r="W936" s="18"/>
      <c r="X936" s="18"/>
    </row>
    <row r="937" spans="13:24">
      <c r="M937" s="558">
        <f t="shared" si="47"/>
        <v>935</v>
      </c>
      <c r="N937" s="15">
        <f t="shared" si="45"/>
        <v>0.56106468881955029</v>
      </c>
      <c r="O937" s="165">
        <f t="shared" si="46"/>
        <v>0.44</v>
      </c>
      <c r="P937" s="18"/>
      <c r="Q937" s="18"/>
      <c r="R937" s="18"/>
      <c r="S937" s="18"/>
      <c r="T937" s="18"/>
      <c r="U937" s="18"/>
      <c r="V937" s="18"/>
      <c r="W937" s="18"/>
      <c r="X937" s="18"/>
    </row>
    <row r="938" spans="13:24">
      <c r="M938" s="558">
        <f t="shared" si="47"/>
        <v>936</v>
      </c>
      <c r="N938" s="15">
        <f t="shared" si="45"/>
        <v>0.56083876526111842</v>
      </c>
      <c r="O938" s="165">
        <f t="shared" si="46"/>
        <v>0.44</v>
      </c>
      <c r="P938" s="18"/>
      <c r="Q938" s="18"/>
      <c r="R938" s="18"/>
      <c r="S938" s="18"/>
      <c r="T938" s="18"/>
      <c r="U938" s="18"/>
      <c r="V938" s="18"/>
      <c r="W938" s="18"/>
      <c r="X938" s="18"/>
    </row>
    <row r="939" spans="13:24">
      <c r="M939" s="558">
        <f t="shared" si="47"/>
        <v>937</v>
      </c>
      <c r="N939" s="15">
        <f t="shared" si="45"/>
        <v>0.56061306075355599</v>
      </c>
      <c r="O939" s="165">
        <f t="shared" si="46"/>
        <v>0.44</v>
      </c>
      <c r="P939" s="18"/>
      <c r="Q939" s="18"/>
      <c r="R939" s="18"/>
      <c r="S939" s="18"/>
      <c r="T939" s="18"/>
      <c r="U939" s="18"/>
      <c r="V939" s="18"/>
      <c r="W939" s="18"/>
      <c r="X939" s="18"/>
    </row>
    <row r="940" spans="13:24">
      <c r="M940" s="558">
        <f t="shared" si="47"/>
        <v>938</v>
      </c>
      <c r="N940" s="15">
        <f t="shared" si="45"/>
        <v>0.56038757502197201</v>
      </c>
      <c r="O940" s="165">
        <f t="shared" si="46"/>
        <v>0.44</v>
      </c>
      <c r="P940" s="18"/>
      <c r="Q940" s="18"/>
      <c r="R940" s="18"/>
      <c r="S940" s="18"/>
      <c r="T940" s="18"/>
      <c r="U940" s="18"/>
      <c r="V940" s="18"/>
      <c r="W940" s="18"/>
      <c r="X940" s="18"/>
    </row>
    <row r="941" spans="13:24">
      <c r="M941" s="558">
        <f t="shared" si="47"/>
        <v>939</v>
      </c>
      <c r="N941" s="15">
        <f t="shared" si="45"/>
        <v>0.5601623077918203</v>
      </c>
      <c r="O941" s="165">
        <f t="shared" si="46"/>
        <v>0.44</v>
      </c>
      <c r="P941" s="18"/>
      <c r="Q941" s="18"/>
      <c r="R941" s="18"/>
      <c r="S941" s="18"/>
      <c r="T941" s="18"/>
      <c r="U941" s="18"/>
      <c r="V941" s="18"/>
      <c r="W941" s="18"/>
      <c r="X941" s="18"/>
    </row>
    <row r="942" spans="13:24">
      <c r="M942" s="558">
        <f t="shared" si="47"/>
        <v>940</v>
      </c>
      <c r="N942" s="15">
        <f t="shared" si="45"/>
        <v>0.55993725878889844</v>
      </c>
      <c r="O942" s="165">
        <f t="shared" si="46"/>
        <v>0.44</v>
      </c>
      <c r="P942" s="18"/>
      <c r="Q942" s="18"/>
      <c r="R942" s="18"/>
      <c r="S942" s="18"/>
      <c r="T942" s="18"/>
      <c r="U942" s="18"/>
      <c r="V942" s="18"/>
      <c r="W942" s="18"/>
      <c r="X942" s="18"/>
    </row>
    <row r="943" spans="13:24">
      <c r="M943" s="558">
        <f t="shared" si="47"/>
        <v>941</v>
      </c>
      <c r="N943" s="15">
        <f t="shared" si="45"/>
        <v>0.5597124277393497</v>
      </c>
      <c r="O943" s="165">
        <f t="shared" si="46"/>
        <v>0.44</v>
      </c>
      <c r="P943" s="18"/>
      <c r="Q943" s="18"/>
      <c r="R943" s="18"/>
      <c r="S943" s="18"/>
      <c r="T943" s="18"/>
      <c r="U943" s="18"/>
      <c r="V943" s="18"/>
      <c r="W943" s="18"/>
      <c r="X943" s="18"/>
    </row>
    <row r="944" spans="13:24">
      <c r="M944" s="558">
        <f t="shared" si="47"/>
        <v>942</v>
      </c>
      <c r="N944" s="15">
        <f t="shared" si="45"/>
        <v>0.55948781436965955</v>
      </c>
      <c r="O944" s="165">
        <f t="shared" si="46"/>
        <v>0.44</v>
      </c>
      <c r="P944" s="18"/>
      <c r="Q944" s="18"/>
      <c r="R944" s="18"/>
      <c r="S944" s="18"/>
      <c r="T944" s="18"/>
      <c r="U944" s="18"/>
      <c r="V944" s="18"/>
      <c r="W944" s="18"/>
      <c r="X944" s="18"/>
    </row>
    <row r="945" spans="13:24">
      <c r="M945" s="558">
        <f t="shared" si="47"/>
        <v>943</v>
      </c>
      <c r="N945" s="15">
        <f t="shared" si="45"/>
        <v>0.55926341840665705</v>
      </c>
      <c r="O945" s="165">
        <f t="shared" si="46"/>
        <v>0.44</v>
      </c>
      <c r="P945" s="18"/>
      <c r="Q945" s="18"/>
      <c r="R945" s="18"/>
      <c r="S945" s="18"/>
      <c r="T945" s="18"/>
      <c r="U945" s="18"/>
      <c r="V945" s="18"/>
      <c r="W945" s="18"/>
      <c r="X945" s="18"/>
    </row>
    <row r="946" spans="13:24">
      <c r="M946" s="558">
        <f t="shared" si="47"/>
        <v>944</v>
      </c>
      <c r="N946" s="15">
        <f t="shared" si="45"/>
        <v>0.55903923957751489</v>
      </c>
      <c r="O946" s="165">
        <f t="shared" si="46"/>
        <v>0.44</v>
      </c>
      <c r="P946" s="18"/>
      <c r="Q946" s="18"/>
      <c r="R946" s="18"/>
      <c r="S946" s="18"/>
      <c r="T946" s="18"/>
      <c r="U946" s="18"/>
      <c r="V946" s="18"/>
      <c r="W946" s="18"/>
      <c r="X946" s="18"/>
    </row>
    <row r="947" spans="13:24">
      <c r="M947" s="558">
        <f t="shared" si="47"/>
        <v>945</v>
      </c>
      <c r="N947" s="15">
        <f t="shared" si="45"/>
        <v>0.55881527760974714</v>
      </c>
      <c r="O947" s="165">
        <f t="shared" si="46"/>
        <v>0.44</v>
      </c>
      <c r="P947" s="18"/>
      <c r="Q947" s="18"/>
      <c r="R947" s="18"/>
      <c r="S947" s="18"/>
      <c r="T947" s="18"/>
      <c r="U947" s="18"/>
      <c r="V947" s="18"/>
      <c r="W947" s="18"/>
      <c r="X947" s="18"/>
    </row>
    <row r="948" spans="13:24">
      <c r="M948" s="558">
        <f t="shared" si="47"/>
        <v>946</v>
      </c>
      <c r="N948" s="15">
        <f t="shared" si="45"/>
        <v>0.55859153223121005</v>
      </c>
      <c r="O948" s="165">
        <f t="shared" si="46"/>
        <v>0.44</v>
      </c>
      <c r="P948" s="18"/>
      <c r="Q948" s="18"/>
      <c r="R948" s="18"/>
      <c r="S948" s="18"/>
      <c r="T948" s="18"/>
      <c r="U948" s="18"/>
      <c r="V948" s="18"/>
      <c r="W948" s="18"/>
      <c r="X948" s="18"/>
    </row>
    <row r="949" spans="13:24">
      <c r="M949" s="558">
        <f t="shared" si="47"/>
        <v>947</v>
      </c>
      <c r="N949" s="15">
        <f t="shared" si="45"/>
        <v>0.55836800317010193</v>
      </c>
      <c r="O949" s="165">
        <f t="shared" si="46"/>
        <v>0.44</v>
      </c>
      <c r="P949" s="18"/>
      <c r="Q949" s="18"/>
      <c r="R949" s="18"/>
      <c r="S949" s="18"/>
      <c r="T949" s="18"/>
      <c r="U949" s="18"/>
      <c r="V949" s="18"/>
      <c r="W949" s="18"/>
      <c r="X949" s="18"/>
    </row>
    <row r="950" spans="13:24">
      <c r="M950" s="558">
        <f t="shared" si="47"/>
        <v>948</v>
      </c>
      <c r="N950" s="15">
        <f t="shared" si="45"/>
        <v>0.55814469015496149</v>
      </c>
      <c r="O950" s="165">
        <f t="shared" si="46"/>
        <v>0.44</v>
      </c>
      <c r="P950" s="18"/>
      <c r="Q950" s="18"/>
      <c r="R950" s="18"/>
      <c r="S950" s="18"/>
      <c r="T950" s="18"/>
      <c r="U950" s="18"/>
      <c r="V950" s="18"/>
      <c r="W950" s="18"/>
      <c r="X950" s="18"/>
    </row>
    <row r="951" spans="13:24">
      <c r="M951" s="558">
        <f t="shared" si="47"/>
        <v>949</v>
      </c>
      <c r="N951" s="15">
        <f t="shared" si="45"/>
        <v>0.55792159291466858</v>
      </c>
      <c r="O951" s="165">
        <f t="shared" si="46"/>
        <v>0.44</v>
      </c>
      <c r="P951" s="18"/>
      <c r="Q951" s="18"/>
      <c r="R951" s="18"/>
      <c r="S951" s="18"/>
      <c r="T951" s="18"/>
      <c r="U951" s="18"/>
      <c r="V951" s="18"/>
      <c r="W951" s="18"/>
      <c r="X951" s="18"/>
    </row>
    <row r="952" spans="13:24">
      <c r="M952" s="558">
        <f t="shared" si="47"/>
        <v>950</v>
      </c>
      <c r="N952" s="15">
        <f t="shared" si="45"/>
        <v>0.55769871117844283</v>
      </c>
      <c r="O952" s="165">
        <f t="shared" si="46"/>
        <v>0.44</v>
      </c>
      <c r="P952" s="18"/>
      <c r="Q952" s="18"/>
      <c r="R952" s="18"/>
      <c r="S952" s="18"/>
      <c r="T952" s="18"/>
      <c r="U952" s="18"/>
      <c r="V952" s="18"/>
      <c r="W952" s="18"/>
      <c r="X952" s="18"/>
    </row>
    <row r="953" spans="13:24">
      <c r="M953" s="558">
        <f t="shared" si="47"/>
        <v>951</v>
      </c>
      <c r="N953" s="15">
        <f t="shared" si="45"/>
        <v>0.55747604467584422</v>
      </c>
      <c r="O953" s="165">
        <f t="shared" si="46"/>
        <v>0.44</v>
      </c>
      <c r="P953" s="18"/>
      <c r="Q953" s="18"/>
      <c r="R953" s="18"/>
      <c r="S953" s="18"/>
      <c r="T953" s="18"/>
      <c r="U953" s="18"/>
      <c r="V953" s="18"/>
      <c r="W953" s="18"/>
      <c r="X953" s="18"/>
    </row>
    <row r="954" spans="13:24">
      <c r="M954" s="558">
        <f t="shared" si="47"/>
        <v>952</v>
      </c>
      <c r="N954" s="15">
        <f t="shared" si="45"/>
        <v>0.55725359313677147</v>
      </c>
      <c r="O954" s="165">
        <f t="shared" si="46"/>
        <v>0.44</v>
      </c>
      <c r="P954" s="18"/>
      <c r="Q954" s="18"/>
      <c r="R954" s="18"/>
      <c r="S954" s="18"/>
      <c r="T954" s="18"/>
      <c r="U954" s="18"/>
      <c r="V954" s="18"/>
      <c r="W954" s="18"/>
      <c r="X954" s="18"/>
    </row>
    <row r="955" spans="13:24">
      <c r="M955" s="558">
        <f t="shared" si="47"/>
        <v>953</v>
      </c>
      <c r="N955" s="15">
        <f t="shared" si="45"/>
        <v>0.55703135629146305</v>
      </c>
      <c r="O955" s="165">
        <f t="shared" si="46"/>
        <v>0.44</v>
      </c>
      <c r="P955" s="18"/>
      <c r="Q955" s="18"/>
      <c r="R955" s="18"/>
      <c r="S955" s="18"/>
      <c r="T955" s="18"/>
      <c r="U955" s="18"/>
      <c r="V955" s="18"/>
      <c r="W955" s="18"/>
      <c r="X955" s="18"/>
    </row>
    <row r="956" spans="13:24">
      <c r="M956" s="558">
        <f t="shared" si="47"/>
        <v>954</v>
      </c>
      <c r="N956" s="15">
        <f t="shared" si="45"/>
        <v>0.55680933387049536</v>
      </c>
      <c r="O956" s="165">
        <f t="shared" si="46"/>
        <v>0.44</v>
      </c>
      <c r="P956" s="18"/>
      <c r="Q956" s="18"/>
      <c r="R956" s="18"/>
      <c r="S956" s="18"/>
      <c r="T956" s="18"/>
      <c r="U956" s="18"/>
      <c r="V956" s="18"/>
      <c r="W956" s="18"/>
      <c r="X956" s="18"/>
    </row>
    <row r="957" spans="13:24">
      <c r="M957" s="558">
        <f t="shared" si="47"/>
        <v>955</v>
      </c>
      <c r="N957" s="15">
        <f t="shared" si="45"/>
        <v>0.55658752560478275</v>
      </c>
      <c r="O957" s="165">
        <f t="shared" si="46"/>
        <v>0.44</v>
      </c>
      <c r="P957" s="18"/>
      <c r="Q957" s="18"/>
      <c r="R957" s="18"/>
      <c r="S957" s="18"/>
      <c r="T957" s="18"/>
      <c r="U957" s="18"/>
      <c r="V957" s="18"/>
      <c r="W957" s="18"/>
      <c r="X957" s="18"/>
    </row>
    <row r="958" spans="13:24">
      <c r="M958" s="558">
        <f t="shared" si="47"/>
        <v>956</v>
      </c>
      <c r="N958" s="15">
        <f t="shared" si="45"/>
        <v>0.5563659312255782</v>
      </c>
      <c r="O958" s="165">
        <f t="shared" si="46"/>
        <v>0.44</v>
      </c>
      <c r="P958" s="18"/>
      <c r="Q958" s="18"/>
      <c r="R958" s="18"/>
      <c r="S958" s="18"/>
      <c r="T958" s="18"/>
      <c r="U958" s="18"/>
      <c r="V958" s="18"/>
      <c r="W958" s="18"/>
      <c r="X958" s="18"/>
    </row>
    <row r="959" spans="13:24">
      <c r="M959" s="558">
        <f t="shared" si="47"/>
        <v>957</v>
      </c>
      <c r="N959" s="15">
        <f t="shared" si="45"/>
        <v>0.55614455046447087</v>
      </c>
      <c r="O959" s="165">
        <f t="shared" si="46"/>
        <v>0.44</v>
      </c>
      <c r="P959" s="18"/>
      <c r="Q959" s="18"/>
      <c r="R959" s="18"/>
      <c r="S959" s="18"/>
      <c r="T959" s="18"/>
      <c r="U959" s="18"/>
      <c r="V959" s="18"/>
      <c r="W959" s="18"/>
      <c r="X959" s="18"/>
    </row>
    <row r="960" spans="13:24">
      <c r="M960" s="558">
        <f t="shared" si="47"/>
        <v>958</v>
      </c>
      <c r="N960" s="15">
        <f t="shared" si="45"/>
        <v>0.55592338305338718</v>
      </c>
      <c r="O960" s="165">
        <f t="shared" si="46"/>
        <v>0.44</v>
      </c>
      <c r="P960" s="18"/>
      <c r="Q960" s="18"/>
      <c r="R960" s="18"/>
      <c r="S960" s="18"/>
      <c r="T960" s="18"/>
      <c r="U960" s="18"/>
      <c r="V960" s="18"/>
      <c r="W960" s="18"/>
      <c r="X960" s="18"/>
    </row>
    <row r="961" spans="13:24">
      <c r="M961" s="558">
        <f t="shared" si="47"/>
        <v>959</v>
      </c>
      <c r="N961" s="15">
        <f t="shared" si="45"/>
        <v>0.55570242872459041</v>
      </c>
      <c r="O961" s="165">
        <f t="shared" si="46"/>
        <v>0.44</v>
      </c>
      <c r="P961" s="18"/>
      <c r="Q961" s="18"/>
      <c r="R961" s="18"/>
      <c r="S961" s="18"/>
      <c r="T961" s="18"/>
      <c r="U961" s="18"/>
      <c r="V961" s="18"/>
      <c r="W961" s="18"/>
      <c r="X961" s="18"/>
    </row>
    <row r="962" spans="13:24">
      <c r="M962" s="558">
        <f t="shared" si="47"/>
        <v>960</v>
      </c>
      <c r="N962" s="15">
        <f t="shared" si="45"/>
        <v>0.55548168721067903</v>
      </c>
      <c r="O962" s="165">
        <f t="shared" si="46"/>
        <v>0.44</v>
      </c>
      <c r="P962" s="18"/>
      <c r="Q962" s="18"/>
      <c r="R962" s="18"/>
      <c r="S962" s="18"/>
      <c r="T962" s="18"/>
      <c r="U962" s="18"/>
      <c r="V962" s="18"/>
      <c r="W962" s="18"/>
      <c r="X962" s="18"/>
    </row>
    <row r="963" spans="13:24">
      <c r="M963" s="558">
        <f t="shared" si="47"/>
        <v>961</v>
      </c>
      <c r="N963" s="15">
        <f t="shared" si="45"/>
        <v>0.55526115824458722</v>
      </c>
      <c r="O963" s="165">
        <f t="shared" si="46"/>
        <v>0.44</v>
      </c>
      <c r="P963" s="18"/>
      <c r="Q963" s="18"/>
      <c r="R963" s="18"/>
      <c r="S963" s="18"/>
      <c r="T963" s="18"/>
      <c r="U963" s="18"/>
      <c r="V963" s="18"/>
      <c r="W963" s="18"/>
      <c r="X963" s="18"/>
    </row>
    <row r="964" spans="13:24">
      <c r="M964" s="558">
        <f t="shared" si="47"/>
        <v>962</v>
      </c>
      <c r="N964" s="15">
        <f t="shared" ref="N964:N1027" si="48">IF(M964&lt;$B$31+1,$B$32+$B$33/$B$31*(8760-M964)+$B$34*IF(M964&lt;$B$36-$B$31/(2*$B$35),1,IF(M964&lt;$B$36+$B$31/(2*$B$35),COS(PI()/2*(M964-($B$36-$B$31/(2*$B$35)))*$B$35/$B$31)^2,0))+$B$37*EXP((8760-M964)/8760*$B$38)/EXP($B$38)-(8760-$B$31)*$B$33/$B$31,0)</f>
        <v>0.55504084155958522</v>
      </c>
      <c r="O964" s="165">
        <f t="shared" ref="O964:O1027" si="49">MIN(N964,C$24)</f>
        <v>0.44</v>
      </c>
      <c r="P964" s="18"/>
      <c r="Q964" s="18"/>
      <c r="R964" s="18"/>
      <c r="S964" s="18"/>
      <c r="T964" s="18"/>
      <c r="U964" s="18"/>
      <c r="V964" s="18"/>
      <c r="W964" s="18"/>
      <c r="X964" s="18"/>
    </row>
    <row r="965" spans="13:24">
      <c r="M965" s="558">
        <f t="shared" ref="M965:M1028" si="50">M964+1</f>
        <v>963</v>
      </c>
      <c r="N965" s="15">
        <f t="shared" si="48"/>
        <v>0.55482073688927691</v>
      </c>
      <c r="O965" s="165">
        <f t="shared" si="49"/>
        <v>0.44</v>
      </c>
      <c r="P965" s="18"/>
      <c r="Q965" s="18"/>
      <c r="R965" s="18"/>
      <c r="S965" s="18"/>
      <c r="T965" s="18"/>
      <c r="U965" s="18"/>
      <c r="V965" s="18"/>
      <c r="W965" s="18"/>
      <c r="X965" s="18"/>
    </row>
    <row r="966" spans="13:24">
      <c r="M966" s="558">
        <f t="shared" si="50"/>
        <v>964</v>
      </c>
      <c r="N966" s="15">
        <f t="shared" si="48"/>
        <v>0.5546008439676009</v>
      </c>
      <c r="O966" s="165">
        <f t="shared" si="49"/>
        <v>0.44</v>
      </c>
      <c r="P966" s="18"/>
      <c r="Q966" s="18"/>
      <c r="R966" s="18"/>
      <c r="S966" s="18"/>
      <c r="T966" s="18"/>
      <c r="U966" s="18"/>
      <c r="V966" s="18"/>
      <c r="W966" s="18"/>
      <c r="X966" s="18"/>
    </row>
    <row r="967" spans="13:24">
      <c r="M967" s="558">
        <f t="shared" si="50"/>
        <v>965</v>
      </c>
      <c r="N967" s="15">
        <f t="shared" si="48"/>
        <v>0.55438116252882941</v>
      </c>
      <c r="O967" s="165">
        <f t="shared" si="49"/>
        <v>0.44</v>
      </c>
      <c r="P967" s="18"/>
      <c r="Q967" s="18"/>
      <c r="R967" s="18"/>
      <c r="S967" s="18"/>
      <c r="T967" s="18"/>
      <c r="U967" s="18"/>
      <c r="V967" s="18"/>
      <c r="W967" s="18"/>
      <c r="X967" s="18"/>
    </row>
    <row r="968" spans="13:24">
      <c r="M968" s="558">
        <f t="shared" si="50"/>
        <v>966</v>
      </c>
      <c r="N968" s="15">
        <f t="shared" si="48"/>
        <v>0.55416169230756895</v>
      </c>
      <c r="O968" s="165">
        <f t="shared" si="49"/>
        <v>0.44</v>
      </c>
      <c r="P968" s="18"/>
      <c r="Q968" s="18"/>
      <c r="R968" s="18"/>
      <c r="S968" s="18"/>
      <c r="T968" s="18"/>
      <c r="U968" s="18"/>
      <c r="V968" s="18"/>
      <c r="W968" s="18"/>
      <c r="X968" s="18"/>
    </row>
    <row r="969" spans="13:24">
      <c r="M969" s="558">
        <f t="shared" si="50"/>
        <v>967</v>
      </c>
      <c r="N969" s="15">
        <f t="shared" si="48"/>
        <v>0.55394243303875812</v>
      </c>
      <c r="O969" s="165">
        <f t="shared" si="49"/>
        <v>0.44</v>
      </c>
      <c r="P969" s="18"/>
      <c r="Q969" s="18"/>
      <c r="R969" s="18"/>
      <c r="S969" s="18"/>
      <c r="T969" s="18"/>
      <c r="U969" s="18"/>
      <c r="V969" s="18"/>
      <c r="W969" s="18"/>
      <c r="X969" s="18"/>
    </row>
    <row r="970" spans="13:24">
      <c r="M970" s="558">
        <f t="shared" si="50"/>
        <v>968</v>
      </c>
      <c r="N970" s="15">
        <f t="shared" si="48"/>
        <v>0.55372338445766833</v>
      </c>
      <c r="O970" s="165">
        <f t="shared" si="49"/>
        <v>0.44</v>
      </c>
      <c r="P970" s="18"/>
      <c r="Q970" s="18"/>
      <c r="R970" s="18"/>
      <c r="S970" s="18"/>
      <c r="T970" s="18"/>
      <c r="U970" s="18"/>
      <c r="V970" s="18"/>
      <c r="W970" s="18"/>
      <c r="X970" s="18"/>
    </row>
    <row r="971" spans="13:24">
      <c r="M971" s="558">
        <f t="shared" si="50"/>
        <v>969</v>
      </c>
      <c r="N971" s="15">
        <f t="shared" si="48"/>
        <v>0.55350454629990398</v>
      </c>
      <c r="O971" s="165">
        <f t="shared" si="49"/>
        <v>0.44</v>
      </c>
      <c r="P971" s="18"/>
      <c r="Q971" s="18"/>
      <c r="R971" s="18"/>
      <c r="S971" s="18"/>
      <c r="T971" s="18"/>
      <c r="U971" s="18"/>
      <c r="V971" s="18"/>
      <c r="W971" s="18"/>
      <c r="X971" s="18"/>
    </row>
    <row r="972" spans="13:24">
      <c r="M972" s="558">
        <f t="shared" si="50"/>
        <v>970</v>
      </c>
      <c r="N972" s="15">
        <f t="shared" si="48"/>
        <v>0.5532859183014005</v>
      </c>
      <c r="O972" s="165">
        <f t="shared" si="49"/>
        <v>0.44</v>
      </c>
      <c r="P972" s="18"/>
      <c r="Q972" s="18"/>
      <c r="R972" s="18"/>
      <c r="S972" s="18"/>
      <c r="T972" s="18"/>
      <c r="U972" s="18"/>
      <c r="V972" s="18"/>
      <c r="W972" s="18"/>
      <c r="X972" s="18"/>
    </row>
    <row r="973" spans="13:24">
      <c r="M973" s="558">
        <f t="shared" si="50"/>
        <v>971</v>
      </c>
      <c r="N973" s="15">
        <f t="shared" si="48"/>
        <v>0.55306750019842454</v>
      </c>
      <c r="O973" s="165">
        <f t="shared" si="49"/>
        <v>0.44</v>
      </c>
      <c r="P973" s="18"/>
      <c r="Q973" s="18"/>
      <c r="R973" s="18"/>
      <c r="S973" s="18"/>
      <c r="T973" s="18"/>
      <c r="U973" s="18"/>
      <c r="V973" s="18"/>
      <c r="W973" s="18"/>
      <c r="X973" s="18"/>
    </row>
    <row r="974" spans="13:24">
      <c r="M974" s="558">
        <f t="shared" si="50"/>
        <v>972</v>
      </c>
      <c r="N974" s="15">
        <f t="shared" si="48"/>
        <v>0.55284929172757447</v>
      </c>
      <c r="O974" s="165">
        <f t="shared" si="49"/>
        <v>0.44</v>
      </c>
      <c r="P974" s="18"/>
      <c r="Q974" s="18"/>
      <c r="R974" s="18"/>
      <c r="S974" s="18"/>
      <c r="T974" s="18"/>
      <c r="U974" s="18"/>
      <c r="V974" s="18"/>
      <c r="W974" s="18"/>
      <c r="X974" s="18"/>
    </row>
    <row r="975" spans="13:24">
      <c r="M975" s="558">
        <f t="shared" si="50"/>
        <v>973</v>
      </c>
      <c r="N975" s="15">
        <f t="shared" si="48"/>
        <v>0.5526312926257787</v>
      </c>
      <c r="O975" s="165">
        <f t="shared" si="49"/>
        <v>0.44</v>
      </c>
      <c r="P975" s="18"/>
      <c r="Q975" s="18"/>
      <c r="R975" s="18"/>
      <c r="S975" s="18"/>
      <c r="T975" s="18"/>
      <c r="U975" s="18"/>
      <c r="V975" s="18"/>
      <c r="W975" s="18"/>
      <c r="X975" s="18"/>
    </row>
    <row r="976" spans="13:24">
      <c r="M976" s="558">
        <f t="shared" si="50"/>
        <v>974</v>
      </c>
      <c r="N976" s="15">
        <f t="shared" si="48"/>
        <v>0.55241350263029565</v>
      </c>
      <c r="O976" s="165">
        <f t="shared" si="49"/>
        <v>0.44</v>
      </c>
      <c r="P976" s="18"/>
      <c r="Q976" s="18"/>
      <c r="R976" s="18"/>
      <c r="S976" s="18"/>
      <c r="T976" s="18"/>
      <c r="U976" s="18"/>
      <c r="V976" s="18"/>
      <c r="W976" s="18"/>
      <c r="X976" s="18"/>
    </row>
    <row r="977" spans="13:24">
      <c r="M977" s="558">
        <f t="shared" si="50"/>
        <v>975</v>
      </c>
      <c r="N977" s="15">
        <f t="shared" si="48"/>
        <v>0.55219592147871444</v>
      </c>
      <c r="O977" s="165">
        <f t="shared" si="49"/>
        <v>0.44</v>
      </c>
      <c r="P977" s="18"/>
      <c r="Q977" s="18"/>
      <c r="R977" s="18"/>
      <c r="S977" s="18"/>
      <c r="T977" s="18"/>
      <c r="U977" s="18"/>
      <c r="V977" s="18"/>
      <c r="W977" s="18"/>
      <c r="X977" s="18"/>
    </row>
    <row r="978" spans="13:24">
      <c r="M978" s="558">
        <f t="shared" si="50"/>
        <v>976</v>
      </c>
      <c r="N978" s="15">
        <f t="shared" si="48"/>
        <v>0.55197854890895159</v>
      </c>
      <c r="O978" s="165">
        <f t="shared" si="49"/>
        <v>0.44</v>
      </c>
      <c r="P978" s="18"/>
      <c r="Q978" s="18"/>
      <c r="R978" s="18"/>
      <c r="S978" s="18"/>
      <c r="T978" s="18"/>
      <c r="U978" s="18"/>
      <c r="V978" s="18"/>
      <c r="W978" s="18"/>
      <c r="X978" s="18"/>
    </row>
    <row r="979" spans="13:24">
      <c r="M979" s="558">
        <f t="shared" si="50"/>
        <v>977</v>
      </c>
      <c r="N979" s="15">
        <f t="shared" si="48"/>
        <v>0.55176138465925451</v>
      </c>
      <c r="O979" s="165">
        <f t="shared" si="49"/>
        <v>0.44</v>
      </c>
      <c r="P979" s="18"/>
      <c r="Q979" s="18"/>
      <c r="R979" s="18"/>
      <c r="S979" s="18"/>
      <c r="T979" s="18"/>
      <c r="U979" s="18"/>
      <c r="V979" s="18"/>
      <c r="W979" s="18"/>
      <c r="X979" s="18"/>
    </row>
    <row r="980" spans="13:24">
      <c r="M980" s="558">
        <f t="shared" si="50"/>
        <v>978</v>
      </c>
      <c r="N980" s="15">
        <f t="shared" si="48"/>
        <v>0.55154442846819807</v>
      </c>
      <c r="O980" s="165">
        <f t="shared" si="49"/>
        <v>0.44</v>
      </c>
      <c r="P980" s="18"/>
      <c r="Q980" s="18"/>
      <c r="R980" s="18"/>
      <c r="S980" s="18"/>
      <c r="T980" s="18"/>
      <c r="U980" s="18"/>
      <c r="V980" s="18"/>
      <c r="W980" s="18"/>
      <c r="X980" s="18"/>
    </row>
    <row r="981" spans="13:24">
      <c r="M981" s="558">
        <f t="shared" si="50"/>
        <v>979</v>
      </c>
      <c r="N981" s="15">
        <f t="shared" si="48"/>
        <v>0.55132768007468536</v>
      </c>
      <c r="O981" s="165">
        <f t="shared" si="49"/>
        <v>0.44</v>
      </c>
      <c r="P981" s="18"/>
      <c r="Q981" s="18"/>
      <c r="R981" s="18"/>
      <c r="S981" s="18"/>
      <c r="T981" s="18"/>
      <c r="U981" s="18"/>
      <c r="V981" s="18"/>
      <c r="W981" s="18"/>
      <c r="X981" s="18"/>
    </row>
    <row r="982" spans="13:24">
      <c r="M982" s="558">
        <f t="shared" si="50"/>
        <v>980</v>
      </c>
      <c r="N982" s="15">
        <f t="shared" si="48"/>
        <v>0.55111113921794685</v>
      </c>
      <c r="O982" s="165">
        <f t="shared" si="49"/>
        <v>0.44</v>
      </c>
      <c r="P982" s="18"/>
      <c r="Q982" s="18"/>
      <c r="R982" s="18"/>
      <c r="S982" s="18"/>
      <c r="T982" s="18"/>
      <c r="U982" s="18"/>
      <c r="V982" s="18"/>
      <c r="W982" s="18"/>
      <c r="X982" s="18"/>
    </row>
    <row r="983" spans="13:24">
      <c r="M983" s="558">
        <f t="shared" si="50"/>
        <v>981</v>
      </c>
      <c r="N983" s="15">
        <f t="shared" si="48"/>
        <v>0.55089480563754101</v>
      </c>
      <c r="O983" s="165">
        <f t="shared" si="49"/>
        <v>0.44</v>
      </c>
      <c r="P983" s="18"/>
      <c r="Q983" s="18"/>
      <c r="R983" s="18"/>
      <c r="S983" s="18"/>
      <c r="T983" s="18"/>
      <c r="U983" s="18"/>
      <c r="V983" s="18"/>
      <c r="W983" s="18"/>
      <c r="X983" s="18"/>
    </row>
    <row r="984" spans="13:24">
      <c r="M984" s="558">
        <f t="shared" si="50"/>
        <v>982</v>
      </c>
      <c r="N984" s="15">
        <f t="shared" si="48"/>
        <v>0.55067867907335255</v>
      </c>
      <c r="O984" s="165">
        <f t="shared" si="49"/>
        <v>0.44</v>
      </c>
      <c r="P984" s="18"/>
      <c r="Q984" s="18"/>
      <c r="R984" s="18"/>
      <c r="S984" s="18"/>
      <c r="T984" s="18"/>
      <c r="U984" s="18"/>
      <c r="V984" s="18"/>
      <c r="W984" s="18"/>
      <c r="X984" s="18"/>
    </row>
    <row r="985" spans="13:24">
      <c r="M985" s="558">
        <f t="shared" si="50"/>
        <v>983</v>
      </c>
      <c r="N985" s="15">
        <f t="shared" si="48"/>
        <v>0.55046275926559241</v>
      </c>
      <c r="O985" s="165">
        <f t="shared" si="49"/>
        <v>0.44</v>
      </c>
      <c r="P985" s="18"/>
      <c r="Q985" s="18"/>
      <c r="R985" s="18"/>
      <c r="S985" s="18"/>
      <c r="T985" s="18"/>
      <c r="U985" s="18"/>
      <c r="V985" s="18"/>
      <c r="W985" s="18"/>
      <c r="X985" s="18"/>
    </row>
    <row r="986" spans="13:24">
      <c r="M986" s="558">
        <f t="shared" si="50"/>
        <v>984</v>
      </c>
      <c r="N986" s="15">
        <f t="shared" si="48"/>
        <v>0.55024704595479845</v>
      </c>
      <c r="O986" s="165">
        <f t="shared" si="49"/>
        <v>0.44</v>
      </c>
      <c r="P986" s="18"/>
      <c r="Q986" s="18"/>
      <c r="R986" s="18"/>
      <c r="S986" s="18"/>
      <c r="T986" s="18"/>
      <c r="U986" s="18"/>
      <c r="V986" s="18"/>
      <c r="W986" s="18"/>
      <c r="X986" s="18"/>
    </row>
    <row r="987" spans="13:24">
      <c r="M987" s="558">
        <f t="shared" si="50"/>
        <v>985</v>
      </c>
      <c r="N987" s="15">
        <f t="shared" si="48"/>
        <v>0.55003153888183332</v>
      </c>
      <c r="O987" s="165">
        <f t="shared" si="49"/>
        <v>0.44</v>
      </c>
      <c r="P987" s="18"/>
      <c r="Q987" s="18"/>
      <c r="R987" s="18"/>
      <c r="S987" s="18"/>
      <c r="T987" s="18"/>
      <c r="U987" s="18"/>
      <c r="V987" s="18"/>
      <c r="W987" s="18"/>
      <c r="X987" s="18"/>
    </row>
    <row r="988" spans="13:24">
      <c r="M988" s="558">
        <f t="shared" si="50"/>
        <v>986</v>
      </c>
      <c r="N988" s="15">
        <f t="shared" si="48"/>
        <v>0.5498162377878848</v>
      </c>
      <c r="O988" s="165">
        <f t="shared" si="49"/>
        <v>0.44</v>
      </c>
      <c r="P988" s="18"/>
      <c r="Q988" s="18"/>
      <c r="R988" s="18"/>
      <c r="S988" s="18"/>
      <c r="T988" s="18"/>
      <c r="U988" s="18"/>
      <c r="V988" s="18"/>
      <c r="W988" s="18"/>
      <c r="X988" s="18"/>
    </row>
    <row r="989" spans="13:24">
      <c r="M989" s="558">
        <f t="shared" si="50"/>
        <v>987</v>
      </c>
      <c r="N989" s="15">
        <f t="shared" si="48"/>
        <v>0.54960114241446612</v>
      </c>
      <c r="O989" s="165">
        <f t="shared" si="49"/>
        <v>0.44</v>
      </c>
      <c r="P989" s="18"/>
      <c r="Q989" s="18"/>
      <c r="R989" s="18"/>
      <c r="S989" s="18"/>
      <c r="T989" s="18"/>
      <c r="U989" s="18"/>
      <c r="V989" s="18"/>
      <c r="W989" s="18"/>
      <c r="X989" s="18"/>
    </row>
    <row r="990" spans="13:24">
      <c r="M990" s="558">
        <f t="shared" si="50"/>
        <v>988</v>
      </c>
      <c r="N990" s="15">
        <f t="shared" si="48"/>
        <v>0.54938625250341455</v>
      </c>
      <c r="O990" s="165">
        <f t="shared" si="49"/>
        <v>0.44</v>
      </c>
      <c r="P990" s="18"/>
      <c r="Q990" s="18"/>
      <c r="R990" s="18"/>
      <c r="S990" s="18"/>
      <c r="T990" s="18"/>
      <c r="U990" s="18"/>
      <c r="V990" s="18"/>
      <c r="W990" s="18"/>
      <c r="X990" s="18"/>
    </row>
    <row r="991" spans="13:24">
      <c r="M991" s="558">
        <f t="shared" si="50"/>
        <v>989</v>
      </c>
      <c r="N991" s="15">
        <f t="shared" si="48"/>
        <v>0.54917156779689102</v>
      </c>
      <c r="O991" s="165">
        <f t="shared" si="49"/>
        <v>0.44</v>
      </c>
      <c r="P991" s="18"/>
      <c r="Q991" s="18"/>
      <c r="R991" s="18"/>
      <c r="S991" s="18"/>
      <c r="T991" s="18"/>
      <c r="U991" s="18"/>
      <c r="V991" s="18"/>
      <c r="W991" s="18"/>
      <c r="X991" s="18"/>
    </row>
    <row r="992" spans="13:24">
      <c r="M992" s="558">
        <f t="shared" si="50"/>
        <v>990</v>
      </c>
      <c r="N992" s="15">
        <f t="shared" si="48"/>
        <v>0.54895708803738075</v>
      </c>
      <c r="O992" s="165">
        <f t="shared" si="49"/>
        <v>0.44</v>
      </c>
      <c r="P992" s="18"/>
      <c r="Q992" s="18"/>
      <c r="R992" s="18"/>
      <c r="S992" s="18"/>
      <c r="T992" s="18"/>
      <c r="U992" s="18"/>
      <c r="V992" s="18"/>
      <c r="W992" s="18"/>
      <c r="X992" s="18"/>
    </row>
    <row r="993" spans="13:24">
      <c r="M993" s="558">
        <f t="shared" si="50"/>
        <v>991</v>
      </c>
      <c r="N993" s="15">
        <f t="shared" si="48"/>
        <v>0.54874281296769134</v>
      </c>
      <c r="O993" s="165">
        <f t="shared" si="49"/>
        <v>0.44</v>
      </c>
      <c r="P993" s="18"/>
      <c r="Q993" s="18"/>
      <c r="R993" s="18"/>
      <c r="S993" s="18"/>
      <c r="T993" s="18"/>
      <c r="U993" s="18"/>
      <c r="V993" s="18"/>
      <c r="W993" s="18"/>
      <c r="X993" s="18"/>
    </row>
    <row r="994" spans="13:24">
      <c r="M994" s="558">
        <f t="shared" si="50"/>
        <v>992</v>
      </c>
      <c r="N994" s="15">
        <f t="shared" si="48"/>
        <v>0.5485287423309535</v>
      </c>
      <c r="O994" s="165">
        <f t="shared" si="49"/>
        <v>0.44</v>
      </c>
      <c r="P994" s="18"/>
      <c r="Q994" s="18"/>
      <c r="R994" s="18"/>
      <c r="S994" s="18"/>
      <c r="T994" s="18"/>
      <c r="U994" s="18"/>
      <c r="V994" s="18"/>
      <c r="W994" s="18"/>
      <c r="X994" s="18"/>
    </row>
    <row r="995" spans="13:24">
      <c r="M995" s="558">
        <f t="shared" si="50"/>
        <v>993</v>
      </c>
      <c r="N995" s="15">
        <f t="shared" si="48"/>
        <v>0.54831487587062067</v>
      </c>
      <c r="O995" s="165">
        <f t="shared" si="49"/>
        <v>0.44</v>
      </c>
      <c r="P995" s="18"/>
      <c r="Q995" s="18"/>
      <c r="R995" s="18"/>
      <c r="S995" s="18"/>
      <c r="T995" s="18"/>
      <c r="U995" s="18"/>
      <c r="V995" s="18"/>
      <c r="W995" s="18"/>
      <c r="X995" s="18"/>
    </row>
    <row r="996" spans="13:24">
      <c r="M996" s="558">
        <f t="shared" si="50"/>
        <v>994</v>
      </c>
      <c r="N996" s="15">
        <f t="shared" si="48"/>
        <v>0.54810121333046757</v>
      </c>
      <c r="O996" s="165">
        <f t="shared" si="49"/>
        <v>0.44</v>
      </c>
      <c r="P996" s="18"/>
      <c r="Q996" s="18"/>
      <c r="R996" s="18"/>
      <c r="S996" s="18"/>
      <c r="T996" s="18"/>
      <c r="U996" s="18"/>
      <c r="V996" s="18"/>
      <c r="W996" s="18"/>
      <c r="X996" s="18"/>
    </row>
    <row r="997" spans="13:24">
      <c r="M997" s="558">
        <f t="shared" si="50"/>
        <v>995</v>
      </c>
      <c r="N997" s="15">
        <f t="shared" si="48"/>
        <v>0.54788775445459059</v>
      </c>
      <c r="O997" s="165">
        <f t="shared" si="49"/>
        <v>0.44</v>
      </c>
      <c r="P997" s="18"/>
      <c r="Q997" s="18"/>
      <c r="R997" s="18"/>
      <c r="S997" s="18"/>
      <c r="T997" s="18"/>
      <c r="U997" s="18"/>
      <c r="V997" s="18"/>
      <c r="W997" s="18"/>
      <c r="X997" s="18"/>
    </row>
    <row r="998" spans="13:24">
      <c r="M998" s="558">
        <f t="shared" si="50"/>
        <v>996</v>
      </c>
      <c r="N998" s="15">
        <f t="shared" si="48"/>
        <v>0.54767449898740783</v>
      </c>
      <c r="O998" s="165">
        <f t="shared" si="49"/>
        <v>0.44</v>
      </c>
      <c r="P998" s="18"/>
      <c r="Q998" s="18"/>
      <c r="R998" s="18"/>
      <c r="S998" s="18"/>
      <c r="T998" s="18"/>
      <c r="U998" s="18"/>
      <c r="V998" s="18"/>
      <c r="W998" s="18"/>
      <c r="X998" s="18"/>
    </row>
    <row r="999" spans="13:24">
      <c r="M999" s="558">
        <f t="shared" si="50"/>
        <v>997</v>
      </c>
      <c r="N999" s="15">
        <f t="shared" si="48"/>
        <v>0.54746144667365748</v>
      </c>
      <c r="O999" s="165">
        <f t="shared" si="49"/>
        <v>0.44</v>
      </c>
      <c r="P999" s="18"/>
      <c r="Q999" s="18"/>
      <c r="R999" s="18"/>
      <c r="S999" s="18"/>
      <c r="T999" s="18"/>
      <c r="U999" s="18"/>
      <c r="V999" s="18"/>
      <c r="W999" s="18"/>
      <c r="X999" s="18"/>
    </row>
    <row r="1000" spans="13:24">
      <c r="M1000" s="558">
        <f t="shared" si="50"/>
        <v>998</v>
      </c>
      <c r="N1000" s="15">
        <f t="shared" si="48"/>
        <v>0.54724859725839825</v>
      </c>
      <c r="O1000" s="165">
        <f t="shared" si="49"/>
        <v>0.44</v>
      </c>
      <c r="P1000" s="18"/>
      <c r="Q1000" s="18"/>
      <c r="R1000" s="18"/>
      <c r="S1000" s="18"/>
      <c r="T1000" s="18"/>
      <c r="U1000" s="18"/>
      <c r="V1000" s="18"/>
      <c r="W1000" s="18"/>
      <c r="X1000" s="18"/>
    </row>
    <row r="1001" spans="13:24">
      <c r="M1001" s="558">
        <f t="shared" si="50"/>
        <v>999</v>
      </c>
      <c r="N1001" s="15">
        <f t="shared" si="48"/>
        <v>0.54703595048700882</v>
      </c>
      <c r="O1001" s="165">
        <f t="shared" si="49"/>
        <v>0.44</v>
      </c>
      <c r="P1001" s="18"/>
      <c r="Q1001" s="18"/>
      <c r="R1001" s="18"/>
      <c r="S1001" s="18"/>
      <c r="T1001" s="18"/>
      <c r="U1001" s="18"/>
      <c r="V1001" s="18"/>
      <c r="W1001" s="18"/>
      <c r="X1001" s="18"/>
    </row>
    <row r="1002" spans="13:24">
      <c r="M1002" s="558">
        <f t="shared" si="50"/>
        <v>1000</v>
      </c>
      <c r="N1002" s="15">
        <f t="shared" si="48"/>
        <v>0.54682350610518771</v>
      </c>
      <c r="O1002" s="165">
        <f t="shared" si="49"/>
        <v>0.44</v>
      </c>
      <c r="P1002" s="18"/>
      <c r="Q1002" s="18"/>
      <c r="R1002" s="18"/>
      <c r="S1002" s="18"/>
      <c r="T1002" s="18"/>
      <c r="U1002" s="18"/>
      <c r="V1002" s="18"/>
      <c r="W1002" s="18"/>
      <c r="X1002" s="18"/>
    </row>
    <row r="1003" spans="13:24">
      <c r="M1003" s="558">
        <f t="shared" si="50"/>
        <v>1001</v>
      </c>
      <c r="N1003" s="15">
        <f t="shared" si="48"/>
        <v>0.54661126385895198</v>
      </c>
      <c r="O1003" s="165">
        <f t="shared" si="49"/>
        <v>0.44</v>
      </c>
      <c r="P1003" s="18"/>
      <c r="Q1003" s="18"/>
      <c r="R1003" s="18"/>
      <c r="S1003" s="18"/>
      <c r="T1003" s="18"/>
      <c r="U1003" s="18"/>
      <c r="V1003" s="18"/>
      <c r="W1003" s="18"/>
      <c r="X1003" s="18"/>
    </row>
    <row r="1004" spans="13:24">
      <c r="M1004" s="558">
        <f t="shared" si="50"/>
        <v>1002</v>
      </c>
      <c r="N1004" s="15">
        <f t="shared" si="48"/>
        <v>0.54639922349463776</v>
      </c>
      <c r="O1004" s="165">
        <f t="shared" si="49"/>
        <v>0.44</v>
      </c>
      <c r="P1004" s="18"/>
      <c r="Q1004" s="18"/>
      <c r="R1004" s="18"/>
      <c r="S1004" s="18"/>
      <c r="T1004" s="18"/>
      <c r="U1004" s="18"/>
      <c r="V1004" s="18"/>
      <c r="W1004" s="18"/>
      <c r="X1004" s="18"/>
    </row>
    <row r="1005" spans="13:24">
      <c r="M1005" s="558">
        <f t="shared" si="50"/>
        <v>1003</v>
      </c>
      <c r="N1005" s="15">
        <f t="shared" si="48"/>
        <v>0.5461873847588995</v>
      </c>
      <c r="O1005" s="165">
        <f t="shared" si="49"/>
        <v>0.44</v>
      </c>
      <c r="P1005" s="18"/>
      <c r="Q1005" s="18"/>
      <c r="R1005" s="18"/>
      <c r="S1005" s="18"/>
      <c r="T1005" s="18"/>
      <c r="U1005" s="18"/>
      <c r="V1005" s="18"/>
      <c r="W1005" s="18"/>
      <c r="X1005" s="18"/>
    </row>
    <row r="1006" spans="13:24">
      <c r="M1006" s="558">
        <f t="shared" si="50"/>
        <v>1004</v>
      </c>
      <c r="N1006" s="15">
        <f t="shared" si="48"/>
        <v>0.54597574739870924</v>
      </c>
      <c r="O1006" s="165">
        <f t="shared" si="49"/>
        <v>0.44</v>
      </c>
      <c r="P1006" s="18"/>
      <c r="Q1006" s="18"/>
      <c r="R1006" s="18"/>
      <c r="S1006" s="18"/>
      <c r="T1006" s="18"/>
      <c r="U1006" s="18"/>
      <c r="V1006" s="18"/>
      <c r="W1006" s="18"/>
      <c r="X1006" s="18"/>
    </row>
    <row r="1007" spans="13:24">
      <c r="M1007" s="558">
        <f t="shared" si="50"/>
        <v>1005</v>
      </c>
      <c r="N1007" s="15">
        <f t="shared" si="48"/>
        <v>0.54576431116135737</v>
      </c>
      <c r="O1007" s="165">
        <f t="shared" si="49"/>
        <v>0.44</v>
      </c>
      <c r="P1007" s="18"/>
      <c r="Q1007" s="18"/>
      <c r="R1007" s="18"/>
      <c r="S1007" s="18"/>
      <c r="T1007" s="18"/>
      <c r="U1007" s="18"/>
      <c r="V1007" s="18"/>
      <c r="W1007" s="18"/>
      <c r="X1007" s="18"/>
    </row>
    <row r="1008" spans="13:24">
      <c r="M1008" s="558">
        <f t="shared" si="50"/>
        <v>1006</v>
      </c>
      <c r="N1008" s="15">
        <f t="shared" si="48"/>
        <v>0.54555307579445045</v>
      </c>
      <c r="O1008" s="165">
        <f t="shared" si="49"/>
        <v>0.44</v>
      </c>
      <c r="P1008" s="18"/>
      <c r="Q1008" s="18"/>
      <c r="R1008" s="18"/>
      <c r="S1008" s="18"/>
      <c r="T1008" s="18"/>
      <c r="U1008" s="18"/>
      <c r="V1008" s="18"/>
      <c r="W1008" s="18"/>
      <c r="X1008" s="18"/>
    </row>
    <row r="1009" spans="13:24">
      <c r="M1009" s="558">
        <f t="shared" si="50"/>
        <v>1007</v>
      </c>
      <c r="N1009" s="15">
        <f t="shared" si="48"/>
        <v>0.54534204104591233</v>
      </c>
      <c r="O1009" s="165">
        <f t="shared" si="49"/>
        <v>0.44</v>
      </c>
      <c r="P1009" s="18"/>
      <c r="Q1009" s="18"/>
      <c r="R1009" s="18"/>
      <c r="S1009" s="18"/>
      <c r="T1009" s="18"/>
      <c r="U1009" s="18"/>
      <c r="V1009" s="18"/>
      <c r="W1009" s="18"/>
      <c r="X1009" s="18"/>
    </row>
    <row r="1010" spans="13:24">
      <c r="M1010" s="558">
        <f t="shared" si="50"/>
        <v>1008</v>
      </c>
      <c r="N1010" s="15">
        <f t="shared" si="48"/>
        <v>0.54513120666398318</v>
      </c>
      <c r="O1010" s="165">
        <f t="shared" si="49"/>
        <v>0.44</v>
      </c>
      <c r="P1010" s="18"/>
      <c r="Q1010" s="18"/>
      <c r="R1010" s="18"/>
      <c r="S1010" s="18"/>
      <c r="T1010" s="18"/>
      <c r="U1010" s="18"/>
      <c r="V1010" s="18"/>
      <c r="W1010" s="18"/>
      <c r="X1010" s="18"/>
    </row>
    <row r="1011" spans="13:24">
      <c r="M1011" s="558">
        <f t="shared" si="50"/>
        <v>1009</v>
      </c>
      <c r="N1011" s="15">
        <f t="shared" si="48"/>
        <v>0.54492057239721903</v>
      </c>
      <c r="O1011" s="165">
        <f t="shared" si="49"/>
        <v>0.44</v>
      </c>
      <c r="P1011" s="18"/>
      <c r="Q1011" s="18"/>
      <c r="R1011" s="18"/>
      <c r="S1011" s="18"/>
      <c r="T1011" s="18"/>
      <c r="U1011" s="18"/>
      <c r="V1011" s="18"/>
      <c r="W1011" s="18"/>
      <c r="X1011" s="18"/>
    </row>
    <row r="1012" spans="13:24">
      <c r="M1012" s="558">
        <f t="shared" si="50"/>
        <v>1010</v>
      </c>
      <c r="N1012" s="15">
        <f t="shared" si="48"/>
        <v>0.54471013799449086</v>
      </c>
      <c r="O1012" s="165">
        <f t="shared" si="49"/>
        <v>0.44</v>
      </c>
      <c r="P1012" s="18"/>
      <c r="Q1012" s="18"/>
      <c r="R1012" s="18"/>
      <c r="S1012" s="18"/>
      <c r="T1012" s="18"/>
      <c r="U1012" s="18"/>
      <c r="V1012" s="18"/>
      <c r="W1012" s="18"/>
      <c r="X1012" s="18"/>
    </row>
    <row r="1013" spans="13:24">
      <c r="M1013" s="558">
        <f t="shared" si="50"/>
        <v>1011</v>
      </c>
      <c r="N1013" s="15">
        <f t="shared" si="48"/>
        <v>0.5444999032049862</v>
      </c>
      <c r="O1013" s="165">
        <f t="shared" si="49"/>
        <v>0.44</v>
      </c>
      <c r="P1013" s="18"/>
      <c r="Q1013" s="18"/>
      <c r="R1013" s="18"/>
      <c r="S1013" s="18"/>
      <c r="T1013" s="18"/>
      <c r="U1013" s="18"/>
      <c r="V1013" s="18"/>
      <c r="W1013" s="18"/>
      <c r="X1013" s="18"/>
    </row>
    <row r="1014" spans="13:24">
      <c r="M1014" s="558">
        <f t="shared" si="50"/>
        <v>1012</v>
      </c>
      <c r="N1014" s="15">
        <f t="shared" si="48"/>
        <v>0.54428986777820598</v>
      </c>
      <c r="O1014" s="165">
        <f t="shared" si="49"/>
        <v>0.44</v>
      </c>
      <c r="P1014" s="18"/>
      <c r="Q1014" s="18"/>
      <c r="R1014" s="18"/>
      <c r="S1014" s="18"/>
      <c r="T1014" s="18"/>
      <c r="U1014" s="18"/>
      <c r="V1014" s="18"/>
      <c r="W1014" s="18"/>
      <c r="X1014" s="18"/>
    </row>
    <row r="1015" spans="13:24">
      <c r="M1015" s="558">
        <f t="shared" si="50"/>
        <v>1013</v>
      </c>
      <c r="N1015" s="15">
        <f t="shared" si="48"/>
        <v>0.54408003146396611</v>
      </c>
      <c r="O1015" s="165">
        <f t="shared" si="49"/>
        <v>0.44</v>
      </c>
      <c r="P1015" s="18"/>
      <c r="Q1015" s="18"/>
      <c r="R1015" s="18"/>
      <c r="S1015" s="18"/>
      <c r="T1015" s="18"/>
      <c r="U1015" s="18"/>
      <c r="V1015" s="18"/>
      <c r="W1015" s="18"/>
      <c r="X1015" s="18"/>
    </row>
    <row r="1016" spans="13:24">
      <c r="M1016" s="558">
        <f t="shared" si="50"/>
        <v>1014</v>
      </c>
      <c r="N1016" s="15">
        <f t="shared" si="48"/>
        <v>0.54387039401239612</v>
      </c>
      <c r="O1016" s="165">
        <f t="shared" si="49"/>
        <v>0.44</v>
      </c>
      <c r="P1016" s="18"/>
      <c r="Q1016" s="18"/>
      <c r="R1016" s="18"/>
      <c r="S1016" s="18"/>
      <c r="T1016" s="18"/>
      <c r="U1016" s="18"/>
      <c r="V1016" s="18"/>
      <c r="W1016" s="18"/>
      <c r="X1016" s="18"/>
    </row>
    <row r="1017" spans="13:24">
      <c r="M1017" s="558">
        <f t="shared" si="50"/>
        <v>1015</v>
      </c>
      <c r="N1017" s="15">
        <f t="shared" si="48"/>
        <v>0.54366095517393975</v>
      </c>
      <c r="O1017" s="165">
        <f t="shared" si="49"/>
        <v>0.44</v>
      </c>
      <c r="P1017" s="18"/>
      <c r="Q1017" s="18"/>
      <c r="R1017" s="18"/>
      <c r="S1017" s="18"/>
      <c r="T1017" s="18"/>
      <c r="U1017" s="18"/>
      <c r="V1017" s="18"/>
      <c r="W1017" s="18"/>
      <c r="X1017" s="18"/>
    </row>
    <row r="1018" spans="13:24">
      <c r="M1018" s="558">
        <f t="shared" si="50"/>
        <v>1016</v>
      </c>
      <c r="N1018" s="15">
        <f t="shared" si="48"/>
        <v>0.54345171469935327</v>
      </c>
      <c r="O1018" s="165">
        <f t="shared" si="49"/>
        <v>0.44</v>
      </c>
      <c r="P1018" s="18"/>
      <c r="Q1018" s="18"/>
      <c r="R1018" s="18"/>
      <c r="S1018" s="18"/>
      <c r="T1018" s="18"/>
      <c r="U1018" s="18"/>
      <c r="V1018" s="18"/>
      <c r="W1018" s="18"/>
      <c r="X1018" s="18"/>
    </row>
    <row r="1019" spans="13:24">
      <c r="M1019" s="558">
        <f t="shared" si="50"/>
        <v>1017</v>
      </c>
      <c r="N1019" s="15">
        <f t="shared" si="48"/>
        <v>0.54324267233970569</v>
      </c>
      <c r="O1019" s="165">
        <f t="shared" si="49"/>
        <v>0.44</v>
      </c>
      <c r="P1019" s="18"/>
      <c r="Q1019" s="18"/>
      <c r="R1019" s="18"/>
      <c r="S1019" s="18"/>
      <c r="T1019" s="18"/>
      <c r="U1019" s="18"/>
      <c r="V1019" s="18"/>
      <c r="W1019" s="18"/>
      <c r="X1019" s="18"/>
    </row>
    <row r="1020" spans="13:24">
      <c r="M1020" s="558">
        <f t="shared" si="50"/>
        <v>1018</v>
      </c>
      <c r="N1020" s="15">
        <f t="shared" si="48"/>
        <v>0.5430338278463791</v>
      </c>
      <c r="O1020" s="165">
        <f t="shared" si="49"/>
        <v>0.44</v>
      </c>
      <c r="P1020" s="18"/>
      <c r="Q1020" s="18"/>
      <c r="R1020" s="18"/>
      <c r="S1020" s="18"/>
      <c r="T1020" s="18"/>
      <c r="U1020" s="18"/>
      <c r="V1020" s="18"/>
      <c r="W1020" s="18"/>
      <c r="X1020" s="18"/>
    </row>
    <row r="1021" spans="13:24">
      <c r="M1021" s="558">
        <f t="shared" si="50"/>
        <v>1019</v>
      </c>
      <c r="N1021" s="15">
        <f t="shared" si="48"/>
        <v>0.54282518097106713</v>
      </c>
      <c r="O1021" s="165">
        <f t="shared" si="49"/>
        <v>0.44</v>
      </c>
      <c r="P1021" s="18"/>
      <c r="Q1021" s="18"/>
      <c r="R1021" s="18"/>
      <c r="S1021" s="18"/>
      <c r="T1021" s="18"/>
      <c r="U1021" s="18"/>
      <c r="V1021" s="18"/>
      <c r="W1021" s="18"/>
      <c r="X1021" s="18"/>
    </row>
    <row r="1022" spans="13:24">
      <c r="M1022" s="558">
        <f t="shared" si="50"/>
        <v>1020</v>
      </c>
      <c r="N1022" s="15">
        <f t="shared" si="48"/>
        <v>0.54261673146577472</v>
      </c>
      <c r="O1022" s="165">
        <f t="shared" si="49"/>
        <v>0.44</v>
      </c>
      <c r="P1022" s="18"/>
      <c r="Q1022" s="18"/>
      <c r="R1022" s="18"/>
      <c r="S1022" s="18"/>
      <c r="T1022" s="18"/>
      <c r="U1022" s="18"/>
      <c r="V1022" s="18"/>
      <c r="W1022" s="18"/>
      <c r="X1022" s="18"/>
    </row>
    <row r="1023" spans="13:24">
      <c r="M1023" s="558">
        <f t="shared" si="50"/>
        <v>1021</v>
      </c>
      <c r="N1023" s="15">
        <f t="shared" si="48"/>
        <v>0.54240847908281853</v>
      </c>
      <c r="O1023" s="165">
        <f t="shared" si="49"/>
        <v>0.44</v>
      </c>
      <c r="P1023" s="18"/>
      <c r="Q1023" s="18"/>
      <c r="R1023" s="18"/>
      <c r="S1023" s="18"/>
      <c r="T1023" s="18"/>
      <c r="U1023" s="18"/>
      <c r="V1023" s="18"/>
      <c r="W1023" s="18"/>
      <c r="X1023" s="18"/>
    </row>
    <row r="1024" spans="13:24">
      <c r="M1024" s="558">
        <f t="shared" si="50"/>
        <v>1022</v>
      </c>
      <c r="N1024" s="15">
        <f t="shared" si="48"/>
        <v>0.54220042357482612</v>
      </c>
      <c r="O1024" s="165">
        <f t="shared" si="49"/>
        <v>0.44</v>
      </c>
      <c r="P1024" s="18"/>
      <c r="Q1024" s="18"/>
      <c r="R1024" s="18"/>
      <c r="S1024" s="18"/>
      <c r="T1024" s="18"/>
      <c r="U1024" s="18"/>
      <c r="V1024" s="18"/>
      <c r="W1024" s="18"/>
      <c r="X1024" s="18"/>
    </row>
    <row r="1025" spans="13:24">
      <c r="M1025" s="558">
        <f t="shared" si="50"/>
        <v>1023</v>
      </c>
      <c r="N1025" s="15">
        <f t="shared" si="48"/>
        <v>0.54199256469473467</v>
      </c>
      <c r="O1025" s="165">
        <f t="shared" si="49"/>
        <v>0.44</v>
      </c>
      <c r="P1025" s="18"/>
      <c r="Q1025" s="18"/>
      <c r="R1025" s="18"/>
      <c r="S1025" s="18"/>
      <c r="T1025" s="18"/>
      <c r="U1025" s="18"/>
      <c r="V1025" s="18"/>
      <c r="W1025" s="18"/>
      <c r="X1025" s="18"/>
    </row>
    <row r="1026" spans="13:24">
      <c r="M1026" s="558">
        <f t="shared" si="50"/>
        <v>1024</v>
      </c>
      <c r="N1026" s="15">
        <f t="shared" si="48"/>
        <v>0.54178490219579245</v>
      </c>
      <c r="O1026" s="165">
        <f t="shared" si="49"/>
        <v>0.44</v>
      </c>
      <c r="P1026" s="18"/>
      <c r="Q1026" s="18"/>
      <c r="R1026" s="18"/>
      <c r="S1026" s="18"/>
      <c r="T1026" s="18"/>
      <c r="U1026" s="18"/>
      <c r="V1026" s="18"/>
      <c r="W1026" s="18"/>
      <c r="X1026" s="18"/>
    </row>
    <row r="1027" spans="13:24">
      <c r="M1027" s="558">
        <f t="shared" si="50"/>
        <v>1025</v>
      </c>
      <c r="N1027" s="15">
        <f t="shared" si="48"/>
        <v>0.5415774358315566</v>
      </c>
      <c r="O1027" s="165">
        <f t="shared" si="49"/>
        <v>0.44</v>
      </c>
      <c r="P1027" s="18"/>
      <c r="Q1027" s="18"/>
      <c r="R1027" s="18"/>
      <c r="S1027" s="18"/>
      <c r="T1027" s="18"/>
      <c r="U1027" s="18"/>
      <c r="V1027" s="18"/>
      <c r="W1027" s="18"/>
      <c r="X1027" s="18"/>
    </row>
    <row r="1028" spans="13:24">
      <c r="M1028" s="558">
        <f t="shared" si="50"/>
        <v>1026</v>
      </c>
      <c r="N1028" s="15">
        <f t="shared" ref="N1028:N1091" si="51">IF(M1028&lt;$B$31+1,$B$32+$B$33/$B$31*(8760-M1028)+$B$34*IF(M1028&lt;$B$36-$B$31/(2*$B$35),1,IF(M1028&lt;$B$36+$B$31/(2*$B$35),COS(PI()/2*(M1028-($B$36-$B$31/(2*$B$35)))*$B$35/$B$31)^2,0))+$B$37*EXP((8760-M1028)/8760*$B$38)/EXP($B$38)-(8760-$B$31)*$B$33/$B$31,0)</f>
        <v>0.541370165355894</v>
      </c>
      <c r="O1028" s="165">
        <f t="shared" ref="O1028:O1091" si="52">MIN(N1028,C$24)</f>
        <v>0.44</v>
      </c>
      <c r="P1028" s="18"/>
      <c r="Q1028" s="18"/>
      <c r="R1028" s="18"/>
      <c r="S1028" s="18"/>
      <c r="T1028" s="18"/>
      <c r="U1028" s="18"/>
      <c r="V1028" s="18"/>
      <c r="W1028" s="18"/>
      <c r="X1028" s="18"/>
    </row>
    <row r="1029" spans="13:24">
      <c r="M1029" s="558">
        <f t="shared" ref="M1029:M1092" si="53">M1028+1</f>
        <v>1027</v>
      </c>
      <c r="N1029" s="15">
        <f t="shared" si="51"/>
        <v>0.54116309052297984</v>
      </c>
      <c r="O1029" s="165">
        <f t="shared" si="52"/>
        <v>0.44</v>
      </c>
      <c r="P1029" s="18"/>
      <c r="Q1029" s="18"/>
      <c r="R1029" s="18"/>
      <c r="S1029" s="18"/>
      <c r="T1029" s="18"/>
      <c r="U1029" s="18"/>
      <c r="V1029" s="18"/>
      <c r="W1029" s="18"/>
      <c r="X1029" s="18"/>
    </row>
    <row r="1030" spans="13:24">
      <c r="M1030" s="558">
        <f t="shared" si="53"/>
        <v>1028</v>
      </c>
      <c r="N1030" s="15">
        <f t="shared" si="51"/>
        <v>0.54095621108729874</v>
      </c>
      <c r="O1030" s="165">
        <f t="shared" si="52"/>
        <v>0.44</v>
      </c>
      <c r="P1030" s="18"/>
      <c r="Q1030" s="18"/>
      <c r="R1030" s="18"/>
      <c r="S1030" s="18"/>
      <c r="T1030" s="18"/>
      <c r="U1030" s="18"/>
      <c r="V1030" s="18"/>
      <c r="W1030" s="18"/>
      <c r="X1030" s="18"/>
    </row>
    <row r="1031" spans="13:24">
      <c r="M1031" s="558">
        <f t="shared" si="53"/>
        <v>1029</v>
      </c>
      <c r="N1031" s="15">
        <f t="shared" si="51"/>
        <v>0.54074952680364252</v>
      </c>
      <c r="O1031" s="165">
        <f t="shared" si="52"/>
        <v>0.44</v>
      </c>
      <c r="P1031" s="18"/>
      <c r="Q1031" s="18"/>
      <c r="R1031" s="18"/>
      <c r="S1031" s="18"/>
      <c r="T1031" s="18"/>
      <c r="U1031" s="18"/>
      <c r="V1031" s="18"/>
      <c r="W1031" s="18"/>
      <c r="X1031" s="18"/>
    </row>
    <row r="1032" spans="13:24">
      <c r="M1032" s="558">
        <f t="shared" si="53"/>
        <v>1030</v>
      </c>
      <c r="N1032" s="15">
        <f t="shared" si="51"/>
        <v>0.54054303742711118</v>
      </c>
      <c r="O1032" s="165">
        <f t="shared" si="52"/>
        <v>0.44</v>
      </c>
      <c r="P1032" s="18"/>
      <c r="Q1032" s="18"/>
      <c r="R1032" s="18"/>
      <c r="S1032" s="18"/>
      <c r="T1032" s="18"/>
      <c r="U1032" s="18"/>
      <c r="V1032" s="18"/>
      <c r="W1032" s="18"/>
      <c r="X1032" s="18"/>
    </row>
    <row r="1033" spans="13:24">
      <c r="M1033" s="558">
        <f t="shared" si="53"/>
        <v>1031</v>
      </c>
      <c r="N1033" s="15">
        <f t="shared" si="51"/>
        <v>0.54033674271311194</v>
      </c>
      <c r="O1033" s="165">
        <f t="shared" si="52"/>
        <v>0.44</v>
      </c>
      <c r="P1033" s="18"/>
      <c r="Q1033" s="18"/>
      <c r="R1033" s="18"/>
      <c r="S1033" s="18"/>
      <c r="T1033" s="18"/>
      <c r="U1033" s="18"/>
      <c r="V1033" s="18"/>
      <c r="W1033" s="18"/>
      <c r="X1033" s="18"/>
    </row>
    <row r="1034" spans="13:24">
      <c r="M1034" s="558">
        <f t="shared" si="53"/>
        <v>1032</v>
      </c>
      <c r="N1034" s="15">
        <f t="shared" si="51"/>
        <v>0.54013064241735864</v>
      </c>
      <c r="O1034" s="165">
        <f t="shared" si="52"/>
        <v>0.44</v>
      </c>
      <c r="P1034" s="18"/>
      <c r="Q1034" s="18"/>
      <c r="R1034" s="18"/>
      <c r="S1034" s="18"/>
      <c r="T1034" s="18"/>
      <c r="U1034" s="18"/>
      <c r="V1034" s="18"/>
      <c r="W1034" s="18"/>
      <c r="X1034" s="18"/>
    </row>
    <row r="1035" spans="13:24">
      <c r="M1035" s="558">
        <f t="shared" si="53"/>
        <v>1033</v>
      </c>
      <c r="N1035" s="15">
        <f t="shared" si="51"/>
        <v>0.53992473629587245</v>
      </c>
      <c r="O1035" s="165">
        <f t="shared" si="52"/>
        <v>0.44</v>
      </c>
      <c r="P1035" s="18"/>
      <c r="Q1035" s="18"/>
      <c r="R1035" s="18"/>
      <c r="S1035" s="18"/>
      <c r="T1035" s="18"/>
      <c r="U1035" s="18"/>
      <c r="V1035" s="18"/>
      <c r="W1035" s="18"/>
      <c r="X1035" s="18"/>
    </row>
    <row r="1036" spans="13:24">
      <c r="M1036" s="558">
        <f t="shared" si="53"/>
        <v>1034</v>
      </c>
      <c r="N1036" s="15">
        <f t="shared" si="51"/>
        <v>0.53971902410498007</v>
      </c>
      <c r="O1036" s="165">
        <f t="shared" si="52"/>
        <v>0.44</v>
      </c>
      <c r="P1036" s="18"/>
      <c r="Q1036" s="18"/>
      <c r="R1036" s="18"/>
      <c r="S1036" s="18"/>
      <c r="T1036" s="18"/>
      <c r="U1036" s="18"/>
      <c r="V1036" s="18"/>
      <c r="W1036" s="18"/>
      <c r="X1036" s="18"/>
    </row>
    <row r="1037" spans="13:24">
      <c r="M1037" s="558">
        <f t="shared" si="53"/>
        <v>1035</v>
      </c>
      <c r="N1037" s="15">
        <f t="shared" si="51"/>
        <v>0.53951350560131395</v>
      </c>
      <c r="O1037" s="165">
        <f t="shared" si="52"/>
        <v>0.44</v>
      </c>
      <c r="P1037" s="18"/>
      <c r="Q1037" s="18"/>
      <c r="R1037" s="18"/>
      <c r="S1037" s="18"/>
      <c r="T1037" s="18"/>
      <c r="U1037" s="18"/>
      <c r="V1037" s="18"/>
      <c r="W1037" s="18"/>
      <c r="X1037" s="18"/>
    </row>
    <row r="1038" spans="13:24">
      <c r="M1038" s="558">
        <f t="shared" si="53"/>
        <v>1036</v>
      </c>
      <c r="N1038" s="15">
        <f t="shared" si="51"/>
        <v>0.53930818054181251</v>
      </c>
      <c r="O1038" s="165">
        <f t="shared" si="52"/>
        <v>0.44</v>
      </c>
      <c r="P1038" s="18"/>
      <c r="Q1038" s="18"/>
      <c r="R1038" s="18"/>
      <c r="S1038" s="18"/>
      <c r="T1038" s="18"/>
      <c r="U1038" s="18"/>
      <c r="V1038" s="18"/>
      <c r="W1038" s="18"/>
      <c r="X1038" s="18"/>
    </row>
    <row r="1039" spans="13:24">
      <c r="M1039" s="558">
        <f t="shared" si="53"/>
        <v>1037</v>
      </c>
      <c r="N1039" s="15">
        <f t="shared" si="51"/>
        <v>0.53910304868371894</v>
      </c>
      <c r="O1039" s="165">
        <f t="shared" si="52"/>
        <v>0.44</v>
      </c>
      <c r="P1039" s="18"/>
      <c r="Q1039" s="18"/>
      <c r="R1039" s="18"/>
      <c r="S1039" s="18"/>
      <c r="T1039" s="18"/>
      <c r="U1039" s="18"/>
      <c r="V1039" s="18"/>
      <c r="W1039" s="18"/>
      <c r="X1039" s="18"/>
    </row>
    <row r="1040" spans="13:24">
      <c r="M1040" s="558">
        <f t="shared" si="53"/>
        <v>1038</v>
      </c>
      <c r="N1040" s="15">
        <f t="shared" si="51"/>
        <v>0.53889810978458053</v>
      </c>
      <c r="O1040" s="165">
        <f t="shared" si="52"/>
        <v>0.44</v>
      </c>
      <c r="P1040" s="18"/>
      <c r="Q1040" s="18"/>
      <c r="R1040" s="18"/>
      <c r="S1040" s="18"/>
      <c r="T1040" s="18"/>
      <c r="U1040" s="18"/>
      <c r="V1040" s="18"/>
      <c r="W1040" s="18"/>
      <c r="X1040" s="18"/>
    </row>
    <row r="1041" spans="13:24">
      <c r="M1041" s="558">
        <f t="shared" si="53"/>
        <v>1039</v>
      </c>
      <c r="N1041" s="15">
        <f t="shared" si="51"/>
        <v>0.53869336360224973</v>
      </c>
      <c r="O1041" s="165">
        <f t="shared" si="52"/>
        <v>0.44</v>
      </c>
      <c r="P1041" s="18"/>
      <c r="Q1041" s="18"/>
      <c r="R1041" s="18"/>
      <c r="S1041" s="18"/>
      <c r="T1041" s="18"/>
      <c r="U1041" s="18"/>
      <c r="V1041" s="18"/>
      <c r="W1041" s="18"/>
      <c r="X1041" s="18"/>
    </row>
    <row r="1042" spans="13:24">
      <c r="M1042" s="558">
        <f t="shared" si="53"/>
        <v>1040</v>
      </c>
      <c r="N1042" s="15">
        <f t="shared" si="51"/>
        <v>0.53848880989488213</v>
      </c>
      <c r="O1042" s="165">
        <f t="shared" si="52"/>
        <v>0.44</v>
      </c>
      <c r="P1042" s="18"/>
      <c r="Q1042" s="18"/>
      <c r="R1042" s="18"/>
      <c r="S1042" s="18"/>
      <c r="T1042" s="18"/>
      <c r="U1042" s="18"/>
      <c r="V1042" s="18"/>
      <c r="W1042" s="18"/>
      <c r="X1042" s="18"/>
    </row>
    <row r="1043" spans="13:24">
      <c r="M1043" s="558">
        <f t="shared" si="53"/>
        <v>1041</v>
      </c>
      <c r="N1043" s="15">
        <f t="shared" si="51"/>
        <v>0.53828444842093737</v>
      </c>
      <c r="O1043" s="165">
        <f t="shared" si="52"/>
        <v>0.44</v>
      </c>
      <c r="P1043" s="18"/>
      <c r="Q1043" s="18"/>
      <c r="R1043" s="18"/>
      <c r="S1043" s="18"/>
      <c r="T1043" s="18"/>
      <c r="U1043" s="18"/>
      <c r="V1043" s="18"/>
      <c r="W1043" s="18"/>
      <c r="X1043" s="18"/>
    </row>
    <row r="1044" spans="13:24">
      <c r="M1044" s="558">
        <f t="shared" si="53"/>
        <v>1042</v>
      </c>
      <c r="N1044" s="15">
        <f t="shared" si="51"/>
        <v>0.53808027893917754</v>
      </c>
      <c r="O1044" s="165">
        <f t="shared" si="52"/>
        <v>0.44</v>
      </c>
      <c r="P1044" s="18"/>
      <c r="Q1044" s="18"/>
      <c r="R1044" s="18"/>
      <c r="S1044" s="18"/>
      <c r="T1044" s="18"/>
      <c r="U1044" s="18"/>
      <c r="V1044" s="18"/>
      <c r="W1044" s="18"/>
      <c r="X1044" s="18"/>
    </row>
    <row r="1045" spans="13:24">
      <c r="M1045" s="558">
        <f t="shared" si="53"/>
        <v>1043</v>
      </c>
      <c r="N1045" s="15">
        <f t="shared" si="51"/>
        <v>0.53787630120866836</v>
      </c>
      <c r="O1045" s="165">
        <f t="shared" si="52"/>
        <v>0.44</v>
      </c>
      <c r="P1045" s="18"/>
      <c r="Q1045" s="18"/>
      <c r="R1045" s="18"/>
      <c r="S1045" s="18"/>
      <c r="T1045" s="18"/>
      <c r="U1045" s="18"/>
      <c r="V1045" s="18"/>
      <c r="W1045" s="18"/>
      <c r="X1045" s="18"/>
    </row>
    <row r="1046" spans="13:24">
      <c r="M1046" s="558">
        <f t="shared" si="53"/>
        <v>1044</v>
      </c>
      <c r="N1046" s="15">
        <f t="shared" si="51"/>
        <v>0.53767251498877711</v>
      </c>
      <c r="O1046" s="165">
        <f t="shared" si="52"/>
        <v>0.44</v>
      </c>
      <c r="P1046" s="18"/>
      <c r="Q1046" s="18"/>
      <c r="R1046" s="18"/>
      <c r="S1046" s="18"/>
      <c r="T1046" s="18"/>
      <c r="U1046" s="18"/>
      <c r="V1046" s="18"/>
      <c r="W1046" s="18"/>
      <c r="X1046" s="18"/>
    </row>
    <row r="1047" spans="13:24">
      <c r="M1047" s="558">
        <f t="shared" si="53"/>
        <v>1045</v>
      </c>
      <c r="N1047" s="15">
        <f t="shared" si="51"/>
        <v>0.53746892003917335</v>
      </c>
      <c r="O1047" s="165">
        <f t="shared" si="52"/>
        <v>0.44</v>
      </c>
      <c r="P1047" s="18"/>
      <c r="Q1047" s="18"/>
      <c r="R1047" s="18"/>
      <c r="S1047" s="18"/>
      <c r="T1047" s="18"/>
      <c r="U1047" s="18"/>
      <c r="V1047" s="18"/>
      <c r="W1047" s="18"/>
      <c r="X1047" s="18"/>
    </row>
    <row r="1048" spans="13:24">
      <c r="M1048" s="558">
        <f t="shared" si="53"/>
        <v>1046</v>
      </c>
      <c r="N1048" s="15">
        <f t="shared" si="51"/>
        <v>0.53726551611982831</v>
      </c>
      <c r="O1048" s="165">
        <f t="shared" si="52"/>
        <v>0.44</v>
      </c>
      <c r="P1048" s="18"/>
      <c r="Q1048" s="18"/>
      <c r="R1048" s="18"/>
      <c r="S1048" s="18"/>
      <c r="T1048" s="18"/>
      <c r="U1048" s="18"/>
      <c r="V1048" s="18"/>
      <c r="W1048" s="18"/>
      <c r="X1048" s="18"/>
    </row>
    <row r="1049" spans="13:24">
      <c r="M1049" s="558">
        <f t="shared" si="53"/>
        <v>1047</v>
      </c>
      <c r="N1049" s="15">
        <f t="shared" si="51"/>
        <v>0.53706230299101443</v>
      </c>
      <c r="O1049" s="165">
        <f t="shared" si="52"/>
        <v>0.44</v>
      </c>
      <c r="P1049" s="18"/>
      <c r="Q1049" s="18"/>
      <c r="R1049" s="18"/>
      <c r="S1049" s="18"/>
      <c r="T1049" s="18"/>
      <c r="U1049" s="18"/>
      <c r="V1049" s="18"/>
      <c r="W1049" s="18"/>
      <c r="X1049" s="18"/>
    </row>
    <row r="1050" spans="13:24">
      <c r="M1050" s="558">
        <f t="shared" si="53"/>
        <v>1048</v>
      </c>
      <c r="N1050" s="15">
        <f t="shared" si="51"/>
        <v>0.53685928041330455</v>
      </c>
      <c r="O1050" s="165">
        <f t="shared" si="52"/>
        <v>0.44</v>
      </c>
      <c r="P1050" s="18"/>
      <c r="Q1050" s="18"/>
      <c r="R1050" s="18"/>
      <c r="S1050" s="18"/>
      <c r="T1050" s="18"/>
      <c r="U1050" s="18"/>
      <c r="V1050" s="18"/>
      <c r="W1050" s="18"/>
      <c r="X1050" s="18"/>
    </row>
    <row r="1051" spans="13:24">
      <c r="M1051" s="558">
        <f t="shared" si="53"/>
        <v>1049</v>
      </c>
      <c r="N1051" s="15">
        <f t="shared" si="51"/>
        <v>0.53665644814757285</v>
      </c>
      <c r="O1051" s="165">
        <f t="shared" si="52"/>
        <v>0.44</v>
      </c>
      <c r="P1051" s="18"/>
      <c r="Q1051" s="18"/>
      <c r="R1051" s="18"/>
      <c r="S1051" s="18"/>
      <c r="T1051" s="18"/>
      <c r="U1051" s="18"/>
      <c r="V1051" s="18"/>
      <c r="W1051" s="18"/>
      <c r="X1051" s="18"/>
    </row>
    <row r="1052" spans="13:24">
      <c r="M1052" s="558">
        <f t="shared" si="53"/>
        <v>1050</v>
      </c>
      <c r="N1052" s="15">
        <f t="shared" si="51"/>
        <v>0.53645380595499292</v>
      </c>
      <c r="O1052" s="165">
        <f t="shared" si="52"/>
        <v>0.44</v>
      </c>
      <c r="P1052" s="18"/>
      <c r="Q1052" s="18"/>
      <c r="R1052" s="18"/>
      <c r="S1052" s="18"/>
      <c r="T1052" s="18"/>
      <c r="U1052" s="18"/>
      <c r="V1052" s="18"/>
      <c r="W1052" s="18"/>
      <c r="X1052" s="18"/>
    </row>
    <row r="1053" spans="13:24">
      <c r="M1053" s="558">
        <f t="shared" si="53"/>
        <v>1051</v>
      </c>
      <c r="N1053" s="15">
        <f t="shared" si="51"/>
        <v>0.53625135359703779</v>
      </c>
      <c r="O1053" s="165">
        <f t="shared" si="52"/>
        <v>0.44</v>
      </c>
      <c r="P1053" s="18"/>
      <c r="Q1053" s="18"/>
      <c r="R1053" s="18"/>
      <c r="S1053" s="18"/>
      <c r="T1053" s="18"/>
      <c r="U1053" s="18"/>
      <c r="V1053" s="18"/>
      <c r="W1053" s="18"/>
      <c r="X1053" s="18"/>
    </row>
    <row r="1054" spans="13:24">
      <c r="M1054" s="558">
        <f t="shared" si="53"/>
        <v>1052</v>
      </c>
      <c r="N1054" s="15">
        <f t="shared" si="51"/>
        <v>0.53604909083548091</v>
      </c>
      <c r="O1054" s="165">
        <f t="shared" si="52"/>
        <v>0.44</v>
      </c>
      <c r="P1054" s="18"/>
      <c r="Q1054" s="18"/>
      <c r="R1054" s="18"/>
      <c r="S1054" s="18"/>
      <c r="T1054" s="18"/>
      <c r="U1054" s="18"/>
      <c r="V1054" s="18"/>
      <c r="W1054" s="18"/>
      <c r="X1054" s="18"/>
    </row>
    <row r="1055" spans="13:24">
      <c r="M1055" s="558">
        <f t="shared" si="53"/>
        <v>1053</v>
      </c>
      <c r="N1055" s="15">
        <f t="shared" si="51"/>
        <v>0.53584701743239371</v>
      </c>
      <c r="O1055" s="165">
        <f t="shared" si="52"/>
        <v>0.44</v>
      </c>
      <c r="P1055" s="18"/>
      <c r="Q1055" s="18"/>
      <c r="R1055" s="18"/>
      <c r="S1055" s="18"/>
      <c r="T1055" s="18"/>
      <c r="U1055" s="18"/>
      <c r="V1055" s="18"/>
      <c r="W1055" s="18"/>
      <c r="X1055" s="18"/>
    </row>
    <row r="1056" spans="13:24">
      <c r="M1056" s="558">
        <f t="shared" si="53"/>
        <v>1054</v>
      </c>
      <c r="N1056" s="15">
        <f t="shared" si="51"/>
        <v>0.53564513315014617</v>
      </c>
      <c r="O1056" s="165">
        <f t="shared" si="52"/>
        <v>0.44</v>
      </c>
      <c r="P1056" s="18"/>
      <c r="Q1056" s="18"/>
      <c r="R1056" s="18"/>
      <c r="S1056" s="18"/>
      <c r="T1056" s="18"/>
      <c r="U1056" s="18"/>
      <c r="V1056" s="18"/>
      <c r="W1056" s="18"/>
      <c r="X1056" s="18"/>
    </row>
    <row r="1057" spans="13:24">
      <c r="M1057" s="558">
        <f t="shared" si="53"/>
        <v>1055</v>
      </c>
      <c r="N1057" s="15">
        <f t="shared" si="51"/>
        <v>0.53544343775140768</v>
      </c>
      <c r="O1057" s="165">
        <f t="shared" si="52"/>
        <v>0.44</v>
      </c>
      <c r="P1057" s="18"/>
      <c r="Q1057" s="18"/>
      <c r="R1057" s="18"/>
      <c r="S1057" s="18"/>
      <c r="T1057" s="18"/>
      <c r="U1057" s="18"/>
      <c r="V1057" s="18"/>
      <c r="W1057" s="18"/>
      <c r="X1057" s="18"/>
    </row>
    <row r="1058" spans="13:24">
      <c r="M1058" s="558">
        <f t="shared" si="53"/>
        <v>1056</v>
      </c>
      <c r="N1058" s="15">
        <f t="shared" si="51"/>
        <v>0.53524193099914397</v>
      </c>
      <c r="O1058" s="165">
        <f t="shared" si="52"/>
        <v>0.44</v>
      </c>
      <c r="P1058" s="18"/>
      <c r="Q1058" s="18"/>
      <c r="R1058" s="18"/>
      <c r="S1058" s="18"/>
      <c r="T1058" s="18"/>
      <c r="U1058" s="18"/>
      <c r="V1058" s="18"/>
      <c r="W1058" s="18"/>
      <c r="X1058" s="18"/>
    </row>
    <row r="1059" spans="13:24">
      <c r="M1059" s="558">
        <f t="shared" si="53"/>
        <v>1057</v>
      </c>
      <c r="N1059" s="15">
        <f t="shared" si="51"/>
        <v>0.53504061265661873</v>
      </c>
      <c r="O1059" s="165">
        <f t="shared" si="52"/>
        <v>0.44</v>
      </c>
      <c r="P1059" s="18"/>
      <c r="Q1059" s="18"/>
      <c r="R1059" s="18"/>
      <c r="S1059" s="18"/>
      <c r="T1059" s="18"/>
      <c r="U1059" s="18"/>
      <c r="V1059" s="18"/>
      <c r="W1059" s="18"/>
      <c r="X1059" s="18"/>
    </row>
    <row r="1060" spans="13:24">
      <c r="M1060" s="558">
        <f t="shared" si="53"/>
        <v>1058</v>
      </c>
      <c r="N1060" s="15">
        <f t="shared" si="51"/>
        <v>0.53483948248739321</v>
      </c>
      <c r="O1060" s="165">
        <f t="shared" si="52"/>
        <v>0.44</v>
      </c>
      <c r="P1060" s="18"/>
      <c r="Q1060" s="18"/>
      <c r="R1060" s="18"/>
      <c r="S1060" s="18"/>
      <c r="T1060" s="18"/>
      <c r="U1060" s="18"/>
      <c r="V1060" s="18"/>
      <c r="W1060" s="18"/>
      <c r="X1060" s="18"/>
    </row>
    <row r="1061" spans="13:24">
      <c r="M1061" s="558">
        <f t="shared" si="53"/>
        <v>1059</v>
      </c>
      <c r="N1061" s="15">
        <f t="shared" si="51"/>
        <v>0.5346385402553252</v>
      </c>
      <c r="O1061" s="165">
        <f t="shared" si="52"/>
        <v>0.44</v>
      </c>
      <c r="P1061" s="18"/>
      <c r="Q1061" s="18"/>
      <c r="R1061" s="18"/>
      <c r="S1061" s="18"/>
      <c r="T1061" s="18"/>
      <c r="U1061" s="18"/>
      <c r="V1061" s="18"/>
      <c r="W1061" s="18"/>
      <c r="X1061" s="18"/>
    </row>
    <row r="1062" spans="13:24">
      <c r="M1062" s="558">
        <f t="shared" si="53"/>
        <v>1060</v>
      </c>
      <c r="N1062" s="15">
        <f t="shared" si="51"/>
        <v>0.53443778572456802</v>
      </c>
      <c r="O1062" s="165">
        <f t="shared" si="52"/>
        <v>0.44</v>
      </c>
      <c r="P1062" s="18"/>
      <c r="Q1062" s="18"/>
      <c r="R1062" s="18"/>
      <c r="S1062" s="18"/>
      <c r="T1062" s="18"/>
      <c r="U1062" s="18"/>
      <c r="V1062" s="18"/>
      <c r="W1062" s="18"/>
      <c r="X1062" s="18"/>
    </row>
    <row r="1063" spans="13:24">
      <c r="M1063" s="558">
        <f t="shared" si="53"/>
        <v>1061</v>
      </c>
      <c r="N1063" s="15">
        <f t="shared" si="51"/>
        <v>0.5342372186595723</v>
      </c>
      <c r="O1063" s="165">
        <f t="shared" si="52"/>
        <v>0.44</v>
      </c>
      <c r="P1063" s="18"/>
      <c r="Q1063" s="18"/>
      <c r="R1063" s="18"/>
      <c r="S1063" s="18"/>
      <c r="T1063" s="18"/>
      <c r="U1063" s="18"/>
      <c r="V1063" s="18"/>
      <c r="W1063" s="18"/>
      <c r="X1063" s="18"/>
    </row>
    <row r="1064" spans="13:24">
      <c r="M1064" s="558">
        <f t="shared" si="53"/>
        <v>1062</v>
      </c>
      <c r="N1064" s="15">
        <f t="shared" si="51"/>
        <v>0.53403683882508324</v>
      </c>
      <c r="O1064" s="165">
        <f t="shared" si="52"/>
        <v>0.44</v>
      </c>
      <c r="P1064" s="18"/>
      <c r="Q1064" s="18"/>
      <c r="R1064" s="18"/>
      <c r="S1064" s="18"/>
      <c r="T1064" s="18"/>
      <c r="U1064" s="18"/>
      <c r="V1064" s="18"/>
      <c r="W1064" s="18"/>
      <c r="X1064" s="18"/>
    </row>
    <row r="1065" spans="13:24">
      <c r="M1065" s="558">
        <f t="shared" si="53"/>
        <v>1063</v>
      </c>
      <c r="N1065" s="15">
        <f t="shared" si="51"/>
        <v>0.53383664598614133</v>
      </c>
      <c r="O1065" s="165">
        <f t="shared" si="52"/>
        <v>0.44</v>
      </c>
      <c r="P1065" s="18"/>
      <c r="Q1065" s="18"/>
      <c r="R1065" s="18"/>
      <c r="S1065" s="18"/>
      <c r="T1065" s="18"/>
      <c r="U1065" s="18"/>
      <c r="V1065" s="18"/>
      <c r="W1065" s="18"/>
      <c r="X1065" s="18"/>
    </row>
    <row r="1066" spans="13:24">
      <c r="M1066" s="558">
        <f t="shared" si="53"/>
        <v>1064</v>
      </c>
      <c r="N1066" s="15">
        <f t="shared" si="51"/>
        <v>0.53363663990808274</v>
      </c>
      <c r="O1066" s="165">
        <f t="shared" si="52"/>
        <v>0.44</v>
      </c>
      <c r="P1066" s="18"/>
      <c r="Q1066" s="18"/>
      <c r="R1066" s="18"/>
      <c r="S1066" s="18"/>
      <c r="T1066" s="18"/>
      <c r="U1066" s="18"/>
      <c r="V1066" s="18"/>
      <c r="W1066" s="18"/>
      <c r="X1066" s="18"/>
    </row>
    <row r="1067" spans="13:24">
      <c r="M1067" s="558">
        <f t="shared" si="53"/>
        <v>1065</v>
      </c>
      <c r="N1067" s="15">
        <f t="shared" si="51"/>
        <v>0.53343682035653728</v>
      </c>
      <c r="O1067" s="165">
        <f t="shared" si="52"/>
        <v>0.44</v>
      </c>
      <c r="P1067" s="18"/>
      <c r="Q1067" s="18"/>
      <c r="R1067" s="18"/>
      <c r="S1067" s="18"/>
      <c r="T1067" s="18"/>
      <c r="U1067" s="18"/>
      <c r="V1067" s="18"/>
      <c r="W1067" s="18"/>
      <c r="X1067" s="18"/>
    </row>
    <row r="1068" spans="13:24">
      <c r="M1068" s="558">
        <f t="shared" si="53"/>
        <v>1066</v>
      </c>
      <c r="N1068" s="15">
        <f t="shared" si="51"/>
        <v>0.53323718709742884</v>
      </c>
      <c r="O1068" s="165">
        <f t="shared" si="52"/>
        <v>0.44</v>
      </c>
      <c r="P1068" s="18"/>
      <c r="Q1068" s="18"/>
      <c r="R1068" s="18"/>
      <c r="S1068" s="18"/>
      <c r="T1068" s="18"/>
      <c r="U1068" s="18"/>
      <c r="V1068" s="18"/>
      <c r="W1068" s="18"/>
      <c r="X1068" s="18"/>
    </row>
    <row r="1069" spans="13:24">
      <c r="M1069" s="558">
        <f t="shared" si="53"/>
        <v>1067</v>
      </c>
      <c r="N1069" s="15">
        <f t="shared" si="51"/>
        <v>0.533037739896976</v>
      </c>
      <c r="O1069" s="165">
        <f t="shared" si="52"/>
        <v>0.44</v>
      </c>
      <c r="P1069" s="18"/>
      <c r="Q1069" s="18"/>
      <c r="R1069" s="18"/>
      <c r="S1069" s="18"/>
      <c r="T1069" s="18"/>
      <c r="U1069" s="18"/>
      <c r="V1069" s="18"/>
      <c r="W1069" s="18"/>
      <c r="X1069" s="18"/>
    </row>
    <row r="1070" spans="13:24">
      <c r="M1070" s="558">
        <f t="shared" si="53"/>
        <v>1068</v>
      </c>
      <c r="N1070" s="15">
        <f t="shared" si="51"/>
        <v>0.53283847852168975</v>
      </c>
      <c r="O1070" s="165">
        <f t="shared" si="52"/>
        <v>0.44</v>
      </c>
      <c r="P1070" s="18"/>
      <c r="Q1070" s="18"/>
      <c r="R1070" s="18"/>
      <c r="S1070" s="18"/>
      <c r="T1070" s="18"/>
      <c r="U1070" s="18"/>
      <c r="V1070" s="18"/>
      <c r="W1070" s="18"/>
      <c r="X1070" s="18"/>
    </row>
    <row r="1071" spans="13:24">
      <c r="M1071" s="558">
        <f t="shared" si="53"/>
        <v>1069</v>
      </c>
      <c r="N1071" s="15">
        <f t="shared" si="51"/>
        <v>0.53263940273837429</v>
      </c>
      <c r="O1071" s="165">
        <f t="shared" si="52"/>
        <v>0.44</v>
      </c>
      <c r="P1071" s="18"/>
      <c r="Q1071" s="18"/>
      <c r="R1071" s="18"/>
      <c r="S1071" s="18"/>
      <c r="T1071" s="18"/>
      <c r="U1071" s="18"/>
      <c r="V1071" s="18"/>
      <c r="W1071" s="18"/>
      <c r="X1071" s="18"/>
    </row>
    <row r="1072" spans="13:24">
      <c r="M1072" s="558">
        <f t="shared" si="53"/>
        <v>1070</v>
      </c>
      <c r="N1072" s="15">
        <f t="shared" si="51"/>
        <v>0.53244051231412681</v>
      </c>
      <c r="O1072" s="165">
        <f t="shared" si="52"/>
        <v>0.44</v>
      </c>
      <c r="P1072" s="18"/>
      <c r="Q1072" s="18"/>
      <c r="R1072" s="18"/>
      <c r="S1072" s="18"/>
      <c r="T1072" s="18"/>
      <c r="U1072" s="18"/>
      <c r="V1072" s="18"/>
      <c r="W1072" s="18"/>
      <c r="X1072" s="18"/>
    </row>
    <row r="1073" spans="13:24">
      <c r="M1073" s="558">
        <f t="shared" si="53"/>
        <v>1071</v>
      </c>
      <c r="N1073" s="15">
        <f t="shared" si="51"/>
        <v>0.53224180701633661</v>
      </c>
      <c r="O1073" s="165">
        <f t="shared" si="52"/>
        <v>0.44</v>
      </c>
      <c r="P1073" s="18"/>
      <c r="Q1073" s="18"/>
      <c r="R1073" s="18"/>
      <c r="S1073" s="18"/>
      <c r="T1073" s="18"/>
      <c r="U1073" s="18"/>
      <c r="V1073" s="18"/>
      <c r="W1073" s="18"/>
      <c r="X1073" s="18"/>
    </row>
    <row r="1074" spans="13:24">
      <c r="M1074" s="558">
        <f t="shared" si="53"/>
        <v>1072</v>
      </c>
      <c r="N1074" s="15">
        <f t="shared" si="51"/>
        <v>0.53204328661268463</v>
      </c>
      <c r="O1074" s="165">
        <f t="shared" si="52"/>
        <v>0.44</v>
      </c>
      <c r="P1074" s="18"/>
      <c r="Q1074" s="18"/>
      <c r="R1074" s="18"/>
      <c r="S1074" s="18"/>
      <c r="T1074" s="18"/>
      <c r="U1074" s="18"/>
      <c r="V1074" s="18"/>
      <c r="W1074" s="18"/>
      <c r="X1074" s="18"/>
    </row>
    <row r="1075" spans="13:24">
      <c r="M1075" s="558">
        <f t="shared" si="53"/>
        <v>1073</v>
      </c>
      <c r="N1075" s="15">
        <f t="shared" si="51"/>
        <v>0.53184495087114381</v>
      </c>
      <c r="O1075" s="165">
        <f t="shared" si="52"/>
        <v>0.44</v>
      </c>
      <c r="P1075" s="18"/>
      <c r="Q1075" s="18"/>
      <c r="R1075" s="18"/>
      <c r="S1075" s="18"/>
      <c r="T1075" s="18"/>
      <c r="U1075" s="18"/>
      <c r="V1075" s="18"/>
      <c r="W1075" s="18"/>
      <c r="X1075" s="18"/>
    </row>
    <row r="1076" spans="13:24">
      <c r="M1076" s="558">
        <f t="shared" si="53"/>
        <v>1074</v>
      </c>
      <c r="N1076" s="15">
        <f t="shared" si="51"/>
        <v>0.53164679955997796</v>
      </c>
      <c r="O1076" s="165">
        <f t="shared" si="52"/>
        <v>0.44</v>
      </c>
      <c r="P1076" s="18"/>
      <c r="Q1076" s="18"/>
      <c r="R1076" s="18"/>
      <c r="S1076" s="18"/>
      <c r="T1076" s="18"/>
      <c r="U1076" s="18"/>
      <c r="V1076" s="18"/>
      <c r="W1076" s="18"/>
      <c r="X1076" s="18"/>
    </row>
    <row r="1077" spans="13:24">
      <c r="M1077" s="558">
        <f t="shared" si="53"/>
        <v>1075</v>
      </c>
      <c r="N1077" s="15">
        <f t="shared" si="51"/>
        <v>0.53144883244774177</v>
      </c>
      <c r="O1077" s="165">
        <f t="shared" si="52"/>
        <v>0.44</v>
      </c>
      <c r="P1077" s="18"/>
      <c r="Q1077" s="18"/>
      <c r="R1077" s="18"/>
      <c r="S1077" s="18"/>
      <c r="T1077" s="18"/>
      <c r="U1077" s="18"/>
      <c r="V1077" s="18"/>
      <c r="W1077" s="18"/>
      <c r="X1077" s="18"/>
    </row>
    <row r="1078" spans="13:24">
      <c r="M1078" s="558">
        <f t="shared" si="53"/>
        <v>1076</v>
      </c>
      <c r="N1078" s="15">
        <f t="shared" si="51"/>
        <v>0.53125104930328004</v>
      </c>
      <c r="O1078" s="165">
        <f t="shared" si="52"/>
        <v>0.44</v>
      </c>
      <c r="P1078" s="18"/>
      <c r="Q1078" s="18"/>
      <c r="R1078" s="18"/>
      <c r="S1078" s="18"/>
      <c r="T1078" s="18"/>
      <c r="U1078" s="18"/>
      <c r="V1078" s="18"/>
      <c r="W1078" s="18"/>
      <c r="X1078" s="18"/>
    </row>
    <row r="1079" spans="13:24">
      <c r="M1079" s="558">
        <f t="shared" si="53"/>
        <v>1077</v>
      </c>
      <c r="N1079" s="15">
        <f t="shared" si="51"/>
        <v>0.53105344989572856</v>
      </c>
      <c r="O1079" s="165">
        <f t="shared" si="52"/>
        <v>0.44</v>
      </c>
      <c r="P1079" s="18"/>
      <c r="Q1079" s="18"/>
      <c r="R1079" s="18"/>
      <c r="S1079" s="18"/>
      <c r="T1079" s="18"/>
      <c r="U1079" s="18"/>
      <c r="V1079" s="18"/>
      <c r="W1079" s="18"/>
      <c r="X1079" s="18"/>
    </row>
    <row r="1080" spans="13:24">
      <c r="M1080" s="558">
        <f t="shared" si="53"/>
        <v>1078</v>
      </c>
      <c r="N1080" s="15">
        <f t="shared" si="51"/>
        <v>0.53085603399451198</v>
      </c>
      <c r="O1080" s="165">
        <f t="shared" si="52"/>
        <v>0.44</v>
      </c>
      <c r="P1080" s="18"/>
      <c r="Q1080" s="18"/>
      <c r="R1080" s="18"/>
      <c r="S1080" s="18"/>
      <c r="T1080" s="18"/>
      <c r="U1080" s="18"/>
      <c r="V1080" s="18"/>
      <c r="W1080" s="18"/>
      <c r="X1080" s="18"/>
    </row>
    <row r="1081" spans="13:24">
      <c r="M1081" s="558">
        <f t="shared" si="53"/>
        <v>1079</v>
      </c>
      <c r="N1081" s="15">
        <f t="shared" si="51"/>
        <v>0.5306588013693444</v>
      </c>
      <c r="O1081" s="165">
        <f t="shared" si="52"/>
        <v>0.44</v>
      </c>
      <c r="P1081" s="18"/>
      <c r="Q1081" s="18"/>
      <c r="R1081" s="18"/>
      <c r="S1081" s="18"/>
      <c r="T1081" s="18"/>
      <c r="U1081" s="18"/>
      <c r="V1081" s="18"/>
      <c r="W1081" s="18"/>
      <c r="X1081" s="18"/>
    </row>
    <row r="1082" spans="13:24">
      <c r="M1082" s="558">
        <f t="shared" si="53"/>
        <v>1080</v>
      </c>
      <c r="N1082" s="15">
        <f t="shared" si="51"/>
        <v>0.53046175179022959</v>
      </c>
      <c r="O1082" s="165">
        <f t="shared" si="52"/>
        <v>0.44</v>
      </c>
      <c r="P1082" s="18"/>
      <c r="Q1082" s="18"/>
      <c r="R1082" s="18"/>
      <c r="S1082" s="18"/>
      <c r="T1082" s="18"/>
      <c r="U1082" s="18"/>
      <c r="V1082" s="18"/>
      <c r="W1082" s="18"/>
      <c r="X1082" s="18"/>
    </row>
    <row r="1083" spans="13:24">
      <c r="M1083" s="558">
        <f t="shared" si="53"/>
        <v>1081</v>
      </c>
      <c r="N1083" s="15">
        <f t="shared" si="51"/>
        <v>0.53026488502745905</v>
      </c>
      <c r="O1083" s="165">
        <f t="shared" si="52"/>
        <v>0.44</v>
      </c>
      <c r="P1083" s="18"/>
      <c r="Q1083" s="18"/>
      <c r="R1083" s="18"/>
      <c r="S1083" s="18"/>
      <c r="T1083" s="18"/>
      <c r="U1083" s="18"/>
      <c r="V1083" s="18"/>
      <c r="W1083" s="18"/>
      <c r="X1083" s="18"/>
    </row>
    <row r="1084" spans="13:24">
      <c r="M1084" s="558">
        <f t="shared" si="53"/>
        <v>1082</v>
      </c>
      <c r="N1084" s="15">
        <f t="shared" si="51"/>
        <v>0.5300682008516131</v>
      </c>
      <c r="O1084" s="165">
        <f t="shared" si="52"/>
        <v>0.44</v>
      </c>
      <c r="P1084" s="18"/>
      <c r="Q1084" s="18"/>
      <c r="R1084" s="18"/>
      <c r="S1084" s="18"/>
      <c r="T1084" s="18"/>
      <c r="U1084" s="18"/>
      <c r="V1084" s="18"/>
      <c r="W1084" s="18"/>
      <c r="X1084" s="18"/>
    </row>
    <row r="1085" spans="13:24">
      <c r="M1085" s="558">
        <f t="shared" si="53"/>
        <v>1083</v>
      </c>
      <c r="N1085" s="15">
        <f t="shared" si="51"/>
        <v>0.5298716990335598</v>
      </c>
      <c r="O1085" s="165">
        <f t="shared" si="52"/>
        <v>0.44</v>
      </c>
      <c r="P1085" s="18"/>
      <c r="Q1085" s="18"/>
      <c r="R1085" s="18"/>
      <c r="S1085" s="18"/>
      <c r="T1085" s="18"/>
      <c r="U1085" s="18"/>
      <c r="V1085" s="18"/>
      <c r="W1085" s="18"/>
      <c r="X1085" s="18"/>
    </row>
    <row r="1086" spans="13:24">
      <c r="M1086" s="558">
        <f t="shared" si="53"/>
        <v>1084</v>
      </c>
      <c r="N1086" s="15">
        <f t="shared" si="51"/>
        <v>0.52967537934445452</v>
      </c>
      <c r="O1086" s="165">
        <f t="shared" si="52"/>
        <v>0.44</v>
      </c>
      <c r="P1086" s="18"/>
      <c r="Q1086" s="18"/>
      <c r="R1086" s="18"/>
      <c r="S1086" s="18"/>
      <c r="T1086" s="18"/>
      <c r="U1086" s="18"/>
      <c r="V1086" s="18"/>
      <c r="W1086" s="18"/>
      <c r="X1086" s="18"/>
    </row>
    <row r="1087" spans="13:24">
      <c r="M1087" s="558">
        <f t="shared" si="53"/>
        <v>1085</v>
      </c>
      <c r="N1087" s="15">
        <f t="shared" si="51"/>
        <v>0.52947924155574033</v>
      </c>
      <c r="O1087" s="165">
        <f t="shared" si="52"/>
        <v>0.44</v>
      </c>
      <c r="P1087" s="18"/>
      <c r="Q1087" s="18"/>
      <c r="R1087" s="18"/>
      <c r="S1087" s="18"/>
      <c r="T1087" s="18"/>
      <c r="U1087" s="18"/>
      <c r="V1087" s="18"/>
      <c r="W1087" s="18"/>
      <c r="X1087" s="18"/>
    </row>
    <row r="1088" spans="13:24">
      <c r="M1088" s="558">
        <f t="shared" si="53"/>
        <v>1086</v>
      </c>
      <c r="N1088" s="15">
        <f t="shared" si="51"/>
        <v>0.52928328543914704</v>
      </c>
      <c r="O1088" s="165">
        <f t="shared" si="52"/>
        <v>0.44</v>
      </c>
      <c r="P1088" s="18"/>
      <c r="Q1088" s="18"/>
      <c r="R1088" s="18"/>
      <c r="S1088" s="18"/>
      <c r="T1088" s="18"/>
      <c r="U1088" s="18"/>
      <c r="V1088" s="18"/>
      <c r="W1088" s="18"/>
      <c r="X1088" s="18"/>
    </row>
    <row r="1089" spans="13:24">
      <c r="M1089" s="558">
        <f t="shared" si="53"/>
        <v>1087</v>
      </c>
      <c r="N1089" s="15">
        <f t="shared" si="51"/>
        <v>0.52908751076669014</v>
      </c>
      <c r="O1089" s="165">
        <f t="shared" si="52"/>
        <v>0.44</v>
      </c>
      <c r="P1089" s="18"/>
      <c r="Q1089" s="18"/>
      <c r="R1089" s="18"/>
      <c r="S1089" s="18"/>
      <c r="T1089" s="18"/>
      <c r="U1089" s="18"/>
      <c r="V1089" s="18"/>
      <c r="W1089" s="18"/>
      <c r="X1089" s="18"/>
    </row>
    <row r="1090" spans="13:24">
      <c r="M1090" s="558">
        <f t="shared" si="53"/>
        <v>1088</v>
      </c>
      <c r="N1090" s="15">
        <f t="shared" si="51"/>
        <v>0.52889191731067231</v>
      </c>
      <c r="O1090" s="165">
        <f t="shared" si="52"/>
        <v>0.44</v>
      </c>
      <c r="P1090" s="18"/>
      <c r="Q1090" s="18"/>
      <c r="R1090" s="18"/>
      <c r="S1090" s="18"/>
      <c r="T1090" s="18"/>
      <c r="U1090" s="18"/>
      <c r="V1090" s="18"/>
      <c r="W1090" s="18"/>
      <c r="X1090" s="18"/>
    </row>
    <row r="1091" spans="13:24">
      <c r="M1091" s="558">
        <f t="shared" si="53"/>
        <v>1089</v>
      </c>
      <c r="N1091" s="15">
        <f t="shared" si="51"/>
        <v>0.52869650484368147</v>
      </c>
      <c r="O1091" s="165">
        <f t="shared" si="52"/>
        <v>0.44</v>
      </c>
      <c r="P1091" s="18"/>
      <c r="Q1091" s="18"/>
      <c r="R1091" s="18"/>
      <c r="S1091" s="18"/>
      <c r="T1091" s="18"/>
      <c r="U1091" s="18"/>
      <c r="V1091" s="18"/>
      <c r="W1091" s="18"/>
      <c r="X1091" s="18"/>
    </row>
    <row r="1092" spans="13:24">
      <c r="M1092" s="558">
        <f t="shared" si="53"/>
        <v>1090</v>
      </c>
      <c r="N1092" s="15">
        <f t="shared" ref="N1092:N1155" si="54">IF(M1092&lt;$B$31+1,$B$32+$B$33/$B$31*(8760-M1092)+$B$34*IF(M1092&lt;$B$36-$B$31/(2*$B$35),1,IF(M1092&lt;$B$36+$B$31/(2*$B$35),COS(PI()/2*(M1092-($B$36-$B$31/(2*$B$35)))*$B$35/$B$31)^2,0))+$B$37*EXP((8760-M1092)/8760*$B$38)/EXP($B$38)-(8760-$B$31)*$B$33/$B$31,0)</f>
        <v>0.52850127313859074</v>
      </c>
      <c r="O1092" s="165">
        <f t="shared" ref="O1092:O1155" si="55">MIN(N1092,C$24)</f>
        <v>0.44</v>
      </c>
      <c r="P1092" s="18"/>
      <c r="Q1092" s="18"/>
      <c r="R1092" s="18"/>
      <c r="S1092" s="18"/>
      <c r="T1092" s="18"/>
      <c r="U1092" s="18"/>
      <c r="V1092" s="18"/>
      <c r="W1092" s="18"/>
      <c r="X1092" s="18"/>
    </row>
    <row r="1093" spans="13:24">
      <c r="M1093" s="558">
        <f t="shared" ref="M1093:M1156" si="56">M1092+1</f>
        <v>1091</v>
      </c>
      <c r="N1093" s="15">
        <f t="shared" si="54"/>
        <v>0.52830622196855814</v>
      </c>
      <c r="O1093" s="165">
        <f t="shared" si="55"/>
        <v>0.44</v>
      </c>
      <c r="P1093" s="18"/>
      <c r="Q1093" s="18"/>
      <c r="R1093" s="18"/>
      <c r="S1093" s="18"/>
      <c r="T1093" s="18"/>
      <c r="U1093" s="18"/>
      <c r="V1093" s="18"/>
      <c r="W1093" s="18"/>
      <c r="X1093" s="18"/>
    </row>
    <row r="1094" spans="13:24">
      <c r="M1094" s="558">
        <f t="shared" si="56"/>
        <v>1092</v>
      </c>
      <c r="N1094" s="15">
        <f t="shared" si="54"/>
        <v>0.52811135110702734</v>
      </c>
      <c r="O1094" s="165">
        <f t="shared" si="55"/>
        <v>0.44</v>
      </c>
      <c r="P1094" s="18"/>
      <c r="Q1094" s="18"/>
      <c r="R1094" s="18"/>
      <c r="S1094" s="18"/>
      <c r="T1094" s="18"/>
      <c r="U1094" s="18"/>
      <c r="V1094" s="18"/>
      <c r="W1094" s="18"/>
      <c r="X1094" s="18"/>
    </row>
    <row r="1095" spans="13:24">
      <c r="M1095" s="558">
        <f t="shared" si="56"/>
        <v>1093</v>
      </c>
      <c r="N1095" s="15">
        <f t="shared" si="54"/>
        <v>0.52791666032772522</v>
      </c>
      <c r="O1095" s="165">
        <f t="shared" si="55"/>
        <v>0.44</v>
      </c>
      <c r="P1095" s="18"/>
      <c r="Q1095" s="18"/>
      <c r="R1095" s="18"/>
      <c r="S1095" s="18"/>
      <c r="T1095" s="18"/>
      <c r="U1095" s="18"/>
      <c r="V1095" s="18"/>
      <c r="W1095" s="18"/>
      <c r="X1095" s="18"/>
    </row>
    <row r="1096" spans="13:24">
      <c r="M1096" s="558">
        <f t="shared" si="56"/>
        <v>1094</v>
      </c>
      <c r="N1096" s="15">
        <f t="shared" si="54"/>
        <v>0.52772214940466311</v>
      </c>
      <c r="O1096" s="165">
        <f t="shared" si="55"/>
        <v>0.44</v>
      </c>
      <c r="P1096" s="18"/>
      <c r="Q1096" s="18"/>
      <c r="R1096" s="18"/>
      <c r="S1096" s="18"/>
      <c r="T1096" s="18"/>
      <c r="U1096" s="18"/>
      <c r="V1096" s="18"/>
      <c r="W1096" s="18"/>
      <c r="X1096" s="18"/>
    </row>
    <row r="1097" spans="13:24">
      <c r="M1097" s="558">
        <f t="shared" si="56"/>
        <v>1095</v>
      </c>
      <c r="N1097" s="15">
        <f t="shared" si="54"/>
        <v>0.527527818112136</v>
      </c>
      <c r="O1097" s="165">
        <f t="shared" si="55"/>
        <v>0.44</v>
      </c>
      <c r="P1097" s="18"/>
      <c r="Q1097" s="18"/>
      <c r="R1097" s="18"/>
      <c r="S1097" s="18"/>
      <c r="T1097" s="18"/>
      <c r="U1097" s="18"/>
      <c r="V1097" s="18"/>
      <c r="W1097" s="18"/>
      <c r="X1097" s="18"/>
    </row>
    <row r="1098" spans="13:24">
      <c r="M1098" s="558">
        <f t="shared" si="56"/>
        <v>1096</v>
      </c>
      <c r="N1098" s="15">
        <f t="shared" si="54"/>
        <v>0.52733366622472189</v>
      </c>
      <c r="O1098" s="165">
        <f t="shared" si="55"/>
        <v>0.44</v>
      </c>
      <c r="P1098" s="18"/>
      <c r="Q1098" s="18"/>
      <c r="R1098" s="18"/>
      <c r="S1098" s="18"/>
      <c r="T1098" s="18"/>
      <c r="U1098" s="18"/>
      <c r="V1098" s="18"/>
      <c r="W1098" s="18"/>
      <c r="X1098" s="18"/>
    </row>
    <row r="1099" spans="13:24">
      <c r="M1099" s="558">
        <f t="shared" si="56"/>
        <v>1097</v>
      </c>
      <c r="N1099" s="15">
        <f t="shared" si="54"/>
        <v>0.52713969351728163</v>
      </c>
      <c r="O1099" s="165">
        <f t="shared" si="55"/>
        <v>0.44</v>
      </c>
      <c r="P1099" s="18"/>
      <c r="Q1099" s="18"/>
      <c r="R1099" s="18"/>
      <c r="S1099" s="18"/>
      <c r="T1099" s="18"/>
      <c r="U1099" s="18"/>
      <c r="V1099" s="18"/>
      <c r="W1099" s="18"/>
      <c r="X1099" s="18"/>
    </row>
    <row r="1100" spans="13:24">
      <c r="M1100" s="558">
        <f t="shared" si="56"/>
        <v>1098</v>
      </c>
      <c r="N1100" s="15">
        <f t="shared" si="54"/>
        <v>0.52694589976495909</v>
      </c>
      <c r="O1100" s="165">
        <f t="shared" si="55"/>
        <v>0.44</v>
      </c>
      <c r="P1100" s="18"/>
      <c r="Q1100" s="18"/>
      <c r="R1100" s="18"/>
      <c r="S1100" s="18"/>
      <c r="T1100" s="18"/>
      <c r="U1100" s="18"/>
      <c r="V1100" s="18"/>
      <c r="W1100" s="18"/>
      <c r="X1100" s="18"/>
    </row>
    <row r="1101" spans="13:24">
      <c r="M1101" s="558">
        <f t="shared" si="56"/>
        <v>1099</v>
      </c>
      <c r="N1101" s="15">
        <f t="shared" si="54"/>
        <v>0.52675228474317981</v>
      </c>
      <c r="O1101" s="165">
        <f t="shared" si="55"/>
        <v>0.44</v>
      </c>
      <c r="P1101" s="18"/>
      <c r="Q1101" s="18"/>
      <c r="R1101" s="18"/>
      <c r="S1101" s="18"/>
      <c r="T1101" s="18"/>
      <c r="U1101" s="18"/>
      <c r="V1101" s="18"/>
      <c r="W1101" s="18"/>
      <c r="X1101" s="18"/>
    </row>
    <row r="1102" spans="13:24">
      <c r="M1102" s="558">
        <f t="shared" si="56"/>
        <v>1100</v>
      </c>
      <c r="N1102" s="15">
        <f t="shared" si="54"/>
        <v>0.52655884822765098</v>
      </c>
      <c r="O1102" s="165">
        <f t="shared" si="55"/>
        <v>0.44</v>
      </c>
      <c r="P1102" s="18"/>
      <c r="Q1102" s="18"/>
      <c r="R1102" s="18"/>
      <c r="S1102" s="18"/>
      <c r="T1102" s="18"/>
      <c r="U1102" s="18"/>
      <c r="V1102" s="18"/>
      <c r="W1102" s="18"/>
      <c r="X1102" s="18"/>
    </row>
    <row r="1103" spans="13:24">
      <c r="M1103" s="558">
        <f t="shared" si="56"/>
        <v>1101</v>
      </c>
      <c r="N1103" s="15">
        <f t="shared" si="54"/>
        <v>0.52636558999436212</v>
      </c>
      <c r="O1103" s="165">
        <f t="shared" si="55"/>
        <v>0.44</v>
      </c>
      <c r="P1103" s="18"/>
      <c r="Q1103" s="18"/>
      <c r="R1103" s="18"/>
      <c r="S1103" s="18"/>
      <c r="T1103" s="18"/>
      <c r="U1103" s="18"/>
      <c r="V1103" s="18"/>
      <c r="W1103" s="18"/>
      <c r="X1103" s="18"/>
    </row>
    <row r="1104" spans="13:24">
      <c r="M1104" s="558">
        <f t="shared" si="56"/>
        <v>1102</v>
      </c>
      <c r="N1104" s="15">
        <f t="shared" si="54"/>
        <v>0.52617250981958319</v>
      </c>
      <c r="O1104" s="165">
        <f t="shared" si="55"/>
        <v>0.44</v>
      </c>
      <c r="P1104" s="18"/>
      <c r="Q1104" s="18"/>
      <c r="R1104" s="18"/>
      <c r="S1104" s="18"/>
      <c r="T1104" s="18"/>
      <c r="U1104" s="18"/>
      <c r="V1104" s="18"/>
      <c r="W1104" s="18"/>
      <c r="X1104" s="18"/>
    </row>
    <row r="1105" spans="13:24">
      <c r="M1105" s="558">
        <f t="shared" si="56"/>
        <v>1103</v>
      </c>
      <c r="N1105" s="15">
        <f t="shared" si="54"/>
        <v>0.52597960747986494</v>
      </c>
      <c r="O1105" s="165">
        <f t="shared" si="55"/>
        <v>0.44</v>
      </c>
      <c r="P1105" s="18"/>
      <c r="Q1105" s="18"/>
      <c r="R1105" s="18"/>
      <c r="S1105" s="18"/>
      <c r="T1105" s="18"/>
      <c r="U1105" s="18"/>
      <c r="V1105" s="18"/>
      <c r="W1105" s="18"/>
      <c r="X1105" s="18"/>
    </row>
    <row r="1106" spans="13:24">
      <c r="M1106" s="558">
        <f t="shared" si="56"/>
        <v>1104</v>
      </c>
      <c r="N1106" s="15">
        <f t="shared" si="54"/>
        <v>0.52578688275203844</v>
      </c>
      <c r="O1106" s="165">
        <f t="shared" si="55"/>
        <v>0.44</v>
      </c>
      <c r="P1106" s="18"/>
      <c r="Q1106" s="18"/>
      <c r="R1106" s="18"/>
      <c r="S1106" s="18"/>
      <c r="T1106" s="18"/>
      <c r="U1106" s="18"/>
      <c r="V1106" s="18"/>
      <c r="W1106" s="18"/>
      <c r="X1106" s="18"/>
    </row>
    <row r="1107" spans="13:24">
      <c r="M1107" s="558">
        <f t="shared" si="56"/>
        <v>1105</v>
      </c>
      <c r="N1107" s="15">
        <f t="shared" si="54"/>
        <v>0.52559433541321554</v>
      </c>
      <c r="O1107" s="165">
        <f t="shared" si="55"/>
        <v>0.44</v>
      </c>
      <c r="P1107" s="18"/>
      <c r="Q1107" s="18"/>
      <c r="R1107" s="18"/>
      <c r="S1107" s="18"/>
      <c r="T1107" s="18"/>
      <c r="U1107" s="18"/>
      <c r="V1107" s="18"/>
      <c r="W1107" s="18"/>
      <c r="X1107" s="18"/>
    </row>
    <row r="1108" spans="13:24">
      <c r="M1108" s="558">
        <f t="shared" si="56"/>
        <v>1106</v>
      </c>
      <c r="N1108" s="15">
        <f t="shared" si="54"/>
        <v>0.52540196524078697</v>
      </c>
      <c r="O1108" s="165">
        <f t="shared" si="55"/>
        <v>0.44</v>
      </c>
      <c r="P1108" s="18"/>
      <c r="Q1108" s="18"/>
      <c r="R1108" s="18"/>
      <c r="S1108" s="18"/>
      <c r="T1108" s="18"/>
      <c r="U1108" s="18"/>
      <c r="V1108" s="18"/>
      <c r="W1108" s="18"/>
      <c r="X1108" s="18"/>
    </row>
    <row r="1109" spans="13:24">
      <c r="M1109" s="558">
        <f t="shared" si="56"/>
        <v>1107</v>
      </c>
      <c r="N1109" s="15">
        <f t="shared" si="54"/>
        <v>0.52520977201242303</v>
      </c>
      <c r="O1109" s="165">
        <f t="shared" si="55"/>
        <v>0.44</v>
      </c>
      <c r="P1109" s="18"/>
      <c r="Q1109" s="18"/>
      <c r="R1109" s="18"/>
      <c r="S1109" s="18"/>
      <c r="T1109" s="18"/>
      <c r="U1109" s="18"/>
      <c r="V1109" s="18"/>
      <c r="W1109" s="18"/>
      <c r="X1109" s="18"/>
    </row>
    <row r="1110" spans="13:24">
      <c r="M1110" s="558">
        <f t="shared" si="56"/>
        <v>1108</v>
      </c>
      <c r="N1110" s="15">
        <f t="shared" si="54"/>
        <v>0.52501775550607344</v>
      </c>
      <c r="O1110" s="165">
        <f t="shared" si="55"/>
        <v>0.44</v>
      </c>
      <c r="P1110" s="18"/>
      <c r="Q1110" s="18"/>
      <c r="R1110" s="18"/>
      <c r="S1110" s="18"/>
      <c r="T1110" s="18"/>
      <c r="U1110" s="18"/>
      <c r="V1110" s="18"/>
      <c r="W1110" s="18"/>
      <c r="X1110" s="18"/>
    </row>
    <row r="1111" spans="13:24">
      <c r="M1111" s="558">
        <f t="shared" si="56"/>
        <v>1109</v>
      </c>
      <c r="N1111" s="15">
        <f t="shared" si="54"/>
        <v>0.52482591549996616</v>
      </c>
      <c r="O1111" s="165">
        <f t="shared" si="55"/>
        <v>0.44</v>
      </c>
      <c r="P1111" s="18"/>
      <c r="Q1111" s="18"/>
      <c r="R1111" s="18"/>
      <c r="S1111" s="18"/>
      <c r="T1111" s="18"/>
      <c r="U1111" s="18"/>
      <c r="V1111" s="18"/>
      <c r="W1111" s="18"/>
      <c r="X1111" s="18"/>
    </row>
    <row r="1112" spans="13:24">
      <c r="M1112" s="558">
        <f t="shared" si="56"/>
        <v>1110</v>
      </c>
      <c r="N1112" s="15">
        <f t="shared" si="54"/>
        <v>0.52463425177260758</v>
      </c>
      <c r="O1112" s="165">
        <f t="shared" si="55"/>
        <v>0.44</v>
      </c>
      <c r="P1112" s="18"/>
      <c r="Q1112" s="18"/>
      <c r="R1112" s="18"/>
      <c r="S1112" s="18"/>
      <c r="T1112" s="18"/>
      <c r="U1112" s="18"/>
      <c r="V1112" s="18"/>
      <c r="W1112" s="18"/>
      <c r="X1112" s="18"/>
    </row>
    <row r="1113" spans="13:24">
      <c r="M1113" s="558">
        <f t="shared" si="56"/>
        <v>1111</v>
      </c>
      <c r="N1113" s="15">
        <f t="shared" si="54"/>
        <v>0.52444276410278179</v>
      </c>
      <c r="O1113" s="165">
        <f t="shared" si="55"/>
        <v>0.44</v>
      </c>
      <c r="P1113" s="18"/>
      <c r="Q1113" s="18"/>
      <c r="R1113" s="18"/>
      <c r="S1113" s="18"/>
      <c r="T1113" s="18"/>
      <c r="U1113" s="18"/>
      <c r="V1113" s="18"/>
      <c r="W1113" s="18"/>
      <c r="X1113" s="18"/>
    </row>
    <row r="1114" spans="13:24">
      <c r="M1114" s="558">
        <f t="shared" si="56"/>
        <v>1112</v>
      </c>
      <c r="N1114" s="15">
        <f t="shared" si="54"/>
        <v>0.52425145226955072</v>
      </c>
      <c r="O1114" s="165">
        <f t="shared" si="55"/>
        <v>0.44</v>
      </c>
      <c r="P1114" s="18"/>
      <c r="Q1114" s="18"/>
      <c r="R1114" s="18"/>
      <c r="S1114" s="18"/>
      <c r="T1114" s="18"/>
      <c r="U1114" s="18"/>
      <c r="V1114" s="18"/>
      <c r="W1114" s="18"/>
      <c r="X1114" s="18"/>
    </row>
    <row r="1115" spans="13:24">
      <c r="M1115" s="558">
        <f t="shared" si="56"/>
        <v>1113</v>
      </c>
      <c r="N1115" s="15">
        <f t="shared" si="54"/>
        <v>0.52406031605225412</v>
      </c>
      <c r="O1115" s="165">
        <f t="shared" si="55"/>
        <v>0.44</v>
      </c>
      <c r="P1115" s="18"/>
      <c r="Q1115" s="18"/>
      <c r="R1115" s="18"/>
      <c r="S1115" s="18"/>
      <c r="T1115" s="18"/>
      <c r="U1115" s="18"/>
      <c r="V1115" s="18"/>
      <c r="W1115" s="18"/>
      <c r="X1115" s="18"/>
    </row>
    <row r="1116" spans="13:24">
      <c r="M1116" s="558">
        <f t="shared" si="56"/>
        <v>1114</v>
      </c>
      <c r="N1116" s="15">
        <f t="shared" si="54"/>
        <v>0.52386935523050759</v>
      </c>
      <c r="O1116" s="165">
        <f t="shared" si="55"/>
        <v>0.44</v>
      </c>
      <c r="P1116" s="18"/>
      <c r="Q1116" s="18"/>
      <c r="R1116" s="18"/>
      <c r="S1116" s="18"/>
      <c r="T1116" s="18"/>
      <c r="U1116" s="18"/>
      <c r="V1116" s="18"/>
      <c r="W1116" s="18"/>
      <c r="X1116" s="18"/>
    </row>
    <row r="1117" spans="13:24">
      <c r="M1117" s="558">
        <f t="shared" si="56"/>
        <v>1115</v>
      </c>
      <c r="N1117" s="15">
        <f t="shared" si="54"/>
        <v>0.52367856958420367</v>
      </c>
      <c r="O1117" s="165">
        <f t="shared" si="55"/>
        <v>0.44</v>
      </c>
      <c r="P1117" s="18"/>
      <c r="Q1117" s="18"/>
      <c r="R1117" s="18"/>
      <c r="S1117" s="18"/>
      <c r="T1117" s="18"/>
      <c r="U1117" s="18"/>
      <c r="V1117" s="18"/>
      <c r="W1117" s="18"/>
      <c r="X1117" s="18"/>
    </row>
    <row r="1118" spans="13:24">
      <c r="M1118" s="558">
        <f t="shared" si="56"/>
        <v>1116</v>
      </c>
      <c r="N1118" s="15">
        <f t="shared" si="54"/>
        <v>0.52348795889351174</v>
      </c>
      <c r="O1118" s="165">
        <f t="shared" si="55"/>
        <v>0.44</v>
      </c>
      <c r="P1118" s="18"/>
      <c r="Q1118" s="18"/>
      <c r="R1118" s="18"/>
      <c r="S1118" s="18"/>
      <c r="T1118" s="18"/>
      <c r="U1118" s="18"/>
      <c r="V1118" s="18"/>
      <c r="W1118" s="18"/>
      <c r="X1118" s="18"/>
    </row>
    <row r="1119" spans="13:24">
      <c r="M1119" s="558">
        <f t="shared" si="56"/>
        <v>1117</v>
      </c>
      <c r="N1119" s="15">
        <f t="shared" si="54"/>
        <v>0.52329752293887632</v>
      </c>
      <c r="O1119" s="165">
        <f t="shared" si="55"/>
        <v>0.44</v>
      </c>
      <c r="P1119" s="18"/>
      <c r="Q1119" s="18"/>
      <c r="R1119" s="18"/>
      <c r="S1119" s="18"/>
      <c r="T1119" s="18"/>
      <c r="U1119" s="18"/>
      <c r="V1119" s="18"/>
      <c r="W1119" s="18"/>
      <c r="X1119" s="18"/>
    </row>
    <row r="1120" spans="13:24">
      <c r="M1120" s="558">
        <f t="shared" si="56"/>
        <v>1118</v>
      </c>
      <c r="N1120" s="15">
        <f t="shared" si="54"/>
        <v>0.52310726150101772</v>
      </c>
      <c r="O1120" s="165">
        <f t="shared" si="55"/>
        <v>0.44</v>
      </c>
      <c r="P1120" s="18"/>
      <c r="Q1120" s="18"/>
      <c r="R1120" s="18"/>
      <c r="S1120" s="18"/>
      <c r="T1120" s="18"/>
      <c r="U1120" s="18"/>
      <c r="V1120" s="18"/>
      <c r="W1120" s="18"/>
      <c r="X1120" s="18"/>
    </row>
    <row r="1121" spans="13:24">
      <c r="M1121" s="558">
        <f t="shared" si="56"/>
        <v>1119</v>
      </c>
      <c r="N1121" s="15">
        <f t="shared" si="54"/>
        <v>0.5229171743609311</v>
      </c>
      <c r="O1121" s="165">
        <f t="shared" si="55"/>
        <v>0.44</v>
      </c>
      <c r="P1121" s="18"/>
      <c r="Q1121" s="18"/>
      <c r="R1121" s="18"/>
      <c r="S1121" s="18"/>
      <c r="T1121" s="18"/>
      <c r="U1121" s="18"/>
      <c r="V1121" s="18"/>
      <c r="W1121" s="18"/>
      <c r="X1121" s="18"/>
    </row>
    <row r="1122" spans="13:24">
      <c r="M1122" s="558">
        <f t="shared" si="56"/>
        <v>1120</v>
      </c>
      <c r="N1122" s="15">
        <f t="shared" si="54"/>
        <v>0.52272726129988734</v>
      </c>
      <c r="O1122" s="165">
        <f t="shared" si="55"/>
        <v>0.44</v>
      </c>
      <c r="P1122" s="18"/>
      <c r="Q1122" s="18"/>
      <c r="R1122" s="18"/>
      <c r="S1122" s="18"/>
      <c r="T1122" s="18"/>
      <c r="U1122" s="18"/>
      <c r="V1122" s="18"/>
      <c r="W1122" s="18"/>
      <c r="X1122" s="18"/>
    </row>
    <row r="1123" spans="13:24">
      <c r="M1123" s="558">
        <f t="shared" si="56"/>
        <v>1121</v>
      </c>
      <c r="N1123" s="15">
        <f t="shared" si="54"/>
        <v>0.52253752209943083</v>
      </c>
      <c r="O1123" s="165">
        <f t="shared" si="55"/>
        <v>0.44</v>
      </c>
      <c r="P1123" s="18"/>
      <c r="Q1123" s="18"/>
      <c r="R1123" s="18"/>
      <c r="S1123" s="18"/>
      <c r="T1123" s="18"/>
      <c r="U1123" s="18"/>
      <c r="V1123" s="18"/>
      <c r="W1123" s="18"/>
      <c r="X1123" s="18"/>
    </row>
    <row r="1124" spans="13:24">
      <c r="M1124" s="558">
        <f t="shared" si="56"/>
        <v>1122</v>
      </c>
      <c r="N1124" s="15">
        <f t="shared" si="54"/>
        <v>0.52234795654138033</v>
      </c>
      <c r="O1124" s="165">
        <f t="shared" si="55"/>
        <v>0.44</v>
      </c>
      <c r="P1124" s="18"/>
      <c r="Q1124" s="18"/>
      <c r="R1124" s="18"/>
      <c r="S1124" s="18"/>
      <c r="T1124" s="18"/>
      <c r="U1124" s="18"/>
      <c r="V1124" s="18"/>
      <c r="W1124" s="18"/>
      <c r="X1124" s="18"/>
    </row>
    <row r="1125" spans="13:24">
      <c r="M1125" s="558">
        <f t="shared" si="56"/>
        <v>1123</v>
      </c>
      <c r="N1125" s="15">
        <f t="shared" si="54"/>
        <v>0.52215856440782904</v>
      </c>
      <c r="O1125" s="165">
        <f t="shared" si="55"/>
        <v>0.44</v>
      </c>
      <c r="P1125" s="18"/>
      <c r="Q1125" s="18"/>
      <c r="R1125" s="18"/>
      <c r="S1125" s="18"/>
      <c r="T1125" s="18"/>
      <c r="U1125" s="18"/>
      <c r="V1125" s="18"/>
      <c r="W1125" s="18"/>
      <c r="X1125" s="18"/>
    </row>
    <row r="1126" spans="13:24">
      <c r="M1126" s="558">
        <f t="shared" si="56"/>
        <v>1124</v>
      </c>
      <c r="N1126" s="15">
        <f t="shared" si="54"/>
        <v>0.52196934548114304</v>
      </c>
      <c r="O1126" s="165">
        <f t="shared" si="55"/>
        <v>0.44</v>
      </c>
      <c r="P1126" s="18"/>
      <c r="Q1126" s="18"/>
      <c r="R1126" s="18"/>
      <c r="S1126" s="18"/>
      <c r="T1126" s="18"/>
      <c r="U1126" s="18"/>
      <c r="V1126" s="18"/>
      <c r="W1126" s="18"/>
      <c r="X1126" s="18"/>
    </row>
    <row r="1127" spans="13:24">
      <c r="M1127" s="558">
        <f t="shared" si="56"/>
        <v>1125</v>
      </c>
      <c r="N1127" s="15">
        <f t="shared" si="54"/>
        <v>0.5217802995439611</v>
      </c>
      <c r="O1127" s="165">
        <f t="shared" si="55"/>
        <v>0.44</v>
      </c>
      <c r="P1127" s="18"/>
      <c r="Q1127" s="18"/>
      <c r="R1127" s="18"/>
      <c r="S1127" s="18"/>
      <c r="T1127" s="18"/>
      <c r="U1127" s="18"/>
      <c r="V1127" s="18"/>
      <c r="W1127" s="18"/>
      <c r="X1127" s="18"/>
    </row>
    <row r="1128" spans="13:24">
      <c r="M1128" s="558">
        <f t="shared" si="56"/>
        <v>1126</v>
      </c>
      <c r="N1128" s="15">
        <f t="shared" si="54"/>
        <v>0.52159142637919598</v>
      </c>
      <c r="O1128" s="165">
        <f t="shared" si="55"/>
        <v>0.44</v>
      </c>
      <c r="P1128" s="18"/>
      <c r="Q1128" s="18"/>
      <c r="R1128" s="18"/>
      <c r="S1128" s="18"/>
      <c r="T1128" s="18"/>
      <c r="U1128" s="18"/>
      <c r="V1128" s="18"/>
      <c r="W1128" s="18"/>
      <c r="X1128" s="18"/>
    </row>
    <row r="1129" spans="13:24">
      <c r="M1129" s="558">
        <f t="shared" si="56"/>
        <v>1127</v>
      </c>
      <c r="N1129" s="15">
        <f t="shared" si="54"/>
        <v>0.52140272577003188</v>
      </c>
      <c r="O1129" s="165">
        <f t="shared" si="55"/>
        <v>0.44</v>
      </c>
      <c r="P1129" s="18"/>
      <c r="Q1129" s="18"/>
      <c r="R1129" s="18"/>
      <c r="S1129" s="18"/>
      <c r="T1129" s="18"/>
      <c r="U1129" s="18"/>
      <c r="V1129" s="18"/>
      <c r="W1129" s="18"/>
      <c r="X1129" s="18"/>
    </row>
    <row r="1130" spans="13:24">
      <c r="M1130" s="558">
        <f t="shared" si="56"/>
        <v>1128</v>
      </c>
      <c r="N1130" s="15">
        <f t="shared" si="54"/>
        <v>0.52121419749992515</v>
      </c>
      <c r="O1130" s="165">
        <f t="shared" si="55"/>
        <v>0.44</v>
      </c>
      <c r="P1130" s="18"/>
      <c r="Q1130" s="18"/>
      <c r="R1130" s="18"/>
      <c r="S1130" s="18"/>
      <c r="T1130" s="18"/>
      <c r="U1130" s="18"/>
      <c r="V1130" s="18"/>
      <c r="W1130" s="18"/>
      <c r="X1130" s="18"/>
    </row>
    <row r="1131" spans="13:24">
      <c r="M1131" s="558">
        <f t="shared" si="56"/>
        <v>1129</v>
      </c>
      <c r="N1131" s="15">
        <f t="shared" si="54"/>
        <v>0.52102584135260455</v>
      </c>
      <c r="O1131" s="165">
        <f t="shared" si="55"/>
        <v>0.44</v>
      </c>
      <c r="P1131" s="18"/>
      <c r="Q1131" s="18"/>
      <c r="R1131" s="18"/>
      <c r="S1131" s="18"/>
      <c r="T1131" s="18"/>
      <c r="U1131" s="18"/>
      <c r="V1131" s="18"/>
      <c r="W1131" s="18"/>
      <c r="X1131" s="18"/>
    </row>
    <row r="1132" spans="13:24">
      <c r="M1132" s="558">
        <f t="shared" si="56"/>
        <v>1130</v>
      </c>
      <c r="N1132" s="15">
        <f t="shared" si="54"/>
        <v>0.52083765711206942</v>
      </c>
      <c r="O1132" s="165">
        <f t="shared" si="55"/>
        <v>0.44</v>
      </c>
      <c r="P1132" s="18"/>
      <c r="Q1132" s="18"/>
      <c r="R1132" s="18"/>
      <c r="S1132" s="18"/>
      <c r="T1132" s="18"/>
      <c r="U1132" s="18"/>
      <c r="V1132" s="18"/>
      <c r="W1132" s="18"/>
      <c r="X1132" s="18"/>
    </row>
    <row r="1133" spans="13:24">
      <c r="M1133" s="558">
        <f t="shared" si="56"/>
        <v>1131</v>
      </c>
      <c r="N1133" s="15">
        <f t="shared" si="54"/>
        <v>0.52064964456259066</v>
      </c>
      <c r="O1133" s="165">
        <f t="shared" si="55"/>
        <v>0.44</v>
      </c>
      <c r="P1133" s="18"/>
      <c r="Q1133" s="18"/>
      <c r="R1133" s="18"/>
      <c r="S1133" s="18"/>
      <c r="T1133" s="18"/>
      <c r="U1133" s="18"/>
      <c r="V1133" s="18"/>
      <c r="W1133" s="18"/>
      <c r="X1133" s="18"/>
    </row>
    <row r="1134" spans="13:24">
      <c r="M1134" s="558">
        <f t="shared" si="56"/>
        <v>1132</v>
      </c>
      <c r="N1134" s="15">
        <f t="shared" si="54"/>
        <v>0.52046180348871007</v>
      </c>
      <c r="O1134" s="165">
        <f t="shared" si="55"/>
        <v>0.44</v>
      </c>
      <c r="P1134" s="18"/>
      <c r="Q1134" s="18"/>
      <c r="R1134" s="18"/>
      <c r="S1134" s="18"/>
      <c r="T1134" s="18"/>
      <c r="U1134" s="18"/>
      <c r="V1134" s="18"/>
      <c r="W1134" s="18"/>
      <c r="X1134" s="18"/>
    </row>
    <row r="1135" spans="13:24">
      <c r="M1135" s="558">
        <f t="shared" si="56"/>
        <v>1133</v>
      </c>
      <c r="N1135" s="15">
        <f t="shared" si="54"/>
        <v>0.52027413367523923</v>
      </c>
      <c r="O1135" s="165">
        <f t="shared" si="55"/>
        <v>0.44</v>
      </c>
      <c r="P1135" s="18"/>
      <c r="Q1135" s="18"/>
      <c r="R1135" s="18"/>
      <c r="S1135" s="18"/>
      <c r="T1135" s="18"/>
      <c r="U1135" s="18"/>
      <c r="V1135" s="18"/>
      <c r="W1135" s="18"/>
      <c r="X1135" s="18"/>
    </row>
    <row r="1136" spans="13:24">
      <c r="M1136" s="558">
        <f t="shared" si="56"/>
        <v>1134</v>
      </c>
      <c r="N1136" s="15">
        <f t="shared" si="54"/>
        <v>0.52008663490726004</v>
      </c>
      <c r="O1136" s="165">
        <f t="shared" si="55"/>
        <v>0.44</v>
      </c>
      <c r="P1136" s="18"/>
      <c r="Q1136" s="18"/>
      <c r="R1136" s="18"/>
      <c r="S1136" s="18"/>
      <c r="T1136" s="18"/>
      <c r="U1136" s="18"/>
      <c r="V1136" s="18"/>
      <c r="W1136" s="18"/>
      <c r="X1136" s="18"/>
    </row>
    <row r="1137" spans="13:24">
      <c r="M1137" s="558">
        <f t="shared" si="56"/>
        <v>1135</v>
      </c>
      <c r="N1137" s="15">
        <f t="shared" si="54"/>
        <v>0.51989930697012443</v>
      </c>
      <c r="O1137" s="165">
        <f t="shared" si="55"/>
        <v>0.44</v>
      </c>
      <c r="P1137" s="18"/>
      <c r="Q1137" s="18"/>
      <c r="R1137" s="18"/>
      <c r="S1137" s="18"/>
      <c r="T1137" s="18"/>
      <c r="U1137" s="18"/>
      <c r="V1137" s="18"/>
      <c r="W1137" s="18"/>
      <c r="X1137" s="18"/>
    </row>
    <row r="1138" spans="13:24">
      <c r="M1138" s="558">
        <f t="shared" si="56"/>
        <v>1136</v>
      </c>
      <c r="N1138" s="15">
        <f t="shared" si="54"/>
        <v>0.51971214964945345</v>
      </c>
      <c r="O1138" s="165">
        <f t="shared" si="55"/>
        <v>0.44</v>
      </c>
      <c r="P1138" s="18"/>
      <c r="Q1138" s="18"/>
      <c r="R1138" s="18"/>
      <c r="S1138" s="18"/>
      <c r="T1138" s="18"/>
      <c r="U1138" s="18"/>
      <c r="V1138" s="18"/>
      <c r="W1138" s="18"/>
      <c r="X1138" s="18"/>
    </row>
    <row r="1139" spans="13:24">
      <c r="M1139" s="558">
        <f t="shared" si="56"/>
        <v>1137</v>
      </c>
      <c r="N1139" s="15">
        <f t="shared" si="54"/>
        <v>0.51952516273113647</v>
      </c>
      <c r="O1139" s="165">
        <f t="shared" si="55"/>
        <v>0.44</v>
      </c>
      <c r="P1139" s="18"/>
      <c r="Q1139" s="18"/>
      <c r="R1139" s="18"/>
      <c r="S1139" s="18"/>
      <c r="T1139" s="18"/>
      <c r="U1139" s="18"/>
      <c r="V1139" s="18"/>
      <c r="W1139" s="18"/>
      <c r="X1139" s="18"/>
    </row>
    <row r="1140" spans="13:24">
      <c r="M1140" s="558">
        <f t="shared" si="56"/>
        <v>1138</v>
      </c>
      <c r="N1140" s="15">
        <f t="shared" si="54"/>
        <v>0.519338346001333</v>
      </c>
      <c r="O1140" s="165">
        <f t="shared" si="55"/>
        <v>0.44</v>
      </c>
      <c r="P1140" s="18"/>
      <c r="Q1140" s="18"/>
      <c r="R1140" s="18"/>
      <c r="S1140" s="18"/>
      <c r="T1140" s="18"/>
      <c r="U1140" s="18"/>
      <c r="V1140" s="18"/>
      <c r="W1140" s="18"/>
      <c r="X1140" s="18"/>
    </row>
    <row r="1141" spans="13:24">
      <c r="M1141" s="558">
        <f t="shared" si="56"/>
        <v>1139</v>
      </c>
      <c r="N1141" s="15">
        <f t="shared" si="54"/>
        <v>0.51915169924646976</v>
      </c>
      <c r="O1141" s="165">
        <f t="shared" si="55"/>
        <v>0.44</v>
      </c>
      <c r="P1141" s="18"/>
      <c r="Q1141" s="18"/>
      <c r="R1141" s="18"/>
      <c r="S1141" s="18"/>
      <c r="T1141" s="18"/>
      <c r="U1141" s="18"/>
      <c r="V1141" s="18"/>
      <c r="W1141" s="18"/>
      <c r="X1141" s="18"/>
    </row>
    <row r="1142" spans="13:24">
      <c r="M1142" s="558">
        <f t="shared" si="56"/>
        <v>1140</v>
      </c>
      <c r="N1142" s="15">
        <f t="shared" si="54"/>
        <v>0.51896522225324171</v>
      </c>
      <c r="O1142" s="165">
        <f t="shared" si="55"/>
        <v>0.44</v>
      </c>
      <c r="P1142" s="18"/>
      <c r="Q1142" s="18"/>
      <c r="R1142" s="18"/>
      <c r="S1142" s="18"/>
      <c r="T1142" s="18"/>
      <c r="U1142" s="18"/>
      <c r="V1142" s="18"/>
      <c r="W1142" s="18"/>
      <c r="X1142" s="18"/>
    </row>
    <row r="1143" spans="13:24">
      <c r="M1143" s="558">
        <f t="shared" si="56"/>
        <v>1141</v>
      </c>
      <c r="N1143" s="15">
        <f t="shared" si="54"/>
        <v>0.51877891480861205</v>
      </c>
      <c r="O1143" s="165">
        <f t="shared" si="55"/>
        <v>0.44</v>
      </c>
      <c r="P1143" s="18"/>
      <c r="Q1143" s="18"/>
      <c r="R1143" s="18"/>
      <c r="S1143" s="18"/>
      <c r="T1143" s="18"/>
      <c r="U1143" s="18"/>
      <c r="V1143" s="18"/>
      <c r="W1143" s="18"/>
      <c r="X1143" s="18"/>
    </row>
    <row r="1144" spans="13:24">
      <c r="M1144" s="558">
        <f t="shared" si="56"/>
        <v>1142</v>
      </c>
      <c r="N1144" s="15">
        <f t="shared" si="54"/>
        <v>0.51859277669981063</v>
      </c>
      <c r="O1144" s="165">
        <f t="shared" si="55"/>
        <v>0.44</v>
      </c>
      <c r="P1144" s="18"/>
      <c r="Q1144" s="18"/>
      <c r="R1144" s="18"/>
      <c r="S1144" s="18"/>
      <c r="T1144" s="18"/>
      <c r="U1144" s="18"/>
      <c r="V1144" s="18"/>
      <c r="W1144" s="18"/>
      <c r="X1144" s="18"/>
    </row>
    <row r="1145" spans="13:24">
      <c r="M1145" s="558">
        <f t="shared" si="56"/>
        <v>1143</v>
      </c>
      <c r="N1145" s="15">
        <f t="shared" si="54"/>
        <v>0.51840680771433445</v>
      </c>
      <c r="O1145" s="165">
        <f t="shared" si="55"/>
        <v>0.44</v>
      </c>
      <c r="P1145" s="18"/>
      <c r="Q1145" s="18"/>
      <c r="R1145" s="18"/>
      <c r="S1145" s="18"/>
      <c r="T1145" s="18"/>
      <c r="U1145" s="18"/>
      <c r="V1145" s="18"/>
      <c r="W1145" s="18"/>
      <c r="X1145" s="18"/>
    </row>
    <row r="1146" spans="13:24">
      <c r="M1146" s="558">
        <f t="shared" si="56"/>
        <v>1144</v>
      </c>
      <c r="N1146" s="15">
        <f t="shared" si="54"/>
        <v>0.51822100763994772</v>
      </c>
      <c r="O1146" s="165">
        <f t="shared" si="55"/>
        <v>0.44</v>
      </c>
      <c r="P1146" s="18"/>
      <c r="Q1146" s="18"/>
      <c r="R1146" s="18"/>
      <c r="S1146" s="18"/>
      <c r="T1146" s="18"/>
      <c r="U1146" s="18"/>
      <c r="V1146" s="18"/>
      <c r="W1146" s="18"/>
      <c r="X1146" s="18"/>
    </row>
    <row r="1147" spans="13:24">
      <c r="M1147" s="558">
        <f t="shared" si="56"/>
        <v>1145</v>
      </c>
      <c r="N1147" s="15">
        <f t="shared" si="54"/>
        <v>0.51803537626468033</v>
      </c>
      <c r="O1147" s="165">
        <f t="shared" si="55"/>
        <v>0.44</v>
      </c>
      <c r="P1147" s="18"/>
      <c r="Q1147" s="18"/>
      <c r="R1147" s="18"/>
      <c r="S1147" s="18"/>
      <c r="T1147" s="18"/>
      <c r="U1147" s="18"/>
      <c r="V1147" s="18"/>
      <c r="W1147" s="18"/>
      <c r="X1147" s="18"/>
    </row>
    <row r="1148" spans="13:24">
      <c r="M1148" s="558">
        <f t="shared" si="56"/>
        <v>1146</v>
      </c>
      <c r="N1148" s="15">
        <f t="shared" si="54"/>
        <v>0.51784991337682829</v>
      </c>
      <c r="O1148" s="165">
        <f t="shared" si="55"/>
        <v>0.44</v>
      </c>
      <c r="P1148" s="18"/>
      <c r="Q1148" s="18"/>
      <c r="R1148" s="18"/>
      <c r="S1148" s="18"/>
      <c r="T1148" s="18"/>
      <c r="U1148" s="18"/>
      <c r="V1148" s="18"/>
      <c r="W1148" s="18"/>
      <c r="X1148" s="18"/>
    </row>
    <row r="1149" spans="13:24">
      <c r="M1149" s="558">
        <f t="shared" si="56"/>
        <v>1147</v>
      </c>
      <c r="N1149" s="15">
        <f t="shared" si="54"/>
        <v>0.51766461876495384</v>
      </c>
      <c r="O1149" s="165">
        <f t="shared" si="55"/>
        <v>0.44</v>
      </c>
      <c r="P1149" s="18"/>
      <c r="Q1149" s="18"/>
      <c r="R1149" s="18"/>
      <c r="S1149" s="18"/>
      <c r="T1149" s="18"/>
      <c r="U1149" s="18"/>
      <c r="V1149" s="18"/>
      <c r="W1149" s="18"/>
      <c r="X1149" s="18"/>
    </row>
    <row r="1150" spans="13:24">
      <c r="M1150" s="558">
        <f t="shared" si="56"/>
        <v>1148</v>
      </c>
      <c r="N1150" s="15">
        <f t="shared" si="54"/>
        <v>0.51747949221788392</v>
      </c>
      <c r="O1150" s="165">
        <f t="shared" si="55"/>
        <v>0.44</v>
      </c>
      <c r="P1150" s="18"/>
      <c r="Q1150" s="18"/>
      <c r="R1150" s="18"/>
      <c r="S1150" s="18"/>
      <c r="T1150" s="18"/>
      <c r="U1150" s="18"/>
      <c r="V1150" s="18"/>
      <c r="W1150" s="18"/>
      <c r="X1150" s="18"/>
    </row>
    <row r="1151" spans="13:24">
      <c r="M1151" s="558">
        <f t="shared" si="56"/>
        <v>1149</v>
      </c>
      <c r="N1151" s="15">
        <f t="shared" si="54"/>
        <v>0.51729453352471044</v>
      </c>
      <c r="O1151" s="165">
        <f t="shared" si="55"/>
        <v>0.44</v>
      </c>
      <c r="P1151" s="18"/>
      <c r="Q1151" s="18"/>
      <c r="R1151" s="18"/>
      <c r="S1151" s="18"/>
      <c r="T1151" s="18"/>
      <c r="U1151" s="18"/>
      <c r="V1151" s="18"/>
      <c r="W1151" s="18"/>
      <c r="X1151" s="18"/>
    </row>
    <row r="1152" spans="13:24">
      <c r="M1152" s="558">
        <f t="shared" si="56"/>
        <v>1150</v>
      </c>
      <c r="N1152" s="15">
        <f t="shared" si="54"/>
        <v>0.51710974247479069</v>
      </c>
      <c r="O1152" s="165">
        <f t="shared" si="55"/>
        <v>0.44</v>
      </c>
      <c r="P1152" s="18"/>
      <c r="Q1152" s="18"/>
      <c r="R1152" s="18"/>
      <c r="S1152" s="18"/>
      <c r="T1152" s="18"/>
      <c r="U1152" s="18"/>
      <c r="V1152" s="18"/>
      <c r="W1152" s="18"/>
      <c r="X1152" s="18"/>
    </row>
    <row r="1153" spans="13:24">
      <c r="M1153" s="558">
        <f t="shared" si="56"/>
        <v>1151</v>
      </c>
      <c r="N1153" s="15">
        <f t="shared" si="54"/>
        <v>0.51692511885774561</v>
      </c>
      <c r="O1153" s="165">
        <f t="shared" si="55"/>
        <v>0.44</v>
      </c>
      <c r="P1153" s="18"/>
      <c r="Q1153" s="18"/>
      <c r="R1153" s="18"/>
      <c r="S1153" s="18"/>
      <c r="T1153" s="18"/>
      <c r="U1153" s="18"/>
      <c r="V1153" s="18"/>
      <c r="W1153" s="18"/>
      <c r="X1153" s="18"/>
    </row>
    <row r="1154" spans="13:24">
      <c r="M1154" s="558">
        <f t="shared" si="56"/>
        <v>1152</v>
      </c>
      <c r="N1154" s="15">
        <f t="shared" si="54"/>
        <v>0.51674066246346051</v>
      </c>
      <c r="O1154" s="165">
        <f t="shared" si="55"/>
        <v>0.44</v>
      </c>
      <c r="P1154" s="18"/>
      <c r="Q1154" s="18"/>
      <c r="R1154" s="18"/>
      <c r="S1154" s="18"/>
      <c r="T1154" s="18"/>
      <c r="U1154" s="18"/>
      <c r="V1154" s="18"/>
      <c r="W1154" s="18"/>
      <c r="X1154" s="18"/>
    </row>
    <row r="1155" spans="13:24">
      <c r="M1155" s="558">
        <f t="shared" si="56"/>
        <v>1153</v>
      </c>
      <c r="N1155" s="15">
        <f t="shared" si="54"/>
        <v>0.51655637308208391</v>
      </c>
      <c r="O1155" s="165">
        <f t="shared" si="55"/>
        <v>0.44</v>
      </c>
      <c r="P1155" s="18"/>
      <c r="Q1155" s="18"/>
      <c r="R1155" s="18"/>
      <c r="S1155" s="18"/>
      <c r="T1155" s="18"/>
      <c r="U1155" s="18"/>
      <c r="V1155" s="18"/>
      <c r="W1155" s="18"/>
      <c r="X1155" s="18"/>
    </row>
    <row r="1156" spans="13:24">
      <c r="M1156" s="558">
        <f t="shared" si="56"/>
        <v>1154</v>
      </c>
      <c r="N1156" s="15">
        <f t="shared" ref="N1156:N1219" si="57">IF(M1156&lt;$B$31+1,$B$32+$B$33/$B$31*(8760-M1156)+$B$34*IF(M1156&lt;$B$36-$B$31/(2*$B$35),1,IF(M1156&lt;$B$36+$B$31/(2*$B$35),COS(PI()/2*(M1156-($B$36-$B$31/(2*$B$35)))*$B$35/$B$31)^2,0))+$B$37*EXP((8760-M1156)/8760*$B$38)/EXP($B$38)-(8760-$B$31)*$B$33/$B$31,0)</f>
        <v>0.51637225050402846</v>
      </c>
      <c r="O1156" s="165">
        <f t="shared" ref="O1156:O1219" si="58">MIN(N1156,C$24)</f>
        <v>0.44</v>
      </c>
      <c r="P1156" s="18"/>
      <c r="Q1156" s="18"/>
      <c r="R1156" s="18"/>
      <c r="S1156" s="18"/>
      <c r="T1156" s="18"/>
      <c r="U1156" s="18"/>
      <c r="V1156" s="18"/>
      <c r="W1156" s="18"/>
      <c r="X1156" s="18"/>
    </row>
    <row r="1157" spans="13:24">
      <c r="M1157" s="558">
        <f t="shared" ref="M1157:M1220" si="59">M1156+1</f>
        <v>1155</v>
      </c>
      <c r="N1157" s="15">
        <f t="shared" si="57"/>
        <v>0.51618829451996928</v>
      </c>
      <c r="O1157" s="165">
        <f t="shared" si="58"/>
        <v>0.44</v>
      </c>
      <c r="P1157" s="18"/>
      <c r="Q1157" s="18"/>
      <c r="R1157" s="18"/>
      <c r="S1157" s="18"/>
      <c r="T1157" s="18"/>
      <c r="U1157" s="18"/>
      <c r="V1157" s="18"/>
      <c r="W1157" s="18"/>
      <c r="X1157" s="18"/>
    </row>
    <row r="1158" spans="13:24">
      <c r="M1158" s="558">
        <f t="shared" si="59"/>
        <v>1156</v>
      </c>
      <c r="N1158" s="15">
        <f t="shared" si="57"/>
        <v>0.51600450492084404</v>
      </c>
      <c r="O1158" s="165">
        <f t="shared" si="58"/>
        <v>0.44</v>
      </c>
      <c r="P1158" s="18"/>
      <c r="Q1158" s="18"/>
      <c r="R1158" s="18"/>
      <c r="S1158" s="18"/>
      <c r="T1158" s="18"/>
      <c r="U1158" s="18"/>
      <c r="V1158" s="18"/>
      <c r="W1158" s="18"/>
      <c r="X1158" s="18"/>
    </row>
    <row r="1159" spans="13:24">
      <c r="M1159" s="558">
        <f t="shared" si="59"/>
        <v>1157</v>
      </c>
      <c r="N1159" s="15">
        <f t="shared" si="57"/>
        <v>0.51582088149785332</v>
      </c>
      <c r="O1159" s="165">
        <f t="shared" si="58"/>
        <v>0.44</v>
      </c>
      <c r="P1159" s="18"/>
      <c r="Q1159" s="18"/>
      <c r="R1159" s="18"/>
      <c r="S1159" s="18"/>
      <c r="T1159" s="18"/>
      <c r="U1159" s="18"/>
      <c r="V1159" s="18"/>
      <c r="W1159" s="18"/>
      <c r="X1159" s="18"/>
    </row>
    <row r="1160" spans="13:24">
      <c r="M1160" s="558">
        <f t="shared" si="59"/>
        <v>1158</v>
      </c>
      <c r="N1160" s="15">
        <f t="shared" si="57"/>
        <v>0.51563742404245927</v>
      </c>
      <c r="O1160" s="165">
        <f t="shared" si="58"/>
        <v>0.44</v>
      </c>
      <c r="P1160" s="18"/>
      <c r="Q1160" s="18"/>
      <c r="R1160" s="18"/>
      <c r="S1160" s="18"/>
      <c r="T1160" s="18"/>
      <c r="U1160" s="18"/>
      <c r="V1160" s="18"/>
      <c r="W1160" s="18"/>
      <c r="X1160" s="18"/>
    </row>
    <row r="1161" spans="13:24">
      <c r="M1161" s="558">
        <f t="shared" si="59"/>
        <v>1159</v>
      </c>
      <c r="N1161" s="15">
        <f t="shared" si="57"/>
        <v>0.51545413234638571</v>
      </c>
      <c r="O1161" s="165">
        <f t="shared" si="58"/>
        <v>0.44</v>
      </c>
      <c r="P1161" s="18"/>
      <c r="Q1161" s="18"/>
      <c r="R1161" s="18"/>
      <c r="S1161" s="18"/>
      <c r="T1161" s="18"/>
      <c r="U1161" s="18"/>
      <c r="V1161" s="18"/>
      <c r="W1161" s="18"/>
      <c r="X1161" s="18"/>
    </row>
    <row r="1162" spans="13:24">
      <c r="M1162" s="558">
        <f t="shared" si="59"/>
        <v>1160</v>
      </c>
      <c r="N1162" s="15">
        <f t="shared" si="57"/>
        <v>0.51527100620161836</v>
      </c>
      <c r="O1162" s="165">
        <f t="shared" si="58"/>
        <v>0.44</v>
      </c>
      <c r="P1162" s="18"/>
      <c r="Q1162" s="18"/>
      <c r="R1162" s="18"/>
      <c r="S1162" s="18"/>
      <c r="T1162" s="18"/>
      <c r="U1162" s="18"/>
      <c r="V1162" s="18"/>
      <c r="W1162" s="18"/>
      <c r="X1162" s="18"/>
    </row>
    <row r="1163" spans="13:24">
      <c r="M1163" s="558">
        <f t="shared" si="59"/>
        <v>1161</v>
      </c>
      <c r="N1163" s="15">
        <f t="shared" si="57"/>
        <v>0.51508804540040354</v>
      </c>
      <c r="O1163" s="165">
        <f t="shared" si="58"/>
        <v>0.44</v>
      </c>
      <c r="P1163" s="18"/>
      <c r="Q1163" s="18"/>
      <c r="R1163" s="18"/>
      <c r="S1163" s="18"/>
      <c r="T1163" s="18"/>
      <c r="U1163" s="18"/>
      <c r="V1163" s="18"/>
      <c r="W1163" s="18"/>
      <c r="X1163" s="18"/>
    </row>
    <row r="1164" spans="13:24">
      <c r="M1164" s="558">
        <f t="shared" si="59"/>
        <v>1162</v>
      </c>
      <c r="N1164" s="15">
        <f t="shared" si="57"/>
        <v>0.5149052497352482</v>
      </c>
      <c r="O1164" s="165">
        <f t="shared" si="58"/>
        <v>0.44</v>
      </c>
      <c r="P1164" s="18"/>
      <c r="Q1164" s="18"/>
      <c r="R1164" s="18"/>
      <c r="S1164" s="18"/>
      <c r="T1164" s="18"/>
      <c r="U1164" s="18"/>
      <c r="V1164" s="18"/>
      <c r="W1164" s="18"/>
      <c r="X1164" s="18"/>
    </row>
    <row r="1165" spans="13:24">
      <c r="M1165" s="558">
        <f t="shared" si="59"/>
        <v>1163</v>
      </c>
      <c r="N1165" s="15">
        <f t="shared" si="57"/>
        <v>0.51472261899892002</v>
      </c>
      <c r="O1165" s="165">
        <f t="shared" si="58"/>
        <v>0.44</v>
      </c>
      <c r="P1165" s="18"/>
      <c r="Q1165" s="18"/>
      <c r="R1165" s="18"/>
      <c r="S1165" s="18"/>
      <c r="T1165" s="18"/>
      <c r="U1165" s="18"/>
      <c r="V1165" s="18"/>
      <c r="W1165" s="18"/>
      <c r="X1165" s="18"/>
    </row>
    <row r="1166" spans="13:24">
      <c r="M1166" s="558">
        <f t="shared" si="59"/>
        <v>1164</v>
      </c>
      <c r="N1166" s="15">
        <f t="shared" si="57"/>
        <v>0.51454015298444622</v>
      </c>
      <c r="O1166" s="165">
        <f t="shared" si="58"/>
        <v>0.44</v>
      </c>
      <c r="P1166" s="18"/>
      <c r="Q1166" s="18"/>
      <c r="R1166" s="18"/>
      <c r="S1166" s="18"/>
      <c r="T1166" s="18"/>
      <c r="U1166" s="18"/>
      <c r="V1166" s="18"/>
      <c r="W1166" s="18"/>
      <c r="X1166" s="18"/>
    </row>
    <row r="1167" spans="13:24">
      <c r="M1167" s="558">
        <f t="shared" si="59"/>
        <v>1165</v>
      </c>
      <c r="N1167" s="15">
        <f t="shared" si="57"/>
        <v>0.51435785148511459</v>
      </c>
      <c r="O1167" s="165">
        <f t="shared" si="58"/>
        <v>0.44</v>
      </c>
      <c r="P1167" s="18"/>
      <c r="Q1167" s="18"/>
      <c r="R1167" s="18"/>
      <c r="S1167" s="18"/>
      <c r="T1167" s="18"/>
      <c r="U1167" s="18"/>
      <c r="V1167" s="18"/>
      <c r="W1167" s="18"/>
      <c r="X1167" s="18"/>
    </row>
    <row r="1168" spans="13:24">
      <c r="M1168" s="558">
        <f t="shared" si="59"/>
        <v>1166</v>
      </c>
      <c r="N1168" s="15">
        <f t="shared" si="57"/>
        <v>0.51417571429447162</v>
      </c>
      <c r="O1168" s="165">
        <f t="shared" si="58"/>
        <v>0.44</v>
      </c>
      <c r="P1168" s="18"/>
      <c r="Q1168" s="18"/>
      <c r="R1168" s="18"/>
      <c r="S1168" s="18"/>
      <c r="T1168" s="18"/>
      <c r="U1168" s="18"/>
      <c r="V1168" s="18"/>
      <c r="W1168" s="18"/>
      <c r="X1168" s="18"/>
    </row>
    <row r="1169" spans="13:24">
      <c r="M1169" s="558">
        <f t="shared" si="59"/>
        <v>1167</v>
      </c>
      <c r="N1169" s="15">
        <f t="shared" si="57"/>
        <v>0.51399374120632302</v>
      </c>
      <c r="O1169" s="165">
        <f t="shared" si="58"/>
        <v>0.44</v>
      </c>
      <c r="P1169" s="18"/>
      <c r="Q1169" s="18"/>
      <c r="R1169" s="18"/>
      <c r="S1169" s="18"/>
      <c r="T1169" s="18"/>
      <c r="U1169" s="18"/>
      <c r="V1169" s="18"/>
      <c r="W1169" s="18"/>
      <c r="X1169" s="18"/>
    </row>
    <row r="1170" spans="13:24">
      <c r="M1170" s="558">
        <f t="shared" si="59"/>
        <v>1168</v>
      </c>
      <c r="N1170" s="15">
        <f t="shared" si="57"/>
        <v>0.5138119320147333</v>
      </c>
      <c r="O1170" s="165">
        <f t="shared" si="58"/>
        <v>0.44</v>
      </c>
      <c r="P1170" s="18"/>
      <c r="Q1170" s="18"/>
      <c r="R1170" s="18"/>
      <c r="S1170" s="18"/>
      <c r="T1170" s="18"/>
      <c r="U1170" s="18"/>
      <c r="V1170" s="18"/>
      <c r="W1170" s="18"/>
      <c r="X1170" s="18"/>
    </row>
    <row r="1171" spans="13:24">
      <c r="M1171" s="558">
        <f t="shared" si="59"/>
        <v>1169</v>
      </c>
      <c r="N1171" s="15">
        <f t="shared" si="57"/>
        <v>0.51363028651402576</v>
      </c>
      <c r="O1171" s="165">
        <f t="shared" si="58"/>
        <v>0.44</v>
      </c>
      <c r="P1171" s="18"/>
      <c r="Q1171" s="18"/>
      <c r="R1171" s="18"/>
      <c r="S1171" s="18"/>
      <c r="T1171" s="18"/>
      <c r="U1171" s="18"/>
      <c r="V1171" s="18"/>
      <c r="W1171" s="18"/>
      <c r="X1171" s="18"/>
    </row>
    <row r="1172" spans="13:24">
      <c r="M1172" s="558">
        <f t="shared" si="59"/>
        <v>1170</v>
      </c>
      <c r="N1172" s="15">
        <f t="shared" si="57"/>
        <v>0.51344880449878116</v>
      </c>
      <c r="O1172" s="165">
        <f t="shared" si="58"/>
        <v>0.44</v>
      </c>
      <c r="P1172" s="18"/>
      <c r="Q1172" s="18"/>
      <c r="R1172" s="18"/>
      <c r="S1172" s="18"/>
      <c r="T1172" s="18"/>
      <c r="U1172" s="18"/>
      <c r="V1172" s="18"/>
      <c r="W1172" s="18"/>
      <c r="X1172" s="18"/>
    </row>
    <row r="1173" spans="13:24">
      <c r="M1173" s="558">
        <f t="shared" si="59"/>
        <v>1171</v>
      </c>
      <c r="N1173" s="15">
        <f t="shared" si="57"/>
        <v>0.5132674857638384</v>
      </c>
      <c r="O1173" s="165">
        <f t="shared" si="58"/>
        <v>0.44</v>
      </c>
      <c r="P1173" s="18"/>
      <c r="Q1173" s="18"/>
      <c r="R1173" s="18"/>
      <c r="S1173" s="18"/>
      <c r="T1173" s="18"/>
      <c r="U1173" s="18"/>
      <c r="V1173" s="18"/>
      <c r="W1173" s="18"/>
      <c r="X1173" s="18"/>
    </row>
    <row r="1174" spans="13:24">
      <c r="M1174" s="558">
        <f t="shared" si="59"/>
        <v>1172</v>
      </c>
      <c r="N1174" s="15">
        <f t="shared" si="57"/>
        <v>0.51308633010429405</v>
      </c>
      <c r="O1174" s="165">
        <f t="shared" si="58"/>
        <v>0.44</v>
      </c>
      <c r="P1174" s="18"/>
      <c r="Q1174" s="18"/>
      <c r="R1174" s="18"/>
      <c r="S1174" s="18"/>
      <c r="T1174" s="18"/>
      <c r="U1174" s="18"/>
      <c r="V1174" s="18"/>
      <c r="W1174" s="18"/>
      <c r="X1174" s="18"/>
    </row>
    <row r="1175" spans="13:24">
      <c r="M1175" s="558">
        <f t="shared" si="59"/>
        <v>1173</v>
      </c>
      <c r="N1175" s="15">
        <f t="shared" si="57"/>
        <v>0.51290533731550148</v>
      </c>
      <c r="O1175" s="165">
        <f t="shared" si="58"/>
        <v>0.44</v>
      </c>
      <c r="P1175" s="18"/>
      <c r="Q1175" s="18"/>
      <c r="R1175" s="18"/>
      <c r="S1175" s="18"/>
      <c r="T1175" s="18"/>
      <c r="U1175" s="18"/>
      <c r="V1175" s="18"/>
      <c r="W1175" s="18"/>
      <c r="X1175" s="18"/>
    </row>
    <row r="1176" spans="13:24">
      <c r="M1176" s="558">
        <f t="shared" si="59"/>
        <v>1174</v>
      </c>
      <c r="N1176" s="15">
        <f t="shared" si="57"/>
        <v>0.51272450719307072</v>
      </c>
      <c r="O1176" s="165">
        <f t="shared" si="58"/>
        <v>0.44</v>
      </c>
      <c r="P1176" s="18"/>
      <c r="Q1176" s="18"/>
      <c r="R1176" s="18"/>
      <c r="S1176" s="18"/>
      <c r="T1176" s="18"/>
      <c r="U1176" s="18"/>
      <c r="V1176" s="18"/>
      <c r="W1176" s="18"/>
      <c r="X1176" s="18"/>
    </row>
    <row r="1177" spans="13:24">
      <c r="M1177" s="558">
        <f t="shared" si="59"/>
        <v>1175</v>
      </c>
      <c r="N1177" s="15">
        <f t="shared" si="57"/>
        <v>0.51254383953286897</v>
      </c>
      <c r="O1177" s="165">
        <f t="shared" si="58"/>
        <v>0.44</v>
      </c>
      <c r="P1177" s="18"/>
      <c r="Q1177" s="18"/>
      <c r="R1177" s="18"/>
      <c r="S1177" s="18"/>
      <c r="T1177" s="18"/>
      <c r="U1177" s="18"/>
      <c r="V1177" s="18"/>
      <c r="W1177" s="18"/>
      <c r="X1177" s="18"/>
    </row>
    <row r="1178" spans="13:24">
      <c r="M1178" s="558">
        <f t="shared" si="59"/>
        <v>1176</v>
      </c>
      <c r="N1178" s="15">
        <f t="shared" si="57"/>
        <v>0.51236333413101898</v>
      </c>
      <c r="O1178" s="165">
        <f t="shared" si="58"/>
        <v>0.44</v>
      </c>
      <c r="P1178" s="18"/>
      <c r="Q1178" s="18"/>
      <c r="R1178" s="18"/>
      <c r="S1178" s="18"/>
      <c r="T1178" s="18"/>
      <c r="U1178" s="18"/>
      <c r="V1178" s="18"/>
      <c r="W1178" s="18"/>
      <c r="X1178" s="18"/>
    </row>
    <row r="1179" spans="13:24">
      <c r="M1179" s="558">
        <f t="shared" si="59"/>
        <v>1177</v>
      </c>
      <c r="N1179" s="15">
        <f t="shared" si="57"/>
        <v>0.51218299078389928</v>
      </c>
      <c r="O1179" s="165">
        <f t="shared" si="58"/>
        <v>0.44</v>
      </c>
      <c r="P1179" s="18"/>
      <c r="Q1179" s="18"/>
      <c r="R1179" s="18"/>
      <c r="S1179" s="18"/>
      <c r="T1179" s="18"/>
      <c r="U1179" s="18"/>
      <c r="V1179" s="18"/>
      <c r="W1179" s="18"/>
      <c r="X1179" s="18"/>
    </row>
    <row r="1180" spans="13:24">
      <c r="M1180" s="558">
        <f t="shared" si="59"/>
        <v>1178</v>
      </c>
      <c r="N1180" s="15">
        <f t="shared" si="57"/>
        <v>0.51200280928814479</v>
      </c>
      <c r="O1180" s="165">
        <f t="shared" si="58"/>
        <v>0.44</v>
      </c>
      <c r="P1180" s="18"/>
      <c r="Q1180" s="18"/>
      <c r="R1180" s="18"/>
      <c r="S1180" s="18"/>
      <c r="T1180" s="18"/>
      <c r="U1180" s="18"/>
      <c r="V1180" s="18"/>
      <c r="W1180" s="18"/>
      <c r="X1180" s="18"/>
    </row>
    <row r="1181" spans="13:24">
      <c r="M1181" s="558">
        <f t="shared" si="59"/>
        <v>1179</v>
      </c>
      <c r="N1181" s="15">
        <f t="shared" si="57"/>
        <v>0.51182278944064452</v>
      </c>
      <c r="O1181" s="165">
        <f t="shared" si="58"/>
        <v>0.44</v>
      </c>
      <c r="P1181" s="18"/>
      <c r="Q1181" s="18"/>
      <c r="R1181" s="18"/>
      <c r="S1181" s="18"/>
      <c r="T1181" s="18"/>
      <c r="U1181" s="18"/>
      <c r="V1181" s="18"/>
      <c r="W1181" s="18"/>
      <c r="X1181" s="18"/>
    </row>
    <row r="1182" spans="13:24">
      <c r="M1182" s="558">
        <f t="shared" si="59"/>
        <v>1180</v>
      </c>
      <c r="N1182" s="15">
        <f t="shared" si="57"/>
        <v>0.51164293103854319</v>
      </c>
      <c r="O1182" s="165">
        <f t="shared" si="58"/>
        <v>0.44</v>
      </c>
      <c r="P1182" s="18"/>
      <c r="Q1182" s="18"/>
      <c r="R1182" s="18"/>
      <c r="S1182" s="18"/>
      <c r="T1182" s="18"/>
      <c r="U1182" s="18"/>
      <c r="V1182" s="18"/>
      <c r="W1182" s="18"/>
      <c r="X1182" s="18"/>
    </row>
    <row r="1183" spans="13:24">
      <c r="M1183" s="558">
        <f t="shared" si="59"/>
        <v>1181</v>
      </c>
      <c r="N1183" s="15">
        <f t="shared" si="57"/>
        <v>0.51146323387923953</v>
      </c>
      <c r="O1183" s="165">
        <f t="shared" si="58"/>
        <v>0.44</v>
      </c>
      <c r="P1183" s="18"/>
      <c r="Q1183" s="18"/>
      <c r="R1183" s="18"/>
      <c r="S1183" s="18"/>
      <c r="T1183" s="18"/>
      <c r="U1183" s="18"/>
      <c r="V1183" s="18"/>
      <c r="W1183" s="18"/>
      <c r="X1183" s="18"/>
    </row>
    <row r="1184" spans="13:24">
      <c r="M1184" s="558">
        <f t="shared" si="59"/>
        <v>1182</v>
      </c>
      <c r="N1184" s="15">
        <f t="shared" si="57"/>
        <v>0.51128369776038707</v>
      </c>
      <c r="O1184" s="165">
        <f t="shared" si="58"/>
        <v>0.44</v>
      </c>
      <c r="P1184" s="18"/>
      <c r="Q1184" s="18"/>
      <c r="R1184" s="18"/>
      <c r="S1184" s="18"/>
      <c r="T1184" s="18"/>
      <c r="U1184" s="18"/>
      <c r="V1184" s="18"/>
      <c r="W1184" s="18"/>
      <c r="X1184" s="18"/>
    </row>
    <row r="1185" spans="13:24">
      <c r="M1185" s="558">
        <f t="shared" si="59"/>
        <v>1183</v>
      </c>
      <c r="N1185" s="15">
        <f t="shared" si="57"/>
        <v>0.5111043224798929</v>
      </c>
      <c r="O1185" s="165">
        <f t="shared" si="58"/>
        <v>0.44</v>
      </c>
      <c r="P1185" s="18"/>
      <c r="Q1185" s="18"/>
      <c r="R1185" s="18"/>
      <c r="S1185" s="18"/>
      <c r="T1185" s="18"/>
      <c r="U1185" s="18"/>
      <c r="V1185" s="18"/>
      <c r="W1185" s="18"/>
      <c r="X1185" s="18"/>
    </row>
    <row r="1186" spans="13:24">
      <c r="M1186" s="558">
        <f t="shared" si="59"/>
        <v>1184</v>
      </c>
      <c r="N1186" s="15">
        <f t="shared" si="57"/>
        <v>0.5109251078359176</v>
      </c>
      <c r="O1186" s="165">
        <f t="shared" si="58"/>
        <v>0.44</v>
      </c>
      <c r="P1186" s="18"/>
      <c r="Q1186" s="18"/>
      <c r="R1186" s="18"/>
      <c r="S1186" s="18"/>
      <c r="T1186" s="18"/>
      <c r="U1186" s="18"/>
      <c r="V1186" s="18"/>
      <c r="W1186" s="18"/>
      <c r="X1186" s="18"/>
    </row>
    <row r="1187" spans="13:24">
      <c r="M1187" s="558">
        <f t="shared" si="59"/>
        <v>1185</v>
      </c>
      <c r="N1187" s="15">
        <f t="shared" si="57"/>
        <v>0.51074605362687553</v>
      </c>
      <c r="O1187" s="165">
        <f t="shared" si="58"/>
        <v>0.44</v>
      </c>
      <c r="P1187" s="18"/>
      <c r="Q1187" s="18"/>
      <c r="R1187" s="18"/>
      <c r="S1187" s="18"/>
      <c r="T1187" s="18"/>
      <c r="U1187" s="18"/>
      <c r="V1187" s="18"/>
      <c r="W1187" s="18"/>
      <c r="X1187" s="18"/>
    </row>
    <row r="1188" spans="13:24">
      <c r="M1188" s="558">
        <f t="shared" si="59"/>
        <v>1186</v>
      </c>
      <c r="N1188" s="15">
        <f t="shared" si="57"/>
        <v>0.51056715965143351</v>
      </c>
      <c r="O1188" s="165">
        <f t="shared" si="58"/>
        <v>0.44</v>
      </c>
      <c r="P1188" s="18"/>
      <c r="Q1188" s="18"/>
      <c r="R1188" s="18"/>
      <c r="S1188" s="18"/>
      <c r="T1188" s="18"/>
      <c r="U1188" s="18"/>
      <c r="V1188" s="18"/>
      <c r="W1188" s="18"/>
      <c r="X1188" s="18"/>
    </row>
    <row r="1189" spans="13:24">
      <c r="M1189" s="558">
        <f t="shared" si="59"/>
        <v>1187</v>
      </c>
      <c r="N1189" s="15">
        <f t="shared" si="57"/>
        <v>0.51038842570851117</v>
      </c>
      <c r="O1189" s="165">
        <f t="shared" si="58"/>
        <v>0.44</v>
      </c>
      <c r="P1189" s="18"/>
      <c r="Q1189" s="18"/>
      <c r="R1189" s="18"/>
      <c r="S1189" s="18"/>
      <c r="T1189" s="18"/>
      <c r="U1189" s="18"/>
      <c r="V1189" s="18"/>
      <c r="W1189" s="18"/>
      <c r="X1189" s="18"/>
    </row>
    <row r="1190" spans="13:24">
      <c r="M1190" s="558">
        <f t="shared" si="59"/>
        <v>1188</v>
      </c>
      <c r="N1190" s="15">
        <f t="shared" si="57"/>
        <v>0.51020985159728083</v>
      </c>
      <c r="O1190" s="165">
        <f t="shared" si="58"/>
        <v>0.44</v>
      </c>
      <c r="P1190" s="18"/>
      <c r="Q1190" s="18"/>
      <c r="R1190" s="18"/>
      <c r="S1190" s="18"/>
      <c r="T1190" s="18"/>
      <c r="U1190" s="18"/>
      <c r="V1190" s="18"/>
      <c r="W1190" s="18"/>
      <c r="X1190" s="18"/>
    </row>
    <row r="1191" spans="13:24">
      <c r="M1191" s="558">
        <f t="shared" si="59"/>
        <v>1189</v>
      </c>
      <c r="N1191" s="15">
        <f t="shared" si="57"/>
        <v>0.51003143711716648</v>
      </c>
      <c r="O1191" s="165">
        <f t="shared" si="58"/>
        <v>0.44</v>
      </c>
      <c r="P1191" s="18"/>
      <c r="Q1191" s="18"/>
      <c r="R1191" s="18"/>
      <c r="S1191" s="18"/>
      <c r="T1191" s="18"/>
      <c r="U1191" s="18"/>
      <c r="V1191" s="18"/>
      <c r="W1191" s="18"/>
      <c r="X1191" s="18"/>
    </row>
    <row r="1192" spans="13:24">
      <c r="M1192" s="558">
        <f t="shared" si="59"/>
        <v>1190</v>
      </c>
      <c r="N1192" s="15">
        <f t="shared" si="57"/>
        <v>0.5098531820678438</v>
      </c>
      <c r="O1192" s="165">
        <f t="shared" si="58"/>
        <v>0.44</v>
      </c>
      <c r="P1192" s="18"/>
      <c r="Q1192" s="18"/>
      <c r="R1192" s="18"/>
      <c r="S1192" s="18"/>
      <c r="T1192" s="18"/>
      <c r="U1192" s="18"/>
      <c r="V1192" s="18"/>
      <c r="W1192" s="18"/>
      <c r="X1192" s="18"/>
    </row>
    <row r="1193" spans="13:24">
      <c r="M1193" s="558">
        <f t="shared" si="59"/>
        <v>1191</v>
      </c>
      <c r="N1193" s="15">
        <f t="shared" si="57"/>
        <v>0.50967508624923996</v>
      </c>
      <c r="O1193" s="165">
        <f t="shared" si="58"/>
        <v>0.44</v>
      </c>
      <c r="P1193" s="18"/>
      <c r="Q1193" s="18"/>
      <c r="R1193" s="18"/>
      <c r="S1193" s="18"/>
      <c r="T1193" s="18"/>
      <c r="U1193" s="18"/>
      <c r="V1193" s="18"/>
      <c r="W1193" s="18"/>
      <c r="X1193" s="18"/>
    </row>
    <row r="1194" spans="13:24">
      <c r="M1194" s="558">
        <f t="shared" si="59"/>
        <v>1192</v>
      </c>
      <c r="N1194" s="15">
        <f t="shared" si="57"/>
        <v>0.50949714946153302</v>
      </c>
      <c r="O1194" s="165">
        <f t="shared" si="58"/>
        <v>0.44</v>
      </c>
      <c r="P1194" s="18"/>
      <c r="Q1194" s="18"/>
      <c r="R1194" s="18"/>
      <c r="S1194" s="18"/>
      <c r="T1194" s="18"/>
      <c r="U1194" s="18"/>
      <c r="V1194" s="18"/>
      <c r="W1194" s="18"/>
      <c r="X1194" s="18"/>
    </row>
    <row r="1195" spans="13:24">
      <c r="M1195" s="558">
        <f t="shared" si="59"/>
        <v>1193</v>
      </c>
      <c r="N1195" s="15">
        <f t="shared" si="57"/>
        <v>0.50931937150515239</v>
      </c>
      <c r="O1195" s="165">
        <f t="shared" si="58"/>
        <v>0.44</v>
      </c>
      <c r="P1195" s="18"/>
      <c r="Q1195" s="18"/>
      <c r="R1195" s="18"/>
      <c r="S1195" s="18"/>
      <c r="T1195" s="18"/>
      <c r="U1195" s="18"/>
      <c r="V1195" s="18"/>
      <c r="W1195" s="18"/>
      <c r="X1195" s="18"/>
    </row>
    <row r="1196" spans="13:24">
      <c r="M1196" s="558">
        <f t="shared" si="59"/>
        <v>1194</v>
      </c>
      <c r="N1196" s="15">
        <f t="shared" si="57"/>
        <v>0.50914175218077729</v>
      </c>
      <c r="O1196" s="165">
        <f t="shared" si="58"/>
        <v>0.44</v>
      </c>
      <c r="P1196" s="18"/>
      <c r="Q1196" s="18"/>
      <c r="R1196" s="18"/>
      <c r="S1196" s="18"/>
      <c r="T1196" s="18"/>
      <c r="U1196" s="18"/>
      <c r="V1196" s="18"/>
      <c r="W1196" s="18"/>
      <c r="X1196" s="18"/>
    </row>
    <row r="1197" spans="13:24">
      <c r="M1197" s="558">
        <f t="shared" si="59"/>
        <v>1195</v>
      </c>
      <c r="N1197" s="15">
        <f t="shared" si="57"/>
        <v>0.50896429128933718</v>
      </c>
      <c r="O1197" s="165">
        <f t="shared" si="58"/>
        <v>0.44</v>
      </c>
      <c r="P1197" s="18"/>
      <c r="Q1197" s="18"/>
      <c r="R1197" s="18"/>
      <c r="S1197" s="18"/>
      <c r="T1197" s="18"/>
      <c r="U1197" s="18"/>
      <c r="V1197" s="18"/>
      <c r="W1197" s="18"/>
      <c r="X1197" s="18"/>
    </row>
    <row r="1198" spans="13:24">
      <c r="M1198" s="558">
        <f t="shared" si="59"/>
        <v>1196</v>
      </c>
      <c r="N1198" s="15">
        <f t="shared" si="57"/>
        <v>0.50878698863201155</v>
      </c>
      <c r="O1198" s="165">
        <f t="shared" si="58"/>
        <v>0.44</v>
      </c>
      <c r="P1198" s="18"/>
      <c r="Q1198" s="18"/>
      <c r="R1198" s="18"/>
      <c r="S1198" s="18"/>
      <c r="T1198" s="18"/>
      <c r="U1198" s="18"/>
      <c r="V1198" s="18"/>
      <c r="W1198" s="18"/>
      <c r="X1198" s="18"/>
    </row>
    <row r="1199" spans="13:24">
      <c r="M1199" s="558">
        <f t="shared" si="59"/>
        <v>1197</v>
      </c>
      <c r="N1199" s="15">
        <f t="shared" si="57"/>
        <v>0.50860984401022935</v>
      </c>
      <c r="O1199" s="165">
        <f t="shared" si="58"/>
        <v>0.44</v>
      </c>
      <c r="P1199" s="18"/>
      <c r="Q1199" s="18"/>
      <c r="R1199" s="18"/>
      <c r="S1199" s="18"/>
      <c r="T1199" s="18"/>
      <c r="U1199" s="18"/>
      <c r="V1199" s="18"/>
      <c r="W1199" s="18"/>
      <c r="X1199" s="18"/>
    </row>
    <row r="1200" spans="13:24">
      <c r="M1200" s="558">
        <f t="shared" si="59"/>
        <v>1198</v>
      </c>
      <c r="N1200" s="15">
        <f t="shared" si="57"/>
        <v>0.50843285722566867</v>
      </c>
      <c r="O1200" s="165">
        <f t="shared" si="58"/>
        <v>0.44</v>
      </c>
      <c r="P1200" s="18"/>
      <c r="Q1200" s="18"/>
      <c r="R1200" s="18"/>
      <c r="S1200" s="18"/>
      <c r="T1200" s="18"/>
      <c r="U1200" s="18"/>
      <c r="V1200" s="18"/>
      <c r="W1200" s="18"/>
      <c r="X1200" s="18"/>
    </row>
    <row r="1201" spans="13:24">
      <c r="M1201" s="558">
        <f t="shared" si="59"/>
        <v>1199</v>
      </c>
      <c r="N1201" s="15">
        <f t="shared" si="57"/>
        <v>0.50825602808025627</v>
      </c>
      <c r="O1201" s="165">
        <f t="shared" si="58"/>
        <v>0.44</v>
      </c>
      <c r="P1201" s="18"/>
      <c r="Q1201" s="18"/>
      <c r="R1201" s="18"/>
      <c r="S1201" s="18"/>
      <c r="T1201" s="18"/>
      <c r="U1201" s="18"/>
      <c r="V1201" s="18"/>
      <c r="W1201" s="18"/>
      <c r="X1201" s="18"/>
    </row>
    <row r="1202" spans="13:24">
      <c r="M1202" s="558">
        <f t="shared" si="59"/>
        <v>1200</v>
      </c>
      <c r="N1202" s="15">
        <f t="shared" si="57"/>
        <v>0.50807935637616797</v>
      </c>
      <c r="O1202" s="165">
        <f t="shared" si="58"/>
        <v>0.44</v>
      </c>
      <c r="P1202" s="18"/>
      <c r="Q1202" s="18"/>
      <c r="R1202" s="18"/>
      <c r="S1202" s="18"/>
      <c r="T1202" s="18"/>
      <c r="U1202" s="18"/>
      <c r="V1202" s="18"/>
      <c r="W1202" s="18"/>
      <c r="X1202" s="18"/>
    </row>
    <row r="1203" spans="13:24">
      <c r="M1203" s="558">
        <f t="shared" si="59"/>
        <v>1201</v>
      </c>
      <c r="N1203" s="15">
        <f t="shared" si="57"/>
        <v>0.50790284191582735</v>
      </c>
      <c r="O1203" s="165">
        <f t="shared" si="58"/>
        <v>0.44</v>
      </c>
      <c r="P1203" s="18"/>
      <c r="Q1203" s="18"/>
      <c r="R1203" s="18"/>
      <c r="S1203" s="18"/>
      <c r="T1203" s="18"/>
      <c r="U1203" s="18"/>
      <c r="V1203" s="18"/>
      <c r="W1203" s="18"/>
      <c r="X1203" s="18"/>
    </row>
    <row r="1204" spans="13:24">
      <c r="M1204" s="558">
        <f t="shared" si="59"/>
        <v>1202</v>
      </c>
      <c r="N1204" s="15">
        <f t="shared" si="57"/>
        <v>0.50772648450190605</v>
      </c>
      <c r="O1204" s="165">
        <f t="shared" si="58"/>
        <v>0.44</v>
      </c>
      <c r="P1204" s="18"/>
      <c r="Q1204" s="18"/>
      <c r="R1204" s="18"/>
      <c r="S1204" s="18"/>
      <c r="T1204" s="18"/>
      <c r="U1204" s="18"/>
      <c r="V1204" s="18"/>
      <c r="W1204" s="18"/>
      <c r="X1204" s="18"/>
    </row>
    <row r="1205" spans="13:24">
      <c r="M1205" s="558">
        <f t="shared" si="59"/>
        <v>1203</v>
      </c>
      <c r="N1205" s="15">
        <f t="shared" si="57"/>
        <v>0.50755028393732382</v>
      </c>
      <c r="O1205" s="165">
        <f t="shared" si="58"/>
        <v>0.44</v>
      </c>
      <c r="P1205" s="18"/>
      <c r="Q1205" s="18"/>
      <c r="R1205" s="18"/>
      <c r="S1205" s="18"/>
      <c r="T1205" s="18"/>
      <c r="U1205" s="18"/>
      <c r="V1205" s="18"/>
      <c r="W1205" s="18"/>
      <c r="X1205" s="18"/>
    </row>
    <row r="1206" spans="13:24">
      <c r="M1206" s="558">
        <f t="shared" si="59"/>
        <v>1204</v>
      </c>
      <c r="N1206" s="15">
        <f t="shared" si="57"/>
        <v>0.507374240025247</v>
      </c>
      <c r="O1206" s="165">
        <f t="shared" si="58"/>
        <v>0.44</v>
      </c>
      <c r="P1206" s="18"/>
      <c r="Q1206" s="18"/>
      <c r="R1206" s="18"/>
      <c r="S1206" s="18"/>
      <c r="T1206" s="18"/>
      <c r="U1206" s="18"/>
      <c r="V1206" s="18"/>
      <c r="W1206" s="18"/>
      <c r="X1206" s="18"/>
    </row>
    <row r="1207" spans="13:24">
      <c r="M1207" s="558">
        <f t="shared" si="59"/>
        <v>1205</v>
      </c>
      <c r="N1207" s="15">
        <f t="shared" si="57"/>
        <v>0.50719835256908929</v>
      </c>
      <c r="O1207" s="165">
        <f t="shared" si="58"/>
        <v>0.44</v>
      </c>
      <c r="P1207" s="18"/>
      <c r="Q1207" s="18"/>
      <c r="R1207" s="18"/>
      <c r="S1207" s="18"/>
      <c r="T1207" s="18"/>
      <c r="U1207" s="18"/>
      <c r="V1207" s="18"/>
      <c r="W1207" s="18"/>
      <c r="X1207" s="18"/>
    </row>
    <row r="1208" spans="13:24">
      <c r="M1208" s="558">
        <f t="shared" si="59"/>
        <v>1206</v>
      </c>
      <c r="N1208" s="15">
        <f t="shared" si="57"/>
        <v>0.5070226213725112</v>
      </c>
      <c r="O1208" s="165">
        <f t="shared" si="58"/>
        <v>0.44</v>
      </c>
      <c r="P1208" s="18"/>
      <c r="Q1208" s="18"/>
      <c r="R1208" s="18"/>
      <c r="S1208" s="18"/>
      <c r="T1208" s="18"/>
      <c r="U1208" s="18"/>
      <c r="V1208" s="18"/>
      <c r="W1208" s="18"/>
      <c r="X1208" s="18"/>
    </row>
    <row r="1209" spans="13:24">
      <c r="M1209" s="558">
        <f t="shared" si="59"/>
        <v>1207</v>
      </c>
      <c r="N1209" s="15">
        <f t="shared" si="57"/>
        <v>0.50684704623941956</v>
      </c>
      <c r="O1209" s="165">
        <f t="shared" si="58"/>
        <v>0.44</v>
      </c>
      <c r="P1209" s="18"/>
      <c r="Q1209" s="18"/>
      <c r="R1209" s="18"/>
      <c r="S1209" s="18"/>
      <c r="T1209" s="18"/>
      <c r="U1209" s="18"/>
      <c r="V1209" s="18"/>
      <c r="W1209" s="18"/>
      <c r="X1209" s="18"/>
    </row>
    <row r="1210" spans="13:24">
      <c r="M1210" s="558">
        <f t="shared" si="59"/>
        <v>1208</v>
      </c>
      <c r="N1210" s="15">
        <f t="shared" si="57"/>
        <v>0.50667162697396695</v>
      </c>
      <c r="O1210" s="165">
        <f t="shared" si="58"/>
        <v>0.44</v>
      </c>
      <c r="P1210" s="18"/>
      <c r="Q1210" s="18"/>
      <c r="R1210" s="18"/>
      <c r="S1210" s="18"/>
      <c r="T1210" s="18"/>
      <c r="U1210" s="18"/>
      <c r="V1210" s="18"/>
      <c r="W1210" s="18"/>
      <c r="X1210" s="18"/>
    </row>
    <row r="1211" spans="13:24">
      <c r="M1211" s="558">
        <f t="shared" si="59"/>
        <v>1209</v>
      </c>
      <c r="N1211" s="15">
        <f t="shared" si="57"/>
        <v>0.50649636338055226</v>
      </c>
      <c r="O1211" s="165">
        <f t="shared" si="58"/>
        <v>0.44</v>
      </c>
      <c r="P1211" s="18"/>
      <c r="Q1211" s="18"/>
      <c r="R1211" s="18"/>
      <c r="S1211" s="18"/>
      <c r="T1211" s="18"/>
      <c r="U1211" s="18"/>
      <c r="V1211" s="18"/>
      <c r="W1211" s="18"/>
      <c r="X1211" s="18"/>
    </row>
    <row r="1212" spans="13:24">
      <c r="M1212" s="558">
        <f t="shared" si="59"/>
        <v>1210</v>
      </c>
      <c r="N1212" s="15">
        <f t="shared" si="57"/>
        <v>0.50632125526381955</v>
      </c>
      <c r="O1212" s="165">
        <f t="shared" si="58"/>
        <v>0.44</v>
      </c>
      <c r="P1212" s="18"/>
      <c r="Q1212" s="18"/>
      <c r="R1212" s="18"/>
      <c r="S1212" s="18"/>
      <c r="T1212" s="18"/>
      <c r="U1212" s="18"/>
      <c r="V1212" s="18"/>
      <c r="W1212" s="18"/>
      <c r="X1212" s="18"/>
    </row>
    <row r="1213" spans="13:24">
      <c r="M1213" s="558">
        <f t="shared" si="59"/>
        <v>1211</v>
      </c>
      <c r="N1213" s="15">
        <f t="shared" si="57"/>
        <v>0.50614630242865788</v>
      </c>
      <c r="O1213" s="165">
        <f t="shared" si="58"/>
        <v>0.44</v>
      </c>
      <c r="P1213" s="18"/>
      <c r="Q1213" s="18"/>
      <c r="R1213" s="18"/>
      <c r="S1213" s="18"/>
      <c r="T1213" s="18"/>
      <c r="U1213" s="18"/>
      <c r="V1213" s="18"/>
      <c r="W1213" s="18"/>
      <c r="X1213" s="18"/>
    </row>
    <row r="1214" spans="13:24">
      <c r="M1214" s="558">
        <f t="shared" si="59"/>
        <v>1212</v>
      </c>
      <c r="N1214" s="15">
        <f t="shared" si="57"/>
        <v>0.50597150468020158</v>
      </c>
      <c r="O1214" s="165">
        <f t="shared" si="58"/>
        <v>0.44</v>
      </c>
      <c r="P1214" s="18"/>
      <c r="Q1214" s="18"/>
      <c r="R1214" s="18"/>
      <c r="S1214" s="18"/>
      <c r="T1214" s="18"/>
      <c r="U1214" s="18"/>
      <c r="V1214" s="18"/>
      <c r="W1214" s="18"/>
      <c r="X1214" s="18"/>
    </row>
    <row r="1215" spans="13:24">
      <c r="M1215" s="558">
        <f t="shared" si="59"/>
        <v>1213</v>
      </c>
      <c r="N1215" s="15">
        <f t="shared" si="57"/>
        <v>0.50579686182382932</v>
      </c>
      <c r="O1215" s="165">
        <f t="shared" si="58"/>
        <v>0.44</v>
      </c>
      <c r="P1215" s="18"/>
      <c r="Q1215" s="18"/>
      <c r="R1215" s="18"/>
      <c r="S1215" s="18"/>
      <c r="T1215" s="18"/>
      <c r="U1215" s="18"/>
      <c r="V1215" s="18"/>
      <c r="W1215" s="18"/>
      <c r="X1215" s="18"/>
    </row>
    <row r="1216" spans="13:24">
      <c r="M1216" s="558">
        <f t="shared" si="59"/>
        <v>1214</v>
      </c>
      <c r="N1216" s="15">
        <f t="shared" si="57"/>
        <v>0.50562237366516372</v>
      </c>
      <c r="O1216" s="165">
        <f t="shared" si="58"/>
        <v>0.44</v>
      </c>
      <c r="P1216" s="18"/>
      <c r="Q1216" s="18"/>
      <c r="R1216" s="18"/>
      <c r="S1216" s="18"/>
      <c r="T1216" s="18"/>
      <c r="U1216" s="18"/>
      <c r="V1216" s="18"/>
      <c r="W1216" s="18"/>
      <c r="X1216" s="18"/>
    </row>
    <row r="1217" spans="13:24">
      <c r="M1217" s="558">
        <f t="shared" si="59"/>
        <v>1215</v>
      </c>
      <c r="N1217" s="15">
        <f t="shared" si="57"/>
        <v>0.5054480400100716</v>
      </c>
      <c r="O1217" s="165">
        <f t="shared" si="58"/>
        <v>0.44</v>
      </c>
      <c r="P1217" s="18"/>
      <c r="Q1217" s="18"/>
      <c r="R1217" s="18"/>
      <c r="S1217" s="18"/>
      <c r="T1217" s="18"/>
      <c r="U1217" s="18"/>
      <c r="V1217" s="18"/>
      <c r="W1217" s="18"/>
      <c r="X1217" s="18"/>
    </row>
    <row r="1218" spans="13:24">
      <c r="M1218" s="558">
        <f t="shared" si="59"/>
        <v>1216</v>
      </c>
      <c r="N1218" s="15">
        <f t="shared" si="57"/>
        <v>0.50527386066466384</v>
      </c>
      <c r="O1218" s="165">
        <f t="shared" si="58"/>
        <v>0.44</v>
      </c>
      <c r="P1218" s="18"/>
      <c r="Q1218" s="18"/>
      <c r="R1218" s="18"/>
      <c r="S1218" s="18"/>
      <c r="T1218" s="18"/>
      <c r="U1218" s="18"/>
      <c r="V1218" s="18"/>
      <c r="W1218" s="18"/>
      <c r="X1218" s="18"/>
    </row>
    <row r="1219" spans="13:24">
      <c r="M1219" s="558">
        <f t="shared" si="59"/>
        <v>1217</v>
      </c>
      <c r="N1219" s="15">
        <f t="shared" si="57"/>
        <v>0.50509983543529346</v>
      </c>
      <c r="O1219" s="165">
        <f t="shared" si="58"/>
        <v>0.44</v>
      </c>
      <c r="P1219" s="18"/>
      <c r="Q1219" s="18"/>
      <c r="R1219" s="18"/>
      <c r="S1219" s="18"/>
      <c r="T1219" s="18"/>
      <c r="U1219" s="18"/>
      <c r="V1219" s="18"/>
      <c r="W1219" s="18"/>
      <c r="X1219" s="18"/>
    </row>
    <row r="1220" spans="13:24">
      <c r="M1220" s="558">
        <f t="shared" si="59"/>
        <v>1218</v>
      </c>
      <c r="N1220" s="15">
        <f t="shared" ref="N1220:N1283" si="60">IF(M1220&lt;$B$31+1,$B$32+$B$33/$B$31*(8760-M1220)+$B$34*IF(M1220&lt;$B$36-$B$31/(2*$B$35),1,IF(M1220&lt;$B$36+$B$31/(2*$B$35),COS(PI()/2*(M1220-($B$36-$B$31/(2*$B$35)))*$B$35/$B$31)^2,0))+$B$37*EXP((8760-M1220)/8760*$B$38)/EXP($B$38)-(8760-$B$31)*$B$33/$B$31,0)</f>
        <v>0.50492596412855784</v>
      </c>
      <c r="O1220" s="165">
        <f t="shared" ref="O1220:O1283" si="61">MIN(N1220,C$24)</f>
        <v>0.44</v>
      </c>
      <c r="P1220" s="18"/>
      <c r="Q1220" s="18"/>
      <c r="R1220" s="18"/>
      <c r="S1220" s="18"/>
      <c r="T1220" s="18"/>
      <c r="U1220" s="18"/>
      <c r="V1220" s="18"/>
      <c r="W1220" s="18"/>
      <c r="X1220" s="18"/>
    </row>
    <row r="1221" spans="13:24">
      <c r="M1221" s="558">
        <f t="shared" ref="M1221:M1284" si="62">M1220+1</f>
        <v>1219</v>
      </c>
      <c r="N1221" s="15">
        <f t="shared" si="60"/>
        <v>0.50475224655129614</v>
      </c>
      <c r="O1221" s="165">
        <f t="shared" si="61"/>
        <v>0.44</v>
      </c>
      <c r="P1221" s="18"/>
      <c r="Q1221" s="18"/>
      <c r="R1221" s="18"/>
      <c r="S1221" s="18"/>
      <c r="T1221" s="18"/>
      <c r="U1221" s="18"/>
      <c r="V1221" s="18"/>
      <c r="W1221" s="18"/>
      <c r="X1221" s="18"/>
    </row>
    <row r="1222" spans="13:24">
      <c r="M1222" s="558">
        <f t="shared" si="62"/>
        <v>1220</v>
      </c>
      <c r="N1222" s="15">
        <f t="shared" si="60"/>
        <v>0.50457868251059002</v>
      </c>
      <c r="O1222" s="165">
        <f t="shared" si="61"/>
        <v>0.44</v>
      </c>
      <c r="P1222" s="18"/>
      <c r="Q1222" s="18"/>
      <c r="R1222" s="18"/>
      <c r="S1222" s="18"/>
      <c r="T1222" s="18"/>
      <c r="U1222" s="18"/>
      <c r="V1222" s="18"/>
      <c r="W1222" s="18"/>
      <c r="X1222" s="18"/>
    </row>
    <row r="1223" spans="13:24">
      <c r="M1223" s="558">
        <f t="shared" si="62"/>
        <v>1221</v>
      </c>
      <c r="N1223" s="15">
        <f t="shared" si="60"/>
        <v>0.50440527181376393</v>
      </c>
      <c r="O1223" s="165">
        <f t="shared" si="61"/>
        <v>0.44</v>
      </c>
      <c r="P1223" s="18"/>
      <c r="Q1223" s="18"/>
      <c r="R1223" s="18"/>
      <c r="S1223" s="18"/>
      <c r="T1223" s="18"/>
      <c r="U1223" s="18"/>
      <c r="V1223" s="18"/>
      <c r="W1223" s="18"/>
      <c r="X1223" s="18"/>
    </row>
    <row r="1224" spans="13:24">
      <c r="M1224" s="558">
        <f t="shared" si="62"/>
        <v>1222</v>
      </c>
      <c r="N1224" s="15">
        <f t="shared" si="60"/>
        <v>0.50423201426838327</v>
      </c>
      <c r="O1224" s="165">
        <f t="shared" si="61"/>
        <v>0.44</v>
      </c>
      <c r="P1224" s="18"/>
      <c r="Q1224" s="18"/>
      <c r="R1224" s="18"/>
      <c r="S1224" s="18"/>
      <c r="T1224" s="18"/>
      <c r="U1224" s="18"/>
      <c r="V1224" s="18"/>
      <c r="W1224" s="18"/>
      <c r="X1224" s="18"/>
    </row>
    <row r="1225" spans="13:24">
      <c r="M1225" s="558">
        <f t="shared" si="62"/>
        <v>1223</v>
      </c>
      <c r="N1225" s="15">
        <f t="shared" si="60"/>
        <v>0.5040589096822552</v>
      </c>
      <c r="O1225" s="165">
        <f t="shared" si="61"/>
        <v>0.44</v>
      </c>
      <c r="P1225" s="18"/>
      <c r="Q1225" s="18"/>
      <c r="R1225" s="18"/>
      <c r="S1225" s="18"/>
      <c r="T1225" s="18"/>
      <c r="U1225" s="18"/>
      <c r="V1225" s="18"/>
      <c r="W1225" s="18"/>
      <c r="X1225" s="18"/>
    </row>
    <row r="1226" spans="13:24">
      <c r="M1226" s="558">
        <f t="shared" si="62"/>
        <v>1224</v>
      </c>
      <c r="N1226" s="15">
        <f t="shared" si="60"/>
        <v>0.50388595786342849</v>
      </c>
      <c r="O1226" s="165">
        <f t="shared" si="61"/>
        <v>0.44</v>
      </c>
      <c r="P1226" s="18"/>
      <c r="Q1226" s="18"/>
      <c r="R1226" s="18"/>
      <c r="S1226" s="18"/>
      <c r="T1226" s="18"/>
      <c r="U1226" s="18"/>
      <c r="V1226" s="18"/>
      <c r="W1226" s="18"/>
      <c r="X1226" s="18"/>
    </row>
    <row r="1227" spans="13:24">
      <c r="M1227" s="558">
        <f t="shared" si="62"/>
        <v>1225</v>
      </c>
      <c r="N1227" s="15">
        <f t="shared" si="60"/>
        <v>0.50371315862019228</v>
      </c>
      <c r="O1227" s="165">
        <f t="shared" si="61"/>
        <v>0.44</v>
      </c>
      <c r="P1227" s="18"/>
      <c r="Q1227" s="18"/>
      <c r="R1227" s="18"/>
      <c r="S1227" s="18"/>
      <c r="T1227" s="18"/>
      <c r="U1227" s="18"/>
      <c r="V1227" s="18"/>
      <c r="W1227" s="18"/>
      <c r="X1227" s="18"/>
    </row>
    <row r="1228" spans="13:24">
      <c r="M1228" s="558">
        <f t="shared" si="62"/>
        <v>1226</v>
      </c>
      <c r="N1228" s="15">
        <f t="shared" si="60"/>
        <v>0.50354051176107628</v>
      </c>
      <c r="O1228" s="165">
        <f t="shared" si="61"/>
        <v>0.44</v>
      </c>
      <c r="P1228" s="18"/>
      <c r="Q1228" s="18"/>
      <c r="R1228" s="18"/>
      <c r="S1228" s="18"/>
      <c r="T1228" s="18"/>
      <c r="U1228" s="18"/>
      <c r="V1228" s="18"/>
      <c r="W1228" s="18"/>
      <c r="X1228" s="18"/>
    </row>
    <row r="1229" spans="13:24">
      <c r="M1229" s="558">
        <f t="shared" si="62"/>
        <v>1227</v>
      </c>
      <c r="N1229" s="15">
        <f t="shared" si="60"/>
        <v>0.50336801709485091</v>
      </c>
      <c r="O1229" s="165">
        <f t="shared" si="61"/>
        <v>0.44</v>
      </c>
      <c r="P1229" s="18"/>
      <c r="Q1229" s="18"/>
      <c r="R1229" s="18"/>
      <c r="S1229" s="18"/>
      <c r="T1229" s="18"/>
      <c r="U1229" s="18"/>
      <c r="V1229" s="18"/>
      <c r="W1229" s="18"/>
      <c r="X1229" s="18"/>
    </row>
    <row r="1230" spans="13:24">
      <c r="M1230" s="558">
        <f t="shared" si="62"/>
        <v>1228</v>
      </c>
      <c r="N1230" s="15">
        <f t="shared" si="60"/>
        <v>0.50319567443052626</v>
      </c>
      <c r="O1230" s="165">
        <f t="shared" si="61"/>
        <v>0.44</v>
      </c>
      <c r="P1230" s="18"/>
      <c r="Q1230" s="18"/>
      <c r="R1230" s="18"/>
      <c r="S1230" s="18"/>
      <c r="T1230" s="18"/>
      <c r="U1230" s="18"/>
      <c r="V1230" s="18"/>
      <c r="W1230" s="18"/>
      <c r="X1230" s="18"/>
    </row>
    <row r="1231" spans="13:24">
      <c r="M1231" s="558">
        <f t="shared" si="62"/>
        <v>1229</v>
      </c>
      <c r="N1231" s="15">
        <f t="shared" si="60"/>
        <v>0.50302348357735216</v>
      </c>
      <c r="O1231" s="165">
        <f t="shared" si="61"/>
        <v>0.44</v>
      </c>
      <c r="P1231" s="18"/>
      <c r="Q1231" s="18"/>
      <c r="R1231" s="18"/>
      <c r="S1231" s="18"/>
      <c r="T1231" s="18"/>
      <c r="U1231" s="18"/>
      <c r="V1231" s="18"/>
      <c r="W1231" s="18"/>
      <c r="X1231" s="18"/>
    </row>
    <row r="1232" spans="13:24">
      <c r="M1232" s="558">
        <f t="shared" si="62"/>
        <v>1230</v>
      </c>
      <c r="N1232" s="15">
        <f t="shared" si="60"/>
        <v>0.50285144434481754</v>
      </c>
      <c r="O1232" s="165">
        <f t="shared" si="61"/>
        <v>0.44</v>
      </c>
      <c r="P1232" s="18"/>
      <c r="Q1232" s="18"/>
      <c r="R1232" s="18"/>
      <c r="S1232" s="18"/>
      <c r="T1232" s="18"/>
      <c r="U1232" s="18"/>
      <c r="V1232" s="18"/>
      <c r="W1232" s="18"/>
      <c r="X1232" s="18"/>
    </row>
    <row r="1233" spans="13:24">
      <c r="M1233" s="558">
        <f t="shared" si="62"/>
        <v>1231</v>
      </c>
      <c r="N1233" s="15">
        <f t="shared" si="60"/>
        <v>0.50267955654265095</v>
      </c>
      <c r="O1233" s="165">
        <f t="shared" si="61"/>
        <v>0.44</v>
      </c>
      <c r="P1233" s="18"/>
      <c r="Q1233" s="18"/>
      <c r="R1233" s="18"/>
      <c r="S1233" s="18"/>
      <c r="T1233" s="18"/>
      <c r="U1233" s="18"/>
      <c r="V1233" s="18"/>
      <c r="W1233" s="18"/>
      <c r="X1233" s="18"/>
    </row>
    <row r="1234" spans="13:24">
      <c r="M1234" s="558">
        <f t="shared" si="62"/>
        <v>1232</v>
      </c>
      <c r="N1234" s="15">
        <f t="shared" si="60"/>
        <v>0.5025078199808195</v>
      </c>
      <c r="O1234" s="165">
        <f t="shared" si="61"/>
        <v>0.44</v>
      </c>
      <c r="P1234" s="18"/>
      <c r="Q1234" s="18"/>
      <c r="R1234" s="18"/>
      <c r="S1234" s="18"/>
      <c r="T1234" s="18"/>
      <c r="U1234" s="18"/>
      <c r="V1234" s="18"/>
      <c r="W1234" s="18"/>
      <c r="X1234" s="18"/>
    </row>
    <row r="1235" spans="13:24">
      <c r="M1235" s="558">
        <f t="shared" si="62"/>
        <v>1233</v>
      </c>
      <c r="N1235" s="15">
        <f t="shared" si="60"/>
        <v>0.50233623446952835</v>
      </c>
      <c r="O1235" s="165">
        <f t="shared" si="61"/>
        <v>0.44</v>
      </c>
      <c r="P1235" s="18"/>
      <c r="Q1235" s="18"/>
      <c r="R1235" s="18"/>
      <c r="S1235" s="18"/>
      <c r="T1235" s="18"/>
      <c r="U1235" s="18"/>
      <c r="V1235" s="18"/>
      <c r="W1235" s="18"/>
      <c r="X1235" s="18"/>
    </row>
    <row r="1236" spans="13:24">
      <c r="M1236" s="558">
        <f t="shared" si="62"/>
        <v>1234</v>
      </c>
      <c r="N1236" s="15">
        <f t="shared" si="60"/>
        <v>0.50216479981922169</v>
      </c>
      <c r="O1236" s="165">
        <f t="shared" si="61"/>
        <v>0.44</v>
      </c>
      <c r="P1236" s="18"/>
      <c r="Q1236" s="18"/>
      <c r="R1236" s="18"/>
      <c r="S1236" s="18"/>
      <c r="T1236" s="18"/>
      <c r="U1236" s="18"/>
      <c r="V1236" s="18"/>
      <c r="W1236" s="18"/>
      <c r="X1236" s="18"/>
    </row>
    <row r="1237" spans="13:24">
      <c r="M1237" s="558">
        <f t="shared" si="62"/>
        <v>1235</v>
      </c>
      <c r="N1237" s="15">
        <f t="shared" si="60"/>
        <v>0.50199351584058083</v>
      </c>
      <c r="O1237" s="165">
        <f t="shared" si="61"/>
        <v>0.44</v>
      </c>
      <c r="P1237" s="18"/>
      <c r="Q1237" s="18"/>
      <c r="R1237" s="18"/>
      <c r="S1237" s="18"/>
      <c r="T1237" s="18"/>
      <c r="U1237" s="18"/>
      <c r="V1237" s="18"/>
      <c r="W1237" s="18"/>
      <c r="X1237" s="18"/>
    </row>
    <row r="1238" spans="13:24">
      <c r="M1238" s="558">
        <f t="shared" si="62"/>
        <v>1236</v>
      </c>
      <c r="N1238" s="15">
        <f t="shared" si="60"/>
        <v>0.50182238234452481</v>
      </c>
      <c r="O1238" s="165">
        <f t="shared" si="61"/>
        <v>0.44</v>
      </c>
      <c r="P1238" s="18"/>
      <c r="Q1238" s="18"/>
      <c r="R1238" s="18"/>
      <c r="S1238" s="18"/>
      <c r="T1238" s="18"/>
      <c r="U1238" s="18"/>
      <c r="V1238" s="18"/>
      <c r="W1238" s="18"/>
      <c r="X1238" s="18"/>
    </row>
    <row r="1239" spans="13:24">
      <c r="M1239" s="558">
        <f t="shared" si="62"/>
        <v>1237</v>
      </c>
      <c r="N1239" s="15">
        <f t="shared" si="60"/>
        <v>0.50165139914221035</v>
      </c>
      <c r="O1239" s="165">
        <f t="shared" si="61"/>
        <v>0.44</v>
      </c>
      <c r="P1239" s="18"/>
      <c r="Q1239" s="18"/>
      <c r="R1239" s="18"/>
      <c r="S1239" s="18"/>
      <c r="T1239" s="18"/>
      <c r="U1239" s="18"/>
      <c r="V1239" s="18"/>
      <c r="W1239" s="18"/>
      <c r="X1239" s="18"/>
    </row>
    <row r="1240" spans="13:24">
      <c r="M1240" s="558">
        <f t="shared" si="62"/>
        <v>1238</v>
      </c>
      <c r="N1240" s="15">
        <f t="shared" si="60"/>
        <v>0.50148056604503077</v>
      </c>
      <c r="O1240" s="165">
        <f t="shared" si="61"/>
        <v>0.44</v>
      </c>
      <c r="P1240" s="18"/>
      <c r="Q1240" s="18"/>
      <c r="R1240" s="18"/>
      <c r="S1240" s="18"/>
      <c r="T1240" s="18"/>
      <c r="U1240" s="18"/>
      <c r="V1240" s="18"/>
      <c r="W1240" s="18"/>
      <c r="X1240" s="18"/>
    </row>
    <row r="1241" spans="13:24">
      <c r="M1241" s="558">
        <f t="shared" si="62"/>
        <v>1239</v>
      </c>
      <c r="N1241" s="15">
        <f t="shared" si="60"/>
        <v>0.50130988286461586</v>
      </c>
      <c r="O1241" s="165">
        <f t="shared" si="61"/>
        <v>0.44</v>
      </c>
      <c r="P1241" s="18"/>
      <c r="Q1241" s="18"/>
      <c r="R1241" s="18"/>
      <c r="S1241" s="18"/>
      <c r="T1241" s="18"/>
      <c r="U1241" s="18"/>
      <c r="V1241" s="18"/>
      <c r="W1241" s="18"/>
      <c r="X1241" s="18"/>
    </row>
    <row r="1242" spans="13:24">
      <c r="M1242" s="558">
        <f t="shared" si="62"/>
        <v>1240</v>
      </c>
      <c r="N1242" s="15">
        <f t="shared" si="60"/>
        <v>0.50113934941283267</v>
      </c>
      <c r="O1242" s="165">
        <f t="shared" si="61"/>
        <v>0.44</v>
      </c>
      <c r="P1242" s="18"/>
      <c r="Q1242" s="18"/>
      <c r="R1242" s="18"/>
      <c r="S1242" s="18"/>
      <c r="T1242" s="18"/>
      <c r="U1242" s="18"/>
      <c r="V1242" s="18"/>
      <c r="W1242" s="18"/>
      <c r="X1242" s="18"/>
    </row>
    <row r="1243" spans="13:24">
      <c r="M1243" s="558">
        <f t="shared" si="62"/>
        <v>1241</v>
      </c>
      <c r="N1243" s="15">
        <f t="shared" si="60"/>
        <v>0.5009689655017836</v>
      </c>
      <c r="O1243" s="165">
        <f t="shared" si="61"/>
        <v>0.44</v>
      </c>
      <c r="P1243" s="18"/>
      <c r="Q1243" s="18"/>
      <c r="R1243" s="18"/>
      <c r="S1243" s="18"/>
      <c r="T1243" s="18"/>
      <c r="U1243" s="18"/>
      <c r="V1243" s="18"/>
      <c r="W1243" s="18"/>
      <c r="X1243" s="18"/>
    </row>
    <row r="1244" spans="13:24">
      <c r="M1244" s="558">
        <f t="shared" si="62"/>
        <v>1242</v>
      </c>
      <c r="N1244" s="15">
        <f t="shared" si="60"/>
        <v>0.50079873094380678</v>
      </c>
      <c r="O1244" s="165">
        <f t="shared" si="61"/>
        <v>0.44</v>
      </c>
      <c r="P1244" s="18"/>
      <c r="Q1244" s="18"/>
      <c r="R1244" s="18"/>
      <c r="S1244" s="18"/>
      <c r="T1244" s="18"/>
      <c r="U1244" s="18"/>
      <c r="V1244" s="18"/>
      <c r="W1244" s="18"/>
      <c r="X1244" s="18"/>
    </row>
    <row r="1245" spans="13:24">
      <c r="M1245" s="558">
        <f t="shared" si="62"/>
        <v>1243</v>
      </c>
      <c r="N1245" s="15">
        <f t="shared" si="60"/>
        <v>0.50062864555147646</v>
      </c>
      <c r="O1245" s="165">
        <f t="shared" si="61"/>
        <v>0.44</v>
      </c>
      <c r="P1245" s="18"/>
      <c r="Q1245" s="18"/>
      <c r="R1245" s="18"/>
      <c r="S1245" s="18"/>
      <c r="T1245" s="18"/>
      <c r="U1245" s="18"/>
      <c r="V1245" s="18"/>
      <c r="W1245" s="18"/>
      <c r="X1245" s="18"/>
    </row>
    <row r="1246" spans="13:24">
      <c r="M1246" s="558">
        <f t="shared" si="62"/>
        <v>1244</v>
      </c>
      <c r="N1246" s="15">
        <f t="shared" si="60"/>
        <v>0.5004587091376016</v>
      </c>
      <c r="O1246" s="165">
        <f t="shared" si="61"/>
        <v>0.44</v>
      </c>
      <c r="P1246" s="18"/>
      <c r="Q1246" s="18"/>
      <c r="R1246" s="18"/>
      <c r="S1246" s="18"/>
      <c r="T1246" s="18"/>
      <c r="U1246" s="18"/>
      <c r="V1246" s="18"/>
      <c r="W1246" s="18"/>
      <c r="X1246" s="18"/>
    </row>
    <row r="1247" spans="13:24">
      <c r="M1247" s="558">
        <f t="shared" si="62"/>
        <v>1245</v>
      </c>
      <c r="N1247" s="15">
        <f t="shared" si="60"/>
        <v>0.50028892151522586</v>
      </c>
      <c r="O1247" s="165">
        <f t="shared" si="61"/>
        <v>0.44</v>
      </c>
      <c r="P1247" s="18"/>
      <c r="Q1247" s="18"/>
      <c r="R1247" s="18"/>
      <c r="S1247" s="18"/>
      <c r="T1247" s="18"/>
      <c r="U1247" s="18"/>
      <c r="V1247" s="18"/>
      <c r="W1247" s="18"/>
      <c r="X1247" s="18"/>
    </row>
    <row r="1248" spans="13:24">
      <c r="M1248" s="558">
        <f t="shared" si="62"/>
        <v>1246</v>
      </c>
      <c r="N1248" s="15">
        <f t="shared" si="60"/>
        <v>0.50011928249762838</v>
      </c>
      <c r="O1248" s="165">
        <f t="shared" si="61"/>
        <v>0.44</v>
      </c>
      <c r="P1248" s="18"/>
      <c r="Q1248" s="18"/>
      <c r="R1248" s="18"/>
      <c r="S1248" s="18"/>
      <c r="T1248" s="18"/>
      <c r="U1248" s="18"/>
      <c r="V1248" s="18"/>
      <c r="W1248" s="18"/>
      <c r="X1248" s="18"/>
    </row>
    <row r="1249" spans="13:24">
      <c r="M1249" s="558">
        <f t="shared" si="62"/>
        <v>1247</v>
      </c>
      <c r="N1249" s="15">
        <f t="shared" si="60"/>
        <v>0.49994979189832189</v>
      </c>
      <c r="O1249" s="165">
        <f t="shared" si="61"/>
        <v>0.44</v>
      </c>
      <c r="P1249" s="18"/>
      <c r="Q1249" s="18"/>
      <c r="R1249" s="18"/>
      <c r="S1249" s="18"/>
      <c r="T1249" s="18"/>
      <c r="U1249" s="18"/>
      <c r="V1249" s="18"/>
      <c r="W1249" s="18"/>
      <c r="X1249" s="18"/>
    </row>
    <row r="1250" spans="13:24">
      <c r="M1250" s="558">
        <f t="shared" si="62"/>
        <v>1248</v>
      </c>
      <c r="N1250" s="15">
        <f t="shared" si="60"/>
        <v>0.49978044953105316</v>
      </c>
      <c r="O1250" s="165">
        <f t="shared" si="61"/>
        <v>0.44</v>
      </c>
      <c r="P1250" s="18"/>
      <c r="Q1250" s="18"/>
      <c r="R1250" s="18"/>
      <c r="S1250" s="18"/>
      <c r="T1250" s="18"/>
      <c r="U1250" s="18"/>
      <c r="V1250" s="18"/>
      <c r="W1250" s="18"/>
      <c r="X1250" s="18"/>
    </row>
    <row r="1251" spans="13:24">
      <c r="M1251" s="558">
        <f t="shared" si="62"/>
        <v>1249</v>
      </c>
      <c r="N1251" s="15">
        <f t="shared" si="60"/>
        <v>0.49961125520980326</v>
      </c>
      <c r="O1251" s="165">
        <f t="shared" si="61"/>
        <v>0.44</v>
      </c>
      <c r="P1251" s="18"/>
      <c r="Q1251" s="18"/>
      <c r="R1251" s="18"/>
      <c r="S1251" s="18"/>
      <c r="T1251" s="18"/>
      <c r="U1251" s="18"/>
      <c r="V1251" s="18"/>
      <c r="W1251" s="18"/>
      <c r="X1251" s="18"/>
    </row>
    <row r="1252" spans="13:24">
      <c r="M1252" s="558">
        <f t="shared" si="62"/>
        <v>1250</v>
      </c>
      <c r="N1252" s="15">
        <f t="shared" si="60"/>
        <v>0.49944220874878609</v>
      </c>
      <c r="O1252" s="165">
        <f t="shared" si="61"/>
        <v>0.44</v>
      </c>
      <c r="P1252" s="18"/>
      <c r="Q1252" s="18"/>
      <c r="R1252" s="18"/>
      <c r="S1252" s="18"/>
      <c r="T1252" s="18"/>
      <c r="U1252" s="18"/>
      <c r="V1252" s="18"/>
      <c r="W1252" s="18"/>
      <c r="X1252" s="18"/>
    </row>
    <row r="1253" spans="13:24">
      <c r="M1253" s="558">
        <f t="shared" si="62"/>
        <v>1251</v>
      </c>
      <c r="N1253" s="15">
        <f t="shared" si="60"/>
        <v>0.49927330996244884</v>
      </c>
      <c r="O1253" s="165">
        <f t="shared" si="61"/>
        <v>0.44</v>
      </c>
      <c r="P1253" s="18"/>
      <c r="Q1253" s="18"/>
      <c r="R1253" s="18"/>
      <c r="S1253" s="18"/>
      <c r="T1253" s="18"/>
      <c r="U1253" s="18"/>
      <c r="V1253" s="18"/>
      <c r="W1253" s="18"/>
      <c r="X1253" s="18"/>
    </row>
    <row r="1254" spans="13:24">
      <c r="M1254" s="558">
        <f t="shared" si="62"/>
        <v>1252</v>
      </c>
      <c r="N1254" s="15">
        <f t="shared" si="60"/>
        <v>0.49910455866547199</v>
      </c>
      <c r="O1254" s="165">
        <f t="shared" si="61"/>
        <v>0.44</v>
      </c>
      <c r="P1254" s="18"/>
      <c r="Q1254" s="18"/>
      <c r="R1254" s="18"/>
      <c r="S1254" s="18"/>
      <c r="T1254" s="18"/>
      <c r="U1254" s="18"/>
      <c r="V1254" s="18"/>
      <c r="W1254" s="18"/>
      <c r="X1254" s="18"/>
    </row>
    <row r="1255" spans="13:24">
      <c r="M1255" s="558">
        <f t="shared" si="62"/>
        <v>1253</v>
      </c>
      <c r="N1255" s="15">
        <f t="shared" si="60"/>
        <v>0.49893595467276797</v>
      </c>
      <c r="O1255" s="165">
        <f t="shared" si="61"/>
        <v>0.44</v>
      </c>
      <c r="P1255" s="18"/>
      <c r="Q1255" s="18"/>
      <c r="R1255" s="18"/>
      <c r="S1255" s="18"/>
      <c r="T1255" s="18"/>
      <c r="U1255" s="18"/>
      <c r="V1255" s="18"/>
      <c r="W1255" s="18"/>
      <c r="X1255" s="18"/>
    </row>
    <row r="1256" spans="13:24">
      <c r="M1256" s="558">
        <f t="shared" si="62"/>
        <v>1254</v>
      </c>
      <c r="N1256" s="15">
        <f t="shared" si="60"/>
        <v>0.49876749779948165</v>
      </c>
      <c r="O1256" s="165">
        <f t="shared" si="61"/>
        <v>0.44</v>
      </c>
      <c r="P1256" s="18"/>
      <c r="Q1256" s="18"/>
      <c r="R1256" s="18"/>
      <c r="S1256" s="18"/>
      <c r="T1256" s="18"/>
      <c r="U1256" s="18"/>
      <c r="V1256" s="18"/>
      <c r="W1256" s="18"/>
      <c r="X1256" s="18"/>
    </row>
    <row r="1257" spans="13:24">
      <c r="M1257" s="558">
        <f t="shared" si="62"/>
        <v>1255</v>
      </c>
      <c r="N1257" s="15">
        <f t="shared" si="60"/>
        <v>0.49859918786099033</v>
      </c>
      <c r="O1257" s="165">
        <f t="shared" si="61"/>
        <v>0.44</v>
      </c>
      <c r="P1257" s="18"/>
      <c r="Q1257" s="18"/>
      <c r="R1257" s="18"/>
      <c r="S1257" s="18"/>
      <c r="T1257" s="18"/>
      <c r="U1257" s="18"/>
      <c r="V1257" s="18"/>
      <c r="W1257" s="18"/>
      <c r="X1257" s="18"/>
    </row>
    <row r="1258" spans="13:24">
      <c r="M1258" s="558">
        <f t="shared" si="62"/>
        <v>1256</v>
      </c>
      <c r="N1258" s="15">
        <f t="shared" si="60"/>
        <v>0.49843102467290246</v>
      </c>
      <c r="O1258" s="165">
        <f t="shared" si="61"/>
        <v>0.44</v>
      </c>
      <c r="P1258" s="18"/>
      <c r="Q1258" s="18"/>
      <c r="R1258" s="18"/>
      <c r="S1258" s="18"/>
      <c r="T1258" s="18"/>
      <c r="U1258" s="18"/>
      <c r="V1258" s="18"/>
      <c r="W1258" s="18"/>
      <c r="X1258" s="18"/>
    </row>
    <row r="1259" spans="13:24">
      <c r="M1259" s="558">
        <f t="shared" si="62"/>
        <v>1257</v>
      </c>
      <c r="N1259" s="15">
        <f t="shared" si="60"/>
        <v>0.498263008051058</v>
      </c>
      <c r="O1259" s="165">
        <f t="shared" si="61"/>
        <v>0.44</v>
      </c>
      <c r="P1259" s="18"/>
      <c r="Q1259" s="18"/>
      <c r="R1259" s="18"/>
      <c r="S1259" s="18"/>
      <c r="T1259" s="18"/>
      <c r="U1259" s="18"/>
      <c r="V1259" s="18"/>
      <c r="W1259" s="18"/>
      <c r="X1259" s="18"/>
    </row>
    <row r="1260" spans="13:24">
      <c r="M1260" s="558">
        <f t="shared" si="62"/>
        <v>1258</v>
      </c>
      <c r="N1260" s="15">
        <f t="shared" si="60"/>
        <v>0.49809513781152803</v>
      </c>
      <c r="O1260" s="165">
        <f t="shared" si="61"/>
        <v>0.44</v>
      </c>
      <c r="P1260" s="18"/>
      <c r="Q1260" s="18"/>
      <c r="R1260" s="18"/>
      <c r="S1260" s="18"/>
      <c r="T1260" s="18"/>
      <c r="U1260" s="18"/>
      <c r="V1260" s="18"/>
      <c r="W1260" s="18"/>
      <c r="X1260" s="18"/>
    </row>
    <row r="1261" spans="13:24">
      <c r="M1261" s="558">
        <f t="shared" si="62"/>
        <v>1259</v>
      </c>
      <c r="N1261" s="15">
        <f t="shared" si="60"/>
        <v>0.49792741377061478</v>
      </c>
      <c r="O1261" s="165">
        <f t="shared" si="61"/>
        <v>0.44</v>
      </c>
      <c r="P1261" s="18"/>
      <c r="Q1261" s="18"/>
      <c r="R1261" s="18"/>
      <c r="S1261" s="18"/>
      <c r="T1261" s="18"/>
      <c r="U1261" s="18"/>
      <c r="V1261" s="18"/>
      <c r="W1261" s="18"/>
      <c r="X1261" s="18"/>
    </row>
    <row r="1262" spans="13:24">
      <c r="M1262" s="558">
        <f t="shared" si="62"/>
        <v>1260</v>
      </c>
      <c r="N1262" s="15">
        <f t="shared" si="60"/>
        <v>0.49775983574485055</v>
      </c>
      <c r="O1262" s="165">
        <f t="shared" si="61"/>
        <v>0.44</v>
      </c>
      <c r="P1262" s="18"/>
      <c r="Q1262" s="18"/>
      <c r="R1262" s="18"/>
      <c r="S1262" s="18"/>
      <c r="T1262" s="18"/>
      <c r="U1262" s="18"/>
      <c r="V1262" s="18"/>
      <c r="W1262" s="18"/>
      <c r="X1262" s="18"/>
    </row>
    <row r="1263" spans="13:24">
      <c r="M1263" s="558">
        <f t="shared" si="62"/>
        <v>1261</v>
      </c>
      <c r="N1263" s="15">
        <f t="shared" si="60"/>
        <v>0.49759240355099787</v>
      </c>
      <c r="O1263" s="165">
        <f t="shared" si="61"/>
        <v>0.44</v>
      </c>
      <c r="P1263" s="18"/>
      <c r="Q1263" s="18"/>
      <c r="R1263" s="18"/>
      <c r="S1263" s="18"/>
      <c r="T1263" s="18"/>
      <c r="U1263" s="18"/>
      <c r="V1263" s="18"/>
      <c r="W1263" s="18"/>
      <c r="X1263" s="18"/>
    </row>
    <row r="1264" spans="13:24">
      <c r="M1264" s="558">
        <f t="shared" si="62"/>
        <v>1262</v>
      </c>
      <c r="N1264" s="15">
        <f t="shared" si="60"/>
        <v>0.49742511700604974</v>
      </c>
      <c r="O1264" s="165">
        <f t="shared" si="61"/>
        <v>0.44</v>
      </c>
      <c r="P1264" s="18"/>
      <c r="Q1264" s="18"/>
      <c r="R1264" s="18"/>
      <c r="S1264" s="18"/>
      <c r="T1264" s="18"/>
      <c r="U1264" s="18"/>
      <c r="V1264" s="18"/>
      <c r="W1264" s="18"/>
      <c r="X1264" s="18"/>
    </row>
    <row r="1265" spans="13:24">
      <c r="M1265" s="558">
        <f t="shared" si="62"/>
        <v>1263</v>
      </c>
      <c r="N1265" s="15">
        <f t="shared" si="60"/>
        <v>0.49725797592722842</v>
      </c>
      <c r="O1265" s="165">
        <f t="shared" si="61"/>
        <v>0.44</v>
      </c>
      <c r="P1265" s="18"/>
      <c r="Q1265" s="18"/>
      <c r="R1265" s="18"/>
      <c r="S1265" s="18"/>
      <c r="T1265" s="18"/>
      <c r="U1265" s="18"/>
      <c r="V1265" s="18"/>
      <c r="W1265" s="18"/>
      <c r="X1265" s="18"/>
    </row>
    <row r="1266" spans="13:24">
      <c r="M1266" s="558">
        <f t="shared" si="62"/>
        <v>1264</v>
      </c>
      <c r="N1266" s="15">
        <f t="shared" si="60"/>
        <v>0.49709098013198538</v>
      </c>
      <c r="O1266" s="165">
        <f t="shared" si="61"/>
        <v>0.44</v>
      </c>
      <c r="P1266" s="18"/>
      <c r="Q1266" s="18"/>
      <c r="R1266" s="18"/>
      <c r="S1266" s="18"/>
      <c r="T1266" s="18"/>
      <c r="U1266" s="18"/>
      <c r="V1266" s="18"/>
      <c r="W1266" s="18"/>
      <c r="X1266" s="18"/>
    </row>
    <row r="1267" spans="13:24">
      <c r="M1267" s="558">
        <f t="shared" si="62"/>
        <v>1265</v>
      </c>
      <c r="N1267" s="15">
        <f t="shared" si="60"/>
        <v>0.49692412943800157</v>
      </c>
      <c r="O1267" s="165">
        <f t="shared" si="61"/>
        <v>0.44</v>
      </c>
      <c r="P1267" s="18"/>
      <c r="Q1267" s="18"/>
      <c r="R1267" s="18"/>
      <c r="S1267" s="18"/>
      <c r="T1267" s="18"/>
      <c r="U1267" s="18"/>
      <c r="V1267" s="18"/>
      <c r="W1267" s="18"/>
      <c r="X1267" s="18"/>
    </row>
    <row r="1268" spans="13:24">
      <c r="M1268" s="558">
        <f t="shared" si="62"/>
        <v>1266</v>
      </c>
      <c r="N1268" s="15">
        <f t="shared" si="60"/>
        <v>0.49675742366318659</v>
      </c>
      <c r="O1268" s="165">
        <f t="shared" si="61"/>
        <v>0.44</v>
      </c>
      <c r="P1268" s="18"/>
      <c r="Q1268" s="18"/>
      <c r="R1268" s="18"/>
      <c r="S1268" s="18"/>
      <c r="T1268" s="18"/>
      <c r="U1268" s="18"/>
      <c r="V1268" s="18"/>
      <c r="W1268" s="18"/>
      <c r="X1268" s="18"/>
    </row>
    <row r="1269" spans="13:24">
      <c r="M1269" s="558">
        <f t="shared" si="62"/>
        <v>1267</v>
      </c>
      <c r="N1269" s="15">
        <f t="shared" si="60"/>
        <v>0.49659086262567831</v>
      </c>
      <c r="O1269" s="165">
        <f t="shared" si="61"/>
        <v>0.44</v>
      </c>
      <c r="P1269" s="18"/>
      <c r="Q1269" s="18"/>
      <c r="R1269" s="18"/>
      <c r="S1269" s="18"/>
      <c r="T1269" s="18"/>
      <c r="U1269" s="18"/>
      <c r="V1269" s="18"/>
      <c r="W1269" s="18"/>
      <c r="X1269" s="18"/>
    </row>
    <row r="1270" spans="13:24">
      <c r="M1270" s="558">
        <f t="shared" si="62"/>
        <v>1268</v>
      </c>
      <c r="N1270" s="15">
        <f t="shared" si="60"/>
        <v>0.4964244461438434</v>
      </c>
      <c r="O1270" s="165">
        <f t="shared" si="61"/>
        <v>0.44</v>
      </c>
      <c r="P1270" s="18"/>
      <c r="Q1270" s="18"/>
      <c r="R1270" s="18"/>
      <c r="S1270" s="18"/>
      <c r="T1270" s="18"/>
      <c r="U1270" s="18"/>
      <c r="V1270" s="18"/>
      <c r="W1270" s="18"/>
      <c r="X1270" s="18"/>
    </row>
    <row r="1271" spans="13:24">
      <c r="M1271" s="558">
        <f t="shared" si="62"/>
        <v>1269</v>
      </c>
      <c r="N1271" s="15">
        <f t="shared" si="60"/>
        <v>0.49625817403627581</v>
      </c>
      <c r="O1271" s="165">
        <f t="shared" si="61"/>
        <v>0.44</v>
      </c>
      <c r="P1271" s="18"/>
      <c r="Q1271" s="18"/>
      <c r="R1271" s="18"/>
      <c r="S1271" s="18"/>
      <c r="T1271" s="18"/>
      <c r="U1271" s="18"/>
      <c r="V1271" s="18"/>
      <c r="W1271" s="18"/>
      <c r="X1271" s="18"/>
    </row>
    <row r="1272" spans="13:24">
      <c r="M1272" s="558">
        <f t="shared" si="62"/>
        <v>1270</v>
      </c>
      <c r="N1272" s="15">
        <f t="shared" si="60"/>
        <v>0.49609204612179753</v>
      </c>
      <c r="O1272" s="165">
        <f t="shared" si="61"/>
        <v>0.44</v>
      </c>
      <c r="P1272" s="18"/>
      <c r="Q1272" s="18"/>
      <c r="R1272" s="18"/>
      <c r="S1272" s="18"/>
      <c r="T1272" s="18"/>
      <c r="U1272" s="18"/>
      <c r="V1272" s="18"/>
      <c r="W1272" s="18"/>
      <c r="X1272" s="18"/>
    </row>
    <row r="1273" spans="13:24">
      <c r="M1273" s="558">
        <f t="shared" si="62"/>
        <v>1271</v>
      </c>
      <c r="N1273" s="15">
        <f t="shared" si="60"/>
        <v>0.49592606221945779</v>
      </c>
      <c r="O1273" s="165">
        <f t="shared" si="61"/>
        <v>0.44</v>
      </c>
      <c r="P1273" s="18"/>
      <c r="Q1273" s="18"/>
      <c r="R1273" s="18"/>
      <c r="S1273" s="18"/>
      <c r="T1273" s="18"/>
      <c r="U1273" s="18"/>
      <c r="V1273" s="18"/>
      <c r="W1273" s="18"/>
      <c r="X1273" s="18"/>
    </row>
    <row r="1274" spans="13:24">
      <c r="M1274" s="558">
        <f t="shared" si="62"/>
        <v>1272</v>
      </c>
      <c r="N1274" s="15">
        <f t="shared" si="60"/>
        <v>0.49576022214853288</v>
      </c>
      <c r="O1274" s="165">
        <f t="shared" si="61"/>
        <v>0.44</v>
      </c>
      <c r="P1274" s="18"/>
      <c r="Q1274" s="18"/>
      <c r="R1274" s="18"/>
      <c r="S1274" s="18"/>
      <c r="T1274" s="18"/>
      <c r="U1274" s="18"/>
      <c r="V1274" s="18"/>
      <c r="W1274" s="18"/>
      <c r="X1274" s="18"/>
    </row>
    <row r="1275" spans="13:24">
      <c r="M1275" s="558">
        <f t="shared" si="62"/>
        <v>1273</v>
      </c>
      <c r="N1275" s="15">
        <f t="shared" si="60"/>
        <v>0.4955945257285258</v>
      </c>
      <c r="O1275" s="165">
        <f t="shared" si="61"/>
        <v>0.44</v>
      </c>
      <c r="P1275" s="18"/>
      <c r="Q1275" s="18"/>
      <c r="R1275" s="18"/>
      <c r="S1275" s="18"/>
      <c r="T1275" s="18"/>
      <c r="U1275" s="18"/>
      <c r="V1275" s="18"/>
      <c r="W1275" s="18"/>
      <c r="X1275" s="18"/>
    </row>
    <row r="1276" spans="13:24">
      <c r="M1276" s="558">
        <f t="shared" si="62"/>
        <v>1274</v>
      </c>
      <c r="N1276" s="15">
        <f t="shared" si="60"/>
        <v>0.49542897277916659</v>
      </c>
      <c r="O1276" s="165">
        <f t="shared" si="61"/>
        <v>0.44</v>
      </c>
      <c r="P1276" s="18"/>
      <c r="Q1276" s="18"/>
      <c r="R1276" s="18"/>
      <c r="S1276" s="18"/>
      <c r="T1276" s="18"/>
      <c r="U1276" s="18"/>
      <c r="V1276" s="18"/>
      <c r="W1276" s="18"/>
      <c r="X1276" s="18"/>
    </row>
    <row r="1277" spans="13:24">
      <c r="M1277" s="558">
        <f t="shared" si="62"/>
        <v>1275</v>
      </c>
      <c r="N1277" s="15">
        <f t="shared" si="60"/>
        <v>0.49526356312041087</v>
      </c>
      <c r="O1277" s="165">
        <f t="shared" si="61"/>
        <v>0.44</v>
      </c>
      <c r="P1277" s="18"/>
      <c r="Q1277" s="18"/>
      <c r="R1277" s="18"/>
      <c r="S1277" s="18"/>
      <c r="T1277" s="18"/>
      <c r="U1277" s="18"/>
      <c r="V1277" s="18"/>
      <c r="W1277" s="18"/>
      <c r="X1277" s="18"/>
    </row>
    <row r="1278" spans="13:24">
      <c r="M1278" s="558">
        <f t="shared" si="62"/>
        <v>1276</v>
      </c>
      <c r="N1278" s="15">
        <f t="shared" si="60"/>
        <v>0.49509829657244014</v>
      </c>
      <c r="O1278" s="165">
        <f t="shared" si="61"/>
        <v>0.44</v>
      </c>
      <c r="P1278" s="18"/>
      <c r="Q1278" s="18"/>
      <c r="R1278" s="18"/>
      <c r="S1278" s="18"/>
      <c r="T1278" s="18"/>
      <c r="U1278" s="18"/>
      <c r="V1278" s="18"/>
      <c r="W1278" s="18"/>
      <c r="X1278" s="18"/>
    </row>
    <row r="1279" spans="13:24">
      <c r="M1279" s="558">
        <f t="shared" si="62"/>
        <v>1277</v>
      </c>
      <c r="N1279" s="15">
        <f t="shared" si="60"/>
        <v>0.49493317295566241</v>
      </c>
      <c r="O1279" s="165">
        <f t="shared" si="61"/>
        <v>0.44</v>
      </c>
      <c r="P1279" s="18"/>
      <c r="Q1279" s="18"/>
      <c r="R1279" s="18"/>
      <c r="S1279" s="18"/>
      <c r="T1279" s="18"/>
      <c r="U1279" s="18"/>
      <c r="V1279" s="18"/>
      <c r="W1279" s="18"/>
      <c r="X1279" s="18"/>
    </row>
    <row r="1280" spans="13:24">
      <c r="M1280" s="558">
        <f t="shared" si="62"/>
        <v>1278</v>
      </c>
      <c r="N1280" s="15">
        <f t="shared" si="60"/>
        <v>0.49476819209071027</v>
      </c>
      <c r="O1280" s="165">
        <f t="shared" si="61"/>
        <v>0.44</v>
      </c>
      <c r="P1280" s="18"/>
      <c r="Q1280" s="18"/>
      <c r="R1280" s="18"/>
      <c r="S1280" s="18"/>
      <c r="T1280" s="18"/>
      <c r="U1280" s="18"/>
      <c r="V1280" s="18"/>
      <c r="W1280" s="18"/>
      <c r="X1280" s="18"/>
    </row>
    <row r="1281" spans="13:24">
      <c r="M1281" s="558">
        <f t="shared" si="62"/>
        <v>1279</v>
      </c>
      <c r="N1281" s="15">
        <f t="shared" si="60"/>
        <v>0.49460335379844145</v>
      </c>
      <c r="O1281" s="165">
        <f t="shared" si="61"/>
        <v>0.44</v>
      </c>
      <c r="P1281" s="18"/>
      <c r="Q1281" s="18"/>
      <c r="R1281" s="18"/>
      <c r="S1281" s="18"/>
      <c r="T1281" s="18"/>
      <c r="U1281" s="18"/>
      <c r="V1281" s="18"/>
      <c r="W1281" s="18"/>
      <c r="X1281" s="18"/>
    </row>
    <row r="1282" spans="13:24">
      <c r="M1282" s="558">
        <f t="shared" si="62"/>
        <v>1280</v>
      </c>
      <c r="N1282" s="15">
        <f t="shared" si="60"/>
        <v>0.49443865789993902</v>
      </c>
      <c r="O1282" s="165">
        <f t="shared" si="61"/>
        <v>0.44</v>
      </c>
      <c r="P1282" s="18"/>
      <c r="Q1282" s="18"/>
      <c r="R1282" s="18"/>
      <c r="S1282" s="18"/>
      <c r="T1282" s="18"/>
      <c r="U1282" s="18"/>
      <c r="V1282" s="18"/>
      <c r="W1282" s="18"/>
      <c r="X1282" s="18"/>
    </row>
    <row r="1283" spans="13:24">
      <c r="M1283" s="558">
        <f t="shared" si="62"/>
        <v>1281</v>
      </c>
      <c r="N1283" s="15">
        <f t="shared" si="60"/>
        <v>0.49427410421651008</v>
      </c>
      <c r="O1283" s="165">
        <f t="shared" si="61"/>
        <v>0.44</v>
      </c>
      <c r="P1283" s="18"/>
      <c r="Q1283" s="18"/>
      <c r="R1283" s="18"/>
      <c r="S1283" s="18"/>
      <c r="T1283" s="18"/>
      <c r="U1283" s="18"/>
      <c r="V1283" s="18"/>
      <c r="W1283" s="18"/>
      <c r="X1283" s="18"/>
    </row>
    <row r="1284" spans="13:24">
      <c r="M1284" s="558">
        <f t="shared" si="62"/>
        <v>1282</v>
      </c>
      <c r="N1284" s="15">
        <f t="shared" ref="N1284:N1347" si="63">IF(M1284&lt;$B$31+1,$B$32+$B$33/$B$31*(8760-M1284)+$B$34*IF(M1284&lt;$B$36-$B$31/(2*$B$35),1,IF(M1284&lt;$B$36+$B$31/(2*$B$35),COS(PI()/2*(M1284-($B$36-$B$31/(2*$B$35)))*$B$35/$B$31)^2,0))+$B$37*EXP((8760-M1284)/8760*$B$38)/EXP($B$38)-(8760-$B$31)*$B$33/$B$31,0)</f>
        <v>0.49410969256968595</v>
      </c>
      <c r="O1284" s="165">
        <f t="shared" ref="O1284:O1347" si="64">MIN(N1284,C$24)</f>
        <v>0.44</v>
      </c>
      <c r="P1284" s="18"/>
      <c r="Q1284" s="18"/>
      <c r="R1284" s="18"/>
      <c r="S1284" s="18"/>
      <c r="T1284" s="18"/>
      <c r="U1284" s="18"/>
      <c r="V1284" s="18"/>
      <c r="W1284" s="18"/>
      <c r="X1284" s="18"/>
    </row>
    <row r="1285" spans="13:24">
      <c r="M1285" s="558">
        <f t="shared" ref="M1285:M1348" si="65">M1284+1</f>
        <v>1283</v>
      </c>
      <c r="N1285" s="15">
        <f t="shared" si="63"/>
        <v>0.4939454227812225</v>
      </c>
      <c r="O1285" s="165">
        <f t="shared" si="64"/>
        <v>0.44</v>
      </c>
      <c r="P1285" s="18"/>
      <c r="Q1285" s="18"/>
      <c r="R1285" s="18"/>
      <c r="S1285" s="18"/>
      <c r="T1285" s="18"/>
      <c r="U1285" s="18"/>
      <c r="V1285" s="18"/>
      <c r="W1285" s="18"/>
      <c r="X1285" s="18"/>
    </row>
    <row r="1286" spans="13:24">
      <c r="M1286" s="558">
        <f t="shared" si="65"/>
        <v>1284</v>
      </c>
      <c r="N1286" s="15">
        <f t="shared" si="63"/>
        <v>0.49378129467309856</v>
      </c>
      <c r="O1286" s="165">
        <f t="shared" si="64"/>
        <v>0.44</v>
      </c>
      <c r="P1286" s="18"/>
      <c r="Q1286" s="18"/>
      <c r="R1286" s="18"/>
      <c r="S1286" s="18"/>
      <c r="T1286" s="18"/>
      <c r="U1286" s="18"/>
      <c r="V1286" s="18"/>
      <c r="W1286" s="18"/>
      <c r="X1286" s="18"/>
    </row>
    <row r="1287" spans="13:24">
      <c r="M1287" s="558">
        <f t="shared" si="65"/>
        <v>1285</v>
      </c>
      <c r="N1287" s="15">
        <f t="shared" si="63"/>
        <v>0.49361730806751675</v>
      </c>
      <c r="O1287" s="165">
        <f t="shared" si="64"/>
        <v>0.44</v>
      </c>
      <c r="P1287" s="18"/>
      <c r="Q1287" s="18"/>
      <c r="R1287" s="18"/>
      <c r="S1287" s="18"/>
      <c r="T1287" s="18"/>
      <c r="U1287" s="18"/>
      <c r="V1287" s="18"/>
      <c r="W1287" s="18"/>
      <c r="X1287" s="18"/>
    </row>
    <row r="1288" spans="13:24">
      <c r="M1288" s="558">
        <f t="shared" si="65"/>
        <v>1286</v>
      </c>
      <c r="N1288" s="15">
        <f t="shared" si="63"/>
        <v>0.49345346278690289</v>
      </c>
      <c r="O1288" s="165">
        <f t="shared" si="64"/>
        <v>0.44</v>
      </c>
      <c r="P1288" s="18"/>
      <c r="Q1288" s="18"/>
      <c r="R1288" s="18"/>
      <c r="S1288" s="18"/>
      <c r="T1288" s="18"/>
      <c r="U1288" s="18"/>
      <c r="V1288" s="18"/>
      <c r="W1288" s="18"/>
      <c r="X1288" s="18"/>
    </row>
    <row r="1289" spans="13:24">
      <c r="M1289" s="558">
        <f t="shared" si="65"/>
        <v>1287</v>
      </c>
      <c r="N1289" s="15">
        <f t="shared" si="63"/>
        <v>0.49328975865390529</v>
      </c>
      <c r="O1289" s="165">
        <f t="shared" si="64"/>
        <v>0.44</v>
      </c>
      <c r="P1289" s="18"/>
      <c r="Q1289" s="18"/>
      <c r="R1289" s="18"/>
      <c r="S1289" s="18"/>
      <c r="T1289" s="18"/>
      <c r="U1289" s="18"/>
      <c r="V1289" s="18"/>
      <c r="W1289" s="18"/>
      <c r="X1289" s="18"/>
    </row>
    <row r="1290" spans="13:24">
      <c r="M1290" s="558">
        <f t="shared" si="65"/>
        <v>1288</v>
      </c>
      <c r="N1290" s="15">
        <f t="shared" si="63"/>
        <v>0.49312619549139508</v>
      </c>
      <c r="O1290" s="165">
        <f t="shared" si="64"/>
        <v>0.44</v>
      </c>
      <c r="P1290" s="18"/>
      <c r="Q1290" s="18"/>
      <c r="R1290" s="18"/>
      <c r="S1290" s="18"/>
      <c r="T1290" s="18"/>
      <c r="U1290" s="18"/>
      <c r="V1290" s="18"/>
      <c r="W1290" s="18"/>
      <c r="X1290" s="18"/>
    </row>
    <row r="1291" spans="13:24">
      <c r="M1291" s="558">
        <f t="shared" si="65"/>
        <v>1289</v>
      </c>
      <c r="N1291" s="15">
        <f t="shared" si="63"/>
        <v>0.49296277312246578</v>
      </c>
      <c r="O1291" s="165">
        <f t="shared" si="64"/>
        <v>0.44</v>
      </c>
      <c r="P1291" s="18"/>
      <c r="Q1291" s="18"/>
      <c r="R1291" s="18"/>
      <c r="S1291" s="18"/>
      <c r="T1291" s="18"/>
      <c r="U1291" s="18"/>
      <c r="V1291" s="18"/>
      <c r="W1291" s="18"/>
      <c r="X1291" s="18"/>
    </row>
    <row r="1292" spans="13:24">
      <c r="M1292" s="558">
        <f t="shared" si="65"/>
        <v>1290</v>
      </c>
      <c r="N1292" s="15">
        <f t="shared" si="63"/>
        <v>0.49279949137043261</v>
      </c>
      <c r="O1292" s="165">
        <f t="shared" si="64"/>
        <v>0.44</v>
      </c>
      <c r="P1292" s="18"/>
      <c r="Q1292" s="18"/>
      <c r="R1292" s="18"/>
      <c r="S1292" s="18"/>
      <c r="T1292" s="18"/>
      <c r="U1292" s="18"/>
      <c r="V1292" s="18"/>
      <c r="W1292" s="18"/>
      <c r="X1292" s="18"/>
    </row>
    <row r="1293" spans="13:24">
      <c r="M1293" s="558">
        <f t="shared" si="65"/>
        <v>1291</v>
      </c>
      <c r="N1293" s="15">
        <f t="shared" si="63"/>
        <v>0.49263635005883266</v>
      </c>
      <c r="O1293" s="165">
        <f t="shared" si="64"/>
        <v>0.44</v>
      </c>
      <c r="P1293" s="18"/>
      <c r="Q1293" s="18"/>
      <c r="R1293" s="18"/>
      <c r="S1293" s="18"/>
      <c r="T1293" s="18"/>
      <c r="U1293" s="18"/>
      <c r="V1293" s="18"/>
      <c r="W1293" s="18"/>
      <c r="X1293" s="18"/>
    </row>
    <row r="1294" spans="13:24">
      <c r="M1294" s="558">
        <f t="shared" si="65"/>
        <v>1292</v>
      </c>
      <c r="N1294" s="15">
        <f t="shared" si="63"/>
        <v>0.49247334901142437</v>
      </c>
      <c r="O1294" s="165">
        <f t="shared" si="64"/>
        <v>0.44</v>
      </c>
      <c r="P1294" s="18"/>
      <c r="Q1294" s="18"/>
      <c r="R1294" s="18"/>
      <c r="S1294" s="18"/>
      <c r="T1294" s="18"/>
      <c r="U1294" s="18"/>
      <c r="V1294" s="18"/>
      <c r="W1294" s="18"/>
      <c r="X1294" s="18"/>
    </row>
    <row r="1295" spans="13:24">
      <c r="M1295" s="558">
        <f t="shared" si="65"/>
        <v>1293</v>
      </c>
      <c r="N1295" s="15">
        <f t="shared" si="63"/>
        <v>0.49231048805218774</v>
      </c>
      <c r="O1295" s="165">
        <f t="shared" si="64"/>
        <v>0.44</v>
      </c>
      <c r="P1295" s="18"/>
      <c r="Q1295" s="18"/>
      <c r="R1295" s="18"/>
      <c r="S1295" s="18"/>
      <c r="T1295" s="18"/>
      <c r="U1295" s="18"/>
      <c r="V1295" s="18"/>
      <c r="W1295" s="18"/>
      <c r="X1295" s="18"/>
    </row>
    <row r="1296" spans="13:24">
      <c r="M1296" s="558">
        <f t="shared" si="65"/>
        <v>1294</v>
      </c>
      <c r="N1296" s="15">
        <f t="shared" si="63"/>
        <v>0.49214776700532314</v>
      </c>
      <c r="O1296" s="165">
        <f t="shared" si="64"/>
        <v>0.44</v>
      </c>
      <c r="P1296" s="18"/>
      <c r="Q1296" s="18"/>
      <c r="R1296" s="18"/>
      <c r="S1296" s="18"/>
      <c r="T1296" s="18"/>
      <c r="U1296" s="18"/>
      <c r="V1296" s="18"/>
      <c r="W1296" s="18"/>
      <c r="X1296" s="18"/>
    </row>
    <row r="1297" spans="13:24">
      <c r="M1297" s="558">
        <f t="shared" si="65"/>
        <v>1295</v>
      </c>
      <c r="N1297" s="15">
        <f t="shared" si="63"/>
        <v>0.49198518569525163</v>
      </c>
      <c r="O1297" s="165">
        <f t="shared" si="64"/>
        <v>0.44</v>
      </c>
      <c r="P1297" s="18"/>
      <c r="Q1297" s="18"/>
      <c r="R1297" s="18"/>
      <c r="S1297" s="18"/>
      <c r="T1297" s="18"/>
      <c r="U1297" s="18"/>
      <c r="V1297" s="18"/>
      <c r="W1297" s="18"/>
      <c r="X1297" s="18"/>
    </row>
    <row r="1298" spans="13:24">
      <c r="M1298" s="558">
        <f t="shared" si="65"/>
        <v>1296</v>
      </c>
      <c r="N1298" s="15">
        <f t="shared" si="63"/>
        <v>0.49182274394661535</v>
      </c>
      <c r="O1298" s="165">
        <f t="shared" si="64"/>
        <v>0.44</v>
      </c>
      <c r="P1298" s="18"/>
      <c r="Q1298" s="18"/>
      <c r="R1298" s="18"/>
      <c r="S1298" s="18"/>
      <c r="T1298" s="18"/>
      <c r="U1298" s="18"/>
      <c r="V1298" s="18"/>
      <c r="W1298" s="18"/>
      <c r="X1298" s="18"/>
    </row>
    <row r="1299" spans="13:24">
      <c r="M1299" s="558">
        <f t="shared" si="65"/>
        <v>1297</v>
      </c>
      <c r="N1299" s="15">
        <f t="shared" si="63"/>
        <v>0.49166044158427513</v>
      </c>
      <c r="O1299" s="165">
        <f t="shared" si="64"/>
        <v>0.44</v>
      </c>
      <c r="P1299" s="18"/>
      <c r="Q1299" s="18"/>
      <c r="R1299" s="18"/>
      <c r="S1299" s="18"/>
      <c r="T1299" s="18"/>
      <c r="U1299" s="18"/>
      <c r="V1299" s="18"/>
      <c r="W1299" s="18"/>
      <c r="X1299" s="18"/>
    </row>
    <row r="1300" spans="13:24">
      <c r="M1300" s="558">
        <f t="shared" si="65"/>
        <v>1298</v>
      </c>
      <c r="N1300" s="15">
        <f t="shared" si="63"/>
        <v>0.49149827843331295</v>
      </c>
      <c r="O1300" s="165">
        <f t="shared" si="64"/>
        <v>0.44</v>
      </c>
      <c r="P1300" s="18"/>
      <c r="Q1300" s="18"/>
      <c r="R1300" s="18"/>
      <c r="S1300" s="18"/>
      <c r="T1300" s="18"/>
      <c r="U1300" s="18"/>
      <c r="V1300" s="18"/>
      <c r="W1300" s="18"/>
      <c r="X1300" s="18"/>
    </row>
    <row r="1301" spans="13:24">
      <c r="M1301" s="558">
        <f t="shared" si="65"/>
        <v>1299</v>
      </c>
      <c r="N1301" s="15">
        <f t="shared" si="63"/>
        <v>0.49133625431902939</v>
      </c>
      <c r="O1301" s="165">
        <f t="shared" si="64"/>
        <v>0.44</v>
      </c>
      <c r="P1301" s="18"/>
      <c r="Q1301" s="18"/>
      <c r="R1301" s="18"/>
      <c r="S1301" s="18"/>
      <c r="T1301" s="18"/>
      <c r="U1301" s="18"/>
      <c r="V1301" s="18"/>
      <c r="W1301" s="18"/>
      <c r="X1301" s="18"/>
    </row>
    <row r="1302" spans="13:24">
      <c r="M1302" s="558">
        <f t="shared" si="65"/>
        <v>1300</v>
      </c>
      <c r="N1302" s="15">
        <f t="shared" si="63"/>
        <v>0.49117436906694467</v>
      </c>
      <c r="O1302" s="165">
        <f t="shared" si="64"/>
        <v>0.44</v>
      </c>
      <c r="P1302" s="18"/>
      <c r="Q1302" s="18"/>
      <c r="R1302" s="18"/>
      <c r="S1302" s="18"/>
      <c r="T1302" s="18"/>
      <c r="U1302" s="18"/>
      <c r="V1302" s="18"/>
      <c r="W1302" s="18"/>
      <c r="X1302" s="18"/>
    </row>
    <row r="1303" spans="13:24">
      <c r="M1303" s="558">
        <f t="shared" si="65"/>
        <v>1301</v>
      </c>
      <c r="N1303" s="15">
        <f t="shared" si="63"/>
        <v>0.49101262250279798</v>
      </c>
      <c r="O1303" s="165">
        <f t="shared" si="64"/>
        <v>0.44</v>
      </c>
      <c r="P1303" s="18"/>
      <c r="Q1303" s="18"/>
      <c r="R1303" s="18"/>
      <c r="S1303" s="18"/>
      <c r="T1303" s="18"/>
      <c r="U1303" s="18"/>
      <c r="V1303" s="18"/>
      <c r="W1303" s="18"/>
      <c r="X1303" s="18"/>
    </row>
    <row r="1304" spans="13:24">
      <c r="M1304" s="558">
        <f t="shared" si="65"/>
        <v>1302</v>
      </c>
      <c r="N1304" s="15">
        <f t="shared" si="63"/>
        <v>0.49085101445254703</v>
      </c>
      <c r="O1304" s="165">
        <f t="shared" si="64"/>
        <v>0.44</v>
      </c>
      <c r="P1304" s="18"/>
      <c r="Q1304" s="18"/>
      <c r="R1304" s="18"/>
      <c r="S1304" s="18"/>
      <c r="T1304" s="18"/>
      <c r="U1304" s="18"/>
      <c r="V1304" s="18"/>
      <c r="W1304" s="18"/>
      <c r="X1304" s="18"/>
    </row>
    <row r="1305" spans="13:24">
      <c r="M1305" s="558">
        <f t="shared" si="65"/>
        <v>1303</v>
      </c>
      <c r="N1305" s="15">
        <f t="shared" si="63"/>
        <v>0.49068954474236781</v>
      </c>
      <c r="O1305" s="165">
        <f t="shared" si="64"/>
        <v>0.44</v>
      </c>
      <c r="P1305" s="18"/>
      <c r="Q1305" s="18"/>
      <c r="R1305" s="18"/>
      <c r="S1305" s="18"/>
      <c r="T1305" s="18"/>
      <c r="U1305" s="18"/>
      <c r="V1305" s="18"/>
      <c r="W1305" s="18"/>
      <c r="X1305" s="18"/>
    </row>
    <row r="1306" spans="13:24">
      <c r="M1306" s="558">
        <f t="shared" si="65"/>
        <v>1304</v>
      </c>
      <c r="N1306" s="15">
        <f t="shared" si="63"/>
        <v>0.49052821319865508</v>
      </c>
      <c r="O1306" s="165">
        <f t="shared" si="64"/>
        <v>0.44</v>
      </c>
      <c r="P1306" s="18"/>
      <c r="Q1306" s="18"/>
      <c r="R1306" s="18"/>
      <c r="S1306" s="18"/>
      <c r="T1306" s="18"/>
      <c r="U1306" s="18"/>
      <c r="V1306" s="18"/>
      <c r="W1306" s="18"/>
      <c r="X1306" s="18"/>
    </row>
    <row r="1307" spans="13:24">
      <c r="M1307" s="558">
        <f t="shared" si="65"/>
        <v>1305</v>
      </c>
      <c r="N1307" s="15">
        <f t="shared" si="63"/>
        <v>0.49036701964802071</v>
      </c>
      <c r="O1307" s="165">
        <f t="shared" si="64"/>
        <v>0.44</v>
      </c>
      <c r="P1307" s="18"/>
      <c r="Q1307" s="18"/>
      <c r="R1307" s="18"/>
      <c r="S1307" s="18"/>
      <c r="T1307" s="18"/>
      <c r="U1307" s="18"/>
      <c r="V1307" s="18"/>
      <c r="W1307" s="18"/>
      <c r="X1307" s="18"/>
    </row>
    <row r="1308" spans="13:24">
      <c r="M1308" s="558">
        <f t="shared" si="65"/>
        <v>1306</v>
      </c>
      <c r="N1308" s="15">
        <f t="shared" si="63"/>
        <v>0.49020596391729443</v>
      </c>
      <c r="O1308" s="165">
        <f t="shared" si="64"/>
        <v>0.44</v>
      </c>
      <c r="P1308" s="18"/>
      <c r="Q1308" s="18"/>
      <c r="R1308" s="18"/>
      <c r="S1308" s="18"/>
      <c r="T1308" s="18"/>
      <c r="U1308" s="18"/>
      <c r="V1308" s="18"/>
      <c r="W1308" s="18"/>
      <c r="X1308" s="18"/>
    </row>
    <row r="1309" spans="13:24">
      <c r="M1309" s="558">
        <f t="shared" si="65"/>
        <v>1307</v>
      </c>
      <c r="N1309" s="15">
        <f t="shared" si="63"/>
        <v>0.49004504583352337</v>
      </c>
      <c r="O1309" s="165">
        <f t="shared" si="64"/>
        <v>0.44</v>
      </c>
      <c r="P1309" s="18"/>
      <c r="Q1309" s="18"/>
      <c r="R1309" s="18"/>
      <c r="S1309" s="18"/>
      <c r="T1309" s="18"/>
      <c r="U1309" s="18"/>
      <c r="V1309" s="18"/>
      <c r="W1309" s="18"/>
      <c r="X1309" s="18"/>
    </row>
    <row r="1310" spans="13:24">
      <c r="M1310" s="558">
        <f t="shared" si="65"/>
        <v>1308</v>
      </c>
      <c r="N1310" s="15">
        <f t="shared" si="63"/>
        <v>0.48988426522397188</v>
      </c>
      <c r="O1310" s="165">
        <f t="shared" si="64"/>
        <v>0.44</v>
      </c>
      <c r="P1310" s="18"/>
      <c r="Q1310" s="18"/>
      <c r="R1310" s="18"/>
      <c r="S1310" s="18"/>
      <c r="T1310" s="18"/>
      <c r="U1310" s="18"/>
      <c r="V1310" s="18"/>
      <c r="W1310" s="18"/>
      <c r="X1310" s="18"/>
    </row>
    <row r="1311" spans="13:24">
      <c r="M1311" s="558">
        <f t="shared" si="65"/>
        <v>1309</v>
      </c>
      <c r="N1311" s="15">
        <f t="shared" si="63"/>
        <v>0.48972362191612068</v>
      </c>
      <c r="O1311" s="165">
        <f t="shared" si="64"/>
        <v>0.44</v>
      </c>
      <c r="P1311" s="18"/>
      <c r="Q1311" s="18"/>
      <c r="R1311" s="18"/>
      <c r="S1311" s="18"/>
      <c r="T1311" s="18"/>
      <c r="U1311" s="18"/>
      <c r="V1311" s="18"/>
      <c r="W1311" s="18"/>
      <c r="X1311" s="18"/>
    </row>
    <row r="1312" spans="13:24">
      <c r="M1312" s="558">
        <f t="shared" si="65"/>
        <v>1310</v>
      </c>
      <c r="N1312" s="15">
        <f t="shared" si="63"/>
        <v>0.48956311573766687</v>
      </c>
      <c r="O1312" s="165">
        <f t="shared" si="64"/>
        <v>0.44</v>
      </c>
      <c r="P1312" s="18"/>
      <c r="Q1312" s="18"/>
      <c r="R1312" s="18"/>
      <c r="S1312" s="18"/>
      <c r="T1312" s="18"/>
      <c r="U1312" s="18"/>
      <c r="V1312" s="18"/>
      <c r="W1312" s="18"/>
      <c r="X1312" s="18"/>
    </row>
    <row r="1313" spans="13:24">
      <c r="M1313" s="558">
        <f t="shared" si="65"/>
        <v>1311</v>
      </c>
      <c r="N1313" s="15">
        <f t="shared" si="63"/>
        <v>0.48940274651652466</v>
      </c>
      <c r="O1313" s="165">
        <f t="shared" si="64"/>
        <v>0.44</v>
      </c>
      <c r="P1313" s="18"/>
      <c r="Q1313" s="18"/>
      <c r="R1313" s="18"/>
      <c r="S1313" s="18"/>
      <c r="T1313" s="18"/>
      <c r="U1313" s="18"/>
      <c r="V1313" s="18"/>
      <c r="W1313" s="18"/>
      <c r="X1313" s="18"/>
    </row>
    <row r="1314" spans="13:24">
      <c r="M1314" s="558">
        <f t="shared" si="65"/>
        <v>1312</v>
      </c>
      <c r="N1314" s="15">
        <f t="shared" si="63"/>
        <v>0.48924251408082325</v>
      </c>
      <c r="O1314" s="165">
        <f t="shared" si="64"/>
        <v>0.44</v>
      </c>
      <c r="P1314" s="18"/>
      <c r="Q1314" s="18"/>
      <c r="R1314" s="18"/>
      <c r="S1314" s="18"/>
      <c r="T1314" s="18"/>
      <c r="U1314" s="18"/>
      <c r="V1314" s="18"/>
      <c r="W1314" s="18"/>
      <c r="X1314" s="18"/>
    </row>
    <row r="1315" spans="13:24">
      <c r="M1315" s="558">
        <f t="shared" si="65"/>
        <v>1313</v>
      </c>
      <c r="N1315" s="15">
        <f t="shared" si="63"/>
        <v>0.48908241825890786</v>
      </c>
      <c r="O1315" s="165">
        <f t="shared" si="64"/>
        <v>0.44</v>
      </c>
      <c r="P1315" s="18"/>
      <c r="Q1315" s="18"/>
      <c r="R1315" s="18"/>
      <c r="S1315" s="18"/>
      <c r="T1315" s="18"/>
      <c r="U1315" s="18"/>
      <c r="V1315" s="18"/>
      <c r="W1315" s="18"/>
      <c r="X1315" s="18"/>
    </row>
    <row r="1316" spans="13:24">
      <c r="M1316" s="558">
        <f t="shared" si="65"/>
        <v>1314</v>
      </c>
      <c r="N1316" s="15">
        <f t="shared" si="63"/>
        <v>0.48892245887933938</v>
      </c>
      <c r="O1316" s="165">
        <f t="shared" si="64"/>
        <v>0.44</v>
      </c>
      <c r="P1316" s="18"/>
      <c r="Q1316" s="18"/>
      <c r="R1316" s="18"/>
      <c r="S1316" s="18"/>
      <c r="T1316" s="18"/>
      <c r="U1316" s="18"/>
      <c r="V1316" s="18"/>
      <c r="W1316" s="18"/>
      <c r="X1316" s="18"/>
    </row>
    <row r="1317" spans="13:24">
      <c r="M1317" s="558">
        <f t="shared" si="65"/>
        <v>1315</v>
      </c>
      <c r="N1317" s="15">
        <f t="shared" si="63"/>
        <v>0.48876263577089352</v>
      </c>
      <c r="O1317" s="165">
        <f t="shared" si="64"/>
        <v>0.44</v>
      </c>
      <c r="P1317" s="18"/>
      <c r="Q1317" s="18"/>
      <c r="R1317" s="18"/>
      <c r="S1317" s="18"/>
      <c r="T1317" s="18"/>
      <c r="U1317" s="18"/>
      <c r="V1317" s="18"/>
      <c r="W1317" s="18"/>
      <c r="X1317" s="18"/>
    </row>
    <row r="1318" spans="13:24">
      <c r="M1318" s="558">
        <f t="shared" si="65"/>
        <v>1316</v>
      </c>
      <c r="N1318" s="15">
        <f t="shared" si="63"/>
        <v>0.48860294876256083</v>
      </c>
      <c r="O1318" s="165">
        <f t="shared" si="64"/>
        <v>0.44</v>
      </c>
      <c r="P1318" s="18"/>
      <c r="Q1318" s="18"/>
      <c r="R1318" s="18"/>
      <c r="S1318" s="18"/>
      <c r="T1318" s="18"/>
      <c r="U1318" s="18"/>
      <c r="V1318" s="18"/>
      <c r="W1318" s="18"/>
      <c r="X1318" s="18"/>
    </row>
    <row r="1319" spans="13:24">
      <c r="M1319" s="558">
        <f t="shared" si="65"/>
        <v>1317</v>
      </c>
      <c r="N1319" s="15">
        <f t="shared" si="63"/>
        <v>0.48844339768354678</v>
      </c>
      <c r="O1319" s="165">
        <f t="shared" si="64"/>
        <v>0.44</v>
      </c>
      <c r="P1319" s="18"/>
      <c r="Q1319" s="18"/>
      <c r="R1319" s="18"/>
      <c r="S1319" s="18"/>
      <c r="T1319" s="18"/>
      <c r="U1319" s="18"/>
      <c r="V1319" s="18"/>
      <c r="W1319" s="18"/>
      <c r="X1319" s="18"/>
    </row>
    <row r="1320" spans="13:24">
      <c r="M1320" s="558">
        <f t="shared" si="65"/>
        <v>1318</v>
      </c>
      <c r="N1320" s="15">
        <f t="shared" si="63"/>
        <v>0.48828398236327109</v>
      </c>
      <c r="O1320" s="165">
        <f t="shared" si="64"/>
        <v>0.44</v>
      </c>
      <c r="P1320" s="18"/>
      <c r="Q1320" s="18"/>
      <c r="R1320" s="18"/>
      <c r="S1320" s="18"/>
      <c r="T1320" s="18"/>
      <c r="U1320" s="18"/>
      <c r="V1320" s="18"/>
      <c r="W1320" s="18"/>
      <c r="X1320" s="18"/>
    </row>
    <row r="1321" spans="13:24">
      <c r="M1321" s="558">
        <f t="shared" si="65"/>
        <v>1319</v>
      </c>
      <c r="N1321" s="15">
        <f t="shared" si="63"/>
        <v>0.4881247026313672</v>
      </c>
      <c r="O1321" s="165">
        <f t="shared" si="64"/>
        <v>0.44</v>
      </c>
      <c r="P1321" s="18"/>
      <c r="Q1321" s="18"/>
      <c r="R1321" s="18"/>
      <c r="S1321" s="18"/>
      <c r="T1321" s="18"/>
      <c r="U1321" s="18"/>
      <c r="V1321" s="18"/>
      <c r="W1321" s="18"/>
      <c r="X1321" s="18"/>
    </row>
    <row r="1322" spans="13:24">
      <c r="M1322" s="558">
        <f t="shared" si="65"/>
        <v>1320</v>
      </c>
      <c r="N1322" s="15">
        <f t="shared" si="63"/>
        <v>0.48796555831768251</v>
      </c>
      <c r="O1322" s="165">
        <f t="shared" si="64"/>
        <v>0.44</v>
      </c>
      <c r="P1322" s="18"/>
      <c r="Q1322" s="18"/>
      <c r="R1322" s="18"/>
      <c r="S1322" s="18"/>
      <c r="T1322" s="18"/>
      <c r="U1322" s="18"/>
      <c r="V1322" s="18"/>
      <c r="W1322" s="18"/>
      <c r="X1322" s="18"/>
    </row>
    <row r="1323" spans="13:24">
      <c r="M1323" s="558">
        <f t="shared" si="65"/>
        <v>1321</v>
      </c>
      <c r="N1323" s="15">
        <f t="shared" si="63"/>
        <v>0.4878065492522784</v>
      </c>
      <c r="O1323" s="165">
        <f t="shared" si="64"/>
        <v>0.44</v>
      </c>
      <c r="P1323" s="18"/>
      <c r="Q1323" s="18"/>
      <c r="R1323" s="18"/>
      <c r="S1323" s="18"/>
      <c r="T1323" s="18"/>
      <c r="U1323" s="18"/>
      <c r="V1323" s="18"/>
      <c r="W1323" s="18"/>
      <c r="X1323" s="18"/>
    </row>
    <row r="1324" spans="13:24">
      <c r="M1324" s="558">
        <f t="shared" si="65"/>
        <v>1322</v>
      </c>
      <c r="N1324" s="15">
        <f t="shared" si="63"/>
        <v>0.4876476752654289</v>
      </c>
      <c r="O1324" s="165">
        <f t="shared" si="64"/>
        <v>0.44</v>
      </c>
      <c r="P1324" s="18"/>
      <c r="Q1324" s="18"/>
      <c r="R1324" s="18"/>
      <c r="S1324" s="18"/>
      <c r="T1324" s="18"/>
      <c r="U1324" s="18"/>
      <c r="V1324" s="18"/>
      <c r="W1324" s="18"/>
      <c r="X1324" s="18"/>
    </row>
    <row r="1325" spans="13:24">
      <c r="M1325" s="558">
        <f t="shared" si="65"/>
        <v>1323</v>
      </c>
      <c r="N1325" s="15">
        <f t="shared" si="63"/>
        <v>0.48748893618762135</v>
      </c>
      <c r="O1325" s="165">
        <f t="shared" si="64"/>
        <v>0.44</v>
      </c>
      <c r="P1325" s="18"/>
      <c r="Q1325" s="18"/>
      <c r="R1325" s="18"/>
      <c r="S1325" s="18"/>
      <c r="T1325" s="18"/>
      <c r="U1325" s="18"/>
      <c r="V1325" s="18"/>
      <c r="W1325" s="18"/>
      <c r="X1325" s="18"/>
    </row>
    <row r="1326" spans="13:24">
      <c r="M1326" s="558">
        <f t="shared" si="65"/>
        <v>1324</v>
      </c>
      <c r="N1326" s="15">
        <f t="shared" si="63"/>
        <v>0.48733033184955576</v>
      </c>
      <c r="O1326" s="165">
        <f t="shared" si="64"/>
        <v>0.44</v>
      </c>
      <c r="P1326" s="18"/>
      <c r="Q1326" s="18"/>
      <c r="R1326" s="18"/>
      <c r="S1326" s="18"/>
      <c r="T1326" s="18"/>
      <c r="U1326" s="18"/>
      <c r="V1326" s="18"/>
      <c r="W1326" s="18"/>
      <c r="X1326" s="18"/>
    </row>
    <row r="1327" spans="13:24">
      <c r="M1327" s="558">
        <f t="shared" si="65"/>
        <v>1325</v>
      </c>
      <c r="N1327" s="15">
        <f t="shared" si="63"/>
        <v>0.48717186208214425</v>
      </c>
      <c r="O1327" s="165">
        <f t="shared" si="64"/>
        <v>0.44</v>
      </c>
      <c r="P1327" s="18"/>
      <c r="Q1327" s="18"/>
      <c r="R1327" s="18"/>
      <c r="S1327" s="18"/>
      <c r="T1327" s="18"/>
      <c r="U1327" s="18"/>
      <c r="V1327" s="18"/>
      <c r="W1327" s="18"/>
      <c r="X1327" s="18"/>
    </row>
    <row r="1328" spans="13:24">
      <c r="M1328" s="558">
        <f t="shared" si="65"/>
        <v>1326</v>
      </c>
      <c r="N1328" s="15">
        <f t="shared" si="63"/>
        <v>0.48701352671651194</v>
      </c>
      <c r="O1328" s="165">
        <f t="shared" si="64"/>
        <v>0.44</v>
      </c>
      <c r="P1328" s="18"/>
      <c r="Q1328" s="18"/>
      <c r="R1328" s="18"/>
      <c r="S1328" s="18"/>
      <c r="T1328" s="18"/>
      <c r="U1328" s="18"/>
      <c r="V1328" s="18"/>
      <c r="W1328" s="18"/>
      <c r="X1328" s="18"/>
    </row>
    <row r="1329" spans="13:24">
      <c r="M1329" s="558">
        <f t="shared" si="65"/>
        <v>1327</v>
      </c>
      <c r="N1329" s="15">
        <f t="shared" si="63"/>
        <v>0.48685532558399514</v>
      </c>
      <c r="O1329" s="165">
        <f t="shared" si="64"/>
        <v>0.44</v>
      </c>
      <c r="P1329" s="18"/>
      <c r="Q1329" s="18"/>
      <c r="R1329" s="18"/>
      <c r="S1329" s="18"/>
      <c r="T1329" s="18"/>
      <c r="U1329" s="18"/>
      <c r="V1329" s="18"/>
      <c r="W1329" s="18"/>
      <c r="X1329" s="18"/>
    </row>
    <row r="1330" spans="13:24">
      <c r="M1330" s="558">
        <f t="shared" si="65"/>
        <v>1328</v>
      </c>
      <c r="N1330" s="15">
        <f t="shared" si="63"/>
        <v>0.48669725851614198</v>
      </c>
      <c r="O1330" s="165">
        <f t="shared" si="64"/>
        <v>0.44</v>
      </c>
      <c r="P1330" s="18"/>
      <c r="Q1330" s="18"/>
      <c r="R1330" s="18"/>
      <c r="S1330" s="18"/>
      <c r="T1330" s="18"/>
      <c r="U1330" s="18"/>
      <c r="V1330" s="18"/>
      <c r="W1330" s="18"/>
      <c r="X1330" s="18"/>
    </row>
    <row r="1331" spans="13:24">
      <c r="M1331" s="558">
        <f t="shared" si="65"/>
        <v>1329</v>
      </c>
      <c r="N1331" s="15">
        <f t="shared" si="63"/>
        <v>0.48653932534471234</v>
      </c>
      <c r="O1331" s="165">
        <f t="shared" si="64"/>
        <v>0.44</v>
      </c>
      <c r="P1331" s="18"/>
      <c r="Q1331" s="18"/>
      <c r="R1331" s="18"/>
      <c r="S1331" s="18"/>
      <c r="T1331" s="18"/>
      <c r="U1331" s="18"/>
      <c r="V1331" s="18"/>
      <c r="W1331" s="18"/>
      <c r="X1331" s="18"/>
    </row>
    <row r="1332" spans="13:24">
      <c r="M1332" s="558">
        <f t="shared" si="65"/>
        <v>1330</v>
      </c>
      <c r="N1332" s="15">
        <f t="shared" si="63"/>
        <v>0.48638152590167683</v>
      </c>
      <c r="O1332" s="165">
        <f t="shared" si="64"/>
        <v>0.44</v>
      </c>
      <c r="P1332" s="18"/>
      <c r="Q1332" s="18"/>
      <c r="R1332" s="18"/>
      <c r="S1332" s="18"/>
      <c r="T1332" s="18"/>
      <c r="U1332" s="18"/>
      <c r="V1332" s="18"/>
      <c r="W1332" s="18"/>
      <c r="X1332" s="18"/>
    </row>
    <row r="1333" spans="13:24">
      <c r="M1333" s="558">
        <f t="shared" si="65"/>
        <v>1331</v>
      </c>
      <c r="N1333" s="15">
        <f t="shared" si="63"/>
        <v>0.48622386001921686</v>
      </c>
      <c r="O1333" s="165">
        <f t="shared" si="64"/>
        <v>0.44</v>
      </c>
      <c r="P1333" s="18"/>
      <c r="Q1333" s="18"/>
      <c r="R1333" s="18"/>
      <c r="S1333" s="18"/>
      <c r="T1333" s="18"/>
      <c r="U1333" s="18"/>
      <c r="V1333" s="18"/>
      <c r="W1333" s="18"/>
      <c r="X1333" s="18"/>
    </row>
    <row r="1334" spans="13:24">
      <c r="M1334" s="558">
        <f t="shared" si="65"/>
        <v>1332</v>
      </c>
      <c r="N1334" s="15">
        <f t="shared" si="63"/>
        <v>0.48606632752972501</v>
      </c>
      <c r="O1334" s="165">
        <f t="shared" si="64"/>
        <v>0.44</v>
      </c>
      <c r="P1334" s="18"/>
      <c r="Q1334" s="18"/>
      <c r="R1334" s="18"/>
      <c r="S1334" s="18"/>
      <c r="T1334" s="18"/>
      <c r="U1334" s="18"/>
      <c r="V1334" s="18"/>
      <c r="W1334" s="18"/>
      <c r="X1334" s="18"/>
    </row>
    <row r="1335" spans="13:24">
      <c r="M1335" s="558">
        <f t="shared" si="65"/>
        <v>1333</v>
      </c>
      <c r="N1335" s="15">
        <f t="shared" si="63"/>
        <v>0.48590892826580356</v>
      </c>
      <c r="O1335" s="165">
        <f t="shared" si="64"/>
        <v>0.44</v>
      </c>
      <c r="P1335" s="18"/>
      <c r="Q1335" s="18"/>
      <c r="R1335" s="18"/>
      <c r="S1335" s="18"/>
      <c r="T1335" s="18"/>
      <c r="U1335" s="18"/>
      <c r="V1335" s="18"/>
      <c r="W1335" s="18"/>
      <c r="X1335" s="18"/>
    </row>
    <row r="1336" spans="13:24">
      <c r="M1336" s="558">
        <f t="shared" si="65"/>
        <v>1334</v>
      </c>
      <c r="N1336" s="15">
        <f t="shared" si="63"/>
        <v>0.48575166206026527</v>
      </c>
      <c r="O1336" s="165">
        <f t="shared" si="64"/>
        <v>0.44</v>
      </c>
      <c r="P1336" s="18"/>
      <c r="Q1336" s="18"/>
      <c r="R1336" s="18"/>
      <c r="S1336" s="18"/>
      <c r="T1336" s="18"/>
      <c r="U1336" s="18"/>
      <c r="V1336" s="18"/>
      <c r="W1336" s="18"/>
      <c r="X1336" s="18"/>
    </row>
    <row r="1337" spans="13:24">
      <c r="M1337" s="558">
        <f t="shared" si="65"/>
        <v>1335</v>
      </c>
      <c r="N1337" s="15">
        <f t="shared" si="63"/>
        <v>0.48559452874613229</v>
      </c>
      <c r="O1337" s="165">
        <f t="shared" si="64"/>
        <v>0.44</v>
      </c>
      <c r="P1337" s="18"/>
      <c r="Q1337" s="18"/>
      <c r="R1337" s="18"/>
      <c r="S1337" s="18"/>
      <c r="T1337" s="18"/>
      <c r="U1337" s="18"/>
      <c r="V1337" s="18"/>
      <c r="W1337" s="18"/>
      <c r="X1337" s="18"/>
    </row>
    <row r="1338" spans="13:24">
      <c r="M1338" s="558">
        <f t="shared" si="65"/>
        <v>1336</v>
      </c>
      <c r="N1338" s="15">
        <f t="shared" si="63"/>
        <v>0.48543752815663682</v>
      </c>
      <c r="O1338" s="165">
        <f t="shared" si="64"/>
        <v>0.44</v>
      </c>
      <c r="P1338" s="18"/>
      <c r="Q1338" s="18"/>
      <c r="R1338" s="18"/>
      <c r="S1338" s="18"/>
      <c r="T1338" s="18"/>
      <c r="U1338" s="18"/>
      <c r="V1338" s="18"/>
      <c r="W1338" s="18"/>
      <c r="X1338" s="18"/>
    </row>
    <row r="1339" spans="13:24">
      <c r="M1339" s="558">
        <f t="shared" si="65"/>
        <v>1337</v>
      </c>
      <c r="N1339" s="15">
        <f t="shared" si="63"/>
        <v>0.48528066012522009</v>
      </c>
      <c r="O1339" s="165">
        <f t="shared" si="64"/>
        <v>0.44</v>
      </c>
      <c r="P1339" s="18"/>
      <c r="Q1339" s="18"/>
      <c r="R1339" s="18"/>
      <c r="S1339" s="18"/>
      <c r="T1339" s="18"/>
      <c r="U1339" s="18"/>
      <c r="V1339" s="18"/>
      <c r="W1339" s="18"/>
      <c r="X1339" s="18"/>
    </row>
    <row r="1340" spans="13:24">
      <c r="M1340" s="558">
        <f t="shared" si="65"/>
        <v>1338</v>
      </c>
      <c r="N1340" s="15">
        <f t="shared" si="63"/>
        <v>0.48512392448553221</v>
      </c>
      <c r="O1340" s="165">
        <f t="shared" si="64"/>
        <v>0.44</v>
      </c>
      <c r="P1340" s="18"/>
      <c r="Q1340" s="18"/>
      <c r="R1340" s="18"/>
      <c r="S1340" s="18"/>
      <c r="T1340" s="18"/>
      <c r="U1340" s="18"/>
      <c r="V1340" s="18"/>
      <c r="W1340" s="18"/>
      <c r="X1340" s="18"/>
    </row>
    <row r="1341" spans="13:24">
      <c r="M1341" s="558">
        <f t="shared" si="65"/>
        <v>1339</v>
      </c>
      <c r="N1341" s="15">
        <f t="shared" si="63"/>
        <v>0.48496732107143237</v>
      </c>
      <c r="O1341" s="165">
        <f t="shared" si="64"/>
        <v>0.44</v>
      </c>
      <c r="P1341" s="18"/>
      <c r="Q1341" s="18"/>
      <c r="R1341" s="18"/>
      <c r="S1341" s="18"/>
      <c r="T1341" s="18"/>
      <c r="U1341" s="18"/>
      <c r="V1341" s="18"/>
      <c r="W1341" s="18"/>
      <c r="X1341" s="18"/>
    </row>
    <row r="1342" spans="13:24">
      <c r="M1342" s="558">
        <f t="shared" si="65"/>
        <v>1340</v>
      </c>
      <c r="N1342" s="15">
        <f t="shared" si="63"/>
        <v>0.48481084971698801</v>
      </c>
      <c r="O1342" s="165">
        <f t="shared" si="64"/>
        <v>0.44</v>
      </c>
      <c r="P1342" s="18"/>
      <c r="Q1342" s="18"/>
      <c r="R1342" s="18"/>
      <c r="S1342" s="18"/>
      <c r="T1342" s="18"/>
      <c r="U1342" s="18"/>
      <c r="V1342" s="18"/>
      <c r="W1342" s="18"/>
      <c r="X1342" s="18"/>
    </row>
    <row r="1343" spans="13:24">
      <c r="M1343" s="558">
        <f t="shared" si="65"/>
        <v>1341</v>
      </c>
      <c r="N1343" s="15">
        <f t="shared" si="63"/>
        <v>0.48465451025647471</v>
      </c>
      <c r="O1343" s="165">
        <f t="shared" si="64"/>
        <v>0.44</v>
      </c>
      <c r="P1343" s="18"/>
      <c r="Q1343" s="18"/>
      <c r="R1343" s="18"/>
      <c r="S1343" s="18"/>
      <c r="T1343" s="18"/>
      <c r="U1343" s="18"/>
      <c r="V1343" s="18"/>
      <c r="W1343" s="18"/>
      <c r="X1343" s="18"/>
    </row>
    <row r="1344" spans="13:24">
      <c r="M1344" s="558">
        <f t="shared" si="65"/>
        <v>1342</v>
      </c>
      <c r="N1344" s="15">
        <f t="shared" si="63"/>
        <v>0.48449830252437648</v>
      </c>
      <c r="O1344" s="165">
        <f t="shared" si="64"/>
        <v>0.44</v>
      </c>
      <c r="P1344" s="18"/>
      <c r="Q1344" s="18"/>
      <c r="R1344" s="18"/>
      <c r="S1344" s="18"/>
      <c r="T1344" s="18"/>
      <c r="U1344" s="18"/>
      <c r="V1344" s="18"/>
      <c r="W1344" s="18"/>
      <c r="X1344" s="18"/>
    </row>
    <row r="1345" spans="13:24">
      <c r="M1345" s="558">
        <f t="shared" si="65"/>
        <v>1343</v>
      </c>
      <c r="N1345" s="15">
        <f t="shared" si="63"/>
        <v>0.48434222635538454</v>
      </c>
      <c r="O1345" s="165">
        <f t="shared" si="64"/>
        <v>0.44</v>
      </c>
      <c r="P1345" s="18"/>
      <c r="Q1345" s="18"/>
      <c r="R1345" s="18"/>
      <c r="S1345" s="18"/>
      <c r="T1345" s="18"/>
      <c r="U1345" s="18"/>
      <c r="V1345" s="18"/>
      <c r="W1345" s="18"/>
      <c r="X1345" s="18"/>
    </row>
    <row r="1346" spans="13:24">
      <c r="M1346" s="558">
        <f t="shared" si="65"/>
        <v>1344</v>
      </c>
      <c r="N1346" s="15">
        <f t="shared" si="63"/>
        <v>0.48418628158439764</v>
      </c>
      <c r="O1346" s="165">
        <f t="shared" si="64"/>
        <v>0.44</v>
      </c>
      <c r="P1346" s="18"/>
      <c r="Q1346" s="18"/>
      <c r="R1346" s="18"/>
      <c r="S1346" s="18"/>
      <c r="T1346" s="18"/>
      <c r="U1346" s="18"/>
      <c r="V1346" s="18"/>
      <c r="W1346" s="18"/>
      <c r="X1346" s="18"/>
    </row>
    <row r="1347" spans="13:24">
      <c r="M1347" s="558">
        <f t="shared" si="65"/>
        <v>1345</v>
      </c>
      <c r="N1347" s="15">
        <f t="shared" si="63"/>
        <v>0.48403046804652217</v>
      </c>
      <c r="O1347" s="165">
        <f t="shared" si="64"/>
        <v>0.44</v>
      </c>
      <c r="P1347" s="18"/>
      <c r="Q1347" s="18"/>
      <c r="R1347" s="18"/>
      <c r="S1347" s="18"/>
      <c r="T1347" s="18"/>
      <c r="U1347" s="18"/>
      <c r="V1347" s="18"/>
      <c r="W1347" s="18"/>
      <c r="X1347" s="18"/>
    </row>
    <row r="1348" spans="13:24">
      <c r="M1348" s="558">
        <f t="shared" si="65"/>
        <v>1346</v>
      </c>
      <c r="N1348" s="15">
        <f t="shared" ref="N1348:N1411" si="66">IF(M1348&lt;$B$31+1,$B$32+$B$33/$B$31*(8760-M1348)+$B$34*IF(M1348&lt;$B$36-$B$31/(2*$B$35),1,IF(M1348&lt;$B$36+$B$31/(2*$B$35),COS(PI()/2*(M1348-($B$36-$B$31/(2*$B$35)))*$B$35/$B$31)^2,0))+$B$37*EXP((8760-M1348)/8760*$B$38)/EXP($B$38)-(8760-$B$31)*$B$33/$B$31,0)</f>
        <v>0.48387478557707092</v>
      </c>
      <c r="O1348" s="165">
        <f t="shared" ref="O1348:O1411" si="67">MIN(N1348,C$24)</f>
        <v>0.44</v>
      </c>
      <c r="P1348" s="18"/>
      <c r="Q1348" s="18"/>
      <c r="R1348" s="18"/>
      <c r="S1348" s="18"/>
      <c r="T1348" s="18"/>
      <c r="U1348" s="18"/>
      <c r="V1348" s="18"/>
      <c r="W1348" s="18"/>
      <c r="X1348" s="18"/>
    </row>
    <row r="1349" spans="13:24">
      <c r="M1349" s="558">
        <f t="shared" ref="M1349:M1412" si="68">M1348+1</f>
        <v>1347</v>
      </c>
      <c r="N1349" s="15">
        <f t="shared" si="66"/>
        <v>0.48371923401156341</v>
      </c>
      <c r="O1349" s="165">
        <f t="shared" si="67"/>
        <v>0.44</v>
      </c>
      <c r="P1349" s="18"/>
      <c r="Q1349" s="18"/>
      <c r="R1349" s="18"/>
      <c r="S1349" s="18"/>
      <c r="T1349" s="18"/>
      <c r="U1349" s="18"/>
      <c r="V1349" s="18"/>
      <c r="W1349" s="18"/>
      <c r="X1349" s="18"/>
    </row>
    <row r="1350" spans="13:24">
      <c r="M1350" s="558">
        <f t="shared" si="68"/>
        <v>1348</v>
      </c>
      <c r="N1350" s="15">
        <f t="shared" si="66"/>
        <v>0.48356381318572594</v>
      </c>
      <c r="O1350" s="165">
        <f t="shared" si="67"/>
        <v>0.44</v>
      </c>
      <c r="P1350" s="18"/>
      <c r="Q1350" s="18"/>
      <c r="R1350" s="18"/>
      <c r="S1350" s="18"/>
      <c r="T1350" s="18"/>
      <c r="U1350" s="18"/>
      <c r="V1350" s="18"/>
      <c r="W1350" s="18"/>
      <c r="X1350" s="18"/>
    </row>
    <row r="1351" spans="13:24">
      <c r="M1351" s="558">
        <f t="shared" si="68"/>
        <v>1349</v>
      </c>
      <c r="N1351" s="15">
        <f t="shared" si="66"/>
        <v>0.48340852293549086</v>
      </c>
      <c r="O1351" s="165">
        <f t="shared" si="67"/>
        <v>0.44</v>
      </c>
      <c r="P1351" s="18"/>
      <c r="Q1351" s="18"/>
      <c r="R1351" s="18"/>
      <c r="S1351" s="18"/>
      <c r="T1351" s="18"/>
      <c r="U1351" s="18"/>
      <c r="V1351" s="18"/>
      <c r="W1351" s="18"/>
      <c r="X1351" s="18"/>
    </row>
    <row r="1352" spans="13:24">
      <c r="M1352" s="558">
        <f t="shared" si="68"/>
        <v>1350</v>
      </c>
      <c r="N1352" s="15">
        <f t="shared" si="66"/>
        <v>0.48325336309699574</v>
      </c>
      <c r="O1352" s="165">
        <f t="shared" si="67"/>
        <v>0.44</v>
      </c>
      <c r="P1352" s="18"/>
      <c r="Q1352" s="18"/>
      <c r="R1352" s="18"/>
      <c r="S1352" s="18"/>
      <c r="T1352" s="18"/>
      <c r="U1352" s="18"/>
      <c r="V1352" s="18"/>
      <c r="W1352" s="18"/>
      <c r="X1352" s="18"/>
    </row>
    <row r="1353" spans="13:24">
      <c r="M1353" s="558">
        <f t="shared" si="68"/>
        <v>1351</v>
      </c>
      <c r="N1353" s="15">
        <f t="shared" si="66"/>
        <v>0.48309833350658471</v>
      </c>
      <c r="O1353" s="165">
        <f t="shared" si="67"/>
        <v>0.44</v>
      </c>
      <c r="P1353" s="18"/>
      <c r="Q1353" s="18"/>
      <c r="R1353" s="18"/>
      <c r="S1353" s="18"/>
      <c r="T1353" s="18"/>
      <c r="U1353" s="18"/>
      <c r="V1353" s="18"/>
      <c r="W1353" s="18"/>
      <c r="X1353" s="18"/>
    </row>
    <row r="1354" spans="13:24">
      <c r="M1354" s="558">
        <f t="shared" si="68"/>
        <v>1352</v>
      </c>
      <c r="N1354" s="15">
        <f t="shared" si="66"/>
        <v>0.48294343400080686</v>
      </c>
      <c r="O1354" s="165">
        <f t="shared" si="67"/>
        <v>0.44</v>
      </c>
      <c r="P1354" s="18"/>
      <c r="Q1354" s="18"/>
      <c r="R1354" s="18"/>
      <c r="S1354" s="18"/>
      <c r="T1354" s="18"/>
      <c r="U1354" s="18"/>
      <c r="V1354" s="18"/>
      <c r="W1354" s="18"/>
      <c r="X1354" s="18"/>
    </row>
    <row r="1355" spans="13:24">
      <c r="M1355" s="558">
        <f t="shared" si="68"/>
        <v>1353</v>
      </c>
      <c r="N1355" s="15">
        <f t="shared" si="66"/>
        <v>0.48278866441641621</v>
      </c>
      <c r="O1355" s="165">
        <f t="shared" si="67"/>
        <v>0.44</v>
      </c>
      <c r="P1355" s="18"/>
      <c r="Q1355" s="18"/>
      <c r="R1355" s="18"/>
      <c r="S1355" s="18"/>
      <c r="T1355" s="18"/>
      <c r="U1355" s="18"/>
      <c r="V1355" s="18"/>
      <c r="W1355" s="18"/>
      <c r="X1355" s="18"/>
    </row>
    <row r="1356" spans="13:24">
      <c r="M1356" s="558">
        <f t="shared" si="68"/>
        <v>1354</v>
      </c>
      <c r="N1356" s="15">
        <f t="shared" si="66"/>
        <v>0.48263402459037219</v>
      </c>
      <c r="O1356" s="165">
        <f t="shared" si="67"/>
        <v>0.44</v>
      </c>
      <c r="P1356" s="18"/>
      <c r="Q1356" s="18"/>
      <c r="R1356" s="18"/>
      <c r="S1356" s="18"/>
      <c r="T1356" s="18"/>
      <c r="U1356" s="18"/>
      <c r="V1356" s="18"/>
      <c r="W1356" s="18"/>
      <c r="X1356" s="18"/>
    </row>
    <row r="1357" spans="13:24">
      <c r="M1357" s="558">
        <f t="shared" si="68"/>
        <v>1355</v>
      </c>
      <c r="N1357" s="15">
        <f t="shared" si="66"/>
        <v>0.48247951435983821</v>
      </c>
      <c r="O1357" s="165">
        <f t="shared" si="67"/>
        <v>0.44</v>
      </c>
      <c r="P1357" s="18"/>
      <c r="Q1357" s="18"/>
      <c r="R1357" s="18"/>
      <c r="S1357" s="18"/>
      <c r="T1357" s="18"/>
      <c r="U1357" s="18"/>
      <c r="V1357" s="18"/>
      <c r="W1357" s="18"/>
      <c r="X1357" s="18"/>
    </row>
    <row r="1358" spans="13:24">
      <c r="M1358" s="558">
        <f t="shared" si="68"/>
        <v>1356</v>
      </c>
      <c r="N1358" s="15">
        <f t="shared" si="66"/>
        <v>0.48232513356218237</v>
      </c>
      <c r="O1358" s="165">
        <f t="shared" si="67"/>
        <v>0.44</v>
      </c>
      <c r="P1358" s="18"/>
      <c r="Q1358" s="18"/>
      <c r="R1358" s="18"/>
      <c r="S1358" s="18"/>
      <c r="T1358" s="18"/>
      <c r="U1358" s="18"/>
      <c r="V1358" s="18"/>
      <c r="W1358" s="18"/>
      <c r="X1358" s="18"/>
    </row>
    <row r="1359" spans="13:24">
      <c r="M1359" s="558">
        <f t="shared" si="68"/>
        <v>1357</v>
      </c>
      <c r="N1359" s="15">
        <f t="shared" si="66"/>
        <v>0.48217088203497699</v>
      </c>
      <c r="O1359" s="165">
        <f t="shared" si="67"/>
        <v>0.44</v>
      </c>
      <c r="P1359" s="18"/>
      <c r="Q1359" s="18"/>
      <c r="R1359" s="18"/>
      <c r="S1359" s="18"/>
      <c r="T1359" s="18"/>
      <c r="U1359" s="18"/>
      <c r="V1359" s="18"/>
      <c r="W1359" s="18"/>
      <c r="X1359" s="18"/>
    </row>
    <row r="1360" spans="13:24">
      <c r="M1360" s="558">
        <f t="shared" si="68"/>
        <v>1358</v>
      </c>
      <c r="N1360" s="15">
        <f t="shared" si="66"/>
        <v>0.48201675961599788</v>
      </c>
      <c r="O1360" s="165">
        <f t="shared" si="67"/>
        <v>0.44</v>
      </c>
      <c r="P1360" s="18"/>
      <c r="Q1360" s="18"/>
      <c r="R1360" s="18"/>
      <c r="S1360" s="18"/>
      <c r="T1360" s="18"/>
      <c r="U1360" s="18"/>
      <c r="V1360" s="18"/>
      <c r="W1360" s="18"/>
      <c r="X1360" s="18"/>
    </row>
    <row r="1361" spans="13:24">
      <c r="M1361" s="558">
        <f t="shared" si="68"/>
        <v>1359</v>
      </c>
      <c r="N1361" s="15">
        <f t="shared" si="66"/>
        <v>0.48186276614322437</v>
      </c>
      <c r="O1361" s="165">
        <f t="shared" si="67"/>
        <v>0.44</v>
      </c>
      <c r="P1361" s="18"/>
      <c r="Q1361" s="18"/>
      <c r="R1361" s="18"/>
      <c r="S1361" s="18"/>
      <c r="T1361" s="18"/>
      <c r="U1361" s="18"/>
      <c r="V1361" s="18"/>
      <c r="W1361" s="18"/>
      <c r="X1361" s="18"/>
    </row>
    <row r="1362" spans="13:24">
      <c r="M1362" s="558">
        <f t="shared" si="68"/>
        <v>1360</v>
      </c>
      <c r="N1362" s="15">
        <f t="shared" si="66"/>
        <v>0.4817089014548398</v>
      </c>
      <c r="O1362" s="165">
        <f t="shared" si="67"/>
        <v>0.44</v>
      </c>
      <c r="P1362" s="18"/>
      <c r="Q1362" s="18"/>
      <c r="R1362" s="18"/>
      <c r="S1362" s="18"/>
      <c r="T1362" s="18"/>
      <c r="U1362" s="18"/>
      <c r="V1362" s="18"/>
      <c r="W1362" s="18"/>
      <c r="X1362" s="18"/>
    </row>
    <row r="1363" spans="13:24">
      <c r="M1363" s="558">
        <f t="shared" si="68"/>
        <v>1361</v>
      </c>
      <c r="N1363" s="15">
        <f t="shared" si="66"/>
        <v>0.48155516538922982</v>
      </c>
      <c r="O1363" s="165">
        <f t="shared" si="67"/>
        <v>0.44</v>
      </c>
      <c r="P1363" s="18"/>
      <c r="Q1363" s="18"/>
      <c r="R1363" s="18"/>
      <c r="S1363" s="18"/>
      <c r="T1363" s="18"/>
      <c r="U1363" s="18"/>
      <c r="V1363" s="18"/>
      <c r="W1363" s="18"/>
      <c r="X1363" s="18"/>
    </row>
    <row r="1364" spans="13:24">
      <c r="M1364" s="558">
        <f t="shared" si="68"/>
        <v>1362</v>
      </c>
      <c r="N1364" s="15">
        <f t="shared" si="66"/>
        <v>0.48140155778498311</v>
      </c>
      <c r="O1364" s="165">
        <f t="shared" si="67"/>
        <v>0.44</v>
      </c>
      <c r="P1364" s="18"/>
      <c r="Q1364" s="18"/>
      <c r="R1364" s="18"/>
      <c r="S1364" s="18"/>
      <c r="T1364" s="18"/>
      <c r="U1364" s="18"/>
      <c r="V1364" s="18"/>
      <c r="W1364" s="18"/>
      <c r="X1364" s="18"/>
    </row>
    <row r="1365" spans="13:24">
      <c r="M1365" s="558">
        <f t="shared" si="68"/>
        <v>1363</v>
      </c>
      <c r="N1365" s="15">
        <f t="shared" si="66"/>
        <v>0.48124807848089118</v>
      </c>
      <c r="O1365" s="165">
        <f t="shared" si="67"/>
        <v>0.44</v>
      </c>
      <c r="P1365" s="18"/>
      <c r="Q1365" s="18"/>
      <c r="R1365" s="18"/>
      <c r="S1365" s="18"/>
      <c r="T1365" s="18"/>
      <c r="U1365" s="18"/>
      <c r="V1365" s="18"/>
      <c r="W1365" s="18"/>
      <c r="X1365" s="18"/>
    </row>
    <row r="1366" spans="13:24">
      <c r="M1366" s="558">
        <f t="shared" si="68"/>
        <v>1364</v>
      </c>
      <c r="N1366" s="15">
        <f t="shared" si="66"/>
        <v>0.4810947273159476</v>
      </c>
      <c r="O1366" s="165">
        <f t="shared" si="67"/>
        <v>0.44</v>
      </c>
      <c r="P1366" s="18"/>
      <c r="Q1366" s="18"/>
      <c r="R1366" s="18"/>
      <c r="S1366" s="18"/>
      <c r="T1366" s="18"/>
      <c r="U1366" s="18"/>
      <c r="V1366" s="18"/>
      <c r="W1366" s="18"/>
      <c r="X1366" s="18"/>
    </row>
    <row r="1367" spans="13:24">
      <c r="M1367" s="558">
        <f t="shared" si="68"/>
        <v>1365</v>
      </c>
      <c r="N1367" s="15">
        <f t="shared" si="66"/>
        <v>0.48094150412934777</v>
      </c>
      <c r="O1367" s="165">
        <f t="shared" si="67"/>
        <v>0.44</v>
      </c>
      <c r="P1367" s="18"/>
      <c r="Q1367" s="18"/>
      <c r="R1367" s="18"/>
      <c r="S1367" s="18"/>
      <c r="T1367" s="18"/>
      <c r="U1367" s="18"/>
      <c r="V1367" s="18"/>
      <c r="W1367" s="18"/>
      <c r="X1367" s="18"/>
    </row>
    <row r="1368" spans="13:24">
      <c r="M1368" s="558">
        <f t="shared" si="68"/>
        <v>1366</v>
      </c>
      <c r="N1368" s="15">
        <f t="shared" si="66"/>
        <v>0.48078840876048951</v>
      </c>
      <c r="O1368" s="165">
        <f t="shared" si="67"/>
        <v>0.44</v>
      </c>
      <c r="P1368" s="18"/>
      <c r="Q1368" s="18"/>
      <c r="R1368" s="18"/>
      <c r="S1368" s="18"/>
      <c r="T1368" s="18"/>
      <c r="U1368" s="18"/>
      <c r="V1368" s="18"/>
      <c r="W1368" s="18"/>
      <c r="X1368" s="18"/>
    </row>
    <row r="1369" spans="13:24">
      <c r="M1369" s="558">
        <f t="shared" si="68"/>
        <v>1367</v>
      </c>
      <c r="N1369" s="15">
        <f t="shared" si="66"/>
        <v>0.48063544104897166</v>
      </c>
      <c r="O1369" s="165">
        <f t="shared" si="67"/>
        <v>0.44</v>
      </c>
      <c r="P1369" s="18"/>
      <c r="Q1369" s="18"/>
      <c r="R1369" s="18"/>
      <c r="S1369" s="18"/>
      <c r="T1369" s="18"/>
      <c r="U1369" s="18"/>
      <c r="V1369" s="18"/>
      <c r="W1369" s="18"/>
      <c r="X1369" s="18"/>
    </row>
    <row r="1370" spans="13:24">
      <c r="M1370" s="558">
        <f t="shared" si="68"/>
        <v>1368</v>
      </c>
      <c r="N1370" s="15">
        <f t="shared" si="66"/>
        <v>0.48048260083459454</v>
      </c>
      <c r="O1370" s="165">
        <f t="shared" si="67"/>
        <v>0.44</v>
      </c>
      <c r="P1370" s="18"/>
      <c r="Q1370" s="18"/>
      <c r="R1370" s="18"/>
      <c r="S1370" s="18"/>
      <c r="T1370" s="18"/>
      <c r="U1370" s="18"/>
      <c r="V1370" s="18"/>
      <c r="W1370" s="18"/>
      <c r="X1370" s="18"/>
    </row>
    <row r="1371" spans="13:24">
      <c r="M1371" s="558">
        <f t="shared" si="68"/>
        <v>1369</v>
      </c>
      <c r="N1371" s="15">
        <f t="shared" si="66"/>
        <v>0.48032988795735931</v>
      </c>
      <c r="O1371" s="165">
        <f t="shared" si="67"/>
        <v>0.44</v>
      </c>
      <c r="P1371" s="18"/>
      <c r="Q1371" s="18"/>
      <c r="R1371" s="18"/>
      <c r="S1371" s="18"/>
      <c r="T1371" s="18"/>
      <c r="U1371" s="18"/>
      <c r="V1371" s="18"/>
      <c r="W1371" s="18"/>
      <c r="X1371" s="18"/>
    </row>
    <row r="1372" spans="13:24">
      <c r="M1372" s="558">
        <f t="shared" si="68"/>
        <v>1370</v>
      </c>
      <c r="N1372" s="15">
        <f t="shared" si="66"/>
        <v>0.48017730225746824</v>
      </c>
      <c r="O1372" s="165">
        <f t="shared" si="67"/>
        <v>0.44</v>
      </c>
      <c r="P1372" s="18"/>
      <c r="Q1372" s="18"/>
      <c r="R1372" s="18"/>
      <c r="S1372" s="18"/>
      <c r="T1372" s="18"/>
      <c r="U1372" s="18"/>
      <c r="V1372" s="18"/>
      <c r="W1372" s="18"/>
      <c r="X1372" s="18"/>
    </row>
    <row r="1373" spans="13:24">
      <c r="M1373" s="558">
        <f t="shared" si="68"/>
        <v>1371</v>
      </c>
      <c r="N1373" s="15">
        <f t="shared" si="66"/>
        <v>0.4800248435753241</v>
      </c>
      <c r="O1373" s="165">
        <f t="shared" si="67"/>
        <v>0.44</v>
      </c>
      <c r="P1373" s="18"/>
      <c r="Q1373" s="18"/>
      <c r="R1373" s="18"/>
      <c r="S1373" s="18"/>
      <c r="T1373" s="18"/>
      <c r="U1373" s="18"/>
      <c r="V1373" s="18"/>
      <c r="W1373" s="18"/>
      <c r="X1373" s="18"/>
    </row>
    <row r="1374" spans="13:24">
      <c r="M1374" s="558">
        <f t="shared" si="68"/>
        <v>1372</v>
      </c>
      <c r="N1374" s="15">
        <f t="shared" si="66"/>
        <v>0.47987251175152945</v>
      </c>
      <c r="O1374" s="165">
        <f t="shared" si="67"/>
        <v>0.44</v>
      </c>
      <c r="P1374" s="18"/>
      <c r="Q1374" s="18"/>
      <c r="R1374" s="18"/>
      <c r="S1374" s="18"/>
      <c r="T1374" s="18"/>
      <c r="U1374" s="18"/>
      <c r="V1374" s="18"/>
      <c r="W1374" s="18"/>
      <c r="X1374" s="18"/>
    </row>
    <row r="1375" spans="13:24">
      <c r="M1375" s="558">
        <f t="shared" si="68"/>
        <v>1373</v>
      </c>
      <c r="N1375" s="15">
        <f t="shared" si="66"/>
        <v>0.47972030662688769</v>
      </c>
      <c r="O1375" s="165">
        <f t="shared" si="67"/>
        <v>0.44</v>
      </c>
      <c r="P1375" s="18"/>
      <c r="Q1375" s="18"/>
      <c r="R1375" s="18"/>
      <c r="S1375" s="18"/>
      <c r="T1375" s="18"/>
      <c r="U1375" s="18"/>
      <c r="V1375" s="18"/>
      <c r="W1375" s="18"/>
      <c r="X1375" s="18"/>
    </row>
    <row r="1376" spans="13:24">
      <c r="M1376" s="558">
        <f t="shared" si="68"/>
        <v>1374</v>
      </c>
      <c r="N1376" s="15">
        <f t="shared" si="66"/>
        <v>0.47956822804240123</v>
      </c>
      <c r="O1376" s="165">
        <f t="shared" si="67"/>
        <v>0.44</v>
      </c>
      <c r="P1376" s="18"/>
      <c r="Q1376" s="18"/>
      <c r="R1376" s="18"/>
      <c r="S1376" s="18"/>
      <c r="T1376" s="18"/>
      <c r="U1376" s="18"/>
      <c r="V1376" s="18"/>
      <c r="W1376" s="18"/>
      <c r="X1376" s="18"/>
    </row>
    <row r="1377" spans="13:24">
      <c r="M1377" s="558">
        <f t="shared" si="68"/>
        <v>1375</v>
      </c>
      <c r="N1377" s="15">
        <f t="shared" si="66"/>
        <v>0.47941627583927238</v>
      </c>
      <c r="O1377" s="165">
        <f t="shared" si="67"/>
        <v>0.44</v>
      </c>
      <c r="P1377" s="18"/>
      <c r="Q1377" s="18"/>
      <c r="R1377" s="18"/>
      <c r="S1377" s="18"/>
      <c r="T1377" s="18"/>
      <c r="U1377" s="18"/>
      <c r="V1377" s="18"/>
      <c r="W1377" s="18"/>
      <c r="X1377" s="18"/>
    </row>
    <row r="1378" spans="13:24">
      <c r="M1378" s="558">
        <f t="shared" si="68"/>
        <v>1376</v>
      </c>
      <c r="N1378" s="15">
        <f t="shared" si="66"/>
        <v>0.47926444985890304</v>
      </c>
      <c r="O1378" s="165">
        <f t="shared" si="67"/>
        <v>0.44</v>
      </c>
      <c r="P1378" s="18"/>
      <c r="Q1378" s="18"/>
      <c r="R1378" s="18"/>
      <c r="S1378" s="18"/>
      <c r="T1378" s="18"/>
      <c r="U1378" s="18"/>
      <c r="V1378" s="18"/>
      <c r="W1378" s="18"/>
      <c r="X1378" s="18"/>
    </row>
    <row r="1379" spans="13:24">
      <c r="M1379" s="558">
        <f t="shared" si="68"/>
        <v>1377</v>
      </c>
      <c r="N1379" s="15">
        <f t="shared" si="66"/>
        <v>0.47911274994289321</v>
      </c>
      <c r="O1379" s="165">
        <f t="shared" si="67"/>
        <v>0.44</v>
      </c>
      <c r="P1379" s="18"/>
      <c r="Q1379" s="18"/>
      <c r="R1379" s="18"/>
      <c r="S1379" s="18"/>
      <c r="T1379" s="18"/>
      <c r="U1379" s="18"/>
      <c r="V1379" s="18"/>
      <c r="W1379" s="18"/>
      <c r="X1379" s="18"/>
    </row>
    <row r="1380" spans="13:24">
      <c r="M1380" s="558">
        <f t="shared" si="68"/>
        <v>1378</v>
      </c>
      <c r="N1380" s="15">
        <f t="shared" si="66"/>
        <v>0.4789611759330426</v>
      </c>
      <c r="O1380" s="165">
        <f t="shared" si="67"/>
        <v>0.44</v>
      </c>
      <c r="P1380" s="18"/>
      <c r="Q1380" s="18"/>
      <c r="R1380" s="18"/>
      <c r="S1380" s="18"/>
      <c r="T1380" s="18"/>
      <c r="U1380" s="18"/>
      <c r="V1380" s="18"/>
      <c r="W1380" s="18"/>
      <c r="X1380" s="18"/>
    </row>
    <row r="1381" spans="13:24">
      <c r="M1381" s="558">
        <f t="shared" si="68"/>
        <v>1379</v>
      </c>
      <c r="N1381" s="15">
        <f t="shared" si="66"/>
        <v>0.47880972767134911</v>
      </c>
      <c r="O1381" s="165">
        <f t="shared" si="67"/>
        <v>0.44</v>
      </c>
      <c r="P1381" s="18"/>
      <c r="Q1381" s="18"/>
      <c r="R1381" s="18"/>
      <c r="S1381" s="18"/>
      <c r="T1381" s="18"/>
      <c r="U1381" s="18"/>
      <c r="V1381" s="18"/>
      <c r="W1381" s="18"/>
      <c r="X1381" s="18"/>
    </row>
    <row r="1382" spans="13:24">
      <c r="M1382" s="558">
        <f t="shared" si="68"/>
        <v>1380</v>
      </c>
      <c r="N1382" s="15">
        <f t="shared" si="66"/>
        <v>0.47865840500000867</v>
      </c>
      <c r="O1382" s="165">
        <f t="shared" si="67"/>
        <v>0.44</v>
      </c>
      <c r="P1382" s="18"/>
      <c r="Q1382" s="18"/>
      <c r="R1382" s="18"/>
      <c r="S1382" s="18"/>
      <c r="T1382" s="18"/>
      <c r="U1382" s="18"/>
      <c r="V1382" s="18"/>
      <c r="W1382" s="18"/>
      <c r="X1382" s="18"/>
    </row>
    <row r="1383" spans="13:24">
      <c r="M1383" s="558">
        <f t="shared" si="68"/>
        <v>1381</v>
      </c>
      <c r="N1383" s="15">
        <f t="shared" si="66"/>
        <v>0.47850720776141564</v>
      </c>
      <c r="O1383" s="165">
        <f t="shared" si="67"/>
        <v>0.44</v>
      </c>
      <c r="P1383" s="18"/>
      <c r="Q1383" s="18"/>
      <c r="R1383" s="18"/>
      <c r="S1383" s="18"/>
      <c r="T1383" s="18"/>
      <c r="U1383" s="18"/>
      <c r="V1383" s="18"/>
      <c r="W1383" s="18"/>
      <c r="X1383" s="18"/>
    </row>
    <row r="1384" spans="13:24">
      <c r="M1384" s="558">
        <f t="shared" si="68"/>
        <v>1382</v>
      </c>
      <c r="N1384" s="15">
        <f t="shared" si="66"/>
        <v>0.47835613579816211</v>
      </c>
      <c r="O1384" s="165">
        <f t="shared" si="67"/>
        <v>0.44</v>
      </c>
      <c r="P1384" s="18"/>
      <c r="Q1384" s="18"/>
      <c r="R1384" s="18"/>
      <c r="S1384" s="18"/>
      <c r="T1384" s="18"/>
      <c r="U1384" s="18"/>
      <c r="V1384" s="18"/>
      <c r="W1384" s="18"/>
      <c r="X1384" s="18"/>
    </row>
    <row r="1385" spans="13:24">
      <c r="M1385" s="558">
        <f t="shared" si="68"/>
        <v>1383</v>
      </c>
      <c r="N1385" s="15">
        <f t="shared" si="66"/>
        <v>0.47820518895303743</v>
      </c>
      <c r="O1385" s="165">
        <f t="shared" si="67"/>
        <v>0.44</v>
      </c>
      <c r="P1385" s="18"/>
      <c r="Q1385" s="18"/>
      <c r="R1385" s="18"/>
      <c r="S1385" s="18"/>
      <c r="T1385" s="18"/>
      <c r="U1385" s="18"/>
      <c r="V1385" s="18"/>
      <c r="W1385" s="18"/>
      <c r="X1385" s="18"/>
    </row>
    <row r="1386" spans="13:24">
      <c r="M1386" s="558">
        <f t="shared" si="68"/>
        <v>1384</v>
      </c>
      <c r="N1386" s="15">
        <f t="shared" si="66"/>
        <v>0.47805436706902826</v>
      </c>
      <c r="O1386" s="165">
        <f t="shared" si="67"/>
        <v>0.44</v>
      </c>
      <c r="P1386" s="18"/>
      <c r="Q1386" s="18"/>
      <c r="R1386" s="18"/>
      <c r="S1386" s="18"/>
      <c r="T1386" s="18"/>
      <c r="U1386" s="18"/>
      <c r="V1386" s="18"/>
      <c r="W1386" s="18"/>
      <c r="X1386" s="18"/>
    </row>
    <row r="1387" spans="13:24">
      <c r="M1387" s="558">
        <f t="shared" si="68"/>
        <v>1385</v>
      </c>
      <c r="N1387" s="15">
        <f t="shared" si="66"/>
        <v>0.47790366998931866</v>
      </c>
      <c r="O1387" s="165">
        <f t="shared" si="67"/>
        <v>0.44</v>
      </c>
      <c r="P1387" s="18"/>
      <c r="Q1387" s="18"/>
      <c r="R1387" s="18"/>
      <c r="S1387" s="18"/>
      <c r="T1387" s="18"/>
      <c r="U1387" s="18"/>
      <c r="V1387" s="18"/>
      <c r="W1387" s="18"/>
      <c r="X1387" s="18"/>
    </row>
    <row r="1388" spans="13:24">
      <c r="M1388" s="558">
        <f t="shared" si="68"/>
        <v>1386</v>
      </c>
      <c r="N1388" s="15">
        <f t="shared" si="66"/>
        <v>0.47775309755728929</v>
      </c>
      <c r="O1388" s="165">
        <f t="shared" si="67"/>
        <v>0.44</v>
      </c>
      <c r="P1388" s="18"/>
      <c r="Q1388" s="18"/>
      <c r="R1388" s="18"/>
      <c r="S1388" s="18"/>
      <c r="T1388" s="18"/>
      <c r="U1388" s="18"/>
      <c r="V1388" s="18"/>
      <c r="W1388" s="18"/>
      <c r="X1388" s="18"/>
    </row>
    <row r="1389" spans="13:24">
      <c r="M1389" s="558">
        <f t="shared" si="68"/>
        <v>1387</v>
      </c>
      <c r="N1389" s="15">
        <f t="shared" si="66"/>
        <v>0.47760264961651705</v>
      </c>
      <c r="O1389" s="165">
        <f t="shared" si="67"/>
        <v>0.44</v>
      </c>
      <c r="P1389" s="18"/>
      <c r="Q1389" s="18"/>
      <c r="R1389" s="18"/>
      <c r="S1389" s="18"/>
      <c r="T1389" s="18"/>
      <c r="U1389" s="18"/>
      <c r="V1389" s="18"/>
      <c r="W1389" s="18"/>
      <c r="X1389" s="18"/>
    </row>
    <row r="1390" spans="13:24">
      <c r="M1390" s="558">
        <f t="shared" si="68"/>
        <v>1388</v>
      </c>
      <c r="N1390" s="15">
        <f t="shared" si="66"/>
        <v>0.4774523260107757</v>
      </c>
      <c r="O1390" s="165">
        <f t="shared" si="67"/>
        <v>0.44</v>
      </c>
      <c r="P1390" s="18"/>
      <c r="Q1390" s="18"/>
      <c r="R1390" s="18"/>
      <c r="S1390" s="18"/>
      <c r="T1390" s="18"/>
      <c r="U1390" s="18"/>
      <c r="V1390" s="18"/>
      <c r="W1390" s="18"/>
      <c r="X1390" s="18"/>
    </row>
    <row r="1391" spans="13:24">
      <c r="M1391" s="558">
        <f t="shared" si="68"/>
        <v>1389</v>
      </c>
      <c r="N1391" s="15">
        <f t="shared" si="66"/>
        <v>0.47730212658403465</v>
      </c>
      <c r="O1391" s="165">
        <f t="shared" si="67"/>
        <v>0.44</v>
      </c>
      <c r="P1391" s="18"/>
      <c r="Q1391" s="18"/>
      <c r="R1391" s="18"/>
      <c r="S1391" s="18"/>
      <c r="T1391" s="18"/>
      <c r="U1391" s="18"/>
      <c r="V1391" s="18"/>
      <c r="W1391" s="18"/>
      <c r="X1391" s="18"/>
    </row>
    <row r="1392" spans="13:24">
      <c r="M1392" s="558">
        <f t="shared" si="68"/>
        <v>1390</v>
      </c>
      <c r="N1392" s="15">
        <f t="shared" si="66"/>
        <v>0.47715205118045911</v>
      </c>
      <c r="O1392" s="165">
        <f t="shared" si="67"/>
        <v>0.44</v>
      </c>
      <c r="P1392" s="18"/>
      <c r="Q1392" s="18"/>
      <c r="R1392" s="18"/>
      <c r="S1392" s="18"/>
      <c r="T1392" s="18"/>
      <c r="U1392" s="18"/>
      <c r="V1392" s="18"/>
      <c r="W1392" s="18"/>
      <c r="X1392" s="18"/>
    </row>
    <row r="1393" spans="13:24">
      <c r="M1393" s="558">
        <f t="shared" si="68"/>
        <v>1391</v>
      </c>
      <c r="N1393" s="15">
        <f t="shared" si="66"/>
        <v>0.4770020996444102</v>
      </c>
      <c r="O1393" s="165">
        <f t="shared" si="67"/>
        <v>0.44</v>
      </c>
      <c r="P1393" s="18"/>
      <c r="Q1393" s="18"/>
      <c r="R1393" s="18"/>
      <c r="S1393" s="18"/>
      <c r="T1393" s="18"/>
      <c r="U1393" s="18"/>
      <c r="V1393" s="18"/>
      <c r="W1393" s="18"/>
      <c r="X1393" s="18"/>
    </row>
    <row r="1394" spans="13:24">
      <c r="M1394" s="558">
        <f t="shared" si="68"/>
        <v>1392</v>
      </c>
      <c r="N1394" s="15">
        <f t="shared" si="66"/>
        <v>0.47685227182044398</v>
      </c>
      <c r="O1394" s="165">
        <f t="shared" si="67"/>
        <v>0.44</v>
      </c>
      <c r="P1394" s="18"/>
      <c r="Q1394" s="18"/>
      <c r="R1394" s="18"/>
      <c r="S1394" s="18"/>
      <c r="T1394" s="18"/>
      <c r="U1394" s="18"/>
      <c r="V1394" s="18"/>
      <c r="W1394" s="18"/>
      <c r="X1394" s="18"/>
    </row>
    <row r="1395" spans="13:24">
      <c r="M1395" s="558">
        <f t="shared" si="68"/>
        <v>1393</v>
      </c>
      <c r="N1395" s="15">
        <f t="shared" si="66"/>
        <v>0.47670256755331158</v>
      </c>
      <c r="O1395" s="165">
        <f t="shared" si="67"/>
        <v>0.44</v>
      </c>
      <c r="P1395" s="18"/>
      <c r="Q1395" s="18"/>
      <c r="R1395" s="18"/>
      <c r="S1395" s="18"/>
      <c r="T1395" s="18"/>
      <c r="U1395" s="18"/>
      <c r="V1395" s="18"/>
      <c r="W1395" s="18"/>
      <c r="X1395" s="18"/>
    </row>
    <row r="1396" spans="13:24">
      <c r="M1396" s="558">
        <f t="shared" si="68"/>
        <v>1394</v>
      </c>
      <c r="N1396" s="15">
        <f t="shared" si="66"/>
        <v>0.47655298668795948</v>
      </c>
      <c r="O1396" s="165">
        <f t="shared" si="67"/>
        <v>0.44</v>
      </c>
      <c r="P1396" s="18"/>
      <c r="Q1396" s="18"/>
      <c r="R1396" s="18"/>
      <c r="S1396" s="18"/>
      <c r="T1396" s="18"/>
      <c r="U1396" s="18"/>
      <c r="V1396" s="18"/>
      <c r="W1396" s="18"/>
      <c r="X1396" s="18"/>
    </row>
    <row r="1397" spans="13:24">
      <c r="M1397" s="558">
        <f t="shared" si="68"/>
        <v>1395</v>
      </c>
      <c r="N1397" s="15">
        <f t="shared" si="66"/>
        <v>0.4764035290695281</v>
      </c>
      <c r="O1397" s="165">
        <f t="shared" si="67"/>
        <v>0.44</v>
      </c>
      <c r="P1397" s="18"/>
      <c r="Q1397" s="18"/>
      <c r="R1397" s="18"/>
      <c r="S1397" s="18"/>
      <c r="T1397" s="18"/>
      <c r="U1397" s="18"/>
      <c r="V1397" s="18"/>
      <c r="W1397" s="18"/>
      <c r="X1397" s="18"/>
    </row>
    <row r="1398" spans="13:24">
      <c r="M1398" s="558">
        <f t="shared" si="68"/>
        <v>1396</v>
      </c>
      <c r="N1398" s="15">
        <f t="shared" si="66"/>
        <v>0.47625419454335238</v>
      </c>
      <c r="O1398" s="165">
        <f t="shared" si="67"/>
        <v>0.44</v>
      </c>
      <c r="P1398" s="18"/>
      <c r="Q1398" s="18"/>
      <c r="R1398" s="18"/>
      <c r="S1398" s="18"/>
      <c r="T1398" s="18"/>
      <c r="U1398" s="18"/>
      <c r="V1398" s="18"/>
      <c r="W1398" s="18"/>
      <c r="X1398" s="18"/>
    </row>
    <row r="1399" spans="13:24">
      <c r="M1399" s="558">
        <f t="shared" si="68"/>
        <v>1397</v>
      </c>
      <c r="N1399" s="15">
        <f t="shared" si="66"/>
        <v>0.47610498295496151</v>
      </c>
      <c r="O1399" s="165">
        <f t="shared" si="67"/>
        <v>0.44</v>
      </c>
      <c r="P1399" s="18"/>
      <c r="Q1399" s="18"/>
      <c r="R1399" s="18"/>
      <c r="S1399" s="18"/>
      <c r="T1399" s="18"/>
      <c r="U1399" s="18"/>
      <c r="V1399" s="18"/>
      <c r="W1399" s="18"/>
      <c r="X1399" s="18"/>
    </row>
    <row r="1400" spans="13:24">
      <c r="M1400" s="558">
        <f t="shared" si="68"/>
        <v>1398</v>
      </c>
      <c r="N1400" s="15">
        <f t="shared" si="66"/>
        <v>0.47595589415007861</v>
      </c>
      <c r="O1400" s="165">
        <f t="shared" si="67"/>
        <v>0.44</v>
      </c>
      <c r="P1400" s="18"/>
      <c r="Q1400" s="18"/>
      <c r="R1400" s="18"/>
      <c r="S1400" s="18"/>
      <c r="T1400" s="18"/>
      <c r="U1400" s="18"/>
      <c r="V1400" s="18"/>
      <c r="W1400" s="18"/>
      <c r="X1400" s="18"/>
    </row>
    <row r="1401" spans="13:24">
      <c r="M1401" s="558">
        <f t="shared" si="68"/>
        <v>1399</v>
      </c>
      <c r="N1401" s="15">
        <f t="shared" si="66"/>
        <v>0.47580692797462004</v>
      </c>
      <c r="O1401" s="165">
        <f t="shared" si="67"/>
        <v>0.44</v>
      </c>
      <c r="P1401" s="18"/>
      <c r="Q1401" s="18"/>
      <c r="R1401" s="18"/>
      <c r="S1401" s="18"/>
      <c r="T1401" s="18"/>
      <c r="U1401" s="18"/>
      <c r="V1401" s="18"/>
      <c r="W1401" s="18"/>
      <c r="X1401" s="18"/>
    </row>
    <row r="1402" spans="13:24">
      <c r="M1402" s="558">
        <f t="shared" si="68"/>
        <v>1400</v>
      </c>
      <c r="N1402" s="15">
        <f t="shared" si="66"/>
        <v>0.47565808427469558</v>
      </c>
      <c r="O1402" s="165">
        <f t="shared" si="67"/>
        <v>0.44</v>
      </c>
      <c r="P1402" s="18"/>
      <c r="Q1402" s="18"/>
      <c r="R1402" s="18"/>
      <c r="S1402" s="18"/>
      <c r="T1402" s="18"/>
      <c r="U1402" s="18"/>
      <c r="V1402" s="18"/>
      <c r="W1402" s="18"/>
      <c r="X1402" s="18"/>
    </row>
    <row r="1403" spans="13:24">
      <c r="M1403" s="558">
        <f t="shared" si="68"/>
        <v>1401</v>
      </c>
      <c r="N1403" s="15">
        <f t="shared" si="66"/>
        <v>0.47550936289660872</v>
      </c>
      <c r="O1403" s="165">
        <f t="shared" si="67"/>
        <v>0.44</v>
      </c>
      <c r="P1403" s="18"/>
      <c r="Q1403" s="18"/>
      <c r="R1403" s="18"/>
      <c r="S1403" s="18"/>
      <c r="T1403" s="18"/>
      <c r="U1403" s="18"/>
      <c r="V1403" s="18"/>
      <c r="W1403" s="18"/>
      <c r="X1403" s="18"/>
    </row>
    <row r="1404" spans="13:24">
      <c r="M1404" s="558">
        <f t="shared" si="68"/>
        <v>1402</v>
      </c>
      <c r="N1404" s="15">
        <f t="shared" si="66"/>
        <v>0.47536076368685509</v>
      </c>
      <c r="O1404" s="165">
        <f t="shared" si="67"/>
        <v>0.44</v>
      </c>
      <c r="P1404" s="18"/>
      <c r="Q1404" s="18"/>
      <c r="R1404" s="18"/>
      <c r="S1404" s="18"/>
      <c r="T1404" s="18"/>
      <c r="U1404" s="18"/>
      <c r="V1404" s="18"/>
      <c r="W1404" s="18"/>
      <c r="X1404" s="18"/>
    </row>
    <row r="1405" spans="13:24">
      <c r="M1405" s="558">
        <f t="shared" si="68"/>
        <v>1403</v>
      </c>
      <c r="N1405" s="15">
        <f t="shared" si="66"/>
        <v>0.47521228649212321</v>
      </c>
      <c r="O1405" s="165">
        <f t="shared" si="67"/>
        <v>0.44</v>
      </c>
      <c r="P1405" s="18"/>
      <c r="Q1405" s="18"/>
      <c r="R1405" s="18"/>
      <c r="S1405" s="18"/>
      <c r="T1405" s="18"/>
      <c r="U1405" s="18"/>
      <c r="V1405" s="18"/>
      <c r="W1405" s="18"/>
      <c r="X1405" s="18"/>
    </row>
    <row r="1406" spans="13:24">
      <c r="M1406" s="558">
        <f t="shared" si="68"/>
        <v>1404</v>
      </c>
      <c r="N1406" s="15">
        <f t="shared" si="66"/>
        <v>0.47506393115929413</v>
      </c>
      <c r="O1406" s="165">
        <f t="shared" si="67"/>
        <v>0.44</v>
      </c>
      <c r="P1406" s="18"/>
      <c r="Q1406" s="18"/>
      <c r="R1406" s="18"/>
      <c r="S1406" s="18"/>
      <c r="T1406" s="18"/>
      <c r="U1406" s="18"/>
      <c r="V1406" s="18"/>
      <c r="W1406" s="18"/>
      <c r="X1406" s="18"/>
    </row>
    <row r="1407" spans="13:24">
      <c r="M1407" s="558">
        <f t="shared" si="68"/>
        <v>1405</v>
      </c>
      <c r="N1407" s="15">
        <f t="shared" si="66"/>
        <v>0.47491569753544077</v>
      </c>
      <c r="O1407" s="165">
        <f t="shared" si="67"/>
        <v>0.44</v>
      </c>
      <c r="P1407" s="18"/>
      <c r="Q1407" s="18"/>
      <c r="R1407" s="18"/>
      <c r="S1407" s="18"/>
      <c r="T1407" s="18"/>
      <c r="U1407" s="18"/>
      <c r="V1407" s="18"/>
      <c r="W1407" s="18"/>
      <c r="X1407" s="18"/>
    </row>
    <row r="1408" spans="13:24">
      <c r="M1408" s="558">
        <f t="shared" si="68"/>
        <v>1406</v>
      </c>
      <c r="N1408" s="15">
        <f t="shared" si="66"/>
        <v>0.47476758546782838</v>
      </c>
      <c r="O1408" s="165">
        <f t="shared" si="67"/>
        <v>0.44</v>
      </c>
      <c r="P1408" s="18"/>
      <c r="Q1408" s="18"/>
      <c r="R1408" s="18"/>
      <c r="S1408" s="18"/>
      <c r="T1408" s="18"/>
      <c r="U1408" s="18"/>
      <c r="V1408" s="18"/>
      <c r="W1408" s="18"/>
      <c r="X1408" s="18"/>
    </row>
    <row r="1409" spans="13:24">
      <c r="M1409" s="558">
        <f t="shared" si="68"/>
        <v>1407</v>
      </c>
      <c r="N1409" s="15">
        <f t="shared" si="66"/>
        <v>0.47461959480391358</v>
      </c>
      <c r="O1409" s="165">
        <f t="shared" si="67"/>
        <v>0.44</v>
      </c>
      <c r="P1409" s="18"/>
      <c r="Q1409" s="18"/>
      <c r="R1409" s="18"/>
      <c r="S1409" s="18"/>
      <c r="T1409" s="18"/>
      <c r="U1409" s="18"/>
      <c r="V1409" s="18"/>
      <c r="W1409" s="18"/>
      <c r="X1409" s="18"/>
    </row>
    <row r="1410" spans="13:24">
      <c r="M1410" s="558">
        <f t="shared" si="68"/>
        <v>1408</v>
      </c>
      <c r="N1410" s="15">
        <f t="shared" si="66"/>
        <v>0.47447172539134425</v>
      </c>
      <c r="O1410" s="165">
        <f t="shared" si="67"/>
        <v>0.44</v>
      </c>
      <c r="P1410" s="18"/>
      <c r="Q1410" s="18"/>
      <c r="R1410" s="18"/>
      <c r="S1410" s="18"/>
      <c r="T1410" s="18"/>
      <c r="U1410" s="18"/>
      <c r="V1410" s="18"/>
      <c r="W1410" s="18"/>
      <c r="X1410" s="18"/>
    </row>
    <row r="1411" spans="13:24">
      <c r="M1411" s="558">
        <f t="shared" si="68"/>
        <v>1409</v>
      </c>
      <c r="N1411" s="15">
        <f t="shared" si="66"/>
        <v>0.47432397707796004</v>
      </c>
      <c r="O1411" s="165">
        <f t="shared" si="67"/>
        <v>0.44</v>
      </c>
      <c r="P1411" s="18"/>
      <c r="Q1411" s="18"/>
      <c r="R1411" s="18"/>
      <c r="S1411" s="18"/>
      <c r="T1411" s="18"/>
      <c r="U1411" s="18"/>
      <c r="V1411" s="18"/>
      <c r="W1411" s="18"/>
      <c r="X1411" s="18"/>
    </row>
    <row r="1412" spans="13:24">
      <c r="M1412" s="558">
        <f t="shared" si="68"/>
        <v>1410</v>
      </c>
      <c r="N1412" s="15">
        <f t="shared" ref="N1412:N1475" si="69">IF(M1412&lt;$B$31+1,$B$32+$B$33/$B$31*(8760-M1412)+$B$34*IF(M1412&lt;$B$36-$B$31/(2*$B$35),1,IF(M1412&lt;$B$36+$B$31/(2*$B$35),COS(PI()/2*(M1412-($B$36-$B$31/(2*$B$35)))*$B$35/$B$31)^2,0))+$B$37*EXP((8760-M1412)/8760*$B$38)/EXP($B$38)-(8760-$B$31)*$B$33/$B$31,0)</f>
        <v>0.47417634971179107</v>
      </c>
      <c r="O1412" s="165">
        <f t="shared" ref="O1412:O1475" si="70">MIN(N1412,C$24)</f>
        <v>0.44</v>
      </c>
      <c r="P1412" s="18"/>
      <c r="Q1412" s="18"/>
      <c r="R1412" s="18"/>
      <c r="S1412" s="18"/>
      <c r="T1412" s="18"/>
      <c r="U1412" s="18"/>
      <c r="V1412" s="18"/>
      <c r="W1412" s="18"/>
      <c r="X1412" s="18"/>
    </row>
    <row r="1413" spans="13:24">
      <c r="M1413" s="558">
        <f t="shared" ref="M1413:M1476" si="71">M1412+1</f>
        <v>1411</v>
      </c>
      <c r="N1413" s="15">
        <f t="shared" si="69"/>
        <v>0.4740288431410582</v>
      </c>
      <c r="O1413" s="165">
        <f t="shared" si="70"/>
        <v>0.44</v>
      </c>
      <c r="P1413" s="18"/>
      <c r="Q1413" s="18"/>
      <c r="R1413" s="18"/>
      <c r="S1413" s="18"/>
      <c r="T1413" s="18"/>
      <c r="U1413" s="18"/>
      <c r="V1413" s="18"/>
      <c r="W1413" s="18"/>
      <c r="X1413" s="18"/>
    </row>
    <row r="1414" spans="13:24">
      <c r="M1414" s="558">
        <f t="shared" si="71"/>
        <v>1412</v>
      </c>
      <c r="N1414" s="15">
        <f t="shared" si="69"/>
        <v>0.4738814572141728</v>
      </c>
      <c r="O1414" s="165">
        <f t="shared" si="70"/>
        <v>0.44</v>
      </c>
      <c r="P1414" s="18"/>
      <c r="Q1414" s="18"/>
      <c r="R1414" s="18"/>
      <c r="S1414" s="18"/>
      <c r="T1414" s="18"/>
      <c r="U1414" s="18"/>
      <c r="V1414" s="18"/>
      <c r="W1414" s="18"/>
      <c r="X1414" s="18"/>
    </row>
    <row r="1415" spans="13:24">
      <c r="M1415" s="558">
        <f t="shared" si="71"/>
        <v>1413</v>
      </c>
      <c r="N1415" s="15">
        <f t="shared" si="69"/>
        <v>0.4737341917797368</v>
      </c>
      <c r="O1415" s="165">
        <f t="shared" si="70"/>
        <v>0.44</v>
      </c>
      <c r="P1415" s="18"/>
      <c r="Q1415" s="18"/>
      <c r="R1415" s="18"/>
      <c r="S1415" s="18"/>
      <c r="T1415" s="18"/>
      <c r="U1415" s="18"/>
      <c r="V1415" s="18"/>
      <c r="W1415" s="18"/>
      <c r="X1415" s="18"/>
    </row>
    <row r="1416" spans="13:24">
      <c r="M1416" s="558">
        <f t="shared" si="71"/>
        <v>1414</v>
      </c>
      <c r="N1416" s="15">
        <f t="shared" si="69"/>
        <v>0.47358704668654172</v>
      </c>
      <c r="O1416" s="165">
        <f t="shared" si="70"/>
        <v>0.44</v>
      </c>
      <c r="P1416" s="18"/>
      <c r="Q1416" s="18"/>
      <c r="R1416" s="18"/>
      <c r="S1416" s="18"/>
      <c r="T1416" s="18"/>
      <c r="U1416" s="18"/>
      <c r="V1416" s="18"/>
      <c r="W1416" s="18"/>
      <c r="X1416" s="18"/>
    </row>
    <row r="1417" spans="13:24">
      <c r="M1417" s="558">
        <f t="shared" si="71"/>
        <v>1415</v>
      </c>
      <c r="N1417" s="15">
        <f t="shared" si="69"/>
        <v>0.47344002178356875</v>
      </c>
      <c r="O1417" s="165">
        <f t="shared" si="70"/>
        <v>0.44</v>
      </c>
      <c r="P1417" s="18"/>
      <c r="Q1417" s="18"/>
      <c r="R1417" s="18"/>
      <c r="S1417" s="18"/>
      <c r="T1417" s="18"/>
      <c r="U1417" s="18"/>
      <c r="V1417" s="18"/>
      <c r="W1417" s="18"/>
      <c r="X1417" s="18"/>
    </row>
    <row r="1418" spans="13:24">
      <c r="M1418" s="558">
        <f t="shared" si="71"/>
        <v>1416</v>
      </c>
      <c r="N1418" s="15">
        <f t="shared" si="69"/>
        <v>0.47329311691998921</v>
      </c>
      <c r="O1418" s="165">
        <f t="shared" si="70"/>
        <v>0.44</v>
      </c>
      <c r="P1418" s="18"/>
      <c r="Q1418" s="18"/>
      <c r="R1418" s="18"/>
      <c r="S1418" s="18"/>
      <c r="T1418" s="18"/>
      <c r="U1418" s="18"/>
      <c r="V1418" s="18"/>
      <c r="W1418" s="18"/>
      <c r="X1418" s="18"/>
    </row>
    <row r="1419" spans="13:24">
      <c r="M1419" s="558">
        <f t="shared" si="71"/>
        <v>1417</v>
      </c>
      <c r="N1419" s="15">
        <f t="shared" si="69"/>
        <v>0.47314633194516309</v>
      </c>
      <c r="O1419" s="165">
        <f t="shared" si="70"/>
        <v>0.44</v>
      </c>
      <c r="P1419" s="18"/>
      <c r="Q1419" s="18"/>
      <c r="R1419" s="18"/>
      <c r="S1419" s="18"/>
      <c r="T1419" s="18"/>
      <c r="U1419" s="18"/>
      <c r="V1419" s="18"/>
      <c r="W1419" s="18"/>
      <c r="X1419" s="18"/>
    </row>
    <row r="1420" spans="13:24">
      <c r="M1420" s="558">
        <f t="shared" si="71"/>
        <v>1418</v>
      </c>
      <c r="N1420" s="15">
        <f t="shared" si="69"/>
        <v>0.47299966670863952</v>
      </c>
      <c r="O1420" s="165">
        <f t="shared" si="70"/>
        <v>0.44</v>
      </c>
      <c r="P1420" s="18"/>
      <c r="Q1420" s="18"/>
      <c r="R1420" s="18"/>
      <c r="S1420" s="18"/>
      <c r="T1420" s="18"/>
      <c r="U1420" s="18"/>
      <c r="V1420" s="18"/>
      <c r="W1420" s="18"/>
      <c r="X1420" s="18"/>
    </row>
    <row r="1421" spans="13:24">
      <c r="M1421" s="558">
        <f t="shared" si="71"/>
        <v>1419</v>
      </c>
      <c r="N1421" s="15">
        <f t="shared" si="69"/>
        <v>0.47285312106015676</v>
      </c>
      <c r="O1421" s="165">
        <f t="shared" si="70"/>
        <v>0.44</v>
      </c>
      <c r="P1421" s="18"/>
      <c r="Q1421" s="18"/>
      <c r="R1421" s="18"/>
      <c r="S1421" s="18"/>
      <c r="T1421" s="18"/>
      <c r="U1421" s="18"/>
      <c r="V1421" s="18"/>
      <c r="W1421" s="18"/>
      <c r="X1421" s="18"/>
    </row>
    <row r="1422" spans="13:24">
      <c r="M1422" s="558">
        <f t="shared" si="71"/>
        <v>1420</v>
      </c>
      <c r="N1422" s="15">
        <f t="shared" si="69"/>
        <v>0.47270669484964134</v>
      </c>
      <c r="O1422" s="165">
        <f t="shared" si="70"/>
        <v>0.44</v>
      </c>
      <c r="P1422" s="18"/>
      <c r="Q1422" s="18"/>
      <c r="R1422" s="18"/>
      <c r="S1422" s="18"/>
      <c r="T1422" s="18"/>
      <c r="U1422" s="18"/>
      <c r="V1422" s="18"/>
      <c r="W1422" s="18"/>
      <c r="X1422" s="18"/>
    </row>
    <row r="1423" spans="13:24">
      <c r="M1423" s="558">
        <f t="shared" si="71"/>
        <v>1421</v>
      </c>
      <c r="N1423" s="15">
        <f t="shared" si="69"/>
        <v>0.47256038792720811</v>
      </c>
      <c r="O1423" s="165">
        <f t="shared" si="70"/>
        <v>0.44</v>
      </c>
      <c r="P1423" s="18"/>
      <c r="Q1423" s="18"/>
      <c r="R1423" s="18"/>
      <c r="S1423" s="18"/>
      <c r="T1423" s="18"/>
      <c r="U1423" s="18"/>
      <c r="V1423" s="18"/>
      <c r="W1423" s="18"/>
      <c r="X1423" s="18"/>
    </row>
    <row r="1424" spans="13:24">
      <c r="M1424" s="558">
        <f t="shared" si="71"/>
        <v>1422</v>
      </c>
      <c r="N1424" s="15">
        <f t="shared" si="69"/>
        <v>0.47241420014316032</v>
      </c>
      <c r="O1424" s="165">
        <f t="shared" si="70"/>
        <v>0.44</v>
      </c>
      <c r="P1424" s="18"/>
      <c r="Q1424" s="18"/>
      <c r="R1424" s="18"/>
      <c r="S1424" s="18"/>
      <c r="T1424" s="18"/>
      <c r="U1424" s="18"/>
      <c r="V1424" s="18"/>
      <c r="W1424" s="18"/>
      <c r="X1424" s="18"/>
    </row>
    <row r="1425" spans="13:24">
      <c r="M1425" s="558">
        <f t="shared" si="71"/>
        <v>1423</v>
      </c>
      <c r="N1425" s="15">
        <f t="shared" si="69"/>
        <v>0.47226813134798867</v>
      </c>
      <c r="O1425" s="165">
        <f t="shared" si="70"/>
        <v>0.44</v>
      </c>
      <c r="P1425" s="18"/>
      <c r="Q1425" s="18"/>
      <c r="R1425" s="18"/>
      <c r="S1425" s="18"/>
      <c r="T1425" s="18"/>
      <c r="U1425" s="18"/>
      <c r="V1425" s="18"/>
      <c r="W1425" s="18"/>
      <c r="X1425" s="18"/>
    </row>
    <row r="1426" spans="13:24">
      <c r="M1426" s="558">
        <f t="shared" si="71"/>
        <v>1424</v>
      </c>
      <c r="N1426" s="15">
        <f t="shared" si="69"/>
        <v>0.47212218139237172</v>
      </c>
      <c r="O1426" s="165">
        <f t="shared" si="70"/>
        <v>0.44</v>
      </c>
      <c r="P1426" s="18"/>
      <c r="Q1426" s="18"/>
      <c r="R1426" s="18"/>
      <c r="S1426" s="18"/>
      <c r="T1426" s="18"/>
      <c r="U1426" s="18"/>
      <c r="V1426" s="18"/>
      <c r="W1426" s="18"/>
      <c r="X1426" s="18"/>
    </row>
    <row r="1427" spans="13:24">
      <c r="M1427" s="558">
        <f t="shared" si="71"/>
        <v>1425</v>
      </c>
      <c r="N1427" s="15">
        <f t="shared" si="69"/>
        <v>0.47197635012717548</v>
      </c>
      <c r="O1427" s="165">
        <f t="shared" si="70"/>
        <v>0.44</v>
      </c>
      <c r="P1427" s="18"/>
      <c r="Q1427" s="18"/>
      <c r="R1427" s="18"/>
      <c r="S1427" s="18"/>
      <c r="T1427" s="18"/>
      <c r="U1427" s="18"/>
      <c r="V1427" s="18"/>
      <c r="W1427" s="18"/>
      <c r="X1427" s="18"/>
    </row>
    <row r="1428" spans="13:24">
      <c r="M1428" s="558">
        <f t="shared" si="71"/>
        <v>1426</v>
      </c>
      <c r="N1428" s="15">
        <f t="shared" si="69"/>
        <v>0.47183063740345288</v>
      </c>
      <c r="O1428" s="165">
        <f t="shared" si="70"/>
        <v>0.44</v>
      </c>
      <c r="P1428" s="18"/>
      <c r="Q1428" s="18"/>
      <c r="R1428" s="18"/>
      <c r="S1428" s="18"/>
      <c r="T1428" s="18"/>
      <c r="U1428" s="18"/>
      <c r="V1428" s="18"/>
      <c r="W1428" s="18"/>
      <c r="X1428" s="18"/>
    </row>
    <row r="1429" spans="13:24">
      <c r="M1429" s="558">
        <f t="shared" si="71"/>
        <v>1427</v>
      </c>
      <c r="N1429" s="15">
        <f t="shared" si="69"/>
        <v>0.47168504307244385</v>
      </c>
      <c r="O1429" s="165">
        <f t="shared" si="70"/>
        <v>0.44</v>
      </c>
      <c r="P1429" s="18"/>
      <c r="Q1429" s="18"/>
      <c r="R1429" s="18"/>
      <c r="S1429" s="18"/>
      <c r="T1429" s="18"/>
      <c r="U1429" s="18"/>
      <c r="V1429" s="18"/>
      <c r="W1429" s="18"/>
      <c r="X1429" s="18"/>
    </row>
    <row r="1430" spans="13:24">
      <c r="M1430" s="558">
        <f t="shared" si="71"/>
        <v>1428</v>
      </c>
      <c r="N1430" s="15">
        <f t="shared" si="69"/>
        <v>0.47153956698557525</v>
      </c>
      <c r="O1430" s="165">
        <f t="shared" si="70"/>
        <v>0.44</v>
      </c>
      <c r="P1430" s="18"/>
      <c r="Q1430" s="18"/>
      <c r="R1430" s="18"/>
      <c r="S1430" s="18"/>
      <c r="T1430" s="18"/>
      <c r="U1430" s="18"/>
      <c r="V1430" s="18"/>
      <c r="W1430" s="18"/>
      <c r="X1430" s="18"/>
    </row>
    <row r="1431" spans="13:24">
      <c r="M1431" s="558">
        <f t="shared" si="71"/>
        <v>1429</v>
      </c>
      <c r="N1431" s="15">
        <f t="shared" si="69"/>
        <v>0.47139420899446022</v>
      </c>
      <c r="O1431" s="165">
        <f t="shared" si="70"/>
        <v>0.44</v>
      </c>
      <c r="P1431" s="18"/>
      <c r="Q1431" s="18"/>
      <c r="R1431" s="18"/>
      <c r="S1431" s="18"/>
      <c r="T1431" s="18"/>
      <c r="U1431" s="18"/>
      <c r="V1431" s="18"/>
      <c r="W1431" s="18"/>
      <c r="X1431" s="18"/>
    </row>
    <row r="1432" spans="13:24">
      <c r="M1432" s="558">
        <f t="shared" si="71"/>
        <v>1430</v>
      </c>
      <c r="N1432" s="15">
        <f t="shared" si="69"/>
        <v>0.47124896895089757</v>
      </c>
      <c r="O1432" s="165">
        <f t="shared" si="70"/>
        <v>0.44</v>
      </c>
      <c r="P1432" s="18"/>
      <c r="Q1432" s="18"/>
      <c r="R1432" s="18"/>
      <c r="S1432" s="18"/>
      <c r="T1432" s="18"/>
      <c r="U1432" s="18"/>
      <c r="V1432" s="18"/>
      <c r="W1432" s="18"/>
      <c r="X1432" s="18"/>
    </row>
    <row r="1433" spans="13:24">
      <c r="M1433" s="558">
        <f t="shared" si="71"/>
        <v>1431</v>
      </c>
      <c r="N1433" s="15">
        <f t="shared" si="69"/>
        <v>0.47110384670687311</v>
      </c>
      <c r="O1433" s="165">
        <f t="shared" si="70"/>
        <v>0.44</v>
      </c>
      <c r="P1433" s="18"/>
      <c r="Q1433" s="18"/>
      <c r="R1433" s="18"/>
      <c r="S1433" s="18"/>
      <c r="T1433" s="18"/>
      <c r="U1433" s="18"/>
      <c r="V1433" s="18"/>
      <c r="W1433" s="18"/>
      <c r="X1433" s="18"/>
    </row>
    <row r="1434" spans="13:24">
      <c r="M1434" s="558">
        <f t="shared" si="71"/>
        <v>1432</v>
      </c>
      <c r="N1434" s="15">
        <f t="shared" si="69"/>
        <v>0.47095884211455769</v>
      </c>
      <c r="O1434" s="165">
        <f t="shared" si="70"/>
        <v>0.44</v>
      </c>
      <c r="P1434" s="18"/>
      <c r="Q1434" s="18"/>
      <c r="R1434" s="18"/>
      <c r="S1434" s="18"/>
      <c r="T1434" s="18"/>
      <c r="U1434" s="18"/>
      <c r="V1434" s="18"/>
      <c r="W1434" s="18"/>
      <c r="X1434" s="18"/>
    </row>
    <row r="1435" spans="13:24">
      <c r="M1435" s="558">
        <f t="shared" si="71"/>
        <v>1433</v>
      </c>
      <c r="N1435" s="15">
        <f t="shared" si="69"/>
        <v>0.4708139550263078</v>
      </c>
      <c r="O1435" s="165">
        <f t="shared" si="70"/>
        <v>0.44</v>
      </c>
      <c r="P1435" s="18"/>
      <c r="Q1435" s="18"/>
      <c r="R1435" s="18"/>
      <c r="S1435" s="18"/>
      <c r="T1435" s="18"/>
      <c r="U1435" s="18"/>
      <c r="V1435" s="18"/>
      <c r="W1435" s="18"/>
      <c r="X1435" s="18"/>
    </row>
    <row r="1436" spans="13:24">
      <c r="M1436" s="558">
        <f t="shared" si="71"/>
        <v>1434</v>
      </c>
      <c r="N1436" s="15">
        <f t="shared" si="69"/>
        <v>0.47066918529466539</v>
      </c>
      <c r="O1436" s="165">
        <f t="shared" si="70"/>
        <v>0.44</v>
      </c>
      <c r="P1436" s="18"/>
      <c r="Q1436" s="18"/>
      <c r="R1436" s="18"/>
      <c r="S1436" s="18"/>
      <c r="T1436" s="18"/>
      <c r="U1436" s="18"/>
      <c r="V1436" s="18"/>
      <c r="W1436" s="18"/>
      <c r="X1436" s="18"/>
    </row>
    <row r="1437" spans="13:24">
      <c r="M1437" s="558">
        <f t="shared" si="71"/>
        <v>1435</v>
      </c>
      <c r="N1437" s="15">
        <f t="shared" si="69"/>
        <v>0.47052453277235734</v>
      </c>
      <c r="O1437" s="165">
        <f t="shared" si="70"/>
        <v>0.44</v>
      </c>
      <c r="P1437" s="18"/>
      <c r="Q1437" s="18"/>
      <c r="R1437" s="18"/>
      <c r="S1437" s="18"/>
      <c r="T1437" s="18"/>
      <c r="U1437" s="18"/>
      <c r="V1437" s="18"/>
      <c r="W1437" s="18"/>
      <c r="X1437" s="18"/>
    </row>
    <row r="1438" spans="13:24">
      <c r="M1438" s="558">
        <f t="shared" si="71"/>
        <v>1436</v>
      </c>
      <c r="N1438" s="15">
        <f t="shared" si="69"/>
        <v>0.47037999731229518</v>
      </c>
      <c r="O1438" s="165">
        <f t="shared" si="70"/>
        <v>0.44</v>
      </c>
      <c r="P1438" s="18"/>
      <c r="Q1438" s="18"/>
      <c r="R1438" s="18"/>
      <c r="S1438" s="18"/>
      <c r="T1438" s="18"/>
      <c r="U1438" s="18"/>
      <c r="V1438" s="18"/>
      <c r="W1438" s="18"/>
      <c r="X1438" s="18"/>
    </row>
    <row r="1439" spans="13:24">
      <c r="M1439" s="558">
        <f t="shared" si="71"/>
        <v>1437</v>
      </c>
      <c r="N1439" s="15">
        <f t="shared" si="69"/>
        <v>0.47023557876757549</v>
      </c>
      <c r="O1439" s="165">
        <f t="shared" si="70"/>
        <v>0.44</v>
      </c>
      <c r="P1439" s="18"/>
      <c r="Q1439" s="18"/>
      <c r="R1439" s="18"/>
      <c r="S1439" s="18"/>
      <c r="T1439" s="18"/>
      <c r="U1439" s="18"/>
      <c r="V1439" s="18"/>
      <c r="W1439" s="18"/>
      <c r="X1439" s="18"/>
    </row>
    <row r="1440" spans="13:24">
      <c r="M1440" s="558">
        <f t="shared" si="71"/>
        <v>1438</v>
      </c>
      <c r="N1440" s="15">
        <f t="shared" si="69"/>
        <v>0.47009127699147868</v>
      </c>
      <c r="O1440" s="165">
        <f t="shared" si="70"/>
        <v>0.44</v>
      </c>
      <c r="P1440" s="18"/>
      <c r="Q1440" s="18"/>
      <c r="R1440" s="18"/>
      <c r="S1440" s="18"/>
      <c r="T1440" s="18"/>
      <c r="U1440" s="18"/>
      <c r="V1440" s="18"/>
      <c r="W1440" s="18"/>
      <c r="X1440" s="18"/>
    </row>
    <row r="1441" spans="13:24">
      <c r="M1441" s="558">
        <f t="shared" si="71"/>
        <v>1439</v>
      </c>
      <c r="N1441" s="15">
        <f t="shared" si="69"/>
        <v>0.46994709183746941</v>
      </c>
      <c r="O1441" s="165">
        <f t="shared" si="70"/>
        <v>0.44</v>
      </c>
      <c r="P1441" s="18"/>
      <c r="Q1441" s="18"/>
      <c r="R1441" s="18"/>
      <c r="S1441" s="18"/>
      <c r="T1441" s="18"/>
      <c r="U1441" s="18"/>
      <c r="V1441" s="18"/>
      <c r="W1441" s="18"/>
      <c r="X1441" s="18"/>
    </row>
    <row r="1442" spans="13:24">
      <c r="M1442" s="558">
        <f t="shared" si="71"/>
        <v>1440</v>
      </c>
      <c r="N1442" s="15">
        <f t="shared" si="69"/>
        <v>0.4698030231591967</v>
      </c>
      <c r="O1442" s="165">
        <f t="shared" si="70"/>
        <v>0.44</v>
      </c>
      <c r="P1442" s="18"/>
      <c r="Q1442" s="18"/>
      <c r="R1442" s="18"/>
      <c r="S1442" s="18"/>
      <c r="T1442" s="18"/>
      <c r="U1442" s="18"/>
      <c r="V1442" s="18"/>
      <c r="W1442" s="18"/>
      <c r="X1442" s="18"/>
    </row>
    <row r="1443" spans="13:24">
      <c r="M1443" s="558">
        <f t="shared" si="71"/>
        <v>1441</v>
      </c>
      <c r="N1443" s="15">
        <f t="shared" si="69"/>
        <v>0.46965907081049252</v>
      </c>
      <c r="O1443" s="165">
        <f t="shared" si="70"/>
        <v>0.44</v>
      </c>
      <c r="P1443" s="18"/>
      <c r="Q1443" s="18"/>
      <c r="R1443" s="18"/>
      <c r="S1443" s="18"/>
      <c r="T1443" s="18"/>
      <c r="U1443" s="18"/>
      <c r="V1443" s="18"/>
      <c r="W1443" s="18"/>
      <c r="X1443" s="18"/>
    </row>
    <row r="1444" spans="13:24">
      <c r="M1444" s="558">
        <f t="shared" si="71"/>
        <v>1442</v>
      </c>
      <c r="N1444" s="15">
        <f t="shared" si="69"/>
        <v>0.4695152346453727</v>
      </c>
      <c r="O1444" s="165">
        <f t="shared" si="70"/>
        <v>0.44</v>
      </c>
      <c r="P1444" s="18"/>
      <c r="Q1444" s="18"/>
      <c r="R1444" s="18"/>
      <c r="S1444" s="18"/>
      <c r="T1444" s="18"/>
      <c r="U1444" s="18"/>
      <c r="V1444" s="18"/>
      <c r="W1444" s="18"/>
      <c r="X1444" s="18"/>
    </row>
    <row r="1445" spans="13:24">
      <c r="M1445" s="558">
        <f t="shared" si="71"/>
        <v>1443</v>
      </c>
      <c r="N1445" s="15">
        <f t="shared" si="69"/>
        <v>0.46937151451803627</v>
      </c>
      <c r="O1445" s="165">
        <f t="shared" si="70"/>
        <v>0.44</v>
      </c>
      <c r="P1445" s="18"/>
      <c r="Q1445" s="18"/>
      <c r="R1445" s="18"/>
      <c r="S1445" s="18"/>
      <c r="T1445" s="18"/>
      <c r="U1445" s="18"/>
      <c r="V1445" s="18"/>
      <c r="W1445" s="18"/>
      <c r="X1445" s="18"/>
    </row>
    <row r="1446" spans="13:24">
      <c r="M1446" s="558">
        <f t="shared" si="71"/>
        <v>1444</v>
      </c>
      <c r="N1446" s="15">
        <f t="shared" si="69"/>
        <v>0.46922791028286509</v>
      </c>
      <c r="O1446" s="165">
        <f t="shared" si="70"/>
        <v>0.44</v>
      </c>
      <c r="P1446" s="18"/>
      <c r="Q1446" s="18"/>
      <c r="R1446" s="18"/>
      <c r="S1446" s="18"/>
      <c r="T1446" s="18"/>
      <c r="U1446" s="18"/>
      <c r="V1446" s="18"/>
      <c r="W1446" s="18"/>
      <c r="X1446" s="18"/>
    </row>
    <row r="1447" spans="13:24">
      <c r="M1447" s="558">
        <f t="shared" si="71"/>
        <v>1445</v>
      </c>
      <c r="N1447" s="15">
        <f t="shared" si="69"/>
        <v>0.46908442179442367</v>
      </c>
      <c r="O1447" s="165">
        <f t="shared" si="70"/>
        <v>0.44</v>
      </c>
      <c r="P1447" s="18"/>
      <c r="Q1447" s="18"/>
      <c r="R1447" s="18"/>
      <c r="S1447" s="18"/>
      <c r="T1447" s="18"/>
      <c r="U1447" s="18"/>
      <c r="V1447" s="18"/>
      <c r="W1447" s="18"/>
      <c r="X1447" s="18"/>
    </row>
    <row r="1448" spans="13:24">
      <c r="M1448" s="558">
        <f t="shared" si="71"/>
        <v>1446</v>
      </c>
      <c r="N1448" s="15">
        <f t="shared" si="69"/>
        <v>0.46894104890745919</v>
      </c>
      <c r="O1448" s="165">
        <f t="shared" si="70"/>
        <v>0.44</v>
      </c>
      <c r="P1448" s="18"/>
      <c r="Q1448" s="18"/>
      <c r="R1448" s="18"/>
      <c r="S1448" s="18"/>
      <c r="T1448" s="18"/>
      <c r="U1448" s="18"/>
      <c r="V1448" s="18"/>
      <c r="W1448" s="18"/>
      <c r="X1448" s="18"/>
    </row>
    <row r="1449" spans="13:24">
      <c r="M1449" s="558">
        <f t="shared" si="71"/>
        <v>1447</v>
      </c>
      <c r="N1449" s="15">
        <f t="shared" si="69"/>
        <v>0.46879779147690126</v>
      </c>
      <c r="O1449" s="165">
        <f t="shared" si="70"/>
        <v>0.44</v>
      </c>
      <c r="P1449" s="18"/>
      <c r="Q1449" s="18"/>
      <c r="R1449" s="18"/>
      <c r="S1449" s="18"/>
      <c r="T1449" s="18"/>
      <c r="U1449" s="18"/>
      <c r="V1449" s="18"/>
      <c r="W1449" s="18"/>
      <c r="X1449" s="18"/>
    </row>
    <row r="1450" spans="13:24">
      <c r="M1450" s="558">
        <f t="shared" si="71"/>
        <v>1448</v>
      </c>
      <c r="N1450" s="15">
        <f t="shared" si="69"/>
        <v>0.46865464935786127</v>
      </c>
      <c r="O1450" s="165">
        <f t="shared" si="70"/>
        <v>0.44</v>
      </c>
      <c r="P1450" s="18"/>
      <c r="Q1450" s="18"/>
      <c r="R1450" s="18"/>
      <c r="S1450" s="18"/>
      <c r="T1450" s="18"/>
      <c r="U1450" s="18"/>
      <c r="V1450" s="18"/>
      <c r="W1450" s="18"/>
      <c r="X1450" s="18"/>
    </row>
    <row r="1451" spans="13:24">
      <c r="M1451" s="558">
        <f t="shared" si="71"/>
        <v>1449</v>
      </c>
      <c r="N1451" s="15">
        <f t="shared" si="69"/>
        <v>0.46851162240563227</v>
      </c>
      <c r="O1451" s="165">
        <f t="shared" si="70"/>
        <v>0.44</v>
      </c>
      <c r="P1451" s="18"/>
      <c r="Q1451" s="18"/>
      <c r="R1451" s="18"/>
      <c r="S1451" s="18"/>
      <c r="T1451" s="18"/>
      <c r="U1451" s="18"/>
      <c r="V1451" s="18"/>
      <c r="W1451" s="18"/>
      <c r="X1451" s="18"/>
    </row>
    <row r="1452" spans="13:24">
      <c r="M1452" s="558">
        <f t="shared" si="71"/>
        <v>1450</v>
      </c>
      <c r="N1452" s="15">
        <f t="shared" si="69"/>
        <v>0.46836871047568962</v>
      </c>
      <c r="O1452" s="165">
        <f t="shared" si="70"/>
        <v>0.44</v>
      </c>
      <c r="P1452" s="18"/>
      <c r="Q1452" s="18"/>
      <c r="R1452" s="18"/>
      <c r="S1452" s="18"/>
      <c r="T1452" s="18"/>
      <c r="U1452" s="18"/>
      <c r="V1452" s="18"/>
      <c r="W1452" s="18"/>
      <c r="X1452" s="18"/>
    </row>
    <row r="1453" spans="13:24">
      <c r="M1453" s="558">
        <f t="shared" si="71"/>
        <v>1451</v>
      </c>
      <c r="N1453" s="15">
        <f t="shared" si="69"/>
        <v>0.4682259134236893</v>
      </c>
      <c r="O1453" s="165">
        <f t="shared" si="70"/>
        <v>0.44</v>
      </c>
      <c r="P1453" s="18"/>
      <c r="Q1453" s="18"/>
      <c r="R1453" s="18"/>
      <c r="S1453" s="18"/>
      <c r="T1453" s="18"/>
      <c r="U1453" s="18"/>
      <c r="V1453" s="18"/>
      <c r="W1453" s="18"/>
      <c r="X1453" s="18"/>
    </row>
    <row r="1454" spans="13:24">
      <c r="M1454" s="558">
        <f t="shared" si="71"/>
        <v>1452</v>
      </c>
      <c r="N1454" s="15">
        <f t="shared" si="69"/>
        <v>0.46808323110546868</v>
      </c>
      <c r="O1454" s="165">
        <f t="shared" si="70"/>
        <v>0.44</v>
      </c>
      <c r="P1454" s="18"/>
      <c r="Q1454" s="18"/>
      <c r="R1454" s="18"/>
      <c r="S1454" s="18"/>
      <c r="T1454" s="18"/>
      <c r="U1454" s="18"/>
      <c r="V1454" s="18"/>
      <c r="W1454" s="18"/>
      <c r="X1454" s="18"/>
    </row>
    <row r="1455" spans="13:24">
      <c r="M1455" s="558">
        <f t="shared" si="71"/>
        <v>1453</v>
      </c>
      <c r="N1455" s="15">
        <f t="shared" si="69"/>
        <v>0.46794066337704626</v>
      </c>
      <c r="O1455" s="165">
        <f t="shared" si="70"/>
        <v>0.44</v>
      </c>
      <c r="P1455" s="18"/>
      <c r="Q1455" s="18"/>
      <c r="R1455" s="18"/>
      <c r="S1455" s="18"/>
      <c r="T1455" s="18"/>
      <c r="U1455" s="18"/>
      <c r="V1455" s="18"/>
      <c r="W1455" s="18"/>
      <c r="X1455" s="18"/>
    </row>
    <row r="1456" spans="13:24">
      <c r="M1456" s="558">
        <f t="shared" si="71"/>
        <v>1454</v>
      </c>
      <c r="N1456" s="15">
        <f t="shared" si="69"/>
        <v>0.46779821009462097</v>
      </c>
      <c r="O1456" s="165">
        <f t="shared" si="70"/>
        <v>0.44</v>
      </c>
      <c r="P1456" s="18"/>
      <c r="Q1456" s="18"/>
      <c r="R1456" s="18"/>
      <c r="S1456" s="18"/>
      <c r="T1456" s="18"/>
      <c r="U1456" s="18"/>
      <c r="V1456" s="18"/>
      <c r="W1456" s="18"/>
      <c r="X1456" s="18"/>
    </row>
    <row r="1457" spans="13:24">
      <c r="M1457" s="558">
        <f t="shared" si="71"/>
        <v>1455</v>
      </c>
      <c r="N1457" s="15">
        <f t="shared" si="69"/>
        <v>0.46765587111457219</v>
      </c>
      <c r="O1457" s="165">
        <f t="shared" si="70"/>
        <v>0.44</v>
      </c>
      <c r="P1457" s="18"/>
      <c r="Q1457" s="18"/>
      <c r="R1457" s="18"/>
      <c r="S1457" s="18"/>
      <c r="T1457" s="18"/>
      <c r="U1457" s="18"/>
      <c r="V1457" s="18"/>
      <c r="W1457" s="18"/>
      <c r="X1457" s="18"/>
    </row>
    <row r="1458" spans="13:24">
      <c r="M1458" s="558">
        <f t="shared" si="71"/>
        <v>1456</v>
      </c>
      <c r="N1458" s="15">
        <f t="shared" si="69"/>
        <v>0.46751364629345987</v>
      </c>
      <c r="O1458" s="165">
        <f t="shared" si="70"/>
        <v>0.44</v>
      </c>
      <c r="P1458" s="18"/>
      <c r="Q1458" s="18"/>
      <c r="R1458" s="18"/>
      <c r="S1458" s="18"/>
      <c r="T1458" s="18"/>
      <c r="U1458" s="18"/>
      <c r="V1458" s="18"/>
      <c r="W1458" s="18"/>
      <c r="X1458" s="18"/>
    </row>
    <row r="1459" spans="13:24">
      <c r="M1459" s="558">
        <f t="shared" si="71"/>
        <v>1457</v>
      </c>
      <c r="N1459" s="15">
        <f t="shared" si="69"/>
        <v>0.46737153548802335</v>
      </c>
      <c r="O1459" s="165">
        <f t="shared" si="70"/>
        <v>0.44</v>
      </c>
      <c r="P1459" s="18"/>
      <c r="Q1459" s="18"/>
      <c r="R1459" s="18"/>
      <c r="S1459" s="18"/>
      <c r="T1459" s="18"/>
      <c r="U1459" s="18"/>
      <c r="V1459" s="18"/>
      <c r="W1459" s="18"/>
      <c r="X1459" s="18"/>
    </row>
    <row r="1460" spans="13:24">
      <c r="M1460" s="558">
        <f t="shared" si="71"/>
        <v>1458</v>
      </c>
      <c r="N1460" s="15">
        <f t="shared" si="69"/>
        <v>0.4672295385551824</v>
      </c>
      <c r="O1460" s="165">
        <f t="shared" si="70"/>
        <v>0.44</v>
      </c>
      <c r="P1460" s="18"/>
      <c r="Q1460" s="18"/>
      <c r="R1460" s="18"/>
      <c r="S1460" s="18"/>
      <c r="T1460" s="18"/>
      <c r="U1460" s="18"/>
      <c r="V1460" s="18"/>
      <c r="W1460" s="18"/>
      <c r="X1460" s="18"/>
    </row>
    <row r="1461" spans="13:24">
      <c r="M1461" s="558">
        <f t="shared" si="71"/>
        <v>1459</v>
      </c>
      <c r="N1461" s="15">
        <f t="shared" si="69"/>
        <v>0.467087655352036</v>
      </c>
      <c r="O1461" s="165">
        <f t="shared" si="70"/>
        <v>0.44</v>
      </c>
      <c r="P1461" s="18"/>
      <c r="Q1461" s="18"/>
      <c r="R1461" s="18"/>
      <c r="S1461" s="18"/>
      <c r="T1461" s="18"/>
      <c r="U1461" s="18"/>
      <c r="V1461" s="18"/>
      <c r="W1461" s="18"/>
      <c r="X1461" s="18"/>
    </row>
    <row r="1462" spans="13:24">
      <c r="M1462" s="558">
        <f t="shared" si="71"/>
        <v>1460</v>
      </c>
      <c r="N1462" s="15">
        <f t="shared" si="69"/>
        <v>0.46694588573586238</v>
      </c>
      <c r="O1462" s="165">
        <f t="shared" si="70"/>
        <v>0.44</v>
      </c>
      <c r="P1462" s="18"/>
      <c r="Q1462" s="18"/>
      <c r="R1462" s="18"/>
      <c r="S1462" s="18"/>
      <c r="T1462" s="18"/>
      <c r="U1462" s="18"/>
      <c r="V1462" s="18"/>
      <c r="W1462" s="18"/>
      <c r="X1462" s="18"/>
    </row>
    <row r="1463" spans="13:24">
      <c r="M1463" s="558">
        <f t="shared" si="71"/>
        <v>1461</v>
      </c>
      <c r="N1463" s="15">
        <f t="shared" si="69"/>
        <v>0.46680422956411904</v>
      </c>
      <c r="O1463" s="165">
        <f t="shared" si="70"/>
        <v>0.44</v>
      </c>
      <c r="P1463" s="18"/>
      <c r="Q1463" s="18"/>
      <c r="R1463" s="18"/>
      <c r="S1463" s="18"/>
      <c r="T1463" s="18"/>
      <c r="U1463" s="18"/>
      <c r="V1463" s="18"/>
      <c r="W1463" s="18"/>
      <c r="X1463" s="18"/>
    </row>
    <row r="1464" spans="13:24">
      <c r="M1464" s="558">
        <f t="shared" si="71"/>
        <v>1462</v>
      </c>
      <c r="N1464" s="15">
        <f t="shared" si="69"/>
        <v>0.4666626866944425</v>
      </c>
      <c r="O1464" s="165">
        <f t="shared" si="70"/>
        <v>0.44</v>
      </c>
      <c r="P1464" s="18"/>
      <c r="Q1464" s="18"/>
      <c r="R1464" s="18"/>
      <c r="S1464" s="18"/>
      <c r="T1464" s="18"/>
      <c r="U1464" s="18"/>
      <c r="V1464" s="18"/>
      <c r="W1464" s="18"/>
      <c r="X1464" s="18"/>
    </row>
    <row r="1465" spans="13:24">
      <c r="M1465" s="558">
        <f t="shared" si="71"/>
        <v>1463</v>
      </c>
      <c r="N1465" s="15">
        <f t="shared" si="69"/>
        <v>0.46652125698464769</v>
      </c>
      <c r="O1465" s="165">
        <f t="shared" si="70"/>
        <v>0.44</v>
      </c>
      <c r="P1465" s="18"/>
      <c r="Q1465" s="18"/>
      <c r="R1465" s="18"/>
      <c r="S1465" s="18"/>
      <c r="T1465" s="18"/>
      <c r="U1465" s="18"/>
      <c r="V1465" s="18"/>
      <c r="W1465" s="18"/>
      <c r="X1465" s="18"/>
    </row>
    <row r="1466" spans="13:24">
      <c r="M1466" s="558">
        <f t="shared" si="71"/>
        <v>1464</v>
      </c>
      <c r="N1466" s="15">
        <f t="shared" si="69"/>
        <v>0.46637994029272778</v>
      </c>
      <c r="O1466" s="165">
        <f t="shared" si="70"/>
        <v>0.44</v>
      </c>
      <c r="P1466" s="18"/>
      <c r="Q1466" s="18"/>
      <c r="R1466" s="18"/>
      <c r="S1466" s="18"/>
      <c r="T1466" s="18"/>
      <c r="U1466" s="18"/>
      <c r="V1466" s="18"/>
      <c r="W1466" s="18"/>
      <c r="X1466" s="18"/>
    </row>
    <row r="1467" spans="13:24">
      <c r="M1467" s="558">
        <f t="shared" si="71"/>
        <v>1465</v>
      </c>
      <c r="N1467" s="15">
        <f t="shared" si="69"/>
        <v>0.46623873647685488</v>
      </c>
      <c r="O1467" s="165">
        <f t="shared" si="70"/>
        <v>0.44</v>
      </c>
      <c r="P1467" s="18"/>
      <c r="Q1467" s="18"/>
      <c r="R1467" s="18"/>
      <c r="S1467" s="18"/>
      <c r="T1467" s="18"/>
      <c r="U1467" s="18"/>
      <c r="V1467" s="18"/>
      <c r="W1467" s="18"/>
      <c r="X1467" s="18"/>
    </row>
    <row r="1468" spans="13:24">
      <c r="M1468" s="558">
        <f t="shared" si="71"/>
        <v>1466</v>
      </c>
      <c r="N1468" s="15">
        <f t="shared" si="69"/>
        <v>0.4660976453953784</v>
      </c>
      <c r="O1468" s="165">
        <f t="shared" si="70"/>
        <v>0.44</v>
      </c>
      <c r="P1468" s="18"/>
      <c r="Q1468" s="18"/>
      <c r="R1468" s="18"/>
      <c r="S1468" s="18"/>
      <c r="T1468" s="18"/>
      <c r="U1468" s="18"/>
      <c r="V1468" s="18"/>
      <c r="W1468" s="18"/>
      <c r="X1468" s="18"/>
    </row>
    <row r="1469" spans="13:24">
      <c r="M1469" s="558">
        <f t="shared" si="71"/>
        <v>1467</v>
      </c>
      <c r="N1469" s="15">
        <f t="shared" si="69"/>
        <v>0.46595666690682558</v>
      </c>
      <c r="O1469" s="165">
        <f t="shared" si="70"/>
        <v>0.44</v>
      </c>
      <c r="P1469" s="18"/>
      <c r="Q1469" s="18"/>
      <c r="R1469" s="18"/>
      <c r="S1469" s="18"/>
      <c r="T1469" s="18"/>
      <c r="U1469" s="18"/>
      <c r="V1469" s="18"/>
      <c r="W1469" s="18"/>
      <c r="X1469" s="18"/>
    </row>
    <row r="1470" spans="13:24">
      <c r="M1470" s="558">
        <f t="shared" si="71"/>
        <v>1468</v>
      </c>
      <c r="N1470" s="15">
        <f t="shared" si="69"/>
        <v>0.46581580086990149</v>
      </c>
      <c r="O1470" s="165">
        <f t="shared" si="70"/>
        <v>0.44</v>
      </c>
      <c r="P1470" s="18"/>
      <c r="Q1470" s="18"/>
      <c r="R1470" s="18"/>
      <c r="S1470" s="18"/>
      <c r="T1470" s="18"/>
      <c r="U1470" s="18"/>
      <c r="V1470" s="18"/>
      <c r="W1470" s="18"/>
      <c r="X1470" s="18"/>
    </row>
    <row r="1471" spans="13:24">
      <c r="M1471" s="558">
        <f t="shared" si="71"/>
        <v>1469</v>
      </c>
      <c r="N1471" s="15">
        <f t="shared" si="69"/>
        <v>0.46567504714348845</v>
      </c>
      <c r="O1471" s="165">
        <f t="shared" si="70"/>
        <v>0.44</v>
      </c>
      <c r="P1471" s="18"/>
      <c r="Q1471" s="18"/>
      <c r="R1471" s="18"/>
      <c r="S1471" s="18"/>
      <c r="T1471" s="18"/>
      <c r="U1471" s="18"/>
      <c r="V1471" s="18"/>
      <c r="W1471" s="18"/>
      <c r="X1471" s="18"/>
    </row>
    <row r="1472" spans="13:24">
      <c r="M1472" s="558">
        <f t="shared" si="71"/>
        <v>1470</v>
      </c>
      <c r="N1472" s="15">
        <f t="shared" si="69"/>
        <v>0.46553440558664555</v>
      </c>
      <c r="O1472" s="165">
        <f t="shared" si="70"/>
        <v>0.44</v>
      </c>
      <c r="P1472" s="18"/>
      <c r="Q1472" s="18"/>
      <c r="R1472" s="18"/>
      <c r="S1472" s="18"/>
      <c r="T1472" s="18"/>
      <c r="U1472" s="18"/>
      <c r="V1472" s="18"/>
      <c r="W1472" s="18"/>
      <c r="X1472" s="18"/>
    </row>
    <row r="1473" spans="13:24">
      <c r="M1473" s="558">
        <f t="shared" si="71"/>
        <v>1471</v>
      </c>
      <c r="N1473" s="15">
        <f t="shared" si="69"/>
        <v>0.46539387605860921</v>
      </c>
      <c r="O1473" s="165">
        <f t="shared" si="70"/>
        <v>0.44</v>
      </c>
      <c r="P1473" s="18"/>
      <c r="Q1473" s="18"/>
      <c r="R1473" s="18"/>
      <c r="S1473" s="18"/>
      <c r="T1473" s="18"/>
      <c r="U1473" s="18"/>
      <c r="V1473" s="18"/>
      <c r="W1473" s="18"/>
      <c r="X1473" s="18"/>
    </row>
    <row r="1474" spans="13:24">
      <c r="M1474" s="558">
        <f t="shared" si="71"/>
        <v>1472</v>
      </c>
      <c r="N1474" s="15">
        <f t="shared" si="69"/>
        <v>0.46525345841879223</v>
      </c>
      <c r="O1474" s="165">
        <f t="shared" si="70"/>
        <v>0.44</v>
      </c>
      <c r="P1474" s="18"/>
      <c r="Q1474" s="18"/>
      <c r="R1474" s="18"/>
      <c r="S1474" s="18"/>
      <c r="T1474" s="18"/>
      <c r="U1474" s="18"/>
      <c r="V1474" s="18"/>
      <c r="W1474" s="18"/>
      <c r="X1474" s="18"/>
    </row>
    <row r="1475" spans="13:24">
      <c r="M1475" s="558">
        <f t="shared" si="71"/>
        <v>1473</v>
      </c>
      <c r="N1475" s="15">
        <f t="shared" si="69"/>
        <v>0.46511315252678387</v>
      </c>
      <c r="O1475" s="165">
        <f t="shared" si="70"/>
        <v>0.44</v>
      </c>
      <c r="P1475" s="18"/>
      <c r="Q1475" s="18"/>
      <c r="R1475" s="18"/>
      <c r="S1475" s="18"/>
      <c r="T1475" s="18"/>
      <c r="U1475" s="18"/>
      <c r="V1475" s="18"/>
      <c r="W1475" s="18"/>
      <c r="X1475" s="18"/>
    </row>
    <row r="1476" spans="13:24">
      <c r="M1476" s="558">
        <f t="shared" si="71"/>
        <v>1474</v>
      </c>
      <c r="N1476" s="15">
        <f t="shared" ref="N1476:N1539" si="72">IF(M1476&lt;$B$31+1,$B$32+$B$33/$B$31*(8760-M1476)+$B$34*IF(M1476&lt;$B$36-$B$31/(2*$B$35),1,IF(M1476&lt;$B$36+$B$31/(2*$B$35),COS(PI()/2*(M1476-($B$36-$B$31/(2*$B$35)))*$B$35/$B$31)^2,0))+$B$37*EXP((8760-M1476)/8760*$B$38)/EXP($B$38)-(8760-$B$31)*$B$33/$B$31,0)</f>
        <v>0.46497295824234941</v>
      </c>
      <c r="O1476" s="165">
        <f t="shared" ref="O1476:O1539" si="73">MIN(N1476,C$24)</f>
        <v>0.44</v>
      </c>
      <c r="P1476" s="18"/>
      <c r="Q1476" s="18"/>
      <c r="R1476" s="18"/>
      <c r="S1476" s="18"/>
      <c r="T1476" s="18"/>
      <c r="U1476" s="18"/>
      <c r="V1476" s="18"/>
      <c r="W1476" s="18"/>
      <c r="X1476" s="18"/>
    </row>
    <row r="1477" spans="13:24">
      <c r="M1477" s="558">
        <f t="shared" ref="M1477:M1540" si="74">M1476+1</f>
        <v>1475</v>
      </c>
      <c r="N1477" s="15">
        <f t="shared" si="72"/>
        <v>0.46483287542543056</v>
      </c>
      <c r="O1477" s="165">
        <f t="shared" si="73"/>
        <v>0.44</v>
      </c>
      <c r="P1477" s="18"/>
      <c r="Q1477" s="18"/>
      <c r="R1477" s="18"/>
      <c r="S1477" s="18"/>
      <c r="T1477" s="18"/>
      <c r="U1477" s="18"/>
      <c r="V1477" s="18"/>
      <c r="W1477" s="18"/>
      <c r="X1477" s="18"/>
    </row>
    <row r="1478" spans="13:24">
      <c r="M1478" s="558">
        <f t="shared" si="74"/>
        <v>1476</v>
      </c>
      <c r="N1478" s="15">
        <f t="shared" si="72"/>
        <v>0.46469290393614449</v>
      </c>
      <c r="O1478" s="165">
        <f t="shared" si="73"/>
        <v>0.44</v>
      </c>
      <c r="P1478" s="18"/>
      <c r="Q1478" s="18"/>
      <c r="R1478" s="18"/>
      <c r="S1478" s="18"/>
      <c r="T1478" s="18"/>
      <c r="U1478" s="18"/>
      <c r="V1478" s="18"/>
      <c r="W1478" s="18"/>
      <c r="X1478" s="18"/>
    </row>
    <row r="1479" spans="13:24">
      <c r="M1479" s="558">
        <f t="shared" si="74"/>
        <v>1477</v>
      </c>
      <c r="N1479" s="15">
        <f t="shared" si="72"/>
        <v>0.46455304363478384</v>
      </c>
      <c r="O1479" s="165">
        <f t="shared" si="73"/>
        <v>0.44</v>
      </c>
      <c r="P1479" s="18"/>
      <c r="Q1479" s="18"/>
      <c r="R1479" s="18"/>
      <c r="S1479" s="18"/>
      <c r="T1479" s="18"/>
      <c r="U1479" s="18"/>
      <c r="V1479" s="18"/>
      <c r="W1479" s="18"/>
      <c r="X1479" s="18"/>
    </row>
    <row r="1480" spans="13:24">
      <c r="M1480" s="558">
        <f t="shared" si="74"/>
        <v>1478</v>
      </c>
      <c r="N1480" s="15">
        <f t="shared" si="72"/>
        <v>0.46441329438181689</v>
      </c>
      <c r="O1480" s="165">
        <f t="shared" si="73"/>
        <v>0.44</v>
      </c>
      <c r="P1480" s="18"/>
      <c r="Q1480" s="18"/>
      <c r="R1480" s="18"/>
      <c r="S1480" s="18"/>
      <c r="T1480" s="18"/>
      <c r="U1480" s="18"/>
      <c r="V1480" s="18"/>
      <c r="W1480" s="18"/>
      <c r="X1480" s="18"/>
    </row>
    <row r="1481" spans="13:24">
      <c r="M1481" s="558">
        <f t="shared" si="74"/>
        <v>1479</v>
      </c>
      <c r="N1481" s="15">
        <f t="shared" si="72"/>
        <v>0.46427365603788662</v>
      </c>
      <c r="O1481" s="165">
        <f t="shared" si="73"/>
        <v>0.44</v>
      </c>
      <c r="P1481" s="18"/>
      <c r="Q1481" s="18"/>
      <c r="R1481" s="18"/>
      <c r="S1481" s="18"/>
      <c r="T1481" s="18"/>
      <c r="U1481" s="18"/>
      <c r="V1481" s="18"/>
      <c r="W1481" s="18"/>
      <c r="X1481" s="18"/>
    </row>
    <row r="1482" spans="13:24">
      <c r="M1482" s="558">
        <f t="shared" si="74"/>
        <v>1480</v>
      </c>
      <c r="N1482" s="15">
        <f t="shared" si="72"/>
        <v>0.46413412846381119</v>
      </c>
      <c r="O1482" s="165">
        <f t="shared" si="73"/>
        <v>0.44</v>
      </c>
      <c r="P1482" s="18"/>
      <c r="Q1482" s="18"/>
      <c r="R1482" s="18"/>
      <c r="S1482" s="18"/>
      <c r="T1482" s="18"/>
      <c r="U1482" s="18"/>
      <c r="V1482" s="18"/>
      <c r="W1482" s="18"/>
      <c r="X1482" s="18"/>
    </row>
    <row r="1483" spans="13:24">
      <c r="M1483" s="558">
        <f t="shared" si="74"/>
        <v>1481</v>
      </c>
      <c r="N1483" s="15">
        <f t="shared" si="72"/>
        <v>0.46399471152058341</v>
      </c>
      <c r="O1483" s="165">
        <f t="shared" si="73"/>
        <v>0.44</v>
      </c>
      <c r="P1483" s="18"/>
      <c r="Q1483" s="18"/>
      <c r="R1483" s="18"/>
      <c r="S1483" s="18"/>
      <c r="T1483" s="18"/>
      <c r="U1483" s="18"/>
      <c r="V1483" s="18"/>
      <c r="W1483" s="18"/>
      <c r="X1483" s="18"/>
    </row>
    <row r="1484" spans="13:24">
      <c r="M1484" s="558">
        <f t="shared" si="74"/>
        <v>1482</v>
      </c>
      <c r="N1484" s="15">
        <f t="shared" si="72"/>
        <v>0.46385540506937034</v>
      </c>
      <c r="O1484" s="165">
        <f t="shared" si="73"/>
        <v>0.44</v>
      </c>
      <c r="P1484" s="18"/>
      <c r="Q1484" s="18"/>
      <c r="R1484" s="18"/>
      <c r="S1484" s="18"/>
      <c r="T1484" s="18"/>
      <c r="U1484" s="18"/>
      <c r="V1484" s="18"/>
      <c r="W1484" s="18"/>
      <c r="X1484" s="18"/>
    </row>
    <row r="1485" spans="13:24">
      <c r="M1485" s="558">
        <f t="shared" si="74"/>
        <v>1483</v>
      </c>
      <c r="N1485" s="15">
        <f t="shared" si="72"/>
        <v>0.46371620897151339</v>
      </c>
      <c r="O1485" s="165">
        <f t="shared" si="73"/>
        <v>0.44</v>
      </c>
      <c r="P1485" s="18"/>
      <c r="Q1485" s="18"/>
      <c r="R1485" s="18"/>
      <c r="S1485" s="18"/>
      <c r="T1485" s="18"/>
      <c r="U1485" s="18"/>
      <c r="V1485" s="18"/>
      <c r="W1485" s="18"/>
      <c r="X1485" s="18"/>
    </row>
    <row r="1486" spans="13:24">
      <c r="M1486" s="558">
        <f t="shared" si="74"/>
        <v>1484</v>
      </c>
      <c r="N1486" s="15">
        <f t="shared" si="72"/>
        <v>0.463577123088528</v>
      </c>
      <c r="O1486" s="165">
        <f t="shared" si="73"/>
        <v>0.44</v>
      </c>
      <c r="P1486" s="18"/>
      <c r="Q1486" s="18"/>
      <c r="R1486" s="18"/>
      <c r="S1486" s="18"/>
      <c r="T1486" s="18"/>
      <c r="U1486" s="18"/>
      <c r="V1486" s="18"/>
      <c r="W1486" s="18"/>
      <c r="X1486" s="18"/>
    </row>
    <row r="1487" spans="13:24">
      <c r="M1487" s="558">
        <f t="shared" si="74"/>
        <v>1485</v>
      </c>
      <c r="N1487" s="15">
        <f t="shared" si="72"/>
        <v>0.4634381472821032</v>
      </c>
      <c r="O1487" s="165">
        <f t="shared" si="73"/>
        <v>0.44</v>
      </c>
      <c r="P1487" s="18"/>
      <c r="Q1487" s="18"/>
      <c r="R1487" s="18"/>
      <c r="S1487" s="18"/>
      <c r="T1487" s="18"/>
      <c r="U1487" s="18"/>
      <c r="V1487" s="18"/>
      <c r="W1487" s="18"/>
      <c r="X1487" s="18"/>
    </row>
    <row r="1488" spans="13:24">
      <c r="M1488" s="558">
        <f t="shared" si="74"/>
        <v>1486</v>
      </c>
      <c r="N1488" s="15">
        <f t="shared" si="72"/>
        <v>0.46329928141410198</v>
      </c>
      <c r="O1488" s="165">
        <f t="shared" si="73"/>
        <v>0.44</v>
      </c>
      <c r="P1488" s="18"/>
      <c r="Q1488" s="18"/>
      <c r="R1488" s="18"/>
      <c r="S1488" s="18"/>
      <c r="T1488" s="18"/>
      <c r="U1488" s="18"/>
      <c r="V1488" s="18"/>
      <c r="W1488" s="18"/>
      <c r="X1488" s="18"/>
    </row>
    <row r="1489" spans="13:24">
      <c r="M1489" s="558">
        <f t="shared" si="74"/>
        <v>1487</v>
      </c>
      <c r="N1489" s="15">
        <f t="shared" si="72"/>
        <v>0.46316052534656038</v>
      </c>
      <c r="O1489" s="165">
        <f t="shared" si="73"/>
        <v>0.44</v>
      </c>
      <c r="P1489" s="18"/>
      <c r="Q1489" s="18"/>
      <c r="R1489" s="18"/>
      <c r="S1489" s="18"/>
      <c r="T1489" s="18"/>
      <c r="U1489" s="18"/>
      <c r="V1489" s="18"/>
      <c r="W1489" s="18"/>
      <c r="X1489" s="18"/>
    </row>
    <row r="1490" spans="13:24">
      <c r="M1490" s="558">
        <f t="shared" si="74"/>
        <v>1488</v>
      </c>
      <c r="N1490" s="15">
        <f t="shared" si="72"/>
        <v>0.46302187894168756</v>
      </c>
      <c r="O1490" s="165">
        <f t="shared" si="73"/>
        <v>0.44</v>
      </c>
      <c r="P1490" s="18"/>
      <c r="Q1490" s="18"/>
      <c r="R1490" s="18"/>
      <c r="S1490" s="18"/>
      <c r="T1490" s="18"/>
      <c r="U1490" s="18"/>
      <c r="V1490" s="18"/>
      <c r="W1490" s="18"/>
      <c r="X1490" s="18"/>
    </row>
    <row r="1491" spans="13:24">
      <c r="M1491" s="558">
        <f t="shared" si="74"/>
        <v>1489</v>
      </c>
      <c r="N1491" s="15">
        <f t="shared" si="72"/>
        <v>0.46288334206186565</v>
      </c>
      <c r="O1491" s="165">
        <f t="shared" si="73"/>
        <v>0.44</v>
      </c>
      <c r="P1491" s="18"/>
      <c r="Q1491" s="18"/>
      <c r="R1491" s="18"/>
      <c r="S1491" s="18"/>
      <c r="T1491" s="18"/>
      <c r="U1491" s="18"/>
      <c r="V1491" s="18"/>
      <c r="W1491" s="18"/>
      <c r="X1491" s="18"/>
    </row>
    <row r="1492" spans="13:24">
      <c r="M1492" s="558">
        <f t="shared" si="74"/>
        <v>1490</v>
      </c>
      <c r="N1492" s="15">
        <f t="shared" si="72"/>
        <v>0.46274491456964961</v>
      </c>
      <c r="O1492" s="165">
        <f t="shared" si="73"/>
        <v>0.44</v>
      </c>
      <c r="P1492" s="18"/>
      <c r="Q1492" s="18"/>
      <c r="R1492" s="18"/>
      <c r="S1492" s="18"/>
      <c r="T1492" s="18"/>
      <c r="U1492" s="18"/>
      <c r="V1492" s="18"/>
      <c r="W1492" s="18"/>
      <c r="X1492" s="18"/>
    </row>
    <row r="1493" spans="13:24">
      <c r="M1493" s="558">
        <f t="shared" si="74"/>
        <v>1491</v>
      </c>
      <c r="N1493" s="15">
        <f t="shared" si="72"/>
        <v>0.46260659632776685</v>
      </c>
      <c r="O1493" s="165">
        <f t="shared" si="73"/>
        <v>0.44</v>
      </c>
      <c r="P1493" s="18"/>
      <c r="Q1493" s="18"/>
      <c r="R1493" s="18"/>
      <c r="S1493" s="18"/>
      <c r="T1493" s="18"/>
      <c r="U1493" s="18"/>
      <c r="V1493" s="18"/>
      <c r="W1493" s="18"/>
      <c r="X1493" s="18"/>
    </row>
    <row r="1494" spans="13:24">
      <c r="M1494" s="558">
        <f t="shared" si="74"/>
        <v>1492</v>
      </c>
      <c r="N1494" s="15">
        <f t="shared" si="72"/>
        <v>0.46246838719911676</v>
      </c>
      <c r="O1494" s="165">
        <f t="shared" si="73"/>
        <v>0.44</v>
      </c>
      <c r="P1494" s="18"/>
      <c r="Q1494" s="18"/>
      <c r="R1494" s="18"/>
      <c r="S1494" s="18"/>
      <c r="T1494" s="18"/>
      <c r="U1494" s="18"/>
      <c r="V1494" s="18"/>
      <c r="W1494" s="18"/>
      <c r="X1494" s="18"/>
    </row>
    <row r="1495" spans="13:24">
      <c r="M1495" s="558">
        <f t="shared" si="74"/>
        <v>1493</v>
      </c>
      <c r="N1495" s="15">
        <f t="shared" si="72"/>
        <v>0.46233028704677115</v>
      </c>
      <c r="O1495" s="165">
        <f t="shared" si="73"/>
        <v>0.44</v>
      </c>
      <c r="P1495" s="18"/>
      <c r="Q1495" s="18"/>
      <c r="R1495" s="18"/>
      <c r="S1495" s="18"/>
      <c r="T1495" s="18"/>
      <c r="U1495" s="18"/>
      <c r="V1495" s="18"/>
      <c r="W1495" s="18"/>
      <c r="X1495" s="18"/>
    </row>
    <row r="1496" spans="13:24">
      <c r="M1496" s="558">
        <f t="shared" si="74"/>
        <v>1494</v>
      </c>
      <c r="N1496" s="15">
        <f t="shared" si="72"/>
        <v>0.46219229573397347</v>
      </c>
      <c r="O1496" s="165">
        <f t="shared" si="73"/>
        <v>0.44</v>
      </c>
      <c r="P1496" s="18"/>
      <c r="Q1496" s="18"/>
      <c r="R1496" s="18"/>
      <c r="S1496" s="18"/>
      <c r="T1496" s="18"/>
      <c r="U1496" s="18"/>
      <c r="V1496" s="18"/>
      <c r="W1496" s="18"/>
      <c r="X1496" s="18"/>
    </row>
    <row r="1497" spans="13:24">
      <c r="M1497" s="558">
        <f t="shared" si="74"/>
        <v>1495</v>
      </c>
      <c r="N1497" s="15">
        <f t="shared" si="72"/>
        <v>0.46205441312413875</v>
      </c>
      <c r="O1497" s="165">
        <f t="shared" si="73"/>
        <v>0.44</v>
      </c>
      <c r="P1497" s="18"/>
      <c r="Q1497" s="18"/>
      <c r="R1497" s="18"/>
      <c r="S1497" s="18"/>
      <c r="T1497" s="18"/>
      <c r="U1497" s="18"/>
      <c r="V1497" s="18"/>
      <c r="W1497" s="18"/>
      <c r="X1497" s="18"/>
    </row>
    <row r="1498" spans="13:24">
      <c r="M1498" s="558">
        <f t="shared" si="74"/>
        <v>1496</v>
      </c>
      <c r="N1498" s="15">
        <f t="shared" si="72"/>
        <v>0.46191663908085373</v>
      </c>
      <c r="O1498" s="165">
        <f t="shared" si="73"/>
        <v>0.44</v>
      </c>
      <c r="P1498" s="18"/>
      <c r="Q1498" s="18"/>
      <c r="R1498" s="18"/>
      <c r="S1498" s="18"/>
      <c r="T1498" s="18"/>
      <c r="U1498" s="18"/>
      <c r="V1498" s="18"/>
      <c r="W1498" s="18"/>
      <c r="X1498" s="18"/>
    </row>
    <row r="1499" spans="13:24">
      <c r="M1499" s="558">
        <f t="shared" si="74"/>
        <v>1497</v>
      </c>
      <c r="N1499" s="15">
        <f t="shared" si="72"/>
        <v>0.46177897346787594</v>
      </c>
      <c r="O1499" s="165">
        <f t="shared" si="73"/>
        <v>0.44</v>
      </c>
      <c r="P1499" s="18"/>
      <c r="Q1499" s="18"/>
      <c r="R1499" s="18"/>
      <c r="S1499" s="18"/>
      <c r="T1499" s="18"/>
      <c r="U1499" s="18"/>
      <c r="V1499" s="18"/>
      <c r="W1499" s="18"/>
      <c r="X1499" s="18"/>
    </row>
    <row r="1500" spans="13:24">
      <c r="M1500" s="558">
        <f t="shared" si="74"/>
        <v>1498</v>
      </c>
      <c r="N1500" s="15">
        <f t="shared" si="72"/>
        <v>0.4616414161491339</v>
      </c>
      <c r="O1500" s="165">
        <f t="shared" si="73"/>
        <v>0.44</v>
      </c>
      <c r="P1500" s="18"/>
      <c r="Q1500" s="18"/>
      <c r="R1500" s="18"/>
      <c r="S1500" s="18"/>
      <c r="T1500" s="18"/>
      <c r="U1500" s="18"/>
      <c r="V1500" s="18"/>
      <c r="W1500" s="18"/>
      <c r="X1500" s="18"/>
    </row>
    <row r="1501" spans="13:24">
      <c r="M1501" s="558">
        <f t="shared" si="74"/>
        <v>1499</v>
      </c>
      <c r="N1501" s="15">
        <f t="shared" si="72"/>
        <v>0.46150396698872731</v>
      </c>
      <c r="O1501" s="165">
        <f t="shared" si="73"/>
        <v>0.44</v>
      </c>
      <c r="P1501" s="18"/>
      <c r="Q1501" s="18"/>
      <c r="R1501" s="18"/>
      <c r="S1501" s="18"/>
      <c r="T1501" s="18"/>
      <c r="U1501" s="18"/>
      <c r="V1501" s="18"/>
      <c r="W1501" s="18"/>
      <c r="X1501" s="18"/>
    </row>
    <row r="1502" spans="13:24">
      <c r="M1502" s="558">
        <f t="shared" si="74"/>
        <v>1500</v>
      </c>
      <c r="N1502" s="15">
        <f t="shared" si="72"/>
        <v>0.46136662585092614</v>
      </c>
      <c r="O1502" s="165">
        <f t="shared" si="73"/>
        <v>0.44</v>
      </c>
      <c r="P1502" s="18"/>
      <c r="Q1502" s="18"/>
      <c r="R1502" s="18"/>
      <c r="S1502" s="18"/>
      <c r="T1502" s="18"/>
      <c r="U1502" s="18"/>
      <c r="V1502" s="18"/>
      <c r="W1502" s="18"/>
      <c r="X1502" s="18"/>
    </row>
    <row r="1503" spans="13:24">
      <c r="M1503" s="558">
        <f t="shared" si="74"/>
        <v>1501</v>
      </c>
      <c r="N1503" s="15">
        <f t="shared" si="72"/>
        <v>0.46122939260017037</v>
      </c>
      <c r="O1503" s="165">
        <f t="shared" si="73"/>
        <v>0.44</v>
      </c>
      <c r="P1503" s="18"/>
      <c r="Q1503" s="18"/>
      <c r="R1503" s="18"/>
      <c r="S1503" s="18"/>
      <c r="T1503" s="18"/>
      <c r="U1503" s="18"/>
      <c r="V1503" s="18"/>
      <c r="W1503" s="18"/>
      <c r="X1503" s="18"/>
    </row>
    <row r="1504" spans="13:24">
      <c r="M1504" s="558">
        <f t="shared" si="74"/>
        <v>1502</v>
      </c>
      <c r="N1504" s="15">
        <f t="shared" si="72"/>
        <v>0.46109226710107087</v>
      </c>
      <c r="O1504" s="165">
        <f t="shared" si="73"/>
        <v>0.44</v>
      </c>
      <c r="P1504" s="18"/>
      <c r="Q1504" s="18"/>
      <c r="R1504" s="18"/>
      <c r="S1504" s="18"/>
      <c r="T1504" s="18"/>
      <c r="U1504" s="18"/>
      <c r="V1504" s="18"/>
      <c r="W1504" s="18"/>
      <c r="X1504" s="18"/>
    </row>
    <row r="1505" spans="13:24">
      <c r="M1505" s="558">
        <f t="shared" si="74"/>
        <v>1503</v>
      </c>
      <c r="N1505" s="15">
        <f t="shared" si="72"/>
        <v>0.46095524921840769</v>
      </c>
      <c r="O1505" s="165">
        <f t="shared" si="73"/>
        <v>0.44</v>
      </c>
      <c r="P1505" s="18"/>
      <c r="Q1505" s="18"/>
      <c r="R1505" s="18"/>
      <c r="S1505" s="18"/>
      <c r="T1505" s="18"/>
      <c r="U1505" s="18"/>
      <c r="V1505" s="18"/>
      <c r="W1505" s="18"/>
      <c r="X1505" s="18"/>
    </row>
    <row r="1506" spans="13:24">
      <c r="M1506" s="558">
        <f t="shared" si="74"/>
        <v>1504</v>
      </c>
      <c r="N1506" s="15">
        <f t="shared" si="72"/>
        <v>0.46081833881713086</v>
      </c>
      <c r="O1506" s="165">
        <f t="shared" si="73"/>
        <v>0.44</v>
      </c>
      <c r="P1506" s="18"/>
      <c r="Q1506" s="18"/>
      <c r="R1506" s="18"/>
      <c r="S1506" s="18"/>
      <c r="T1506" s="18"/>
      <c r="U1506" s="18"/>
      <c r="V1506" s="18"/>
      <c r="W1506" s="18"/>
      <c r="X1506" s="18"/>
    </row>
    <row r="1507" spans="13:24">
      <c r="M1507" s="558">
        <f t="shared" si="74"/>
        <v>1505</v>
      </c>
      <c r="N1507" s="15">
        <f t="shared" si="72"/>
        <v>0.46068153576235993</v>
      </c>
      <c r="O1507" s="165">
        <f t="shared" si="73"/>
        <v>0.44</v>
      </c>
      <c r="P1507" s="18"/>
      <c r="Q1507" s="18"/>
      <c r="R1507" s="18"/>
      <c r="S1507" s="18"/>
      <c r="T1507" s="18"/>
      <c r="U1507" s="18"/>
      <c r="V1507" s="18"/>
      <c r="W1507" s="18"/>
      <c r="X1507" s="18"/>
    </row>
    <row r="1508" spans="13:24">
      <c r="M1508" s="558">
        <f t="shared" si="74"/>
        <v>1506</v>
      </c>
      <c r="N1508" s="15">
        <f t="shared" si="72"/>
        <v>0.46054483991938372</v>
      </c>
      <c r="O1508" s="165">
        <f t="shared" si="73"/>
        <v>0.44</v>
      </c>
      <c r="P1508" s="18"/>
      <c r="Q1508" s="18"/>
      <c r="R1508" s="18"/>
      <c r="S1508" s="18"/>
      <c r="T1508" s="18"/>
      <c r="U1508" s="18"/>
      <c r="V1508" s="18"/>
      <c r="W1508" s="18"/>
      <c r="X1508" s="18"/>
    </row>
    <row r="1509" spans="13:24">
      <c r="M1509" s="558">
        <f t="shared" si="74"/>
        <v>1507</v>
      </c>
      <c r="N1509" s="15">
        <f t="shared" si="72"/>
        <v>0.46040825115365991</v>
      </c>
      <c r="O1509" s="165">
        <f t="shared" si="73"/>
        <v>0.44</v>
      </c>
      <c r="P1509" s="18"/>
      <c r="Q1509" s="18"/>
      <c r="R1509" s="18"/>
      <c r="S1509" s="18"/>
      <c r="T1509" s="18"/>
      <c r="U1509" s="18"/>
      <c r="V1509" s="18"/>
      <c r="W1509" s="18"/>
      <c r="X1509" s="18"/>
    </row>
    <row r="1510" spans="13:24">
      <c r="M1510" s="558">
        <f t="shared" si="74"/>
        <v>1508</v>
      </c>
      <c r="N1510" s="15">
        <f t="shared" si="72"/>
        <v>0.46027176933081515</v>
      </c>
      <c r="O1510" s="165">
        <f t="shared" si="73"/>
        <v>0.44</v>
      </c>
      <c r="P1510" s="18"/>
      <c r="Q1510" s="18"/>
      <c r="R1510" s="18"/>
      <c r="S1510" s="18"/>
      <c r="T1510" s="18"/>
      <c r="U1510" s="18"/>
      <c r="V1510" s="18"/>
      <c r="W1510" s="18"/>
      <c r="X1510" s="18"/>
    </row>
    <row r="1511" spans="13:24">
      <c r="M1511" s="558">
        <f t="shared" si="74"/>
        <v>1509</v>
      </c>
      <c r="N1511" s="15">
        <f t="shared" si="72"/>
        <v>0.46013539431664485</v>
      </c>
      <c r="O1511" s="165">
        <f t="shared" si="73"/>
        <v>0.44</v>
      </c>
      <c r="P1511" s="18"/>
      <c r="Q1511" s="18"/>
      <c r="R1511" s="18"/>
      <c r="S1511" s="18"/>
      <c r="T1511" s="18"/>
      <c r="U1511" s="18"/>
      <c r="V1511" s="18"/>
      <c r="W1511" s="18"/>
      <c r="X1511" s="18"/>
    </row>
    <row r="1512" spans="13:24">
      <c r="M1512" s="558">
        <f t="shared" si="74"/>
        <v>1510</v>
      </c>
      <c r="N1512" s="15">
        <f t="shared" si="72"/>
        <v>0.45999912597711251</v>
      </c>
      <c r="O1512" s="165">
        <f t="shared" si="73"/>
        <v>0.44</v>
      </c>
      <c r="P1512" s="18"/>
      <c r="Q1512" s="18"/>
      <c r="R1512" s="18"/>
      <c r="S1512" s="18"/>
      <c r="T1512" s="18"/>
      <c r="U1512" s="18"/>
      <c r="V1512" s="18"/>
      <c r="W1512" s="18"/>
      <c r="X1512" s="18"/>
    </row>
    <row r="1513" spans="13:24">
      <c r="M1513" s="558">
        <f t="shared" si="74"/>
        <v>1511</v>
      </c>
      <c r="N1513" s="15">
        <f t="shared" si="72"/>
        <v>0.45986296417835026</v>
      </c>
      <c r="O1513" s="165">
        <f t="shared" si="73"/>
        <v>0.44</v>
      </c>
      <c r="P1513" s="18"/>
      <c r="Q1513" s="18"/>
      <c r="R1513" s="18"/>
      <c r="S1513" s="18"/>
      <c r="T1513" s="18"/>
      <c r="U1513" s="18"/>
      <c r="V1513" s="18"/>
      <c r="W1513" s="18"/>
      <c r="X1513" s="18"/>
    </row>
    <row r="1514" spans="13:24">
      <c r="M1514" s="558">
        <f t="shared" si="74"/>
        <v>1512</v>
      </c>
      <c r="N1514" s="15">
        <f t="shared" si="72"/>
        <v>0.45972690878665778</v>
      </c>
      <c r="O1514" s="165">
        <f t="shared" si="73"/>
        <v>0.44</v>
      </c>
      <c r="P1514" s="18"/>
      <c r="Q1514" s="18"/>
      <c r="R1514" s="18"/>
      <c r="S1514" s="18"/>
      <c r="T1514" s="18"/>
      <c r="U1514" s="18"/>
      <c r="V1514" s="18"/>
      <c r="W1514" s="18"/>
      <c r="X1514" s="18"/>
    </row>
    <row r="1515" spans="13:24">
      <c r="M1515" s="558">
        <f t="shared" si="74"/>
        <v>1513</v>
      </c>
      <c r="N1515" s="15">
        <f t="shared" si="72"/>
        <v>0.45959095966850272</v>
      </c>
      <c r="O1515" s="165">
        <f t="shared" si="73"/>
        <v>0.44</v>
      </c>
      <c r="P1515" s="18"/>
      <c r="Q1515" s="18"/>
      <c r="R1515" s="18"/>
      <c r="S1515" s="18"/>
      <c r="T1515" s="18"/>
      <c r="U1515" s="18"/>
      <c r="V1515" s="18"/>
      <c r="W1515" s="18"/>
      <c r="X1515" s="18"/>
    </row>
    <row r="1516" spans="13:24">
      <c r="M1516" s="558">
        <f t="shared" si="74"/>
        <v>1514</v>
      </c>
      <c r="N1516" s="15">
        <f t="shared" si="72"/>
        <v>0.45945511669052053</v>
      </c>
      <c r="O1516" s="165">
        <f t="shared" si="73"/>
        <v>0.44</v>
      </c>
      <c r="P1516" s="18"/>
      <c r="Q1516" s="18"/>
      <c r="R1516" s="18"/>
      <c r="S1516" s="18"/>
      <c r="T1516" s="18"/>
      <c r="U1516" s="18"/>
      <c r="V1516" s="18"/>
      <c r="W1516" s="18"/>
      <c r="X1516" s="18"/>
    </row>
    <row r="1517" spans="13:24">
      <c r="M1517" s="558">
        <f t="shared" si="74"/>
        <v>1515</v>
      </c>
      <c r="N1517" s="15">
        <f t="shared" si="72"/>
        <v>0.45931937971951375</v>
      </c>
      <c r="O1517" s="165">
        <f t="shared" si="73"/>
        <v>0.44</v>
      </c>
      <c r="P1517" s="18"/>
      <c r="Q1517" s="18"/>
      <c r="R1517" s="18"/>
      <c r="S1517" s="18"/>
      <c r="T1517" s="18"/>
      <c r="U1517" s="18"/>
      <c r="V1517" s="18"/>
      <c r="W1517" s="18"/>
      <c r="X1517" s="18"/>
    </row>
    <row r="1518" spans="13:24">
      <c r="M1518" s="558">
        <f t="shared" si="74"/>
        <v>1516</v>
      </c>
      <c r="N1518" s="15">
        <f t="shared" si="72"/>
        <v>0.45918374862245193</v>
      </c>
      <c r="O1518" s="165">
        <f t="shared" si="73"/>
        <v>0.44</v>
      </c>
      <c r="P1518" s="18"/>
      <c r="Q1518" s="18"/>
      <c r="R1518" s="18"/>
      <c r="S1518" s="18"/>
      <c r="T1518" s="18"/>
      <c r="U1518" s="18"/>
      <c r="V1518" s="18"/>
      <c r="W1518" s="18"/>
      <c r="X1518" s="18"/>
    </row>
    <row r="1519" spans="13:24">
      <c r="M1519" s="558">
        <f t="shared" si="74"/>
        <v>1517</v>
      </c>
      <c r="N1519" s="15">
        <f t="shared" si="72"/>
        <v>0.4590482232664721</v>
      </c>
      <c r="O1519" s="165">
        <f t="shared" si="73"/>
        <v>0.44</v>
      </c>
      <c r="P1519" s="18"/>
      <c r="Q1519" s="18"/>
      <c r="R1519" s="18"/>
      <c r="S1519" s="18"/>
      <c r="T1519" s="18"/>
      <c r="U1519" s="18"/>
      <c r="V1519" s="18"/>
      <c r="W1519" s="18"/>
      <c r="X1519" s="18"/>
    </row>
    <row r="1520" spans="13:24">
      <c r="M1520" s="558">
        <f t="shared" si="74"/>
        <v>1518</v>
      </c>
      <c r="N1520" s="15">
        <f t="shared" si="72"/>
        <v>0.45891280351887759</v>
      </c>
      <c r="O1520" s="165">
        <f t="shared" si="73"/>
        <v>0.44</v>
      </c>
      <c r="P1520" s="18"/>
      <c r="Q1520" s="18"/>
      <c r="R1520" s="18"/>
      <c r="S1520" s="18"/>
      <c r="T1520" s="18"/>
      <c r="U1520" s="18"/>
      <c r="V1520" s="18"/>
      <c r="W1520" s="18"/>
      <c r="X1520" s="18"/>
    </row>
    <row r="1521" spans="13:24">
      <c r="M1521" s="558">
        <f t="shared" si="74"/>
        <v>1519</v>
      </c>
      <c r="N1521" s="15">
        <f t="shared" si="72"/>
        <v>0.45877748924713813</v>
      </c>
      <c r="O1521" s="165">
        <f t="shared" si="73"/>
        <v>0.44</v>
      </c>
      <c r="P1521" s="18"/>
      <c r="Q1521" s="18"/>
      <c r="R1521" s="18"/>
      <c r="S1521" s="18"/>
      <c r="T1521" s="18"/>
      <c r="U1521" s="18"/>
      <c r="V1521" s="18"/>
      <c r="W1521" s="18"/>
      <c r="X1521" s="18"/>
    </row>
    <row r="1522" spans="13:24">
      <c r="M1522" s="558">
        <f t="shared" si="74"/>
        <v>1520</v>
      </c>
      <c r="N1522" s="15">
        <f t="shared" si="72"/>
        <v>0.45864228031889026</v>
      </c>
      <c r="O1522" s="165">
        <f t="shared" si="73"/>
        <v>0.44</v>
      </c>
      <c r="P1522" s="18"/>
      <c r="Q1522" s="18"/>
      <c r="R1522" s="18"/>
      <c r="S1522" s="18"/>
      <c r="T1522" s="18"/>
      <c r="U1522" s="18"/>
      <c r="V1522" s="18"/>
      <c r="W1522" s="18"/>
      <c r="X1522" s="18"/>
    </row>
    <row r="1523" spans="13:24">
      <c r="M1523" s="558">
        <f t="shared" si="74"/>
        <v>1521</v>
      </c>
      <c r="N1523" s="15">
        <f t="shared" si="72"/>
        <v>0.45850717660193629</v>
      </c>
      <c r="O1523" s="165">
        <f t="shared" si="73"/>
        <v>0.44</v>
      </c>
      <c r="P1523" s="18"/>
      <c r="Q1523" s="18"/>
      <c r="R1523" s="18"/>
      <c r="S1523" s="18"/>
      <c r="T1523" s="18"/>
      <c r="U1523" s="18"/>
      <c r="V1523" s="18"/>
      <c r="W1523" s="18"/>
      <c r="X1523" s="18"/>
    </row>
    <row r="1524" spans="13:24">
      <c r="M1524" s="558">
        <f t="shared" si="74"/>
        <v>1522</v>
      </c>
      <c r="N1524" s="15">
        <f t="shared" si="72"/>
        <v>0.45837217796424451</v>
      </c>
      <c r="O1524" s="165">
        <f t="shared" si="73"/>
        <v>0.44</v>
      </c>
      <c r="P1524" s="18"/>
      <c r="Q1524" s="18"/>
      <c r="R1524" s="18"/>
      <c r="S1524" s="18"/>
      <c r="T1524" s="18"/>
      <c r="U1524" s="18"/>
      <c r="V1524" s="18"/>
      <c r="W1524" s="18"/>
      <c r="X1524" s="18"/>
    </row>
    <row r="1525" spans="13:24">
      <c r="M1525" s="558">
        <f t="shared" si="74"/>
        <v>1523</v>
      </c>
      <c r="N1525" s="15">
        <f t="shared" si="72"/>
        <v>0.45823728427394872</v>
      </c>
      <c r="O1525" s="165">
        <f t="shared" si="73"/>
        <v>0.44</v>
      </c>
      <c r="P1525" s="18"/>
      <c r="Q1525" s="18"/>
      <c r="R1525" s="18"/>
      <c r="S1525" s="18"/>
      <c r="T1525" s="18"/>
      <c r="U1525" s="18"/>
      <c r="V1525" s="18"/>
      <c r="W1525" s="18"/>
      <c r="X1525" s="18"/>
    </row>
    <row r="1526" spans="13:24">
      <c r="M1526" s="558">
        <f t="shared" si="74"/>
        <v>1524</v>
      </c>
      <c r="N1526" s="15">
        <f t="shared" si="72"/>
        <v>0.45810249539934855</v>
      </c>
      <c r="O1526" s="165">
        <f t="shared" si="73"/>
        <v>0.44</v>
      </c>
      <c r="P1526" s="18"/>
      <c r="Q1526" s="18"/>
      <c r="R1526" s="18"/>
      <c r="S1526" s="18"/>
      <c r="T1526" s="18"/>
      <c r="U1526" s="18"/>
      <c r="V1526" s="18"/>
      <c r="W1526" s="18"/>
      <c r="X1526" s="18"/>
    </row>
    <row r="1527" spans="13:24">
      <c r="M1527" s="558">
        <f t="shared" si="74"/>
        <v>1525</v>
      </c>
      <c r="N1527" s="15">
        <f t="shared" si="72"/>
        <v>0.45796781120890867</v>
      </c>
      <c r="O1527" s="165">
        <f t="shared" si="73"/>
        <v>0.44</v>
      </c>
      <c r="P1527" s="18"/>
      <c r="Q1527" s="18"/>
      <c r="R1527" s="18"/>
      <c r="S1527" s="18"/>
      <c r="T1527" s="18"/>
      <c r="U1527" s="18"/>
      <c r="V1527" s="18"/>
      <c r="W1527" s="18"/>
      <c r="X1527" s="18"/>
    </row>
    <row r="1528" spans="13:24">
      <c r="M1528" s="558">
        <f t="shared" si="74"/>
        <v>1526</v>
      </c>
      <c r="N1528" s="15">
        <f t="shared" si="72"/>
        <v>0.45783323157125883</v>
      </c>
      <c r="O1528" s="165">
        <f t="shared" si="73"/>
        <v>0.44</v>
      </c>
      <c r="P1528" s="18"/>
      <c r="Q1528" s="18"/>
      <c r="R1528" s="18"/>
      <c r="S1528" s="18"/>
      <c r="T1528" s="18"/>
      <c r="U1528" s="18"/>
      <c r="V1528" s="18"/>
      <c r="W1528" s="18"/>
      <c r="X1528" s="18"/>
    </row>
    <row r="1529" spans="13:24">
      <c r="M1529" s="558">
        <f t="shared" si="74"/>
        <v>1527</v>
      </c>
      <c r="N1529" s="15">
        <f t="shared" si="72"/>
        <v>0.45769875635519375</v>
      </c>
      <c r="O1529" s="165">
        <f t="shared" si="73"/>
        <v>0.44</v>
      </c>
      <c r="P1529" s="18"/>
      <c r="Q1529" s="18"/>
      <c r="R1529" s="18"/>
      <c r="S1529" s="18"/>
      <c r="T1529" s="18"/>
      <c r="U1529" s="18"/>
      <c r="V1529" s="18"/>
      <c r="W1529" s="18"/>
      <c r="X1529" s="18"/>
    </row>
    <row r="1530" spans="13:24">
      <c r="M1530" s="558">
        <f t="shared" si="74"/>
        <v>1528</v>
      </c>
      <c r="N1530" s="15">
        <f t="shared" si="72"/>
        <v>0.45756438542967265</v>
      </c>
      <c r="O1530" s="165">
        <f t="shared" si="73"/>
        <v>0.44</v>
      </c>
      <c r="P1530" s="18"/>
      <c r="Q1530" s="18"/>
      <c r="R1530" s="18"/>
      <c r="S1530" s="18"/>
      <c r="T1530" s="18"/>
      <c r="U1530" s="18"/>
      <c r="V1530" s="18"/>
      <c r="W1530" s="18"/>
      <c r="X1530" s="18"/>
    </row>
    <row r="1531" spans="13:24">
      <c r="M1531" s="558">
        <f t="shared" si="74"/>
        <v>1529</v>
      </c>
      <c r="N1531" s="15">
        <f t="shared" si="72"/>
        <v>0.45743011866381922</v>
      </c>
      <c r="O1531" s="165">
        <f t="shared" si="73"/>
        <v>0.44</v>
      </c>
      <c r="P1531" s="18"/>
      <c r="Q1531" s="18"/>
      <c r="R1531" s="18"/>
      <c r="S1531" s="18"/>
      <c r="T1531" s="18"/>
      <c r="U1531" s="18"/>
      <c r="V1531" s="18"/>
      <c r="W1531" s="18"/>
      <c r="X1531" s="18"/>
    </row>
    <row r="1532" spans="13:24">
      <c r="M1532" s="558">
        <f t="shared" si="74"/>
        <v>1530</v>
      </c>
      <c r="N1532" s="15">
        <f t="shared" si="72"/>
        <v>0.45729595592692168</v>
      </c>
      <c r="O1532" s="165">
        <f t="shared" si="73"/>
        <v>0.44</v>
      </c>
      <c r="P1532" s="18"/>
      <c r="Q1532" s="18"/>
      <c r="R1532" s="18"/>
      <c r="S1532" s="18"/>
      <c r="T1532" s="18"/>
      <c r="U1532" s="18"/>
      <c r="V1532" s="18"/>
      <c r="W1532" s="18"/>
      <c r="X1532" s="18"/>
    </row>
    <row r="1533" spans="13:24">
      <c r="M1533" s="558">
        <f t="shared" si="74"/>
        <v>1531</v>
      </c>
      <c r="N1533" s="15">
        <f t="shared" si="72"/>
        <v>0.4571618970884318</v>
      </c>
      <c r="O1533" s="165">
        <f t="shared" si="73"/>
        <v>0.44</v>
      </c>
      <c r="P1533" s="18"/>
      <c r="Q1533" s="18"/>
      <c r="R1533" s="18"/>
      <c r="S1533" s="18"/>
      <c r="T1533" s="18"/>
      <c r="U1533" s="18"/>
      <c r="V1533" s="18"/>
      <c r="W1533" s="18"/>
      <c r="X1533" s="18"/>
    </row>
    <row r="1534" spans="13:24">
      <c r="M1534" s="558">
        <f t="shared" si="74"/>
        <v>1532</v>
      </c>
      <c r="N1534" s="15">
        <f t="shared" si="72"/>
        <v>0.45702794201796548</v>
      </c>
      <c r="O1534" s="165">
        <f t="shared" si="73"/>
        <v>0.44</v>
      </c>
      <c r="P1534" s="18"/>
      <c r="Q1534" s="18"/>
      <c r="R1534" s="18"/>
      <c r="S1534" s="18"/>
      <c r="T1534" s="18"/>
      <c r="U1534" s="18"/>
      <c r="V1534" s="18"/>
      <c r="W1534" s="18"/>
      <c r="X1534" s="18"/>
    </row>
    <row r="1535" spans="13:24">
      <c r="M1535" s="558">
        <f t="shared" si="74"/>
        <v>1533</v>
      </c>
      <c r="N1535" s="15">
        <f t="shared" si="72"/>
        <v>0.45689409058530234</v>
      </c>
      <c r="O1535" s="165">
        <f t="shared" si="73"/>
        <v>0.44</v>
      </c>
      <c r="P1535" s="18"/>
      <c r="Q1535" s="18"/>
      <c r="R1535" s="18"/>
      <c r="S1535" s="18"/>
      <c r="T1535" s="18"/>
      <c r="U1535" s="18"/>
      <c r="V1535" s="18"/>
      <c r="W1535" s="18"/>
      <c r="X1535" s="18"/>
    </row>
    <row r="1536" spans="13:24">
      <c r="M1536" s="558">
        <f t="shared" si="74"/>
        <v>1534</v>
      </c>
      <c r="N1536" s="15">
        <f t="shared" si="72"/>
        <v>0.45676034266038512</v>
      </c>
      <c r="O1536" s="165">
        <f t="shared" si="73"/>
        <v>0.44</v>
      </c>
      <c r="P1536" s="18"/>
      <c r="Q1536" s="18"/>
      <c r="R1536" s="18"/>
      <c r="S1536" s="18"/>
      <c r="T1536" s="18"/>
      <c r="U1536" s="18"/>
      <c r="V1536" s="18"/>
      <c r="W1536" s="18"/>
      <c r="X1536" s="18"/>
    </row>
    <row r="1537" spans="13:24">
      <c r="M1537" s="558">
        <f t="shared" si="74"/>
        <v>1535</v>
      </c>
      <c r="N1537" s="15">
        <f t="shared" si="72"/>
        <v>0.45662669811331985</v>
      </c>
      <c r="O1537" s="165">
        <f t="shared" si="73"/>
        <v>0.44</v>
      </c>
      <c r="P1537" s="18"/>
      <c r="Q1537" s="18"/>
      <c r="R1537" s="18"/>
      <c r="S1537" s="18"/>
      <c r="T1537" s="18"/>
      <c r="U1537" s="18"/>
      <c r="V1537" s="18"/>
      <c r="W1537" s="18"/>
      <c r="X1537" s="18"/>
    </row>
    <row r="1538" spans="13:24">
      <c r="M1538" s="558">
        <f t="shared" si="74"/>
        <v>1536</v>
      </c>
      <c r="N1538" s="15">
        <f t="shared" si="72"/>
        <v>0.45649315681437574</v>
      </c>
      <c r="O1538" s="165">
        <f t="shared" si="73"/>
        <v>0.44</v>
      </c>
      <c r="P1538" s="18"/>
      <c r="Q1538" s="18"/>
      <c r="R1538" s="18"/>
      <c r="S1538" s="18"/>
      <c r="T1538" s="18"/>
      <c r="U1538" s="18"/>
      <c r="V1538" s="18"/>
      <c r="W1538" s="18"/>
      <c r="X1538" s="18"/>
    </row>
    <row r="1539" spans="13:24">
      <c r="M1539" s="558">
        <f t="shared" si="74"/>
        <v>1537</v>
      </c>
      <c r="N1539" s="15">
        <f t="shared" si="72"/>
        <v>0.45635971863398472</v>
      </c>
      <c r="O1539" s="165">
        <f t="shared" si="73"/>
        <v>0.44</v>
      </c>
      <c r="P1539" s="18"/>
      <c r="Q1539" s="18"/>
      <c r="R1539" s="18"/>
      <c r="S1539" s="18"/>
      <c r="T1539" s="18"/>
      <c r="U1539" s="18"/>
      <c r="V1539" s="18"/>
      <c r="W1539" s="18"/>
      <c r="X1539" s="18"/>
    </row>
    <row r="1540" spans="13:24">
      <c r="M1540" s="558">
        <f t="shared" si="74"/>
        <v>1538</v>
      </c>
      <c r="N1540" s="15">
        <f t="shared" ref="N1540:N1603" si="75">IF(M1540&lt;$B$31+1,$B$32+$B$33/$B$31*(8760-M1540)+$B$34*IF(M1540&lt;$B$36-$B$31/(2*$B$35),1,IF(M1540&lt;$B$36+$B$31/(2*$B$35),COS(PI()/2*(M1540-($B$36-$B$31/(2*$B$35)))*$B$35/$B$31)^2,0))+$B$37*EXP((8760-M1540)/8760*$B$38)/EXP($B$38)-(8760-$B$31)*$B$33/$B$31,0)</f>
        <v>0.45622638344274108</v>
      </c>
      <c r="O1540" s="165">
        <f t="shared" ref="O1540:O1603" si="76">MIN(N1540,C$24)</f>
        <v>0.44</v>
      </c>
      <c r="P1540" s="18"/>
      <c r="Q1540" s="18"/>
      <c r="R1540" s="18"/>
      <c r="S1540" s="18"/>
      <c r="T1540" s="18"/>
      <c r="U1540" s="18"/>
      <c r="V1540" s="18"/>
      <c r="W1540" s="18"/>
      <c r="X1540" s="18"/>
    </row>
    <row r="1541" spans="13:24">
      <c r="M1541" s="558">
        <f t="shared" ref="M1541:M1604" si="77">M1540+1</f>
        <v>1539</v>
      </c>
      <c r="N1541" s="15">
        <f t="shared" si="75"/>
        <v>0.45609315111140192</v>
      </c>
      <c r="O1541" s="165">
        <f t="shared" si="76"/>
        <v>0.44</v>
      </c>
      <c r="P1541" s="18"/>
      <c r="Q1541" s="18"/>
      <c r="R1541" s="18"/>
      <c r="S1541" s="18"/>
      <c r="T1541" s="18"/>
      <c r="U1541" s="18"/>
      <c r="V1541" s="18"/>
      <c r="W1541" s="18"/>
      <c r="X1541" s="18"/>
    </row>
    <row r="1542" spans="13:24">
      <c r="M1542" s="558">
        <f t="shared" si="77"/>
        <v>1540</v>
      </c>
      <c r="N1542" s="15">
        <f t="shared" si="75"/>
        <v>0.45596002151088627</v>
      </c>
      <c r="O1542" s="165">
        <f t="shared" si="76"/>
        <v>0.44</v>
      </c>
      <c r="P1542" s="18"/>
      <c r="Q1542" s="18"/>
      <c r="R1542" s="18"/>
      <c r="S1542" s="18"/>
      <c r="T1542" s="18"/>
      <c r="U1542" s="18"/>
      <c r="V1542" s="18"/>
      <c r="W1542" s="18"/>
      <c r="X1542" s="18"/>
    </row>
    <row r="1543" spans="13:24">
      <c r="M1543" s="558">
        <f t="shared" si="77"/>
        <v>1541</v>
      </c>
      <c r="N1543" s="15">
        <f t="shared" si="75"/>
        <v>0.4558269945122751</v>
      </c>
      <c r="O1543" s="165">
        <f t="shared" si="76"/>
        <v>0.44</v>
      </c>
      <c r="P1543" s="18"/>
      <c r="Q1543" s="18"/>
      <c r="R1543" s="18"/>
      <c r="S1543" s="18"/>
      <c r="T1543" s="18"/>
      <c r="U1543" s="18"/>
      <c r="V1543" s="18"/>
      <c r="W1543" s="18"/>
      <c r="X1543" s="18"/>
    </row>
    <row r="1544" spans="13:24">
      <c r="M1544" s="558">
        <f t="shared" si="77"/>
        <v>1542</v>
      </c>
      <c r="N1544" s="15">
        <f t="shared" si="75"/>
        <v>0.45569406998681145</v>
      </c>
      <c r="O1544" s="165">
        <f t="shared" si="76"/>
        <v>0.44</v>
      </c>
      <c r="P1544" s="18"/>
      <c r="Q1544" s="18"/>
      <c r="R1544" s="18"/>
      <c r="S1544" s="18"/>
      <c r="T1544" s="18"/>
      <c r="U1544" s="18"/>
      <c r="V1544" s="18"/>
      <c r="W1544" s="18"/>
      <c r="X1544" s="18"/>
    </row>
    <row r="1545" spans="13:24">
      <c r="M1545" s="558">
        <f t="shared" si="77"/>
        <v>1543</v>
      </c>
      <c r="N1545" s="15">
        <f t="shared" si="75"/>
        <v>0.45556124780589957</v>
      </c>
      <c r="O1545" s="165">
        <f t="shared" si="76"/>
        <v>0.44</v>
      </c>
      <c r="P1545" s="18"/>
      <c r="Q1545" s="18"/>
      <c r="R1545" s="18"/>
      <c r="S1545" s="18"/>
      <c r="T1545" s="18"/>
      <c r="U1545" s="18"/>
      <c r="V1545" s="18"/>
      <c r="W1545" s="18"/>
      <c r="X1545" s="18"/>
    </row>
    <row r="1546" spans="13:24">
      <c r="M1546" s="558">
        <f t="shared" si="77"/>
        <v>1544</v>
      </c>
      <c r="N1546" s="15">
        <f t="shared" si="75"/>
        <v>0.45542852784110532</v>
      </c>
      <c r="O1546" s="165">
        <f t="shared" si="76"/>
        <v>0.44</v>
      </c>
      <c r="P1546" s="18"/>
      <c r="Q1546" s="18"/>
      <c r="R1546" s="18"/>
      <c r="S1546" s="18"/>
      <c r="T1546" s="18"/>
      <c r="U1546" s="18"/>
      <c r="V1546" s="18"/>
      <c r="W1546" s="18"/>
      <c r="X1546" s="18"/>
    </row>
    <row r="1547" spans="13:24">
      <c r="M1547" s="558">
        <f t="shared" si="77"/>
        <v>1545</v>
      </c>
      <c r="N1547" s="15">
        <f t="shared" si="75"/>
        <v>0.45529590996415575</v>
      </c>
      <c r="O1547" s="165">
        <f t="shared" si="76"/>
        <v>0.44</v>
      </c>
      <c r="P1547" s="18"/>
      <c r="Q1547" s="18"/>
      <c r="R1547" s="18"/>
      <c r="S1547" s="18"/>
      <c r="T1547" s="18"/>
      <c r="U1547" s="18"/>
      <c r="V1547" s="18"/>
      <c r="W1547" s="18"/>
      <c r="X1547" s="18"/>
    </row>
    <row r="1548" spans="13:24">
      <c r="M1548" s="558">
        <f t="shared" si="77"/>
        <v>1546</v>
      </c>
      <c r="N1548" s="15">
        <f t="shared" si="75"/>
        <v>0.45516339404693884</v>
      </c>
      <c r="O1548" s="165">
        <f t="shared" si="76"/>
        <v>0.44</v>
      </c>
      <c r="P1548" s="18"/>
      <c r="Q1548" s="18"/>
      <c r="R1548" s="18"/>
      <c r="S1548" s="18"/>
      <c r="T1548" s="18"/>
      <c r="U1548" s="18"/>
      <c r="V1548" s="18"/>
      <c r="W1548" s="18"/>
      <c r="X1548" s="18"/>
    </row>
    <row r="1549" spans="13:24">
      <c r="M1549" s="558">
        <f t="shared" si="77"/>
        <v>1547</v>
      </c>
      <c r="N1549" s="15">
        <f t="shared" si="75"/>
        <v>0.45503097996150299</v>
      </c>
      <c r="O1549" s="165">
        <f t="shared" si="76"/>
        <v>0.44</v>
      </c>
      <c r="P1549" s="18"/>
      <c r="Q1549" s="18"/>
      <c r="R1549" s="18"/>
      <c r="S1549" s="18"/>
      <c r="T1549" s="18"/>
      <c r="U1549" s="18"/>
      <c r="V1549" s="18"/>
      <c r="W1549" s="18"/>
      <c r="X1549" s="18"/>
    </row>
    <row r="1550" spans="13:24">
      <c r="M1550" s="558">
        <f t="shared" si="77"/>
        <v>1548</v>
      </c>
      <c r="N1550" s="15">
        <f t="shared" si="75"/>
        <v>0.45489866758005792</v>
      </c>
      <c r="O1550" s="165">
        <f t="shared" si="76"/>
        <v>0.44</v>
      </c>
      <c r="P1550" s="18"/>
      <c r="Q1550" s="18"/>
      <c r="R1550" s="18"/>
      <c r="S1550" s="18"/>
      <c r="T1550" s="18"/>
      <c r="U1550" s="18"/>
      <c r="V1550" s="18"/>
      <c r="W1550" s="18"/>
      <c r="X1550" s="18"/>
    </row>
    <row r="1551" spans="13:24">
      <c r="M1551" s="558">
        <f t="shared" si="77"/>
        <v>1549</v>
      </c>
      <c r="N1551" s="15">
        <f t="shared" si="75"/>
        <v>0.45476645677497313</v>
      </c>
      <c r="O1551" s="165">
        <f t="shared" si="76"/>
        <v>0.44</v>
      </c>
      <c r="P1551" s="18"/>
      <c r="Q1551" s="18"/>
      <c r="R1551" s="18"/>
      <c r="S1551" s="18"/>
      <c r="T1551" s="18"/>
      <c r="U1551" s="18"/>
      <c r="V1551" s="18"/>
      <c r="W1551" s="18"/>
      <c r="X1551" s="18"/>
    </row>
    <row r="1552" spans="13:24">
      <c r="M1552" s="558">
        <f t="shared" si="77"/>
        <v>1550</v>
      </c>
      <c r="N1552" s="15">
        <f t="shared" si="75"/>
        <v>0.45463434741877834</v>
      </c>
      <c r="O1552" s="165">
        <f t="shared" si="76"/>
        <v>0.44</v>
      </c>
      <c r="P1552" s="18"/>
      <c r="Q1552" s="18"/>
      <c r="R1552" s="18"/>
      <c r="S1552" s="18"/>
      <c r="T1552" s="18"/>
      <c r="U1552" s="18"/>
      <c r="V1552" s="18"/>
      <c r="W1552" s="18"/>
      <c r="X1552" s="18"/>
    </row>
    <row r="1553" spans="13:24">
      <c r="M1553" s="558">
        <f t="shared" si="77"/>
        <v>1551</v>
      </c>
      <c r="N1553" s="15">
        <f t="shared" si="75"/>
        <v>0.4545023393841634</v>
      </c>
      <c r="O1553" s="165">
        <f t="shared" si="76"/>
        <v>0.44</v>
      </c>
      <c r="P1553" s="18"/>
      <c r="Q1553" s="18"/>
      <c r="R1553" s="18"/>
      <c r="S1553" s="18"/>
      <c r="T1553" s="18"/>
      <c r="U1553" s="18"/>
      <c r="V1553" s="18"/>
      <c r="W1553" s="18"/>
      <c r="X1553" s="18"/>
    </row>
    <row r="1554" spans="13:24">
      <c r="M1554" s="558">
        <f t="shared" si="77"/>
        <v>1552</v>
      </c>
      <c r="N1554" s="15">
        <f t="shared" si="75"/>
        <v>0.45437043254397796</v>
      </c>
      <c r="O1554" s="165">
        <f t="shared" si="76"/>
        <v>0.44</v>
      </c>
      <c r="P1554" s="18"/>
      <c r="Q1554" s="18"/>
      <c r="R1554" s="18"/>
      <c r="S1554" s="18"/>
      <c r="T1554" s="18"/>
      <c r="U1554" s="18"/>
      <c r="V1554" s="18"/>
      <c r="W1554" s="18"/>
      <c r="X1554" s="18"/>
    </row>
    <row r="1555" spans="13:24">
      <c r="M1555" s="558">
        <f t="shared" si="77"/>
        <v>1553</v>
      </c>
      <c r="N1555" s="15">
        <f t="shared" si="75"/>
        <v>0.45423862677123106</v>
      </c>
      <c r="O1555" s="165">
        <f t="shared" si="76"/>
        <v>0.44</v>
      </c>
      <c r="P1555" s="18"/>
      <c r="Q1555" s="18"/>
      <c r="R1555" s="18"/>
      <c r="S1555" s="18"/>
      <c r="T1555" s="18"/>
      <c r="U1555" s="18"/>
      <c r="V1555" s="18"/>
      <c r="W1555" s="18"/>
      <c r="X1555" s="18"/>
    </row>
    <row r="1556" spans="13:24">
      <c r="M1556" s="558">
        <f t="shared" si="77"/>
        <v>1554</v>
      </c>
      <c r="N1556" s="15">
        <f t="shared" si="75"/>
        <v>0.45410692193909102</v>
      </c>
      <c r="O1556" s="165">
        <f t="shared" si="76"/>
        <v>0.44</v>
      </c>
      <c r="P1556" s="18"/>
      <c r="Q1556" s="18"/>
      <c r="R1556" s="18"/>
      <c r="S1556" s="18"/>
      <c r="T1556" s="18"/>
      <c r="U1556" s="18"/>
      <c r="V1556" s="18"/>
      <c r="W1556" s="18"/>
      <c r="X1556" s="18"/>
    </row>
    <row r="1557" spans="13:24">
      <c r="M1557" s="558">
        <f t="shared" si="77"/>
        <v>1555</v>
      </c>
      <c r="N1557" s="15">
        <f t="shared" si="75"/>
        <v>0.45397531792088586</v>
      </c>
      <c r="O1557" s="165">
        <f t="shared" si="76"/>
        <v>0.44</v>
      </c>
      <c r="P1557" s="18"/>
      <c r="Q1557" s="18"/>
      <c r="R1557" s="18"/>
      <c r="S1557" s="18"/>
      <c r="T1557" s="18"/>
      <c r="U1557" s="18"/>
      <c r="V1557" s="18"/>
      <c r="W1557" s="18"/>
      <c r="X1557" s="18"/>
    </row>
    <row r="1558" spans="13:24">
      <c r="M1558" s="558">
        <f t="shared" si="77"/>
        <v>1556</v>
      </c>
      <c r="N1558" s="15">
        <f t="shared" si="75"/>
        <v>0.45384381459010192</v>
      </c>
      <c r="O1558" s="165">
        <f t="shared" si="76"/>
        <v>0.44</v>
      </c>
      <c r="P1558" s="18"/>
      <c r="Q1558" s="18"/>
      <c r="R1558" s="18"/>
      <c r="S1558" s="18"/>
      <c r="T1558" s="18"/>
      <c r="U1558" s="18"/>
      <c r="V1558" s="18"/>
      <c r="W1558" s="18"/>
      <c r="X1558" s="18"/>
    </row>
    <row r="1559" spans="13:24">
      <c r="M1559" s="558">
        <f t="shared" si="77"/>
        <v>1557</v>
      </c>
      <c r="N1559" s="15">
        <f t="shared" si="75"/>
        <v>0.45371241182038458</v>
      </c>
      <c r="O1559" s="165">
        <f t="shared" si="76"/>
        <v>0.44</v>
      </c>
      <c r="P1559" s="18"/>
      <c r="Q1559" s="18"/>
      <c r="R1559" s="18"/>
      <c r="S1559" s="18"/>
      <c r="T1559" s="18"/>
      <c r="U1559" s="18"/>
      <c r="V1559" s="18"/>
      <c r="W1559" s="18"/>
      <c r="X1559" s="18"/>
    </row>
    <row r="1560" spans="13:24">
      <c r="M1560" s="558">
        <f t="shared" si="77"/>
        <v>1558</v>
      </c>
      <c r="N1560" s="15">
        <f t="shared" si="75"/>
        <v>0.45358110948553787</v>
      </c>
      <c r="O1560" s="165">
        <f t="shared" si="76"/>
        <v>0.44</v>
      </c>
      <c r="P1560" s="18"/>
      <c r="Q1560" s="18"/>
      <c r="R1560" s="18"/>
      <c r="S1560" s="18"/>
      <c r="T1560" s="18"/>
      <c r="U1560" s="18"/>
      <c r="V1560" s="18"/>
      <c r="W1560" s="18"/>
      <c r="X1560" s="18"/>
    </row>
    <row r="1561" spans="13:24">
      <c r="M1561" s="558">
        <f t="shared" si="77"/>
        <v>1559</v>
      </c>
      <c r="N1561" s="15">
        <f t="shared" si="75"/>
        <v>0.45344990745952407</v>
      </c>
      <c r="O1561" s="165">
        <f t="shared" si="76"/>
        <v>0.44</v>
      </c>
      <c r="P1561" s="18"/>
      <c r="Q1561" s="18"/>
      <c r="R1561" s="18"/>
      <c r="S1561" s="18"/>
      <c r="T1561" s="18"/>
      <c r="U1561" s="18"/>
      <c r="V1561" s="18"/>
      <c r="W1561" s="18"/>
      <c r="X1561" s="18"/>
    </row>
    <row r="1562" spans="13:24">
      <c r="M1562" s="558">
        <f t="shared" si="77"/>
        <v>1560</v>
      </c>
      <c r="N1562" s="15">
        <f t="shared" si="75"/>
        <v>0.45331880561646354</v>
      </c>
      <c r="O1562" s="165">
        <f t="shared" si="76"/>
        <v>0.44</v>
      </c>
      <c r="P1562" s="18"/>
      <c r="Q1562" s="18"/>
      <c r="R1562" s="18"/>
      <c r="S1562" s="18"/>
      <c r="T1562" s="18"/>
      <c r="U1562" s="18"/>
      <c r="V1562" s="18"/>
      <c r="W1562" s="18"/>
      <c r="X1562" s="18"/>
    </row>
    <row r="1563" spans="13:24">
      <c r="M1563" s="558">
        <f t="shared" si="77"/>
        <v>1561</v>
      </c>
      <c r="N1563" s="15">
        <f t="shared" si="75"/>
        <v>0.45318780383063489</v>
      </c>
      <c r="O1563" s="165">
        <f t="shared" si="76"/>
        <v>0.44</v>
      </c>
      <c r="P1563" s="18"/>
      <c r="Q1563" s="18"/>
      <c r="R1563" s="18"/>
      <c r="S1563" s="18"/>
      <c r="T1563" s="18"/>
      <c r="U1563" s="18"/>
      <c r="V1563" s="18"/>
      <c r="W1563" s="18"/>
      <c r="X1563" s="18"/>
    </row>
    <row r="1564" spans="13:24">
      <c r="M1564" s="558">
        <f t="shared" si="77"/>
        <v>1562</v>
      </c>
      <c r="N1564" s="15">
        <f t="shared" si="75"/>
        <v>0.45305690197647425</v>
      </c>
      <c r="O1564" s="165">
        <f t="shared" si="76"/>
        <v>0.44</v>
      </c>
      <c r="P1564" s="18"/>
      <c r="Q1564" s="18"/>
      <c r="R1564" s="18"/>
      <c r="S1564" s="18"/>
      <c r="T1564" s="18"/>
      <c r="U1564" s="18"/>
      <c r="V1564" s="18"/>
      <c r="W1564" s="18"/>
      <c r="X1564" s="18"/>
    </row>
    <row r="1565" spans="13:24">
      <c r="M1565" s="558">
        <f t="shared" si="77"/>
        <v>1563</v>
      </c>
      <c r="N1565" s="15">
        <f t="shared" si="75"/>
        <v>0.45292609992857541</v>
      </c>
      <c r="O1565" s="165">
        <f t="shared" si="76"/>
        <v>0.44</v>
      </c>
      <c r="P1565" s="18"/>
      <c r="Q1565" s="18"/>
      <c r="R1565" s="18"/>
      <c r="S1565" s="18"/>
      <c r="T1565" s="18"/>
      <c r="U1565" s="18"/>
      <c r="V1565" s="18"/>
      <c r="W1565" s="18"/>
      <c r="X1565" s="18"/>
    </row>
    <row r="1566" spans="13:24">
      <c r="M1566" s="558">
        <f t="shared" si="77"/>
        <v>1564</v>
      </c>
      <c r="N1566" s="15">
        <f t="shared" si="75"/>
        <v>0.45279539756168957</v>
      </c>
      <c r="O1566" s="165">
        <f t="shared" si="76"/>
        <v>0.44</v>
      </c>
      <c r="P1566" s="18"/>
      <c r="Q1566" s="18"/>
      <c r="R1566" s="18"/>
      <c r="S1566" s="18"/>
      <c r="T1566" s="18"/>
      <c r="U1566" s="18"/>
      <c r="V1566" s="18"/>
      <c r="W1566" s="18"/>
      <c r="X1566" s="18"/>
    </row>
    <row r="1567" spans="13:24">
      <c r="M1567" s="558">
        <f t="shared" si="77"/>
        <v>1565</v>
      </c>
      <c r="N1567" s="15">
        <f t="shared" si="75"/>
        <v>0.45266479475072491</v>
      </c>
      <c r="O1567" s="165">
        <f t="shared" si="76"/>
        <v>0.44</v>
      </c>
      <c r="P1567" s="18"/>
      <c r="Q1567" s="18"/>
      <c r="R1567" s="18"/>
      <c r="S1567" s="18"/>
      <c r="T1567" s="18"/>
      <c r="U1567" s="18"/>
      <c r="V1567" s="18"/>
      <c r="W1567" s="18"/>
      <c r="X1567" s="18"/>
    </row>
    <row r="1568" spans="13:24">
      <c r="M1568" s="558">
        <f t="shared" si="77"/>
        <v>1566</v>
      </c>
      <c r="N1568" s="15">
        <f t="shared" si="75"/>
        <v>0.4525342913707468</v>
      </c>
      <c r="O1568" s="165">
        <f t="shared" si="76"/>
        <v>0.44</v>
      </c>
      <c r="P1568" s="18"/>
      <c r="Q1568" s="18"/>
      <c r="R1568" s="18"/>
      <c r="S1568" s="18"/>
      <c r="T1568" s="18"/>
      <c r="U1568" s="18"/>
      <c r="V1568" s="18"/>
      <c r="W1568" s="18"/>
      <c r="X1568" s="18"/>
    </row>
    <row r="1569" spans="13:24">
      <c r="M1569" s="558">
        <f t="shared" si="77"/>
        <v>1567</v>
      </c>
      <c r="N1569" s="15">
        <f t="shared" si="75"/>
        <v>0.4524038872969775</v>
      </c>
      <c r="O1569" s="165">
        <f t="shared" si="76"/>
        <v>0.44</v>
      </c>
      <c r="P1569" s="18"/>
      <c r="Q1569" s="18"/>
      <c r="R1569" s="18"/>
      <c r="S1569" s="18"/>
      <c r="T1569" s="18"/>
      <c r="U1569" s="18"/>
      <c r="V1569" s="18"/>
      <c r="W1569" s="18"/>
      <c r="X1569" s="18"/>
    </row>
    <row r="1570" spans="13:24">
      <c r="M1570" s="558">
        <f t="shared" si="77"/>
        <v>1568</v>
      </c>
      <c r="N1570" s="15">
        <f t="shared" si="75"/>
        <v>0.45227358240479559</v>
      </c>
      <c r="O1570" s="165">
        <f t="shared" si="76"/>
        <v>0.44</v>
      </c>
      <c r="P1570" s="18"/>
      <c r="Q1570" s="18"/>
      <c r="R1570" s="18"/>
      <c r="S1570" s="18"/>
      <c r="T1570" s="18"/>
      <c r="U1570" s="18"/>
      <c r="V1570" s="18"/>
      <c r="W1570" s="18"/>
      <c r="X1570" s="18"/>
    </row>
    <row r="1571" spans="13:24">
      <c r="M1571" s="558">
        <f t="shared" si="77"/>
        <v>1569</v>
      </c>
      <c r="N1571" s="15">
        <f t="shared" si="75"/>
        <v>0.45214337656973591</v>
      </c>
      <c r="O1571" s="165">
        <f t="shared" si="76"/>
        <v>0.44</v>
      </c>
      <c r="P1571" s="18"/>
      <c r="Q1571" s="18"/>
      <c r="R1571" s="18"/>
      <c r="S1571" s="18"/>
      <c r="T1571" s="18"/>
      <c r="U1571" s="18"/>
      <c r="V1571" s="18"/>
      <c r="W1571" s="18"/>
      <c r="X1571" s="18"/>
    </row>
    <row r="1572" spans="13:24">
      <c r="M1572" s="558">
        <f t="shared" si="77"/>
        <v>1570</v>
      </c>
      <c r="N1572" s="15">
        <f t="shared" si="75"/>
        <v>0.45201326966749017</v>
      </c>
      <c r="O1572" s="165">
        <f t="shared" si="76"/>
        <v>0.44</v>
      </c>
      <c r="P1572" s="18"/>
      <c r="Q1572" s="18"/>
      <c r="R1572" s="18"/>
      <c r="S1572" s="18"/>
      <c r="T1572" s="18"/>
      <c r="U1572" s="18"/>
      <c r="V1572" s="18"/>
      <c r="W1572" s="18"/>
      <c r="X1572" s="18"/>
    </row>
    <row r="1573" spans="13:24">
      <c r="M1573" s="558">
        <f t="shared" si="77"/>
        <v>1571</v>
      </c>
      <c r="N1573" s="15">
        <f t="shared" si="75"/>
        <v>0.4518832615739054</v>
      </c>
      <c r="O1573" s="165">
        <f t="shared" si="76"/>
        <v>0.44</v>
      </c>
      <c r="P1573" s="18"/>
      <c r="Q1573" s="18"/>
      <c r="R1573" s="18"/>
      <c r="S1573" s="18"/>
      <c r="T1573" s="18"/>
      <c r="U1573" s="18"/>
      <c r="V1573" s="18"/>
      <c r="W1573" s="18"/>
      <c r="X1573" s="18"/>
    </row>
    <row r="1574" spans="13:24">
      <c r="M1574" s="558">
        <f t="shared" si="77"/>
        <v>1572</v>
      </c>
      <c r="N1574" s="15">
        <f t="shared" si="75"/>
        <v>0.45175335216498458</v>
      </c>
      <c r="O1574" s="165">
        <f t="shared" si="76"/>
        <v>0.44</v>
      </c>
      <c r="P1574" s="18"/>
      <c r="Q1574" s="18"/>
      <c r="R1574" s="18"/>
      <c r="S1574" s="18"/>
      <c r="T1574" s="18"/>
      <c r="U1574" s="18"/>
      <c r="V1574" s="18"/>
      <c r="W1574" s="18"/>
      <c r="X1574" s="18"/>
    </row>
    <row r="1575" spans="13:24">
      <c r="M1575" s="558">
        <f t="shared" si="77"/>
        <v>1573</v>
      </c>
      <c r="N1575" s="15">
        <f t="shared" si="75"/>
        <v>0.45162354131688648</v>
      </c>
      <c r="O1575" s="165">
        <f t="shared" si="76"/>
        <v>0.44</v>
      </c>
      <c r="P1575" s="18"/>
      <c r="Q1575" s="18"/>
      <c r="R1575" s="18"/>
      <c r="S1575" s="18"/>
      <c r="T1575" s="18"/>
      <c r="U1575" s="18"/>
      <c r="V1575" s="18"/>
      <c r="W1575" s="18"/>
      <c r="X1575" s="18"/>
    </row>
    <row r="1576" spans="13:24">
      <c r="M1576" s="558">
        <f t="shared" si="77"/>
        <v>1574</v>
      </c>
      <c r="N1576" s="15">
        <f t="shared" si="75"/>
        <v>0.45149382890592527</v>
      </c>
      <c r="O1576" s="165">
        <f t="shared" si="76"/>
        <v>0.44</v>
      </c>
      <c r="P1576" s="18"/>
      <c r="Q1576" s="18"/>
      <c r="R1576" s="18"/>
      <c r="S1576" s="18"/>
      <c r="T1576" s="18"/>
      <c r="U1576" s="18"/>
      <c r="V1576" s="18"/>
      <c r="W1576" s="18"/>
      <c r="X1576" s="18"/>
    </row>
    <row r="1577" spans="13:24">
      <c r="M1577" s="558">
        <f t="shared" si="77"/>
        <v>1575</v>
      </c>
      <c r="N1577" s="15">
        <f t="shared" si="75"/>
        <v>0.45136421480857003</v>
      </c>
      <c r="O1577" s="165">
        <f t="shared" si="76"/>
        <v>0.44</v>
      </c>
      <c r="P1577" s="18"/>
      <c r="Q1577" s="18"/>
      <c r="R1577" s="18"/>
      <c r="S1577" s="18"/>
      <c r="T1577" s="18"/>
      <c r="U1577" s="18"/>
      <c r="V1577" s="18"/>
      <c r="W1577" s="18"/>
      <c r="X1577" s="18"/>
    </row>
    <row r="1578" spans="13:24">
      <c r="M1578" s="558">
        <f t="shared" si="77"/>
        <v>1576</v>
      </c>
      <c r="N1578" s="15">
        <f t="shared" si="75"/>
        <v>0.45123469890144535</v>
      </c>
      <c r="O1578" s="165">
        <f t="shared" si="76"/>
        <v>0.44</v>
      </c>
      <c r="P1578" s="18"/>
      <c r="Q1578" s="18"/>
      <c r="R1578" s="18"/>
      <c r="S1578" s="18"/>
      <c r="T1578" s="18"/>
      <c r="U1578" s="18"/>
      <c r="V1578" s="18"/>
      <c r="W1578" s="18"/>
      <c r="X1578" s="18"/>
    </row>
    <row r="1579" spans="13:24">
      <c r="M1579" s="558">
        <f t="shared" si="77"/>
        <v>1577</v>
      </c>
      <c r="N1579" s="15">
        <f t="shared" si="75"/>
        <v>0.45110528106133013</v>
      </c>
      <c r="O1579" s="165">
        <f t="shared" si="76"/>
        <v>0.44</v>
      </c>
      <c r="P1579" s="18"/>
      <c r="Q1579" s="18"/>
      <c r="R1579" s="18"/>
      <c r="S1579" s="18"/>
      <c r="T1579" s="18"/>
      <c r="U1579" s="18"/>
      <c r="V1579" s="18"/>
      <c r="W1579" s="18"/>
      <c r="X1579" s="18"/>
    </row>
    <row r="1580" spans="13:24">
      <c r="M1580" s="558">
        <f t="shared" si="77"/>
        <v>1578</v>
      </c>
      <c r="N1580" s="15">
        <f t="shared" si="75"/>
        <v>0.45097596116515826</v>
      </c>
      <c r="O1580" s="165">
        <f t="shared" si="76"/>
        <v>0.44</v>
      </c>
      <c r="P1580" s="18"/>
      <c r="Q1580" s="18"/>
      <c r="R1580" s="18"/>
      <c r="S1580" s="18"/>
      <c r="T1580" s="18"/>
      <c r="U1580" s="18"/>
      <c r="V1580" s="18"/>
      <c r="W1580" s="18"/>
      <c r="X1580" s="18"/>
    </row>
    <row r="1581" spans="13:24">
      <c r="M1581" s="558">
        <f t="shared" si="77"/>
        <v>1579</v>
      </c>
      <c r="N1581" s="15">
        <f t="shared" si="75"/>
        <v>0.45084673909001799</v>
      </c>
      <c r="O1581" s="165">
        <f t="shared" si="76"/>
        <v>0.44</v>
      </c>
      <c r="P1581" s="18"/>
      <c r="Q1581" s="18"/>
      <c r="R1581" s="18"/>
      <c r="S1581" s="18"/>
      <c r="T1581" s="18"/>
      <c r="U1581" s="18"/>
      <c r="V1581" s="18"/>
      <c r="W1581" s="18"/>
      <c r="X1581" s="18"/>
    </row>
    <row r="1582" spans="13:24">
      <c r="M1582" s="558">
        <f t="shared" si="77"/>
        <v>1580</v>
      </c>
      <c r="N1582" s="15">
        <f t="shared" si="75"/>
        <v>0.45071761471315175</v>
      </c>
      <c r="O1582" s="165">
        <f t="shared" si="76"/>
        <v>0.44</v>
      </c>
      <c r="P1582" s="18"/>
      <c r="Q1582" s="18"/>
      <c r="R1582" s="18"/>
      <c r="S1582" s="18"/>
      <c r="T1582" s="18"/>
      <c r="U1582" s="18"/>
      <c r="V1582" s="18"/>
      <c r="W1582" s="18"/>
      <c r="X1582" s="18"/>
    </row>
    <row r="1583" spans="13:24">
      <c r="M1583" s="558">
        <f t="shared" si="77"/>
        <v>1581</v>
      </c>
      <c r="N1583" s="15">
        <f t="shared" si="75"/>
        <v>0.45058858791195594</v>
      </c>
      <c r="O1583" s="165">
        <f t="shared" si="76"/>
        <v>0.44</v>
      </c>
      <c r="P1583" s="18"/>
      <c r="Q1583" s="18"/>
      <c r="R1583" s="18"/>
      <c r="S1583" s="18"/>
      <c r="T1583" s="18"/>
      <c r="U1583" s="18"/>
      <c r="V1583" s="18"/>
      <c r="W1583" s="18"/>
      <c r="X1583" s="18"/>
    </row>
    <row r="1584" spans="13:24">
      <c r="M1584" s="558">
        <f t="shared" si="77"/>
        <v>1582</v>
      </c>
      <c r="N1584" s="15">
        <f t="shared" si="75"/>
        <v>0.45045965856398118</v>
      </c>
      <c r="O1584" s="165">
        <f t="shared" si="76"/>
        <v>0.44</v>
      </c>
      <c r="P1584" s="18"/>
      <c r="Q1584" s="18"/>
      <c r="R1584" s="18"/>
      <c r="S1584" s="18"/>
      <c r="T1584" s="18"/>
      <c r="U1584" s="18"/>
      <c r="V1584" s="18"/>
      <c r="W1584" s="18"/>
      <c r="X1584" s="18"/>
    </row>
    <row r="1585" spans="13:24">
      <c r="M1585" s="558">
        <f t="shared" si="77"/>
        <v>1583</v>
      </c>
      <c r="N1585" s="15">
        <f t="shared" si="75"/>
        <v>0.45033082654693135</v>
      </c>
      <c r="O1585" s="165">
        <f t="shared" si="76"/>
        <v>0.44</v>
      </c>
      <c r="P1585" s="18"/>
      <c r="Q1585" s="18"/>
      <c r="R1585" s="18"/>
      <c r="S1585" s="18"/>
      <c r="T1585" s="18"/>
      <c r="U1585" s="18"/>
      <c r="V1585" s="18"/>
      <c r="W1585" s="18"/>
      <c r="X1585" s="18"/>
    </row>
    <row r="1586" spans="13:24">
      <c r="M1586" s="558">
        <f t="shared" si="77"/>
        <v>1584</v>
      </c>
      <c r="N1586" s="15">
        <f t="shared" si="75"/>
        <v>0.45020209173866388</v>
      </c>
      <c r="O1586" s="165">
        <f t="shared" si="76"/>
        <v>0.44</v>
      </c>
      <c r="P1586" s="18"/>
      <c r="Q1586" s="18"/>
      <c r="R1586" s="18"/>
      <c r="S1586" s="18"/>
      <c r="T1586" s="18"/>
      <c r="U1586" s="18"/>
      <c r="V1586" s="18"/>
      <c r="W1586" s="18"/>
      <c r="X1586" s="18"/>
    </row>
    <row r="1587" spans="13:24">
      <c r="M1587" s="558">
        <f t="shared" si="77"/>
        <v>1585</v>
      </c>
      <c r="N1587" s="15">
        <f t="shared" si="75"/>
        <v>0.45007345401718962</v>
      </c>
      <c r="O1587" s="165">
        <f t="shared" si="76"/>
        <v>0.44</v>
      </c>
      <c r="P1587" s="18"/>
      <c r="Q1587" s="18"/>
      <c r="R1587" s="18"/>
      <c r="S1587" s="18"/>
      <c r="T1587" s="18"/>
      <c r="U1587" s="18"/>
      <c r="V1587" s="18"/>
      <c r="W1587" s="18"/>
      <c r="X1587" s="18"/>
    </row>
    <row r="1588" spans="13:24">
      <c r="M1588" s="558">
        <f t="shared" si="77"/>
        <v>1586</v>
      </c>
      <c r="N1588" s="15">
        <f t="shared" si="75"/>
        <v>0.44994491326067254</v>
      </c>
      <c r="O1588" s="165">
        <f t="shared" si="76"/>
        <v>0.44</v>
      </c>
      <c r="P1588" s="18"/>
      <c r="Q1588" s="18"/>
      <c r="R1588" s="18"/>
      <c r="S1588" s="18"/>
      <c r="T1588" s="18"/>
      <c r="U1588" s="18"/>
      <c r="V1588" s="18"/>
      <c r="W1588" s="18"/>
      <c r="X1588" s="18"/>
    </row>
    <row r="1589" spans="13:24">
      <c r="M1589" s="558">
        <f t="shared" si="77"/>
        <v>1587</v>
      </c>
      <c r="N1589" s="15">
        <f t="shared" si="75"/>
        <v>0.44981646934742936</v>
      </c>
      <c r="O1589" s="165">
        <f t="shared" si="76"/>
        <v>0.44</v>
      </c>
      <c r="P1589" s="18"/>
      <c r="Q1589" s="18"/>
      <c r="R1589" s="18"/>
      <c r="S1589" s="18"/>
      <c r="T1589" s="18"/>
      <c r="U1589" s="18"/>
      <c r="V1589" s="18"/>
      <c r="W1589" s="18"/>
      <c r="X1589" s="18"/>
    </row>
    <row r="1590" spans="13:24">
      <c r="M1590" s="558">
        <f t="shared" si="77"/>
        <v>1588</v>
      </c>
      <c r="N1590" s="15">
        <f t="shared" si="75"/>
        <v>0.44968812215592935</v>
      </c>
      <c r="O1590" s="165">
        <f t="shared" si="76"/>
        <v>0.44</v>
      </c>
      <c r="P1590" s="18"/>
      <c r="Q1590" s="18"/>
      <c r="R1590" s="18"/>
      <c r="S1590" s="18"/>
      <c r="T1590" s="18"/>
      <c r="U1590" s="18"/>
      <c r="V1590" s="18"/>
      <c r="W1590" s="18"/>
      <c r="X1590" s="18"/>
    </row>
    <row r="1591" spans="13:24">
      <c r="M1591" s="558">
        <f t="shared" si="77"/>
        <v>1589</v>
      </c>
      <c r="N1591" s="15">
        <f t="shared" si="75"/>
        <v>0.44955987156479477</v>
      </c>
      <c r="O1591" s="165">
        <f t="shared" si="76"/>
        <v>0.44</v>
      </c>
      <c r="P1591" s="18"/>
      <c r="Q1591" s="18"/>
      <c r="R1591" s="18"/>
      <c r="S1591" s="18"/>
      <c r="T1591" s="18"/>
      <c r="U1591" s="18"/>
      <c r="V1591" s="18"/>
      <c r="W1591" s="18"/>
      <c r="X1591" s="18"/>
    </row>
    <row r="1592" spans="13:24">
      <c r="M1592" s="558">
        <f t="shared" si="77"/>
        <v>1590</v>
      </c>
      <c r="N1592" s="15">
        <f t="shared" si="75"/>
        <v>0.44943171745279981</v>
      </c>
      <c r="O1592" s="165">
        <f t="shared" si="76"/>
        <v>0.44</v>
      </c>
      <c r="P1592" s="18"/>
      <c r="Q1592" s="18"/>
      <c r="R1592" s="18"/>
      <c r="S1592" s="18"/>
      <c r="T1592" s="18"/>
      <c r="U1592" s="18"/>
      <c r="V1592" s="18"/>
      <c r="W1592" s="18"/>
      <c r="X1592" s="18"/>
    </row>
    <row r="1593" spans="13:24">
      <c r="M1593" s="558">
        <f t="shared" si="77"/>
        <v>1591</v>
      </c>
      <c r="N1593" s="15">
        <f t="shared" si="75"/>
        <v>0.44930365969887093</v>
      </c>
      <c r="O1593" s="165">
        <f t="shared" si="76"/>
        <v>0.44</v>
      </c>
      <c r="P1593" s="18"/>
      <c r="Q1593" s="18"/>
      <c r="R1593" s="18"/>
      <c r="S1593" s="18"/>
      <c r="T1593" s="18"/>
      <c r="U1593" s="18"/>
      <c r="V1593" s="18"/>
      <c r="W1593" s="18"/>
      <c r="X1593" s="18"/>
    </row>
    <row r="1594" spans="13:24">
      <c r="M1594" s="558">
        <f t="shared" si="77"/>
        <v>1592</v>
      </c>
      <c r="N1594" s="15">
        <f t="shared" si="75"/>
        <v>0.44917569818208636</v>
      </c>
      <c r="O1594" s="165">
        <f t="shared" si="76"/>
        <v>0.44</v>
      </c>
      <c r="P1594" s="18"/>
      <c r="Q1594" s="18"/>
      <c r="R1594" s="18"/>
      <c r="S1594" s="18"/>
      <c r="T1594" s="18"/>
      <c r="U1594" s="18"/>
      <c r="V1594" s="18"/>
      <c r="W1594" s="18"/>
      <c r="X1594" s="18"/>
    </row>
    <row r="1595" spans="13:24">
      <c r="M1595" s="558">
        <f t="shared" si="77"/>
        <v>1593</v>
      </c>
      <c r="N1595" s="15">
        <f t="shared" si="75"/>
        <v>0.44904783278167626</v>
      </c>
      <c r="O1595" s="165">
        <f t="shared" si="76"/>
        <v>0.44</v>
      </c>
      <c r="P1595" s="18"/>
      <c r="Q1595" s="18"/>
      <c r="R1595" s="18"/>
      <c r="S1595" s="18"/>
      <c r="T1595" s="18"/>
      <c r="U1595" s="18"/>
      <c r="V1595" s="18"/>
      <c r="W1595" s="18"/>
      <c r="X1595" s="18"/>
    </row>
    <row r="1596" spans="13:24">
      <c r="M1596" s="558">
        <f t="shared" si="77"/>
        <v>1594</v>
      </c>
      <c r="N1596" s="15">
        <f t="shared" si="75"/>
        <v>0.4489200633770225</v>
      </c>
      <c r="O1596" s="165">
        <f t="shared" si="76"/>
        <v>0.44</v>
      </c>
      <c r="P1596" s="18"/>
      <c r="Q1596" s="18"/>
      <c r="R1596" s="18"/>
      <c r="S1596" s="18"/>
      <c r="T1596" s="18"/>
      <c r="U1596" s="18"/>
      <c r="V1596" s="18"/>
      <c r="W1596" s="18"/>
      <c r="X1596" s="18"/>
    </row>
    <row r="1597" spans="13:24">
      <c r="M1597" s="558">
        <f t="shared" si="77"/>
        <v>1595</v>
      </c>
      <c r="N1597" s="15">
        <f t="shared" si="75"/>
        <v>0.4487923898476579</v>
      </c>
      <c r="O1597" s="165">
        <f t="shared" si="76"/>
        <v>0.44</v>
      </c>
      <c r="P1597" s="18"/>
      <c r="Q1597" s="18"/>
      <c r="R1597" s="18"/>
      <c r="S1597" s="18"/>
      <c r="T1597" s="18"/>
      <c r="U1597" s="18"/>
      <c r="V1597" s="18"/>
      <c r="W1597" s="18"/>
      <c r="X1597" s="18"/>
    </row>
    <row r="1598" spans="13:24">
      <c r="M1598" s="558">
        <f t="shared" si="77"/>
        <v>1596</v>
      </c>
      <c r="N1598" s="15">
        <f t="shared" si="75"/>
        <v>0.44866481207326664</v>
      </c>
      <c r="O1598" s="165">
        <f t="shared" si="76"/>
        <v>0.44</v>
      </c>
      <c r="P1598" s="18"/>
      <c r="Q1598" s="18"/>
      <c r="R1598" s="18"/>
      <c r="S1598" s="18"/>
      <c r="T1598" s="18"/>
      <c r="U1598" s="18"/>
      <c r="V1598" s="18"/>
      <c r="W1598" s="18"/>
      <c r="X1598" s="18"/>
    </row>
    <row r="1599" spans="13:24">
      <c r="M1599" s="558">
        <f t="shared" si="77"/>
        <v>1597</v>
      </c>
      <c r="N1599" s="15">
        <f t="shared" si="75"/>
        <v>0.44853732993368417</v>
      </c>
      <c r="O1599" s="165">
        <f t="shared" si="76"/>
        <v>0.44</v>
      </c>
      <c r="P1599" s="18"/>
      <c r="Q1599" s="18"/>
      <c r="R1599" s="18"/>
      <c r="S1599" s="18"/>
      <c r="T1599" s="18"/>
      <c r="U1599" s="18"/>
      <c r="V1599" s="18"/>
      <c r="W1599" s="18"/>
      <c r="X1599" s="18"/>
    </row>
    <row r="1600" spans="13:24">
      <c r="M1600" s="558">
        <f t="shared" si="77"/>
        <v>1598</v>
      </c>
      <c r="N1600" s="15">
        <f t="shared" si="75"/>
        <v>0.44840994330889627</v>
      </c>
      <c r="O1600" s="165">
        <f t="shared" si="76"/>
        <v>0.44</v>
      </c>
      <c r="P1600" s="18"/>
      <c r="Q1600" s="18"/>
      <c r="R1600" s="18"/>
      <c r="S1600" s="18"/>
      <c r="T1600" s="18"/>
      <c r="U1600" s="18"/>
      <c r="V1600" s="18"/>
      <c r="W1600" s="18"/>
      <c r="X1600" s="18"/>
    </row>
    <row r="1601" spans="13:24">
      <c r="M1601" s="558">
        <f t="shared" si="77"/>
        <v>1599</v>
      </c>
      <c r="N1601" s="15">
        <f t="shared" si="75"/>
        <v>0.44828265207903956</v>
      </c>
      <c r="O1601" s="165">
        <f t="shared" si="76"/>
        <v>0.44</v>
      </c>
      <c r="P1601" s="18"/>
      <c r="Q1601" s="18"/>
      <c r="R1601" s="18"/>
      <c r="S1601" s="18"/>
      <c r="T1601" s="18"/>
      <c r="U1601" s="18"/>
      <c r="V1601" s="18"/>
      <c r="W1601" s="18"/>
      <c r="X1601" s="18"/>
    </row>
    <row r="1602" spans="13:24">
      <c r="M1602" s="558">
        <f t="shared" si="77"/>
        <v>1600</v>
      </c>
      <c r="N1602" s="15">
        <f t="shared" si="75"/>
        <v>0.44815545612440111</v>
      </c>
      <c r="O1602" s="165">
        <f t="shared" si="76"/>
        <v>0.44</v>
      </c>
      <c r="P1602" s="18"/>
      <c r="Q1602" s="18"/>
      <c r="R1602" s="18"/>
      <c r="S1602" s="18"/>
      <c r="T1602" s="18"/>
      <c r="U1602" s="18"/>
      <c r="V1602" s="18"/>
      <c r="W1602" s="18"/>
      <c r="X1602" s="18"/>
    </row>
    <row r="1603" spans="13:24">
      <c r="M1603" s="558">
        <f t="shared" si="77"/>
        <v>1601</v>
      </c>
      <c r="N1603" s="15">
        <f t="shared" si="75"/>
        <v>0.44802835532541818</v>
      </c>
      <c r="O1603" s="165">
        <f t="shared" si="76"/>
        <v>0.44</v>
      </c>
      <c r="P1603" s="18"/>
      <c r="Q1603" s="18"/>
      <c r="R1603" s="18"/>
      <c r="S1603" s="18"/>
      <c r="T1603" s="18"/>
      <c r="U1603" s="18"/>
      <c r="V1603" s="18"/>
      <c r="W1603" s="18"/>
      <c r="X1603" s="18"/>
    </row>
    <row r="1604" spans="13:24">
      <c r="M1604" s="558">
        <f t="shared" si="77"/>
        <v>1602</v>
      </c>
      <c r="N1604" s="15">
        <f t="shared" ref="N1604:N1667" si="78">IF(M1604&lt;$B$31+1,$B$32+$B$33/$B$31*(8760-M1604)+$B$34*IF(M1604&lt;$B$36-$B$31/(2*$B$35),1,IF(M1604&lt;$B$36+$B$31/(2*$B$35),COS(PI()/2*(M1604-($B$36-$B$31/(2*$B$35)))*$B$35/$B$31)^2,0))+$B$37*EXP((8760-M1604)/8760*$B$38)/EXP($B$38)-(8760-$B$31)*$B$33/$B$31,0)</f>
        <v>0.44790134956267813</v>
      </c>
      <c r="O1604" s="165">
        <f t="shared" ref="O1604:O1667" si="79">MIN(N1604,C$24)</f>
        <v>0.44</v>
      </c>
      <c r="P1604" s="18"/>
      <c r="Q1604" s="18"/>
      <c r="R1604" s="18"/>
      <c r="S1604" s="18"/>
      <c r="T1604" s="18"/>
      <c r="U1604" s="18"/>
      <c r="V1604" s="18"/>
      <c r="W1604" s="18"/>
      <c r="X1604" s="18"/>
    </row>
    <row r="1605" spans="13:24">
      <c r="M1605" s="558">
        <f t="shared" ref="M1605:M1668" si="80">M1604+1</f>
        <v>1603</v>
      </c>
      <c r="N1605" s="15">
        <f t="shared" si="78"/>
        <v>0.44777443871691786</v>
      </c>
      <c r="O1605" s="165">
        <f t="shared" si="79"/>
        <v>0.44</v>
      </c>
      <c r="P1605" s="18"/>
      <c r="Q1605" s="18"/>
      <c r="R1605" s="18"/>
      <c r="S1605" s="18"/>
      <c r="T1605" s="18"/>
      <c r="U1605" s="18"/>
      <c r="V1605" s="18"/>
      <c r="W1605" s="18"/>
      <c r="X1605" s="18"/>
    </row>
    <row r="1606" spans="13:24">
      <c r="M1606" s="558">
        <f t="shared" si="80"/>
        <v>1604</v>
      </c>
      <c r="N1606" s="15">
        <f t="shared" si="78"/>
        <v>0.44764762266902447</v>
      </c>
      <c r="O1606" s="165">
        <f t="shared" si="79"/>
        <v>0.44</v>
      </c>
      <c r="P1606" s="18"/>
      <c r="Q1606" s="18"/>
      <c r="R1606" s="18"/>
      <c r="S1606" s="18"/>
      <c r="T1606" s="18"/>
      <c r="U1606" s="18"/>
      <c r="V1606" s="18"/>
      <c r="W1606" s="18"/>
      <c r="X1606" s="18"/>
    </row>
    <row r="1607" spans="13:24">
      <c r="M1607" s="558">
        <f t="shared" si="80"/>
        <v>1605</v>
      </c>
      <c r="N1607" s="15">
        <f t="shared" si="78"/>
        <v>0.44752090130003414</v>
      </c>
      <c r="O1607" s="165">
        <f t="shared" si="79"/>
        <v>0.44</v>
      </c>
      <c r="P1607" s="18"/>
      <c r="Q1607" s="18"/>
      <c r="R1607" s="18"/>
      <c r="S1607" s="18"/>
      <c r="T1607" s="18"/>
      <c r="U1607" s="18"/>
      <c r="V1607" s="18"/>
      <c r="W1607" s="18"/>
      <c r="X1607" s="18"/>
    </row>
    <row r="1608" spans="13:24">
      <c r="M1608" s="558">
        <f t="shared" si="80"/>
        <v>1606</v>
      </c>
      <c r="N1608" s="15">
        <f t="shared" si="78"/>
        <v>0.44739427449113234</v>
      </c>
      <c r="O1608" s="165">
        <f t="shared" si="79"/>
        <v>0.44</v>
      </c>
      <c r="P1608" s="18"/>
      <c r="Q1608" s="18"/>
      <c r="R1608" s="18"/>
      <c r="S1608" s="18"/>
      <c r="T1608" s="18"/>
      <c r="U1608" s="18"/>
      <c r="V1608" s="18"/>
      <c r="W1608" s="18"/>
      <c r="X1608" s="18"/>
    </row>
    <row r="1609" spans="13:24">
      <c r="M1609" s="558">
        <f t="shared" si="80"/>
        <v>1607</v>
      </c>
      <c r="N1609" s="15">
        <f t="shared" si="78"/>
        <v>0.44726774212365394</v>
      </c>
      <c r="O1609" s="165">
        <f t="shared" si="79"/>
        <v>0.44</v>
      </c>
      <c r="P1609" s="18"/>
      <c r="Q1609" s="18"/>
      <c r="R1609" s="18"/>
      <c r="S1609" s="18"/>
      <c r="T1609" s="18"/>
      <c r="U1609" s="18"/>
      <c r="V1609" s="18"/>
      <c r="W1609" s="18"/>
      <c r="X1609" s="18"/>
    </row>
    <row r="1610" spans="13:24">
      <c r="M1610" s="558">
        <f t="shared" si="80"/>
        <v>1608</v>
      </c>
      <c r="N1610" s="15">
        <f t="shared" si="78"/>
        <v>0.44714130407908248</v>
      </c>
      <c r="O1610" s="165">
        <f t="shared" si="79"/>
        <v>0.44</v>
      </c>
      <c r="P1610" s="18"/>
      <c r="Q1610" s="18"/>
      <c r="R1610" s="18"/>
      <c r="S1610" s="18"/>
      <c r="T1610" s="18"/>
      <c r="U1610" s="18"/>
      <c r="V1610" s="18"/>
      <c r="W1610" s="18"/>
      <c r="X1610" s="18"/>
    </row>
    <row r="1611" spans="13:24">
      <c r="M1611" s="558">
        <f t="shared" si="80"/>
        <v>1609</v>
      </c>
      <c r="N1611" s="15">
        <f t="shared" si="78"/>
        <v>0.44701496023905013</v>
      </c>
      <c r="O1611" s="165">
        <f t="shared" si="79"/>
        <v>0.44</v>
      </c>
      <c r="P1611" s="18"/>
      <c r="Q1611" s="18"/>
      <c r="R1611" s="18"/>
      <c r="S1611" s="18"/>
      <c r="T1611" s="18"/>
      <c r="U1611" s="18"/>
      <c r="V1611" s="18"/>
      <c r="W1611" s="18"/>
      <c r="X1611" s="18"/>
    </row>
    <row r="1612" spans="13:24">
      <c r="M1612" s="558">
        <f t="shared" si="80"/>
        <v>1610</v>
      </c>
      <c r="N1612" s="15">
        <f t="shared" si="78"/>
        <v>0.44688871048533796</v>
      </c>
      <c r="O1612" s="165">
        <f t="shared" si="79"/>
        <v>0.44</v>
      </c>
      <c r="P1612" s="18"/>
      <c r="Q1612" s="18"/>
      <c r="R1612" s="18"/>
      <c r="S1612" s="18"/>
      <c r="T1612" s="18"/>
      <c r="U1612" s="18"/>
      <c r="V1612" s="18"/>
      <c r="W1612" s="18"/>
      <c r="X1612" s="18"/>
    </row>
    <row r="1613" spans="13:24">
      <c r="M1613" s="558">
        <f t="shared" si="80"/>
        <v>1611</v>
      </c>
      <c r="N1613" s="15">
        <f t="shared" si="78"/>
        <v>0.44676255469987519</v>
      </c>
      <c r="O1613" s="165">
        <f t="shared" si="79"/>
        <v>0.44</v>
      </c>
      <c r="P1613" s="18"/>
      <c r="Q1613" s="18"/>
      <c r="R1613" s="18"/>
      <c r="S1613" s="18"/>
      <c r="T1613" s="18"/>
      <c r="U1613" s="18"/>
      <c r="V1613" s="18"/>
      <c r="W1613" s="18"/>
      <c r="X1613" s="18"/>
    </row>
    <row r="1614" spans="13:24">
      <c r="M1614" s="558">
        <f t="shared" si="80"/>
        <v>1612</v>
      </c>
      <c r="N1614" s="15">
        <f t="shared" si="78"/>
        <v>0.44663649276473916</v>
      </c>
      <c r="O1614" s="165">
        <f t="shared" si="79"/>
        <v>0.44</v>
      </c>
      <c r="P1614" s="18"/>
      <c r="Q1614" s="18"/>
      <c r="R1614" s="18"/>
      <c r="S1614" s="18"/>
      <c r="T1614" s="18"/>
      <c r="U1614" s="18"/>
      <c r="V1614" s="18"/>
      <c r="W1614" s="18"/>
      <c r="X1614" s="18"/>
    </row>
    <row r="1615" spans="13:24">
      <c r="M1615" s="558">
        <f t="shared" si="80"/>
        <v>1613</v>
      </c>
      <c r="N1615" s="15">
        <f t="shared" si="78"/>
        <v>0.44651052456215506</v>
      </c>
      <c r="O1615" s="165">
        <f t="shared" si="79"/>
        <v>0.44</v>
      </c>
      <c r="P1615" s="18"/>
      <c r="Q1615" s="18"/>
      <c r="R1615" s="18"/>
      <c r="S1615" s="18"/>
      <c r="T1615" s="18"/>
      <c r="U1615" s="18"/>
      <c r="V1615" s="18"/>
      <c r="W1615" s="18"/>
      <c r="X1615" s="18"/>
    </row>
    <row r="1616" spans="13:24">
      <c r="M1616" s="558">
        <f t="shared" si="80"/>
        <v>1614</v>
      </c>
      <c r="N1616" s="15">
        <f t="shared" si="78"/>
        <v>0.44638464997449634</v>
      </c>
      <c r="O1616" s="165">
        <f t="shared" si="79"/>
        <v>0.44</v>
      </c>
      <c r="P1616" s="18"/>
      <c r="Q1616" s="18"/>
      <c r="R1616" s="18"/>
      <c r="S1616" s="18"/>
      <c r="T1616" s="18"/>
      <c r="U1616" s="18"/>
      <c r="V1616" s="18"/>
      <c r="W1616" s="18"/>
      <c r="X1616" s="18"/>
    </row>
    <row r="1617" spans="13:24">
      <c r="M1617" s="558">
        <f t="shared" si="80"/>
        <v>1615</v>
      </c>
      <c r="N1617" s="15">
        <f t="shared" si="78"/>
        <v>0.44625886888428373</v>
      </c>
      <c r="O1617" s="165">
        <f t="shared" si="79"/>
        <v>0.44</v>
      </c>
      <c r="P1617" s="18"/>
      <c r="Q1617" s="18"/>
      <c r="R1617" s="18"/>
      <c r="S1617" s="18"/>
      <c r="T1617" s="18"/>
      <c r="U1617" s="18"/>
      <c r="V1617" s="18"/>
      <c r="W1617" s="18"/>
      <c r="X1617" s="18"/>
    </row>
    <row r="1618" spans="13:24">
      <c r="M1618" s="558">
        <f t="shared" si="80"/>
        <v>1616</v>
      </c>
      <c r="N1618" s="15">
        <f t="shared" si="78"/>
        <v>0.44613318117418538</v>
      </c>
      <c r="O1618" s="165">
        <f t="shared" si="79"/>
        <v>0.44</v>
      </c>
      <c r="P1618" s="18"/>
      <c r="Q1618" s="18"/>
      <c r="R1618" s="18"/>
      <c r="S1618" s="18"/>
      <c r="T1618" s="18"/>
      <c r="U1618" s="18"/>
      <c r="V1618" s="18"/>
      <c r="W1618" s="18"/>
      <c r="X1618" s="18"/>
    </row>
    <row r="1619" spans="13:24">
      <c r="M1619" s="558">
        <f t="shared" si="80"/>
        <v>1617</v>
      </c>
      <c r="N1619" s="15">
        <f t="shared" si="78"/>
        <v>0.44600758672701679</v>
      </c>
      <c r="O1619" s="165">
        <f t="shared" si="79"/>
        <v>0.44</v>
      </c>
      <c r="P1619" s="18"/>
      <c r="Q1619" s="18"/>
      <c r="R1619" s="18"/>
      <c r="S1619" s="18"/>
      <c r="T1619" s="18"/>
      <c r="U1619" s="18"/>
      <c r="V1619" s="18"/>
      <c r="W1619" s="18"/>
      <c r="X1619" s="18"/>
    </row>
    <row r="1620" spans="13:24">
      <c r="M1620" s="558">
        <f t="shared" si="80"/>
        <v>1618</v>
      </c>
      <c r="N1620" s="15">
        <f t="shared" si="78"/>
        <v>0.44588208542574026</v>
      </c>
      <c r="O1620" s="165">
        <f t="shared" si="79"/>
        <v>0.44</v>
      </c>
      <c r="P1620" s="18"/>
      <c r="Q1620" s="18"/>
      <c r="R1620" s="18"/>
      <c r="S1620" s="18"/>
      <c r="T1620" s="18"/>
      <c r="U1620" s="18"/>
      <c r="V1620" s="18"/>
      <c r="W1620" s="18"/>
      <c r="X1620" s="18"/>
    </row>
    <row r="1621" spans="13:24">
      <c r="M1621" s="558">
        <f t="shared" si="80"/>
        <v>1619</v>
      </c>
      <c r="N1621" s="15">
        <f t="shared" si="78"/>
        <v>0.44575667715346556</v>
      </c>
      <c r="O1621" s="165">
        <f t="shared" si="79"/>
        <v>0.44</v>
      </c>
      <c r="P1621" s="18"/>
      <c r="Q1621" s="18"/>
      <c r="R1621" s="18"/>
      <c r="S1621" s="18"/>
      <c r="T1621" s="18"/>
      <c r="U1621" s="18"/>
      <c r="V1621" s="18"/>
      <c r="W1621" s="18"/>
      <c r="X1621" s="18"/>
    </row>
    <row r="1622" spans="13:24">
      <c r="M1622" s="558">
        <f t="shared" si="80"/>
        <v>1620</v>
      </c>
      <c r="N1622" s="15">
        <f t="shared" si="78"/>
        <v>0.44563136179344853</v>
      </c>
      <c r="O1622" s="165">
        <f t="shared" si="79"/>
        <v>0.44</v>
      </c>
      <c r="P1622" s="18"/>
      <c r="Q1622" s="18"/>
      <c r="R1622" s="18"/>
      <c r="S1622" s="18"/>
      <c r="T1622" s="18"/>
      <c r="U1622" s="18"/>
      <c r="V1622" s="18"/>
      <c r="W1622" s="18"/>
      <c r="X1622" s="18"/>
    </row>
    <row r="1623" spans="13:24">
      <c r="M1623" s="558">
        <f t="shared" si="80"/>
        <v>1621</v>
      </c>
      <c r="N1623" s="15">
        <f t="shared" si="78"/>
        <v>0.44550613922909171</v>
      </c>
      <c r="O1623" s="165">
        <f t="shared" si="79"/>
        <v>0.44</v>
      </c>
      <c r="P1623" s="18"/>
      <c r="Q1623" s="18"/>
      <c r="R1623" s="18"/>
      <c r="S1623" s="18"/>
      <c r="T1623" s="18"/>
      <c r="U1623" s="18"/>
      <c r="V1623" s="18"/>
      <c r="W1623" s="18"/>
      <c r="X1623" s="18"/>
    </row>
    <row r="1624" spans="13:24">
      <c r="M1624" s="558">
        <f t="shared" si="80"/>
        <v>1622</v>
      </c>
      <c r="N1624" s="15">
        <f t="shared" si="78"/>
        <v>0.44538100934394409</v>
      </c>
      <c r="O1624" s="165">
        <f t="shared" si="79"/>
        <v>0.44</v>
      </c>
      <c r="P1624" s="18"/>
      <c r="Q1624" s="18"/>
      <c r="R1624" s="18"/>
      <c r="S1624" s="18"/>
      <c r="T1624" s="18"/>
      <c r="U1624" s="18"/>
      <c r="V1624" s="18"/>
      <c r="W1624" s="18"/>
      <c r="X1624" s="18"/>
    </row>
    <row r="1625" spans="13:24">
      <c r="M1625" s="558">
        <f t="shared" si="80"/>
        <v>1623</v>
      </c>
      <c r="N1625" s="15">
        <f t="shared" si="78"/>
        <v>0.44525597202170075</v>
      </c>
      <c r="O1625" s="165">
        <f t="shared" si="79"/>
        <v>0.44</v>
      </c>
      <c r="P1625" s="18"/>
      <c r="Q1625" s="18"/>
      <c r="R1625" s="18"/>
      <c r="S1625" s="18"/>
      <c r="T1625" s="18"/>
      <c r="U1625" s="18"/>
      <c r="V1625" s="18"/>
      <c r="W1625" s="18"/>
      <c r="X1625" s="18"/>
    </row>
    <row r="1626" spans="13:24">
      <c r="M1626" s="558">
        <f t="shared" si="80"/>
        <v>1624</v>
      </c>
      <c r="N1626" s="15">
        <f t="shared" si="78"/>
        <v>0.44513102714620256</v>
      </c>
      <c r="O1626" s="165">
        <f t="shared" si="79"/>
        <v>0.44</v>
      </c>
      <c r="P1626" s="18"/>
      <c r="Q1626" s="18"/>
      <c r="R1626" s="18"/>
      <c r="S1626" s="18"/>
      <c r="T1626" s="18"/>
      <c r="U1626" s="18"/>
      <c r="V1626" s="18"/>
      <c r="W1626" s="18"/>
      <c r="X1626" s="18"/>
    </row>
    <row r="1627" spans="13:24">
      <c r="M1627" s="558">
        <f t="shared" si="80"/>
        <v>1625</v>
      </c>
      <c r="N1627" s="15">
        <f t="shared" si="78"/>
        <v>0.44500617460143632</v>
      </c>
      <c r="O1627" s="165">
        <f t="shared" si="79"/>
        <v>0.44</v>
      </c>
      <c r="P1627" s="18"/>
      <c r="Q1627" s="18"/>
      <c r="R1627" s="18"/>
      <c r="S1627" s="18"/>
      <c r="T1627" s="18"/>
      <c r="U1627" s="18"/>
      <c r="V1627" s="18"/>
      <c r="W1627" s="18"/>
      <c r="X1627" s="18"/>
    </row>
    <row r="1628" spans="13:24">
      <c r="M1628" s="558">
        <f t="shared" si="80"/>
        <v>1626</v>
      </c>
      <c r="N1628" s="15">
        <f t="shared" si="78"/>
        <v>0.44488141427153449</v>
      </c>
      <c r="O1628" s="165">
        <f t="shared" si="79"/>
        <v>0.44</v>
      </c>
      <c r="P1628" s="18"/>
      <c r="Q1628" s="18"/>
      <c r="R1628" s="18"/>
      <c r="S1628" s="18"/>
      <c r="T1628" s="18"/>
      <c r="U1628" s="18"/>
      <c r="V1628" s="18"/>
      <c r="W1628" s="18"/>
      <c r="X1628" s="18"/>
    </row>
    <row r="1629" spans="13:24">
      <c r="M1629" s="558">
        <f t="shared" si="80"/>
        <v>1627</v>
      </c>
      <c r="N1629" s="15">
        <f t="shared" si="78"/>
        <v>0.4447567460407747</v>
      </c>
      <c r="O1629" s="165">
        <f t="shared" si="79"/>
        <v>0.44</v>
      </c>
      <c r="P1629" s="18"/>
      <c r="Q1629" s="18"/>
      <c r="R1629" s="18"/>
      <c r="S1629" s="18"/>
      <c r="T1629" s="18"/>
      <c r="U1629" s="18"/>
      <c r="V1629" s="18"/>
      <c r="W1629" s="18"/>
      <c r="X1629" s="18"/>
    </row>
    <row r="1630" spans="13:24">
      <c r="M1630" s="558">
        <f t="shared" si="80"/>
        <v>1628</v>
      </c>
      <c r="N1630" s="15">
        <f t="shared" si="78"/>
        <v>0.44463216979357983</v>
      </c>
      <c r="O1630" s="165">
        <f t="shared" si="79"/>
        <v>0.44</v>
      </c>
      <c r="P1630" s="18"/>
      <c r="Q1630" s="18"/>
      <c r="R1630" s="18"/>
      <c r="S1630" s="18"/>
      <c r="T1630" s="18"/>
      <c r="U1630" s="18"/>
      <c r="V1630" s="18"/>
      <c r="W1630" s="18"/>
      <c r="X1630" s="18"/>
    </row>
    <row r="1631" spans="13:24">
      <c r="M1631" s="558">
        <f t="shared" si="80"/>
        <v>1629</v>
      </c>
      <c r="N1631" s="15">
        <f t="shared" si="78"/>
        <v>0.44450768541451813</v>
      </c>
      <c r="O1631" s="165">
        <f t="shared" si="79"/>
        <v>0.44</v>
      </c>
      <c r="P1631" s="18"/>
      <c r="Q1631" s="18"/>
      <c r="R1631" s="18"/>
      <c r="S1631" s="18"/>
      <c r="T1631" s="18"/>
      <c r="U1631" s="18"/>
      <c r="V1631" s="18"/>
      <c r="W1631" s="18"/>
      <c r="X1631" s="18"/>
    </row>
    <row r="1632" spans="13:24">
      <c r="M1632" s="558">
        <f t="shared" si="80"/>
        <v>1630</v>
      </c>
      <c r="N1632" s="15">
        <f t="shared" si="78"/>
        <v>0.44438329278830235</v>
      </c>
      <c r="O1632" s="165">
        <f t="shared" si="79"/>
        <v>0.44</v>
      </c>
      <c r="P1632" s="18"/>
      <c r="Q1632" s="18"/>
      <c r="R1632" s="18"/>
      <c r="S1632" s="18"/>
      <c r="T1632" s="18"/>
      <c r="U1632" s="18"/>
      <c r="V1632" s="18"/>
      <c r="W1632" s="18"/>
      <c r="X1632" s="18"/>
    </row>
    <row r="1633" spans="13:24">
      <c r="M1633" s="558">
        <f t="shared" si="80"/>
        <v>1631</v>
      </c>
      <c r="N1633" s="15">
        <f t="shared" si="78"/>
        <v>0.44425899179978989</v>
      </c>
      <c r="O1633" s="165">
        <f t="shared" si="79"/>
        <v>0.44</v>
      </c>
      <c r="P1633" s="18"/>
      <c r="Q1633" s="18"/>
      <c r="R1633" s="18"/>
      <c r="S1633" s="18"/>
      <c r="T1633" s="18"/>
      <c r="U1633" s="18"/>
      <c r="V1633" s="18"/>
      <c r="W1633" s="18"/>
      <c r="X1633" s="18"/>
    </row>
    <row r="1634" spans="13:24">
      <c r="M1634" s="558">
        <f t="shared" si="80"/>
        <v>1632</v>
      </c>
      <c r="N1634" s="15">
        <f t="shared" si="78"/>
        <v>0.44413478233398312</v>
      </c>
      <c r="O1634" s="165">
        <f t="shared" si="79"/>
        <v>0.44</v>
      </c>
      <c r="P1634" s="18"/>
      <c r="Q1634" s="18"/>
      <c r="R1634" s="18"/>
      <c r="S1634" s="18"/>
      <c r="T1634" s="18"/>
      <c r="U1634" s="18"/>
      <c r="V1634" s="18"/>
      <c r="W1634" s="18"/>
      <c r="X1634" s="18"/>
    </row>
    <row r="1635" spans="13:24">
      <c r="M1635" s="558">
        <f t="shared" si="80"/>
        <v>1633</v>
      </c>
      <c r="N1635" s="15">
        <f t="shared" si="78"/>
        <v>0.44401066427602814</v>
      </c>
      <c r="O1635" s="165">
        <f t="shared" si="79"/>
        <v>0.44</v>
      </c>
      <c r="P1635" s="18"/>
      <c r="Q1635" s="18"/>
      <c r="R1635" s="18"/>
      <c r="S1635" s="18"/>
      <c r="T1635" s="18"/>
      <c r="U1635" s="18"/>
      <c r="V1635" s="18"/>
      <c r="W1635" s="18"/>
      <c r="X1635" s="18"/>
    </row>
    <row r="1636" spans="13:24">
      <c r="M1636" s="558">
        <f t="shared" si="80"/>
        <v>1634</v>
      </c>
      <c r="N1636" s="15">
        <f t="shared" si="78"/>
        <v>0.44388663751121543</v>
      </c>
      <c r="O1636" s="165">
        <f t="shared" si="79"/>
        <v>0.44</v>
      </c>
      <c r="P1636" s="18"/>
      <c r="Q1636" s="18"/>
      <c r="R1636" s="18"/>
      <c r="S1636" s="18"/>
      <c r="T1636" s="18"/>
      <c r="U1636" s="18"/>
      <c r="V1636" s="18"/>
      <c r="W1636" s="18"/>
      <c r="X1636" s="18"/>
    </row>
    <row r="1637" spans="13:24">
      <c r="M1637" s="558">
        <f t="shared" si="80"/>
        <v>1635</v>
      </c>
      <c r="N1637" s="15">
        <f t="shared" si="78"/>
        <v>0.44376270192497963</v>
      </c>
      <c r="O1637" s="165">
        <f t="shared" si="79"/>
        <v>0.44</v>
      </c>
      <c r="P1637" s="18"/>
      <c r="Q1637" s="18"/>
      <c r="R1637" s="18"/>
      <c r="S1637" s="18"/>
      <c r="T1637" s="18"/>
      <c r="U1637" s="18"/>
      <c r="V1637" s="18"/>
      <c r="W1637" s="18"/>
      <c r="X1637" s="18"/>
    </row>
    <row r="1638" spans="13:24">
      <c r="M1638" s="558">
        <f t="shared" si="80"/>
        <v>1636</v>
      </c>
      <c r="N1638" s="15">
        <f t="shared" si="78"/>
        <v>0.44363885740289888</v>
      </c>
      <c r="O1638" s="165">
        <f t="shared" si="79"/>
        <v>0.44</v>
      </c>
      <c r="P1638" s="18"/>
      <c r="Q1638" s="18"/>
      <c r="R1638" s="18"/>
      <c r="S1638" s="18"/>
      <c r="T1638" s="18"/>
      <c r="U1638" s="18"/>
      <c r="V1638" s="18"/>
      <c r="W1638" s="18"/>
      <c r="X1638" s="18"/>
    </row>
    <row r="1639" spans="13:24">
      <c r="M1639" s="558">
        <f t="shared" si="80"/>
        <v>1637</v>
      </c>
      <c r="N1639" s="15">
        <f t="shared" si="78"/>
        <v>0.4435151038306947</v>
      </c>
      <c r="O1639" s="165">
        <f t="shared" si="79"/>
        <v>0.44</v>
      </c>
      <c r="P1639" s="18"/>
      <c r="Q1639" s="18"/>
      <c r="R1639" s="18"/>
      <c r="S1639" s="18"/>
      <c r="T1639" s="18"/>
      <c r="U1639" s="18"/>
      <c r="V1639" s="18"/>
      <c r="W1639" s="18"/>
      <c r="X1639" s="18"/>
    </row>
    <row r="1640" spans="13:24">
      <c r="M1640" s="558">
        <f t="shared" si="80"/>
        <v>1638</v>
      </c>
      <c r="N1640" s="15">
        <f t="shared" si="78"/>
        <v>0.44339144109423267</v>
      </c>
      <c r="O1640" s="165">
        <f t="shared" si="79"/>
        <v>0.44</v>
      </c>
      <c r="P1640" s="18"/>
      <c r="Q1640" s="18"/>
      <c r="R1640" s="18"/>
      <c r="S1640" s="18"/>
      <c r="T1640" s="18"/>
      <c r="U1640" s="18"/>
      <c r="V1640" s="18"/>
      <c r="W1640" s="18"/>
      <c r="X1640" s="18"/>
    </row>
    <row r="1641" spans="13:24">
      <c r="M1641" s="558">
        <f t="shared" si="80"/>
        <v>1639</v>
      </c>
      <c r="N1641" s="15">
        <f t="shared" si="78"/>
        <v>0.44326786907952109</v>
      </c>
      <c r="O1641" s="165">
        <f t="shared" si="79"/>
        <v>0.44</v>
      </c>
      <c r="P1641" s="18"/>
      <c r="Q1641" s="18"/>
      <c r="R1641" s="18"/>
      <c r="S1641" s="18"/>
      <c r="T1641" s="18"/>
      <c r="U1641" s="18"/>
      <c r="V1641" s="18"/>
      <c r="W1641" s="18"/>
      <c r="X1641" s="18"/>
    </row>
    <row r="1642" spans="13:24">
      <c r="M1642" s="558">
        <f t="shared" si="80"/>
        <v>1640</v>
      </c>
      <c r="N1642" s="15">
        <f t="shared" si="78"/>
        <v>0.44314438767271136</v>
      </c>
      <c r="O1642" s="165">
        <f t="shared" si="79"/>
        <v>0.44</v>
      </c>
      <c r="P1642" s="18"/>
      <c r="Q1642" s="18"/>
      <c r="R1642" s="18"/>
      <c r="S1642" s="18"/>
      <c r="T1642" s="18"/>
      <c r="U1642" s="18"/>
      <c r="V1642" s="18"/>
      <c r="W1642" s="18"/>
      <c r="X1642" s="18"/>
    </row>
    <row r="1643" spans="13:24">
      <c r="M1643" s="558">
        <f t="shared" si="80"/>
        <v>1641</v>
      </c>
      <c r="N1643" s="15">
        <f t="shared" si="78"/>
        <v>0.44302099676009798</v>
      </c>
      <c r="O1643" s="165">
        <f t="shared" si="79"/>
        <v>0.44</v>
      </c>
      <c r="P1643" s="18"/>
      <c r="Q1643" s="18"/>
      <c r="R1643" s="18"/>
      <c r="S1643" s="18"/>
      <c r="T1643" s="18"/>
      <c r="U1643" s="18"/>
      <c r="V1643" s="18"/>
      <c r="W1643" s="18"/>
      <c r="X1643" s="18"/>
    </row>
    <row r="1644" spans="13:24">
      <c r="M1644" s="558">
        <f t="shared" si="80"/>
        <v>1642</v>
      </c>
      <c r="N1644" s="15">
        <f t="shared" si="78"/>
        <v>0.44289769622811803</v>
      </c>
      <c r="O1644" s="165">
        <f t="shared" si="79"/>
        <v>0.44</v>
      </c>
      <c r="P1644" s="18"/>
      <c r="Q1644" s="18"/>
      <c r="R1644" s="18"/>
      <c r="S1644" s="18"/>
      <c r="T1644" s="18"/>
      <c r="U1644" s="18"/>
      <c r="V1644" s="18"/>
      <c r="W1644" s="18"/>
      <c r="X1644" s="18"/>
    </row>
    <row r="1645" spans="13:24">
      <c r="M1645" s="558">
        <f t="shared" si="80"/>
        <v>1643</v>
      </c>
      <c r="N1645" s="15">
        <f t="shared" si="78"/>
        <v>0.44277448596335089</v>
      </c>
      <c r="O1645" s="165">
        <f t="shared" si="79"/>
        <v>0.44</v>
      </c>
      <c r="P1645" s="18"/>
      <c r="Q1645" s="18"/>
      <c r="R1645" s="18"/>
      <c r="S1645" s="18"/>
      <c r="T1645" s="18"/>
      <c r="U1645" s="18"/>
      <c r="V1645" s="18"/>
      <c r="W1645" s="18"/>
      <c r="X1645" s="18"/>
    </row>
    <row r="1646" spans="13:24">
      <c r="M1646" s="558">
        <f t="shared" si="80"/>
        <v>1644</v>
      </c>
      <c r="N1646" s="15">
        <f t="shared" si="78"/>
        <v>0.44265136585251857</v>
      </c>
      <c r="O1646" s="165">
        <f t="shared" si="79"/>
        <v>0.44</v>
      </c>
      <c r="P1646" s="18"/>
      <c r="Q1646" s="18"/>
      <c r="R1646" s="18"/>
      <c r="S1646" s="18"/>
      <c r="T1646" s="18"/>
      <c r="U1646" s="18"/>
      <c r="V1646" s="18"/>
      <c r="W1646" s="18"/>
      <c r="X1646" s="18"/>
    </row>
    <row r="1647" spans="13:24">
      <c r="M1647" s="558">
        <f t="shared" si="80"/>
        <v>1645</v>
      </c>
      <c r="N1647" s="15">
        <f t="shared" si="78"/>
        <v>0.44252833578248513</v>
      </c>
      <c r="O1647" s="165">
        <f t="shared" si="79"/>
        <v>0.44</v>
      </c>
      <c r="P1647" s="18"/>
      <c r="Q1647" s="18"/>
      <c r="R1647" s="18"/>
      <c r="S1647" s="18"/>
      <c r="T1647" s="18"/>
      <c r="U1647" s="18"/>
      <c r="V1647" s="18"/>
      <c r="W1647" s="18"/>
      <c r="X1647" s="18"/>
    </row>
    <row r="1648" spans="13:24">
      <c r="M1648" s="558">
        <f t="shared" si="80"/>
        <v>1646</v>
      </c>
      <c r="N1648" s="15">
        <f t="shared" si="78"/>
        <v>0.44240539564025649</v>
      </c>
      <c r="O1648" s="165">
        <f t="shared" si="79"/>
        <v>0.44</v>
      </c>
      <c r="P1648" s="18"/>
      <c r="Q1648" s="18"/>
      <c r="R1648" s="18"/>
      <c r="S1648" s="18"/>
      <c r="T1648" s="18"/>
      <c r="U1648" s="18"/>
      <c r="V1648" s="18"/>
      <c r="W1648" s="18"/>
      <c r="X1648" s="18"/>
    </row>
    <row r="1649" spans="13:24">
      <c r="M1649" s="558">
        <f t="shared" si="80"/>
        <v>1647</v>
      </c>
      <c r="N1649" s="15">
        <f t="shared" si="78"/>
        <v>0.44228254531298067</v>
      </c>
      <c r="O1649" s="165">
        <f t="shared" si="79"/>
        <v>0.44</v>
      </c>
      <c r="P1649" s="18"/>
      <c r="Q1649" s="18"/>
      <c r="R1649" s="18"/>
      <c r="S1649" s="18"/>
      <c r="T1649" s="18"/>
      <c r="U1649" s="18"/>
      <c r="V1649" s="18"/>
      <c r="W1649" s="18"/>
      <c r="X1649" s="18"/>
    </row>
    <row r="1650" spans="13:24">
      <c r="M1650" s="558">
        <f t="shared" si="80"/>
        <v>1648</v>
      </c>
      <c r="N1650" s="15">
        <f t="shared" si="78"/>
        <v>0.44215978468794692</v>
      </c>
      <c r="O1650" s="165">
        <f t="shared" si="79"/>
        <v>0.44</v>
      </c>
      <c r="P1650" s="18"/>
      <c r="Q1650" s="18"/>
      <c r="R1650" s="18"/>
      <c r="S1650" s="18"/>
      <c r="T1650" s="18"/>
      <c r="U1650" s="18"/>
      <c r="V1650" s="18"/>
      <c r="W1650" s="18"/>
      <c r="X1650" s="18"/>
    </row>
    <row r="1651" spans="13:24">
      <c r="M1651" s="558">
        <f t="shared" si="80"/>
        <v>1649</v>
      </c>
      <c r="N1651" s="15">
        <f t="shared" si="78"/>
        <v>0.44203711365258619</v>
      </c>
      <c r="O1651" s="165">
        <f t="shared" si="79"/>
        <v>0.44</v>
      </c>
      <c r="P1651" s="18"/>
      <c r="Q1651" s="18"/>
      <c r="R1651" s="18"/>
      <c r="S1651" s="18"/>
      <c r="T1651" s="18"/>
      <c r="U1651" s="18"/>
      <c r="V1651" s="18"/>
      <c r="W1651" s="18"/>
      <c r="X1651" s="18"/>
    </row>
    <row r="1652" spans="13:24">
      <c r="M1652" s="558">
        <f t="shared" si="80"/>
        <v>1650</v>
      </c>
      <c r="N1652" s="15">
        <f t="shared" si="78"/>
        <v>0.44191453209447074</v>
      </c>
      <c r="O1652" s="165">
        <f t="shared" si="79"/>
        <v>0.44</v>
      </c>
      <c r="P1652" s="18"/>
      <c r="Q1652" s="18"/>
      <c r="R1652" s="18"/>
      <c r="S1652" s="18"/>
      <c r="T1652" s="18"/>
      <c r="U1652" s="18"/>
      <c r="V1652" s="18"/>
      <c r="W1652" s="18"/>
      <c r="X1652" s="18"/>
    </row>
    <row r="1653" spans="13:24">
      <c r="M1653" s="558">
        <f t="shared" si="80"/>
        <v>1651</v>
      </c>
      <c r="N1653" s="15">
        <f t="shared" si="78"/>
        <v>0.44179203990131377</v>
      </c>
      <c r="O1653" s="165">
        <f t="shared" si="79"/>
        <v>0.44</v>
      </c>
      <c r="P1653" s="18"/>
      <c r="Q1653" s="18"/>
      <c r="R1653" s="18"/>
      <c r="S1653" s="18"/>
      <c r="T1653" s="18"/>
      <c r="U1653" s="18"/>
      <c r="V1653" s="18"/>
      <c r="W1653" s="18"/>
      <c r="X1653" s="18"/>
    </row>
    <row r="1654" spans="13:24">
      <c r="M1654" s="558">
        <f t="shared" si="80"/>
        <v>1652</v>
      </c>
      <c r="N1654" s="15">
        <f t="shared" si="78"/>
        <v>0.44166963696096923</v>
      </c>
      <c r="O1654" s="165">
        <f t="shared" si="79"/>
        <v>0.44</v>
      </c>
      <c r="P1654" s="18"/>
      <c r="Q1654" s="18"/>
      <c r="R1654" s="18"/>
      <c r="S1654" s="18"/>
      <c r="T1654" s="18"/>
      <c r="U1654" s="18"/>
      <c r="V1654" s="18"/>
      <c r="W1654" s="18"/>
      <c r="X1654" s="18"/>
    </row>
    <row r="1655" spans="13:24">
      <c r="M1655" s="558">
        <f t="shared" si="80"/>
        <v>1653</v>
      </c>
      <c r="N1655" s="15">
        <f t="shared" si="78"/>
        <v>0.44154732316143236</v>
      </c>
      <c r="O1655" s="165">
        <f t="shared" si="79"/>
        <v>0.44</v>
      </c>
      <c r="P1655" s="18"/>
      <c r="Q1655" s="18"/>
      <c r="R1655" s="18"/>
      <c r="S1655" s="18"/>
      <c r="T1655" s="18"/>
      <c r="U1655" s="18"/>
      <c r="V1655" s="18"/>
      <c r="W1655" s="18"/>
      <c r="X1655" s="18"/>
    </row>
    <row r="1656" spans="13:24">
      <c r="M1656" s="558">
        <f t="shared" si="80"/>
        <v>1654</v>
      </c>
      <c r="N1656" s="15">
        <f t="shared" si="78"/>
        <v>0.44142509839083838</v>
      </c>
      <c r="O1656" s="165">
        <f t="shared" si="79"/>
        <v>0.44</v>
      </c>
      <c r="P1656" s="18"/>
      <c r="Q1656" s="18"/>
      <c r="R1656" s="18"/>
      <c r="S1656" s="18"/>
      <c r="T1656" s="18"/>
      <c r="U1656" s="18"/>
      <c r="V1656" s="18"/>
      <c r="W1656" s="18"/>
      <c r="X1656" s="18"/>
    </row>
    <row r="1657" spans="13:24">
      <c r="M1657" s="558">
        <f t="shared" si="80"/>
        <v>1655</v>
      </c>
      <c r="N1657" s="15">
        <f t="shared" si="78"/>
        <v>0.44130296253746304</v>
      </c>
      <c r="O1657" s="165">
        <f t="shared" si="79"/>
        <v>0.44</v>
      </c>
      <c r="P1657" s="18"/>
      <c r="Q1657" s="18"/>
      <c r="R1657" s="18"/>
      <c r="S1657" s="18"/>
      <c r="T1657" s="18"/>
      <c r="U1657" s="18"/>
      <c r="V1657" s="18"/>
      <c r="W1657" s="18"/>
      <c r="X1657" s="18"/>
    </row>
    <row r="1658" spans="13:24">
      <c r="M1658" s="558">
        <f t="shared" si="80"/>
        <v>1656</v>
      </c>
      <c r="N1658" s="15">
        <f t="shared" si="78"/>
        <v>0.4411809154897226</v>
      </c>
      <c r="O1658" s="165">
        <f t="shared" si="79"/>
        <v>0.44</v>
      </c>
      <c r="P1658" s="18"/>
      <c r="Q1658" s="18"/>
      <c r="R1658" s="18"/>
      <c r="S1658" s="18"/>
      <c r="T1658" s="18"/>
      <c r="U1658" s="18"/>
      <c r="V1658" s="18"/>
      <c r="W1658" s="18"/>
      <c r="X1658" s="18"/>
    </row>
    <row r="1659" spans="13:24">
      <c r="M1659" s="558">
        <f t="shared" si="80"/>
        <v>1657</v>
      </c>
      <c r="N1659" s="15">
        <f t="shared" si="78"/>
        <v>0.44105895713617305</v>
      </c>
      <c r="O1659" s="165">
        <f t="shared" si="79"/>
        <v>0.44</v>
      </c>
      <c r="P1659" s="18"/>
      <c r="Q1659" s="18"/>
      <c r="R1659" s="18"/>
      <c r="S1659" s="18"/>
      <c r="T1659" s="18"/>
      <c r="U1659" s="18"/>
      <c r="V1659" s="18"/>
      <c r="W1659" s="18"/>
      <c r="X1659" s="18"/>
    </row>
    <row r="1660" spans="13:24">
      <c r="M1660" s="558">
        <f t="shared" si="80"/>
        <v>1658</v>
      </c>
      <c r="N1660" s="15">
        <f t="shared" si="78"/>
        <v>0.44093708736551013</v>
      </c>
      <c r="O1660" s="165">
        <f t="shared" si="79"/>
        <v>0.44</v>
      </c>
      <c r="P1660" s="18"/>
      <c r="Q1660" s="18"/>
      <c r="R1660" s="18"/>
      <c r="S1660" s="18"/>
      <c r="T1660" s="18"/>
      <c r="U1660" s="18"/>
      <c r="V1660" s="18"/>
      <c r="W1660" s="18"/>
      <c r="X1660" s="18"/>
    </row>
    <row r="1661" spans="13:24">
      <c r="M1661" s="558">
        <f t="shared" si="80"/>
        <v>1659</v>
      </c>
      <c r="N1661" s="15">
        <f t="shared" si="78"/>
        <v>0.44081530606656966</v>
      </c>
      <c r="O1661" s="165">
        <f t="shared" si="79"/>
        <v>0.44</v>
      </c>
      <c r="P1661" s="18"/>
      <c r="Q1661" s="18"/>
      <c r="R1661" s="18"/>
      <c r="S1661" s="18"/>
      <c r="T1661" s="18"/>
      <c r="U1661" s="18"/>
      <c r="V1661" s="18"/>
      <c r="W1661" s="18"/>
      <c r="X1661" s="18"/>
    </row>
    <row r="1662" spans="13:24">
      <c r="M1662" s="558">
        <f t="shared" si="80"/>
        <v>1660</v>
      </c>
      <c r="N1662" s="15">
        <f t="shared" si="78"/>
        <v>0.44069361312832661</v>
      </c>
      <c r="O1662" s="165">
        <f t="shared" si="79"/>
        <v>0.44</v>
      </c>
      <c r="P1662" s="18"/>
      <c r="Q1662" s="18"/>
      <c r="R1662" s="18"/>
      <c r="S1662" s="18"/>
      <c r="T1662" s="18"/>
      <c r="U1662" s="18"/>
      <c r="V1662" s="18"/>
      <c r="W1662" s="18"/>
      <c r="X1662" s="18"/>
    </row>
    <row r="1663" spans="13:24">
      <c r="M1663" s="558">
        <f t="shared" si="80"/>
        <v>1661</v>
      </c>
      <c r="N1663" s="15">
        <f t="shared" si="78"/>
        <v>0.44057200843989552</v>
      </c>
      <c r="O1663" s="165">
        <f t="shared" si="79"/>
        <v>0.44</v>
      </c>
      <c r="P1663" s="18"/>
      <c r="Q1663" s="18"/>
      <c r="R1663" s="18"/>
      <c r="S1663" s="18"/>
      <c r="T1663" s="18"/>
      <c r="U1663" s="18"/>
      <c r="V1663" s="18"/>
      <c r="W1663" s="18"/>
      <c r="X1663" s="18"/>
    </row>
    <row r="1664" spans="13:24">
      <c r="M1664" s="558">
        <f t="shared" si="80"/>
        <v>1662</v>
      </c>
      <c r="N1664" s="15">
        <f t="shared" si="78"/>
        <v>0.44045049189052971</v>
      </c>
      <c r="O1664" s="165">
        <f t="shared" si="79"/>
        <v>0.44</v>
      </c>
      <c r="P1664" s="18"/>
      <c r="Q1664" s="18"/>
      <c r="R1664" s="18"/>
      <c r="S1664" s="18"/>
      <c r="T1664" s="18"/>
      <c r="U1664" s="18"/>
      <c r="V1664" s="18"/>
      <c r="W1664" s="18"/>
      <c r="X1664" s="18"/>
    </row>
    <row r="1665" spans="13:24">
      <c r="M1665" s="558">
        <f t="shared" si="80"/>
        <v>1663</v>
      </c>
      <c r="N1665" s="15">
        <f t="shared" si="78"/>
        <v>0.44032906336962196</v>
      </c>
      <c r="O1665" s="165">
        <f t="shared" si="79"/>
        <v>0.44</v>
      </c>
      <c r="P1665" s="18"/>
      <c r="Q1665" s="18"/>
      <c r="R1665" s="18"/>
      <c r="S1665" s="18"/>
      <c r="T1665" s="18"/>
      <c r="U1665" s="18"/>
      <c r="V1665" s="18"/>
      <c r="W1665" s="18"/>
      <c r="X1665" s="18"/>
    </row>
    <row r="1666" spans="13:24">
      <c r="M1666" s="558">
        <f t="shared" si="80"/>
        <v>1664</v>
      </c>
      <c r="N1666" s="15">
        <f t="shared" si="78"/>
        <v>0.44020772276670361</v>
      </c>
      <c r="O1666" s="165">
        <f t="shared" si="79"/>
        <v>0.44</v>
      </c>
      <c r="P1666" s="18"/>
      <c r="Q1666" s="18"/>
      <c r="R1666" s="18"/>
      <c r="S1666" s="18"/>
      <c r="T1666" s="18"/>
      <c r="U1666" s="18"/>
      <c r="V1666" s="18"/>
      <c r="W1666" s="18"/>
      <c r="X1666" s="18"/>
    </row>
    <row r="1667" spans="13:24">
      <c r="M1667" s="558">
        <f t="shared" si="80"/>
        <v>1665</v>
      </c>
      <c r="N1667" s="15">
        <f t="shared" si="78"/>
        <v>0.44008646997144452</v>
      </c>
      <c r="O1667" s="165">
        <f t="shared" si="79"/>
        <v>0.44</v>
      </c>
      <c r="P1667" s="18"/>
      <c r="Q1667" s="18"/>
      <c r="R1667" s="18"/>
      <c r="S1667" s="18"/>
      <c r="T1667" s="18"/>
      <c r="U1667" s="18"/>
      <c r="V1667" s="18"/>
      <c r="W1667" s="18"/>
      <c r="X1667" s="18"/>
    </row>
    <row r="1668" spans="13:24">
      <c r="M1668" s="558">
        <f t="shared" si="80"/>
        <v>1666</v>
      </c>
      <c r="N1668" s="15">
        <f t="shared" ref="N1668:N1731" si="81">IF(M1668&lt;$B$31+1,$B$32+$B$33/$B$31*(8760-M1668)+$B$34*IF(M1668&lt;$B$36-$B$31/(2*$B$35),1,IF(M1668&lt;$B$36+$B$31/(2*$B$35),COS(PI()/2*(M1668-($B$36-$B$31/(2*$B$35)))*$B$35/$B$31)^2,0))+$B$37*EXP((8760-M1668)/8760*$B$38)/EXP($B$38)-(8760-$B$31)*$B$33/$B$31,0)</f>
        <v>0.43996530487365332</v>
      </c>
      <c r="O1668" s="165">
        <f t="shared" ref="O1668:O1731" si="82">MIN(N1668,C$24)</f>
        <v>0.43996530487365332</v>
      </c>
      <c r="P1668" s="18"/>
      <c r="Q1668" s="18"/>
      <c r="R1668" s="18"/>
      <c r="S1668" s="18"/>
      <c r="T1668" s="18"/>
      <c r="U1668" s="18"/>
      <c r="V1668" s="18"/>
      <c r="W1668" s="18"/>
      <c r="X1668" s="18"/>
    </row>
    <row r="1669" spans="13:24">
      <c r="M1669" s="558">
        <f t="shared" ref="M1669:M1732" si="83">M1668+1</f>
        <v>1667</v>
      </c>
      <c r="N1669" s="15">
        <f t="shared" si="81"/>
        <v>0.4398442273632765</v>
      </c>
      <c r="O1669" s="165">
        <f t="shared" si="82"/>
        <v>0.4398442273632765</v>
      </c>
      <c r="P1669" s="18"/>
      <c r="Q1669" s="18"/>
      <c r="R1669" s="18"/>
      <c r="S1669" s="18"/>
      <c r="T1669" s="18"/>
      <c r="U1669" s="18"/>
      <c r="V1669" s="18"/>
      <c r="W1669" s="18"/>
      <c r="X1669" s="18"/>
    </row>
    <row r="1670" spans="13:24">
      <c r="M1670" s="558">
        <f t="shared" si="83"/>
        <v>1668</v>
      </c>
      <c r="N1670" s="15">
        <f t="shared" si="81"/>
        <v>0.43972323733039897</v>
      </c>
      <c r="O1670" s="165">
        <f t="shared" si="82"/>
        <v>0.43972323733039897</v>
      </c>
      <c r="P1670" s="18"/>
      <c r="Q1670" s="18"/>
      <c r="R1670" s="18"/>
      <c r="S1670" s="18"/>
      <c r="T1670" s="18"/>
      <c r="U1670" s="18"/>
      <c r="V1670" s="18"/>
      <c r="W1670" s="18"/>
      <c r="X1670" s="18"/>
    </row>
    <row r="1671" spans="13:24">
      <c r="M1671" s="558">
        <f t="shared" si="83"/>
        <v>1669</v>
      </c>
      <c r="N1671" s="15">
        <f t="shared" si="81"/>
        <v>0.43960233466524362</v>
      </c>
      <c r="O1671" s="165">
        <f t="shared" si="82"/>
        <v>0.43960233466524362</v>
      </c>
      <c r="P1671" s="18"/>
      <c r="Q1671" s="18"/>
      <c r="R1671" s="18"/>
      <c r="S1671" s="18"/>
      <c r="T1671" s="18"/>
      <c r="U1671" s="18"/>
      <c r="V1671" s="18"/>
      <c r="W1671" s="18"/>
      <c r="X1671" s="18"/>
    </row>
    <row r="1672" spans="13:24">
      <c r="M1672" s="558">
        <f t="shared" si="83"/>
        <v>1670</v>
      </c>
      <c r="N1672" s="15">
        <f t="shared" si="81"/>
        <v>0.43948151925817086</v>
      </c>
      <c r="O1672" s="165">
        <f t="shared" si="82"/>
        <v>0.43948151925817086</v>
      </c>
      <c r="P1672" s="18"/>
      <c r="Q1672" s="18"/>
      <c r="R1672" s="18"/>
      <c r="S1672" s="18"/>
      <c r="T1672" s="18"/>
      <c r="U1672" s="18"/>
      <c r="V1672" s="18"/>
      <c r="W1672" s="18"/>
      <c r="X1672" s="18"/>
    </row>
    <row r="1673" spans="13:24">
      <c r="M1673" s="558">
        <f t="shared" si="83"/>
        <v>1671</v>
      </c>
      <c r="N1673" s="15">
        <f t="shared" si="81"/>
        <v>0.43936079099967884</v>
      </c>
      <c r="O1673" s="165">
        <f t="shared" si="82"/>
        <v>0.43936079099967884</v>
      </c>
      <c r="P1673" s="18"/>
      <c r="Q1673" s="18"/>
      <c r="R1673" s="18"/>
      <c r="S1673" s="18"/>
      <c r="T1673" s="18"/>
      <c r="U1673" s="18"/>
      <c r="V1673" s="18"/>
      <c r="W1673" s="18"/>
      <c r="X1673" s="18"/>
    </row>
    <row r="1674" spans="13:24">
      <c r="M1674" s="558">
        <f t="shared" si="83"/>
        <v>1672</v>
      </c>
      <c r="N1674" s="15">
        <f t="shared" si="81"/>
        <v>0.4392401497804031</v>
      </c>
      <c r="O1674" s="165">
        <f t="shared" si="82"/>
        <v>0.4392401497804031</v>
      </c>
      <c r="P1674" s="18"/>
      <c r="Q1674" s="18"/>
      <c r="R1674" s="18"/>
      <c r="S1674" s="18"/>
      <c r="T1674" s="18"/>
      <c r="U1674" s="18"/>
      <c r="V1674" s="18"/>
      <c r="W1674" s="18"/>
      <c r="X1674" s="18"/>
    </row>
    <row r="1675" spans="13:24">
      <c r="M1675" s="558">
        <f t="shared" si="83"/>
        <v>1673</v>
      </c>
      <c r="N1675" s="15">
        <f t="shared" si="81"/>
        <v>0.43911959549111623</v>
      </c>
      <c r="O1675" s="165">
        <f t="shared" si="82"/>
        <v>0.43911959549111623</v>
      </c>
      <c r="P1675" s="18"/>
      <c r="Q1675" s="18"/>
      <c r="R1675" s="18"/>
      <c r="S1675" s="18"/>
      <c r="T1675" s="18"/>
      <c r="U1675" s="18"/>
      <c r="V1675" s="18"/>
      <c r="W1675" s="18"/>
      <c r="X1675" s="18"/>
    </row>
    <row r="1676" spans="13:24">
      <c r="M1676" s="558">
        <f t="shared" si="83"/>
        <v>1674</v>
      </c>
      <c r="N1676" s="15">
        <f t="shared" si="81"/>
        <v>0.43899912802272834</v>
      </c>
      <c r="O1676" s="165">
        <f t="shared" si="82"/>
        <v>0.43899912802272834</v>
      </c>
      <c r="P1676" s="18"/>
      <c r="Q1676" s="18"/>
      <c r="R1676" s="18"/>
      <c r="S1676" s="18"/>
      <c r="T1676" s="18"/>
      <c r="U1676" s="18"/>
      <c r="V1676" s="18"/>
      <c r="W1676" s="18"/>
      <c r="X1676" s="18"/>
    </row>
    <row r="1677" spans="13:24">
      <c r="M1677" s="558">
        <f t="shared" si="83"/>
        <v>1675</v>
      </c>
      <c r="N1677" s="15">
        <f t="shared" si="81"/>
        <v>0.43887874726628612</v>
      </c>
      <c r="O1677" s="165">
        <f t="shared" si="82"/>
        <v>0.43887874726628612</v>
      </c>
      <c r="P1677" s="18"/>
      <c r="Q1677" s="18"/>
      <c r="R1677" s="18"/>
      <c r="S1677" s="18"/>
      <c r="T1677" s="18"/>
      <c r="U1677" s="18"/>
      <c r="V1677" s="18"/>
      <c r="W1677" s="18"/>
      <c r="X1677" s="18"/>
    </row>
    <row r="1678" spans="13:24">
      <c r="M1678" s="558">
        <f t="shared" si="83"/>
        <v>1676</v>
      </c>
      <c r="N1678" s="15">
        <f t="shared" si="81"/>
        <v>0.43875845311297296</v>
      </c>
      <c r="O1678" s="165">
        <f t="shared" si="82"/>
        <v>0.43875845311297296</v>
      </c>
      <c r="P1678" s="18"/>
      <c r="Q1678" s="18"/>
      <c r="R1678" s="18"/>
      <c r="S1678" s="18"/>
      <c r="T1678" s="18"/>
      <c r="U1678" s="18"/>
      <c r="V1678" s="18"/>
      <c r="W1678" s="18"/>
      <c r="X1678" s="18"/>
    </row>
    <row r="1679" spans="13:24">
      <c r="M1679" s="558">
        <f t="shared" si="83"/>
        <v>1677</v>
      </c>
      <c r="N1679" s="15">
        <f t="shared" si="81"/>
        <v>0.43863824545410884</v>
      </c>
      <c r="O1679" s="165">
        <f t="shared" si="82"/>
        <v>0.43863824545410884</v>
      </c>
      <c r="P1679" s="18"/>
      <c r="Q1679" s="18"/>
      <c r="R1679" s="18"/>
      <c r="S1679" s="18"/>
      <c r="T1679" s="18"/>
      <c r="U1679" s="18"/>
      <c r="V1679" s="18"/>
      <c r="W1679" s="18"/>
      <c r="X1679" s="18"/>
    </row>
    <row r="1680" spans="13:24">
      <c r="M1680" s="558">
        <f t="shared" si="83"/>
        <v>1678</v>
      </c>
      <c r="N1680" s="15">
        <f t="shared" si="81"/>
        <v>0.43851812418115033</v>
      </c>
      <c r="O1680" s="165">
        <f t="shared" si="82"/>
        <v>0.43851812418115033</v>
      </c>
      <c r="P1680" s="18"/>
      <c r="Q1680" s="18"/>
      <c r="R1680" s="18"/>
      <c r="S1680" s="18"/>
      <c r="T1680" s="18"/>
      <c r="U1680" s="18"/>
      <c r="V1680" s="18"/>
      <c r="W1680" s="18"/>
      <c r="X1680" s="18"/>
    </row>
    <row r="1681" spans="13:24">
      <c r="M1681" s="558">
        <f t="shared" si="83"/>
        <v>1679</v>
      </c>
      <c r="N1681" s="15">
        <f t="shared" si="81"/>
        <v>0.43839808918568995</v>
      </c>
      <c r="O1681" s="165">
        <f t="shared" si="82"/>
        <v>0.43839808918568995</v>
      </c>
      <c r="P1681" s="18"/>
      <c r="Q1681" s="18"/>
      <c r="R1681" s="18"/>
      <c r="S1681" s="18"/>
      <c r="T1681" s="18"/>
      <c r="U1681" s="18"/>
      <c r="V1681" s="18"/>
      <c r="W1681" s="18"/>
      <c r="X1681" s="18"/>
    </row>
    <row r="1682" spans="13:24">
      <c r="M1682" s="558">
        <f t="shared" si="83"/>
        <v>1680</v>
      </c>
      <c r="N1682" s="15">
        <f t="shared" si="81"/>
        <v>0.43827814035945634</v>
      </c>
      <c r="O1682" s="165">
        <f t="shared" si="82"/>
        <v>0.43827814035945634</v>
      </c>
      <c r="P1682" s="18"/>
      <c r="Q1682" s="18"/>
      <c r="R1682" s="18"/>
      <c r="S1682" s="18"/>
      <c r="T1682" s="18"/>
      <c r="U1682" s="18"/>
      <c r="V1682" s="18"/>
      <c r="W1682" s="18"/>
      <c r="X1682" s="18"/>
    </row>
    <row r="1683" spans="13:24">
      <c r="M1683" s="558">
        <f t="shared" si="83"/>
        <v>1681</v>
      </c>
      <c r="N1683" s="15">
        <f t="shared" si="81"/>
        <v>0.43815827759431419</v>
      </c>
      <c r="O1683" s="165">
        <f t="shared" si="82"/>
        <v>0.43815827759431419</v>
      </c>
      <c r="P1683" s="18"/>
      <c r="Q1683" s="18"/>
      <c r="R1683" s="18"/>
      <c r="S1683" s="18"/>
      <c r="T1683" s="18"/>
      <c r="U1683" s="18"/>
      <c r="V1683" s="18"/>
      <c r="W1683" s="18"/>
      <c r="X1683" s="18"/>
    </row>
    <row r="1684" spans="13:24">
      <c r="M1684" s="558">
        <f t="shared" si="83"/>
        <v>1682</v>
      </c>
      <c r="N1684" s="15">
        <f t="shared" si="81"/>
        <v>0.43803850078226358</v>
      </c>
      <c r="O1684" s="165">
        <f t="shared" si="82"/>
        <v>0.43803850078226358</v>
      </c>
      <c r="P1684" s="18"/>
      <c r="Q1684" s="18"/>
      <c r="R1684" s="18"/>
      <c r="S1684" s="18"/>
      <c r="T1684" s="18"/>
      <c r="U1684" s="18"/>
      <c r="V1684" s="18"/>
      <c r="W1684" s="18"/>
      <c r="X1684" s="18"/>
    </row>
    <row r="1685" spans="13:24">
      <c r="M1685" s="558">
        <f t="shared" si="83"/>
        <v>1683</v>
      </c>
      <c r="N1685" s="15">
        <f t="shared" si="81"/>
        <v>0.43791880981544029</v>
      </c>
      <c r="O1685" s="165">
        <f t="shared" si="82"/>
        <v>0.43791880981544029</v>
      </c>
      <c r="P1685" s="18"/>
      <c r="Q1685" s="18"/>
      <c r="R1685" s="18"/>
      <c r="S1685" s="18"/>
      <c r="T1685" s="18"/>
      <c r="U1685" s="18"/>
      <c r="V1685" s="18"/>
      <c r="W1685" s="18"/>
      <c r="X1685" s="18"/>
    </row>
    <row r="1686" spans="13:24">
      <c r="M1686" s="558">
        <f t="shared" si="83"/>
        <v>1684</v>
      </c>
      <c r="N1686" s="15">
        <f t="shared" si="81"/>
        <v>0.43779920458611565</v>
      </c>
      <c r="O1686" s="165">
        <f t="shared" si="82"/>
        <v>0.43779920458611565</v>
      </c>
      <c r="P1686" s="18"/>
      <c r="Q1686" s="18"/>
      <c r="R1686" s="18"/>
      <c r="S1686" s="18"/>
      <c r="T1686" s="18"/>
      <c r="U1686" s="18"/>
      <c r="V1686" s="18"/>
      <c r="W1686" s="18"/>
      <c r="X1686" s="18"/>
    </row>
    <row r="1687" spans="13:24">
      <c r="M1687" s="558">
        <f t="shared" si="83"/>
        <v>1685</v>
      </c>
      <c r="N1687" s="15">
        <f t="shared" si="81"/>
        <v>0.43767968498669579</v>
      </c>
      <c r="O1687" s="165">
        <f t="shared" si="82"/>
        <v>0.43767968498669579</v>
      </c>
      <c r="P1687" s="18"/>
      <c r="Q1687" s="18"/>
      <c r="R1687" s="18"/>
      <c r="S1687" s="18"/>
      <c r="T1687" s="18"/>
      <c r="U1687" s="18"/>
      <c r="V1687" s="18"/>
      <c r="W1687" s="18"/>
      <c r="X1687" s="18"/>
    </row>
    <row r="1688" spans="13:24">
      <c r="M1688" s="558">
        <f t="shared" si="83"/>
        <v>1686</v>
      </c>
      <c r="N1688" s="15">
        <f t="shared" si="81"/>
        <v>0.43756025090972206</v>
      </c>
      <c r="O1688" s="165">
        <f t="shared" si="82"/>
        <v>0.43756025090972206</v>
      </c>
      <c r="P1688" s="18"/>
      <c r="Q1688" s="18"/>
      <c r="R1688" s="18"/>
      <c r="S1688" s="18"/>
      <c r="T1688" s="18"/>
      <c r="U1688" s="18"/>
      <c r="V1688" s="18"/>
      <c r="W1688" s="18"/>
      <c r="X1688" s="18"/>
    </row>
    <row r="1689" spans="13:24">
      <c r="M1689" s="558">
        <f t="shared" si="83"/>
        <v>1687</v>
      </c>
      <c r="N1689" s="15">
        <f t="shared" si="81"/>
        <v>0.4374409022478708</v>
      </c>
      <c r="O1689" s="165">
        <f t="shared" si="82"/>
        <v>0.4374409022478708</v>
      </c>
      <c r="P1689" s="18"/>
      <c r="Q1689" s="18"/>
      <c r="R1689" s="18"/>
      <c r="S1689" s="18"/>
      <c r="T1689" s="18"/>
      <c r="U1689" s="18"/>
      <c r="V1689" s="18"/>
      <c r="W1689" s="18"/>
      <c r="X1689" s="18"/>
    </row>
    <row r="1690" spans="13:24">
      <c r="M1690" s="558">
        <f t="shared" si="83"/>
        <v>1688</v>
      </c>
      <c r="N1690" s="15">
        <f t="shared" si="81"/>
        <v>0.43732163889395281</v>
      </c>
      <c r="O1690" s="165">
        <f t="shared" si="82"/>
        <v>0.43732163889395281</v>
      </c>
      <c r="P1690" s="18"/>
      <c r="Q1690" s="18"/>
      <c r="R1690" s="18"/>
      <c r="S1690" s="18"/>
      <c r="T1690" s="18"/>
      <c r="U1690" s="18"/>
      <c r="V1690" s="18"/>
      <c r="W1690" s="18"/>
      <c r="X1690" s="18"/>
    </row>
    <row r="1691" spans="13:24">
      <c r="M1691" s="558">
        <f t="shared" si="83"/>
        <v>1689</v>
      </c>
      <c r="N1691" s="15">
        <f t="shared" si="81"/>
        <v>0.4372024607409134</v>
      </c>
      <c r="O1691" s="165">
        <f t="shared" si="82"/>
        <v>0.4372024607409134</v>
      </c>
      <c r="P1691" s="18"/>
      <c r="Q1691" s="18"/>
      <c r="R1691" s="18"/>
      <c r="S1691" s="18"/>
      <c r="T1691" s="18"/>
      <c r="U1691" s="18"/>
      <c r="V1691" s="18"/>
      <c r="W1691" s="18"/>
      <c r="X1691" s="18"/>
    </row>
    <row r="1692" spans="13:24">
      <c r="M1692" s="558">
        <f t="shared" si="83"/>
        <v>1690</v>
      </c>
      <c r="N1692" s="15">
        <f t="shared" si="81"/>
        <v>0.43708336768183237</v>
      </c>
      <c r="O1692" s="165">
        <f t="shared" si="82"/>
        <v>0.43708336768183237</v>
      </c>
      <c r="P1692" s="18"/>
      <c r="Q1692" s="18"/>
      <c r="R1692" s="18"/>
      <c r="S1692" s="18"/>
      <c r="T1692" s="18"/>
      <c r="U1692" s="18"/>
      <c r="V1692" s="18"/>
      <c r="W1692" s="18"/>
      <c r="X1692" s="18"/>
    </row>
    <row r="1693" spans="13:24">
      <c r="M1693" s="558">
        <f t="shared" si="83"/>
        <v>1691</v>
      </c>
      <c r="N1693" s="15">
        <f t="shared" si="81"/>
        <v>0.43696435960992375</v>
      </c>
      <c r="O1693" s="165">
        <f t="shared" si="82"/>
        <v>0.43696435960992375</v>
      </c>
      <c r="P1693" s="18"/>
      <c r="Q1693" s="18"/>
      <c r="R1693" s="18"/>
      <c r="S1693" s="18"/>
      <c r="T1693" s="18"/>
      <c r="U1693" s="18"/>
      <c r="V1693" s="18"/>
      <c r="W1693" s="18"/>
      <c r="X1693" s="18"/>
    </row>
    <row r="1694" spans="13:24">
      <c r="M1694" s="558">
        <f t="shared" si="83"/>
        <v>1692</v>
      </c>
      <c r="N1694" s="15">
        <f t="shared" si="81"/>
        <v>0.4368454364185354</v>
      </c>
      <c r="O1694" s="165">
        <f t="shared" si="82"/>
        <v>0.4368454364185354</v>
      </c>
      <c r="P1694" s="18"/>
      <c r="Q1694" s="18"/>
      <c r="R1694" s="18"/>
      <c r="S1694" s="18"/>
      <c r="T1694" s="18"/>
      <c r="U1694" s="18"/>
      <c r="V1694" s="18"/>
      <c r="W1694" s="18"/>
      <c r="X1694" s="18"/>
    </row>
    <row r="1695" spans="13:24">
      <c r="M1695" s="558">
        <f t="shared" si="83"/>
        <v>1693</v>
      </c>
      <c r="N1695" s="15">
        <f t="shared" si="81"/>
        <v>0.43672659800114882</v>
      </c>
      <c r="O1695" s="165">
        <f t="shared" si="82"/>
        <v>0.43672659800114882</v>
      </c>
      <c r="P1695" s="18"/>
      <c r="Q1695" s="18"/>
      <c r="R1695" s="18"/>
      <c r="S1695" s="18"/>
      <c r="T1695" s="18"/>
      <c r="U1695" s="18"/>
      <c r="V1695" s="18"/>
      <c r="W1695" s="18"/>
      <c r="X1695" s="18"/>
    </row>
    <row r="1696" spans="13:24">
      <c r="M1696" s="558">
        <f t="shared" si="83"/>
        <v>1694</v>
      </c>
      <c r="N1696" s="15">
        <f t="shared" si="81"/>
        <v>0.43660784425137988</v>
      </c>
      <c r="O1696" s="165">
        <f t="shared" si="82"/>
        <v>0.43660784425137988</v>
      </c>
      <c r="P1696" s="18"/>
      <c r="Q1696" s="18"/>
      <c r="R1696" s="18"/>
      <c r="S1696" s="18"/>
      <c r="T1696" s="18"/>
      <c r="U1696" s="18"/>
      <c r="V1696" s="18"/>
      <c r="W1696" s="18"/>
      <c r="X1696" s="18"/>
    </row>
    <row r="1697" spans="13:24">
      <c r="M1697" s="558">
        <f t="shared" si="83"/>
        <v>1695</v>
      </c>
      <c r="N1697" s="15">
        <f t="shared" si="81"/>
        <v>0.43648917506297735</v>
      </c>
      <c r="O1697" s="165">
        <f t="shared" si="82"/>
        <v>0.43648917506297735</v>
      </c>
      <c r="P1697" s="18"/>
      <c r="Q1697" s="18"/>
      <c r="R1697" s="18"/>
      <c r="S1697" s="18"/>
      <c r="T1697" s="18"/>
      <c r="U1697" s="18"/>
      <c r="V1697" s="18"/>
      <c r="W1697" s="18"/>
      <c r="X1697" s="18"/>
    </row>
    <row r="1698" spans="13:24">
      <c r="M1698" s="558">
        <f t="shared" si="83"/>
        <v>1696</v>
      </c>
      <c r="N1698" s="15">
        <f t="shared" si="81"/>
        <v>0.43637059032982339</v>
      </c>
      <c r="O1698" s="165">
        <f t="shared" si="82"/>
        <v>0.43637059032982339</v>
      </c>
      <c r="P1698" s="18"/>
      <c r="Q1698" s="18"/>
      <c r="R1698" s="18"/>
      <c r="S1698" s="18"/>
      <c r="T1698" s="18"/>
      <c r="U1698" s="18"/>
      <c r="V1698" s="18"/>
      <c r="W1698" s="18"/>
      <c r="X1698" s="18"/>
    </row>
    <row r="1699" spans="13:24">
      <c r="M1699" s="558">
        <f t="shared" si="83"/>
        <v>1697</v>
      </c>
      <c r="N1699" s="15">
        <f t="shared" si="81"/>
        <v>0.43625208994593356</v>
      </c>
      <c r="O1699" s="165">
        <f t="shared" si="82"/>
        <v>0.43625208994593356</v>
      </c>
      <c r="P1699" s="18"/>
      <c r="Q1699" s="18"/>
      <c r="R1699" s="18"/>
      <c r="S1699" s="18"/>
      <c r="T1699" s="18"/>
      <c r="U1699" s="18"/>
      <c r="V1699" s="18"/>
      <c r="W1699" s="18"/>
      <c r="X1699" s="18"/>
    </row>
    <row r="1700" spans="13:24">
      <c r="M1700" s="558">
        <f t="shared" si="83"/>
        <v>1698</v>
      </c>
      <c r="N1700" s="15">
        <f t="shared" si="81"/>
        <v>0.4361336738054562</v>
      </c>
      <c r="O1700" s="165">
        <f t="shared" si="82"/>
        <v>0.4361336738054562</v>
      </c>
      <c r="P1700" s="18"/>
      <c r="Q1700" s="18"/>
      <c r="R1700" s="18"/>
      <c r="S1700" s="18"/>
      <c r="T1700" s="18"/>
      <c r="U1700" s="18"/>
      <c r="V1700" s="18"/>
      <c r="W1700" s="18"/>
      <c r="X1700" s="18"/>
    </row>
    <row r="1701" spans="13:24">
      <c r="M1701" s="558">
        <f t="shared" si="83"/>
        <v>1699</v>
      </c>
      <c r="N1701" s="15">
        <f t="shared" si="81"/>
        <v>0.43601534180267271</v>
      </c>
      <c r="O1701" s="165">
        <f t="shared" si="82"/>
        <v>0.43601534180267271</v>
      </c>
      <c r="P1701" s="18"/>
      <c r="Q1701" s="18"/>
      <c r="R1701" s="18"/>
      <c r="S1701" s="18"/>
      <c r="T1701" s="18"/>
      <c r="U1701" s="18"/>
      <c r="V1701" s="18"/>
      <c r="W1701" s="18"/>
      <c r="X1701" s="18"/>
    </row>
    <row r="1702" spans="13:24">
      <c r="M1702" s="558">
        <f t="shared" si="83"/>
        <v>1700</v>
      </c>
      <c r="N1702" s="15">
        <f t="shared" si="81"/>
        <v>0.43589709383199704</v>
      </c>
      <c r="O1702" s="165">
        <f t="shared" si="82"/>
        <v>0.43589709383199704</v>
      </c>
      <c r="P1702" s="18"/>
      <c r="Q1702" s="18"/>
      <c r="R1702" s="18"/>
      <c r="S1702" s="18"/>
      <c r="T1702" s="18"/>
      <c r="U1702" s="18"/>
      <c r="V1702" s="18"/>
      <c r="W1702" s="18"/>
      <c r="X1702" s="18"/>
    </row>
    <row r="1703" spans="13:24">
      <c r="M1703" s="558">
        <f t="shared" si="83"/>
        <v>1701</v>
      </c>
      <c r="N1703" s="15">
        <f t="shared" si="81"/>
        <v>0.4357789297879755</v>
      </c>
      <c r="O1703" s="165">
        <f t="shared" si="82"/>
        <v>0.4357789297879755</v>
      </c>
      <c r="P1703" s="18"/>
      <c r="Q1703" s="18"/>
      <c r="R1703" s="18"/>
      <c r="S1703" s="18"/>
      <c r="T1703" s="18"/>
      <c r="U1703" s="18"/>
      <c r="V1703" s="18"/>
      <c r="W1703" s="18"/>
      <c r="X1703" s="18"/>
    </row>
    <row r="1704" spans="13:24">
      <c r="M1704" s="558">
        <f t="shared" si="83"/>
        <v>1702</v>
      </c>
      <c r="N1704" s="15">
        <f t="shared" si="81"/>
        <v>0.43566084956528706</v>
      </c>
      <c r="O1704" s="165">
        <f t="shared" si="82"/>
        <v>0.43566084956528706</v>
      </c>
      <c r="P1704" s="18"/>
      <c r="Q1704" s="18"/>
      <c r="R1704" s="18"/>
      <c r="S1704" s="18"/>
      <c r="T1704" s="18"/>
      <c r="U1704" s="18"/>
      <c r="V1704" s="18"/>
      <c r="W1704" s="18"/>
      <c r="X1704" s="18"/>
    </row>
    <row r="1705" spans="13:24">
      <c r="M1705" s="558">
        <f t="shared" si="83"/>
        <v>1703</v>
      </c>
      <c r="N1705" s="15">
        <f t="shared" si="81"/>
        <v>0.43554285305874263</v>
      </c>
      <c r="O1705" s="165">
        <f t="shared" si="82"/>
        <v>0.43554285305874263</v>
      </c>
      <c r="P1705" s="18"/>
      <c r="Q1705" s="18"/>
      <c r="R1705" s="18"/>
      <c r="S1705" s="18"/>
      <c r="T1705" s="18"/>
      <c r="U1705" s="18"/>
      <c r="V1705" s="18"/>
      <c r="W1705" s="18"/>
      <c r="X1705" s="18"/>
    </row>
    <row r="1706" spans="13:24">
      <c r="M1706" s="558">
        <f t="shared" si="83"/>
        <v>1704</v>
      </c>
      <c r="N1706" s="15">
        <f t="shared" si="81"/>
        <v>0.43542494016328509</v>
      </c>
      <c r="O1706" s="165">
        <f t="shared" si="82"/>
        <v>0.43542494016328509</v>
      </c>
      <c r="P1706" s="18"/>
      <c r="Q1706" s="18"/>
      <c r="R1706" s="18"/>
      <c r="S1706" s="18"/>
      <c r="T1706" s="18"/>
      <c r="U1706" s="18"/>
      <c r="V1706" s="18"/>
      <c r="W1706" s="18"/>
      <c r="X1706" s="18"/>
    </row>
    <row r="1707" spans="13:24">
      <c r="M1707" s="558">
        <f t="shared" si="83"/>
        <v>1705</v>
      </c>
      <c r="N1707" s="15">
        <f t="shared" si="81"/>
        <v>0.43530711077398926</v>
      </c>
      <c r="O1707" s="165">
        <f t="shared" si="82"/>
        <v>0.43530711077398926</v>
      </c>
      <c r="P1707" s="18"/>
      <c r="Q1707" s="18"/>
      <c r="R1707" s="18"/>
      <c r="S1707" s="18"/>
      <c r="T1707" s="18"/>
      <c r="U1707" s="18"/>
      <c r="V1707" s="18"/>
      <c r="W1707" s="18"/>
      <c r="X1707" s="18"/>
    </row>
    <row r="1708" spans="13:24">
      <c r="M1708" s="558">
        <f t="shared" si="83"/>
        <v>1706</v>
      </c>
      <c r="N1708" s="15">
        <f t="shared" si="81"/>
        <v>0.43518936478606174</v>
      </c>
      <c r="O1708" s="165">
        <f t="shared" si="82"/>
        <v>0.43518936478606174</v>
      </c>
      <c r="P1708" s="18"/>
      <c r="Q1708" s="18"/>
      <c r="R1708" s="18"/>
      <c r="S1708" s="18"/>
      <c r="T1708" s="18"/>
      <c r="U1708" s="18"/>
      <c r="V1708" s="18"/>
      <c r="W1708" s="18"/>
      <c r="X1708" s="18"/>
    </row>
    <row r="1709" spans="13:24">
      <c r="M1709" s="558">
        <f t="shared" si="83"/>
        <v>1707</v>
      </c>
      <c r="N1709" s="15">
        <f t="shared" si="81"/>
        <v>0.43507170209484042</v>
      </c>
      <c r="O1709" s="165">
        <f t="shared" si="82"/>
        <v>0.43507170209484042</v>
      </c>
      <c r="P1709" s="18"/>
      <c r="Q1709" s="18"/>
      <c r="R1709" s="18"/>
      <c r="S1709" s="18"/>
      <c r="T1709" s="18"/>
      <c r="U1709" s="18"/>
      <c r="V1709" s="18"/>
      <c r="W1709" s="18"/>
      <c r="X1709" s="18"/>
    </row>
    <row r="1710" spans="13:24">
      <c r="M1710" s="558">
        <f t="shared" si="83"/>
        <v>1708</v>
      </c>
      <c r="N1710" s="15">
        <f t="shared" si="81"/>
        <v>0.43495412259579447</v>
      </c>
      <c r="O1710" s="165">
        <f t="shared" si="82"/>
        <v>0.43495412259579447</v>
      </c>
      <c r="P1710" s="18"/>
      <c r="Q1710" s="18"/>
      <c r="R1710" s="18"/>
      <c r="S1710" s="18"/>
      <c r="T1710" s="18"/>
      <c r="U1710" s="18"/>
      <c r="V1710" s="18"/>
      <c r="W1710" s="18"/>
      <c r="X1710" s="18"/>
    </row>
    <row r="1711" spans="13:24">
      <c r="M1711" s="558">
        <f t="shared" si="83"/>
        <v>1709</v>
      </c>
      <c r="N1711" s="15">
        <f t="shared" si="81"/>
        <v>0.43483662618452468</v>
      </c>
      <c r="O1711" s="165">
        <f t="shared" si="82"/>
        <v>0.43483662618452468</v>
      </c>
      <c r="P1711" s="18"/>
      <c r="Q1711" s="18"/>
      <c r="R1711" s="18"/>
      <c r="S1711" s="18"/>
      <c r="T1711" s="18"/>
      <c r="U1711" s="18"/>
      <c r="V1711" s="18"/>
      <c r="W1711" s="18"/>
      <c r="X1711" s="18"/>
    </row>
    <row r="1712" spans="13:24">
      <c r="M1712" s="558">
        <f t="shared" si="83"/>
        <v>1710</v>
      </c>
      <c r="N1712" s="15">
        <f t="shared" si="81"/>
        <v>0.4347192127567624</v>
      </c>
      <c r="O1712" s="165">
        <f t="shared" si="82"/>
        <v>0.4347192127567624</v>
      </c>
      <c r="P1712" s="18"/>
      <c r="Q1712" s="18"/>
      <c r="R1712" s="18"/>
      <c r="S1712" s="18"/>
      <c r="T1712" s="18"/>
      <c r="U1712" s="18"/>
      <c r="V1712" s="18"/>
      <c r="W1712" s="18"/>
      <c r="X1712" s="18"/>
    </row>
    <row r="1713" spans="13:24">
      <c r="M1713" s="558">
        <f t="shared" si="83"/>
        <v>1711</v>
      </c>
      <c r="N1713" s="15">
        <f t="shared" si="81"/>
        <v>0.43460188220836993</v>
      </c>
      <c r="O1713" s="165">
        <f t="shared" si="82"/>
        <v>0.43460188220836993</v>
      </c>
      <c r="P1713" s="18"/>
      <c r="Q1713" s="18"/>
      <c r="R1713" s="18"/>
      <c r="S1713" s="18"/>
      <c r="T1713" s="18"/>
      <c r="U1713" s="18"/>
      <c r="V1713" s="18"/>
      <c r="W1713" s="18"/>
      <c r="X1713" s="18"/>
    </row>
    <row r="1714" spans="13:24">
      <c r="M1714" s="558">
        <f t="shared" si="83"/>
        <v>1712</v>
      </c>
      <c r="N1714" s="15">
        <f t="shared" si="81"/>
        <v>0.43448463443534047</v>
      </c>
      <c r="O1714" s="165">
        <f t="shared" si="82"/>
        <v>0.43448463443534047</v>
      </c>
      <c r="P1714" s="18"/>
      <c r="Q1714" s="18"/>
      <c r="R1714" s="18"/>
      <c r="S1714" s="18"/>
      <c r="T1714" s="18"/>
      <c r="U1714" s="18"/>
      <c r="V1714" s="18"/>
      <c r="W1714" s="18"/>
      <c r="X1714" s="18"/>
    </row>
    <row r="1715" spans="13:24">
      <c r="M1715" s="558">
        <f t="shared" si="83"/>
        <v>1713</v>
      </c>
      <c r="N1715" s="15">
        <f t="shared" si="81"/>
        <v>0.43436746933379755</v>
      </c>
      <c r="O1715" s="165">
        <f t="shared" si="82"/>
        <v>0.43436746933379755</v>
      </c>
      <c r="P1715" s="18"/>
      <c r="Q1715" s="18"/>
      <c r="R1715" s="18"/>
      <c r="S1715" s="18"/>
      <c r="T1715" s="18"/>
      <c r="U1715" s="18"/>
      <c r="V1715" s="18"/>
      <c r="W1715" s="18"/>
      <c r="X1715" s="18"/>
    </row>
    <row r="1716" spans="13:24">
      <c r="M1716" s="558">
        <f t="shared" si="83"/>
        <v>1714</v>
      </c>
      <c r="N1716" s="15">
        <f t="shared" si="81"/>
        <v>0.434250386799995</v>
      </c>
      <c r="O1716" s="165">
        <f t="shared" si="82"/>
        <v>0.434250386799995</v>
      </c>
      <c r="P1716" s="18"/>
      <c r="Q1716" s="18"/>
      <c r="R1716" s="18"/>
      <c r="S1716" s="18"/>
      <c r="T1716" s="18"/>
      <c r="U1716" s="18"/>
      <c r="V1716" s="18"/>
      <c r="W1716" s="18"/>
      <c r="X1716" s="18"/>
    </row>
    <row r="1717" spans="13:24">
      <c r="M1717" s="558">
        <f t="shared" si="83"/>
        <v>1715</v>
      </c>
      <c r="N1717" s="15">
        <f t="shared" si="81"/>
        <v>0.43413338673031704</v>
      </c>
      <c r="O1717" s="165">
        <f t="shared" si="82"/>
        <v>0.43413338673031704</v>
      </c>
      <c r="P1717" s="18"/>
      <c r="Q1717" s="18"/>
      <c r="R1717" s="18"/>
      <c r="S1717" s="18"/>
      <c r="T1717" s="18"/>
      <c r="U1717" s="18"/>
      <c r="V1717" s="18"/>
      <c r="W1717" s="18"/>
      <c r="X1717" s="18"/>
    </row>
    <row r="1718" spans="13:24">
      <c r="M1718" s="558">
        <f t="shared" si="83"/>
        <v>1716</v>
      </c>
      <c r="N1718" s="15">
        <f t="shared" si="81"/>
        <v>0.43401646902127783</v>
      </c>
      <c r="O1718" s="165">
        <f t="shared" si="82"/>
        <v>0.43401646902127783</v>
      </c>
      <c r="P1718" s="18"/>
      <c r="Q1718" s="18"/>
      <c r="R1718" s="18"/>
      <c r="S1718" s="18"/>
      <c r="T1718" s="18"/>
      <c r="U1718" s="18"/>
      <c r="V1718" s="18"/>
      <c r="W1718" s="18"/>
      <c r="X1718" s="18"/>
    </row>
    <row r="1719" spans="13:24">
      <c r="M1719" s="558">
        <f t="shared" si="83"/>
        <v>1717</v>
      </c>
      <c r="N1719" s="15">
        <f t="shared" si="81"/>
        <v>0.43389963356952121</v>
      </c>
      <c r="O1719" s="165">
        <f t="shared" si="82"/>
        <v>0.43389963356952121</v>
      </c>
      <c r="P1719" s="18"/>
      <c r="Q1719" s="18"/>
      <c r="R1719" s="18"/>
      <c r="S1719" s="18"/>
      <c r="T1719" s="18"/>
      <c r="U1719" s="18"/>
      <c r="V1719" s="18"/>
      <c r="W1719" s="18"/>
      <c r="X1719" s="18"/>
    </row>
    <row r="1720" spans="13:24">
      <c r="M1720" s="558">
        <f t="shared" si="83"/>
        <v>1718</v>
      </c>
      <c r="N1720" s="15">
        <f t="shared" si="81"/>
        <v>0.43378288027182116</v>
      </c>
      <c r="O1720" s="165">
        <f t="shared" si="82"/>
        <v>0.43378288027182116</v>
      </c>
      <c r="P1720" s="18"/>
      <c r="Q1720" s="18"/>
      <c r="R1720" s="18"/>
      <c r="S1720" s="18"/>
      <c r="T1720" s="18"/>
      <c r="U1720" s="18"/>
      <c r="V1720" s="18"/>
      <c r="W1720" s="18"/>
      <c r="X1720" s="18"/>
    </row>
    <row r="1721" spans="13:24">
      <c r="M1721" s="558">
        <f t="shared" si="83"/>
        <v>1719</v>
      </c>
      <c r="N1721" s="15">
        <f t="shared" si="81"/>
        <v>0.43366620902508068</v>
      </c>
      <c r="O1721" s="165">
        <f t="shared" si="82"/>
        <v>0.43366620902508068</v>
      </c>
      <c r="P1721" s="18"/>
      <c r="Q1721" s="18"/>
      <c r="R1721" s="18"/>
      <c r="S1721" s="18"/>
      <c r="T1721" s="18"/>
      <c r="U1721" s="18"/>
      <c r="V1721" s="18"/>
      <c r="W1721" s="18"/>
      <c r="X1721" s="18"/>
    </row>
    <row r="1722" spans="13:24">
      <c r="M1722" s="558">
        <f t="shared" si="83"/>
        <v>1720</v>
      </c>
      <c r="N1722" s="15">
        <f t="shared" si="81"/>
        <v>0.43354961972633255</v>
      </c>
      <c r="O1722" s="165">
        <f t="shared" si="82"/>
        <v>0.43354961972633255</v>
      </c>
      <c r="P1722" s="18"/>
      <c r="Q1722" s="18"/>
      <c r="R1722" s="18"/>
      <c r="S1722" s="18"/>
      <c r="T1722" s="18"/>
      <c r="U1722" s="18"/>
      <c r="V1722" s="18"/>
      <c r="W1722" s="18"/>
      <c r="X1722" s="18"/>
    </row>
    <row r="1723" spans="13:24">
      <c r="M1723" s="558">
        <f t="shared" si="83"/>
        <v>1721</v>
      </c>
      <c r="N1723" s="15">
        <f t="shared" si="81"/>
        <v>0.43343311227273862</v>
      </c>
      <c r="O1723" s="165">
        <f t="shared" si="82"/>
        <v>0.43343311227273862</v>
      </c>
      <c r="P1723" s="18"/>
      <c r="Q1723" s="18"/>
      <c r="R1723" s="18"/>
      <c r="S1723" s="18"/>
      <c r="T1723" s="18"/>
      <c r="U1723" s="18"/>
      <c r="V1723" s="18"/>
      <c r="W1723" s="18"/>
      <c r="X1723" s="18"/>
    </row>
    <row r="1724" spans="13:24">
      <c r="M1724" s="558">
        <f t="shared" si="83"/>
        <v>1722</v>
      </c>
      <c r="N1724" s="15">
        <f t="shared" si="81"/>
        <v>0.43331668656158978</v>
      </c>
      <c r="O1724" s="165">
        <f t="shared" si="82"/>
        <v>0.43331668656158978</v>
      </c>
      <c r="P1724" s="18"/>
      <c r="Q1724" s="18"/>
      <c r="R1724" s="18"/>
      <c r="S1724" s="18"/>
      <c r="T1724" s="18"/>
      <c r="U1724" s="18"/>
      <c r="V1724" s="18"/>
      <c r="W1724" s="18"/>
      <c r="X1724" s="18"/>
    </row>
    <row r="1725" spans="13:24">
      <c r="M1725" s="558">
        <f t="shared" si="83"/>
        <v>1723</v>
      </c>
      <c r="N1725" s="15">
        <f t="shared" si="81"/>
        <v>0.43320034249030576</v>
      </c>
      <c r="O1725" s="165">
        <f t="shared" si="82"/>
        <v>0.43320034249030576</v>
      </c>
      <c r="P1725" s="18"/>
      <c r="Q1725" s="18"/>
      <c r="R1725" s="18"/>
      <c r="S1725" s="18"/>
      <c r="T1725" s="18"/>
      <c r="U1725" s="18"/>
      <c r="V1725" s="18"/>
      <c r="W1725" s="18"/>
      <c r="X1725" s="18"/>
    </row>
    <row r="1726" spans="13:24">
      <c r="M1726" s="558">
        <f t="shared" si="83"/>
        <v>1724</v>
      </c>
      <c r="N1726" s="15">
        <f t="shared" si="81"/>
        <v>0.43308407995643516</v>
      </c>
      <c r="O1726" s="165">
        <f t="shared" si="82"/>
        <v>0.43308407995643516</v>
      </c>
      <c r="P1726" s="18"/>
      <c r="Q1726" s="18"/>
      <c r="R1726" s="18"/>
      <c r="S1726" s="18"/>
      <c r="T1726" s="18"/>
      <c r="U1726" s="18"/>
      <c r="V1726" s="18"/>
      <c r="W1726" s="18"/>
      <c r="X1726" s="18"/>
    </row>
    <row r="1727" spans="13:24">
      <c r="M1727" s="558">
        <f t="shared" si="83"/>
        <v>1725</v>
      </c>
      <c r="N1727" s="15">
        <f t="shared" si="81"/>
        <v>0.43296789885765508</v>
      </c>
      <c r="O1727" s="165">
        <f t="shared" si="82"/>
        <v>0.43296789885765508</v>
      </c>
      <c r="P1727" s="18"/>
      <c r="Q1727" s="18"/>
      <c r="R1727" s="18"/>
      <c r="S1727" s="18"/>
      <c r="T1727" s="18"/>
      <c r="U1727" s="18"/>
      <c r="V1727" s="18"/>
      <c r="W1727" s="18"/>
      <c r="X1727" s="18"/>
    </row>
    <row r="1728" spans="13:24">
      <c r="M1728" s="558">
        <f t="shared" si="83"/>
        <v>1726</v>
      </c>
      <c r="N1728" s="15">
        <f t="shared" si="81"/>
        <v>0.43285179909177091</v>
      </c>
      <c r="O1728" s="165">
        <f t="shared" si="82"/>
        <v>0.43285179909177091</v>
      </c>
      <c r="P1728" s="18"/>
      <c r="Q1728" s="18"/>
      <c r="R1728" s="18"/>
      <c r="S1728" s="18"/>
      <c r="T1728" s="18"/>
      <c r="U1728" s="18"/>
      <c r="V1728" s="18"/>
      <c r="W1728" s="18"/>
      <c r="X1728" s="18"/>
    </row>
    <row r="1729" spans="13:24">
      <c r="M1729" s="558">
        <f t="shared" si="83"/>
        <v>1727</v>
      </c>
      <c r="N1729" s="15">
        <f t="shared" si="81"/>
        <v>0.43273578055671652</v>
      </c>
      <c r="O1729" s="165">
        <f t="shared" si="82"/>
        <v>0.43273578055671652</v>
      </c>
      <c r="P1729" s="18"/>
      <c r="Q1729" s="18"/>
      <c r="R1729" s="18"/>
      <c r="S1729" s="18"/>
      <c r="T1729" s="18"/>
      <c r="U1729" s="18"/>
      <c r="V1729" s="18"/>
      <c r="W1729" s="18"/>
      <c r="X1729" s="18"/>
    </row>
    <row r="1730" spans="13:24">
      <c r="M1730" s="558">
        <f t="shared" si="83"/>
        <v>1728</v>
      </c>
      <c r="N1730" s="15">
        <f t="shared" si="81"/>
        <v>0.43261984315055374</v>
      </c>
      <c r="O1730" s="165">
        <f t="shared" si="82"/>
        <v>0.43261984315055374</v>
      </c>
      <c r="P1730" s="18"/>
      <c r="Q1730" s="18"/>
      <c r="R1730" s="18"/>
      <c r="S1730" s="18"/>
      <c r="T1730" s="18"/>
      <c r="U1730" s="18"/>
      <c r="V1730" s="18"/>
      <c r="W1730" s="18"/>
      <c r="X1730" s="18"/>
    </row>
    <row r="1731" spans="13:24">
      <c r="M1731" s="558">
        <f t="shared" si="83"/>
        <v>1729</v>
      </c>
      <c r="N1731" s="15">
        <f t="shared" si="81"/>
        <v>0.43250398677147217</v>
      </c>
      <c r="O1731" s="165">
        <f t="shared" si="82"/>
        <v>0.43250398677147217</v>
      </c>
      <c r="P1731" s="18"/>
      <c r="Q1731" s="18"/>
      <c r="R1731" s="18"/>
      <c r="S1731" s="18"/>
      <c r="T1731" s="18"/>
      <c r="U1731" s="18"/>
      <c r="V1731" s="18"/>
      <c r="W1731" s="18"/>
      <c r="X1731" s="18"/>
    </row>
    <row r="1732" spans="13:24">
      <c r="M1732" s="558">
        <f t="shared" si="83"/>
        <v>1730</v>
      </c>
      <c r="N1732" s="15">
        <f t="shared" ref="N1732:N1795" si="84">IF(M1732&lt;$B$31+1,$B$32+$B$33/$B$31*(8760-M1732)+$B$34*IF(M1732&lt;$B$36-$B$31/(2*$B$35),1,IF(M1732&lt;$B$36+$B$31/(2*$B$35),COS(PI()/2*(M1732-($B$36-$B$31/(2*$B$35)))*$B$35/$B$31)^2,0))+$B$37*EXP((8760-M1732)/8760*$B$38)/EXP($B$38)-(8760-$B$31)*$B$33/$B$31,0)</f>
        <v>0.43238821131778954</v>
      </c>
      <c r="O1732" s="165">
        <f t="shared" ref="O1732:O1795" si="85">MIN(N1732,C$24)</f>
        <v>0.43238821131778954</v>
      </c>
      <c r="P1732" s="18"/>
      <c r="Q1732" s="18"/>
      <c r="R1732" s="18"/>
      <c r="S1732" s="18"/>
      <c r="T1732" s="18"/>
      <c r="U1732" s="18"/>
      <c r="V1732" s="18"/>
      <c r="W1732" s="18"/>
      <c r="X1732" s="18"/>
    </row>
    <row r="1733" spans="13:24">
      <c r="M1733" s="558">
        <f t="shared" ref="M1733:M1796" si="86">M1732+1</f>
        <v>1731</v>
      </c>
      <c r="N1733" s="15">
        <f t="shared" si="84"/>
        <v>0.43227251668795086</v>
      </c>
      <c r="O1733" s="165">
        <f t="shared" si="85"/>
        <v>0.43227251668795086</v>
      </c>
      <c r="P1733" s="18"/>
      <c r="Q1733" s="18"/>
      <c r="R1733" s="18"/>
      <c r="S1733" s="18"/>
      <c r="T1733" s="18"/>
      <c r="U1733" s="18"/>
      <c r="V1733" s="18"/>
      <c r="W1733" s="18"/>
      <c r="X1733" s="18"/>
    </row>
    <row r="1734" spans="13:24">
      <c r="M1734" s="558">
        <f t="shared" si="86"/>
        <v>1732</v>
      </c>
      <c r="N1734" s="15">
        <f t="shared" si="84"/>
        <v>0.43215690278052871</v>
      </c>
      <c r="O1734" s="165">
        <f t="shared" si="85"/>
        <v>0.43215690278052871</v>
      </c>
      <c r="P1734" s="18"/>
      <c r="Q1734" s="18"/>
      <c r="R1734" s="18"/>
      <c r="S1734" s="18"/>
      <c r="T1734" s="18"/>
      <c r="U1734" s="18"/>
      <c r="V1734" s="18"/>
      <c r="W1734" s="18"/>
      <c r="X1734" s="18"/>
    </row>
    <row r="1735" spans="13:24">
      <c r="M1735" s="558">
        <f t="shared" si="86"/>
        <v>1733</v>
      </c>
      <c r="N1735" s="15">
        <f t="shared" si="84"/>
        <v>0.432041369494223</v>
      </c>
      <c r="O1735" s="165">
        <f t="shared" si="85"/>
        <v>0.432041369494223</v>
      </c>
      <c r="P1735" s="18"/>
      <c r="Q1735" s="18"/>
      <c r="R1735" s="18"/>
      <c r="S1735" s="18"/>
      <c r="T1735" s="18"/>
      <c r="U1735" s="18"/>
      <c r="V1735" s="18"/>
      <c r="W1735" s="18"/>
      <c r="X1735" s="18"/>
    </row>
    <row r="1736" spans="13:24">
      <c r="M1736" s="558">
        <f t="shared" si="86"/>
        <v>1734</v>
      </c>
      <c r="N1736" s="15">
        <f t="shared" si="84"/>
        <v>0.43192591672786057</v>
      </c>
      <c r="O1736" s="165">
        <f t="shared" si="85"/>
        <v>0.43192591672786057</v>
      </c>
      <c r="P1736" s="18"/>
      <c r="Q1736" s="18"/>
      <c r="R1736" s="18"/>
      <c r="S1736" s="18"/>
      <c r="T1736" s="18"/>
      <c r="U1736" s="18"/>
      <c r="V1736" s="18"/>
      <c r="W1736" s="18"/>
      <c r="X1736" s="18"/>
    </row>
    <row r="1737" spans="13:24">
      <c r="M1737" s="558">
        <f t="shared" si="86"/>
        <v>1735</v>
      </c>
      <c r="N1737" s="15">
        <f t="shared" si="84"/>
        <v>0.43181054438039546</v>
      </c>
      <c r="O1737" s="165">
        <f t="shared" si="85"/>
        <v>0.43181054438039546</v>
      </c>
      <c r="P1737" s="18"/>
      <c r="Q1737" s="18"/>
      <c r="R1737" s="18"/>
      <c r="S1737" s="18"/>
      <c r="T1737" s="18"/>
      <c r="U1737" s="18"/>
      <c r="V1737" s="18"/>
      <c r="W1737" s="18"/>
      <c r="X1737" s="18"/>
    </row>
    <row r="1738" spans="13:24">
      <c r="M1738" s="558">
        <f t="shared" si="86"/>
        <v>1736</v>
      </c>
      <c r="N1738" s="15">
        <f t="shared" si="84"/>
        <v>0.43169525235090844</v>
      </c>
      <c r="O1738" s="165">
        <f t="shared" si="85"/>
        <v>0.43169525235090844</v>
      </c>
      <c r="P1738" s="18"/>
      <c r="Q1738" s="18"/>
      <c r="R1738" s="18"/>
      <c r="S1738" s="18"/>
      <c r="T1738" s="18"/>
      <c r="U1738" s="18"/>
      <c r="V1738" s="18"/>
      <c r="W1738" s="18"/>
      <c r="X1738" s="18"/>
    </row>
    <row r="1739" spans="13:24">
      <c r="M1739" s="558">
        <f t="shared" si="86"/>
        <v>1737</v>
      </c>
      <c r="N1739" s="15">
        <f t="shared" si="84"/>
        <v>0.43158004053860682</v>
      </c>
      <c r="O1739" s="165">
        <f t="shared" si="85"/>
        <v>0.43158004053860682</v>
      </c>
      <c r="P1739" s="18"/>
      <c r="Q1739" s="18"/>
      <c r="R1739" s="18"/>
      <c r="S1739" s="18"/>
      <c r="T1739" s="18"/>
      <c r="U1739" s="18"/>
      <c r="V1739" s="18"/>
      <c r="W1739" s="18"/>
      <c r="X1739" s="18"/>
    </row>
    <row r="1740" spans="13:24">
      <c r="M1740" s="558">
        <f t="shared" si="86"/>
        <v>1738</v>
      </c>
      <c r="N1740" s="15">
        <f t="shared" si="84"/>
        <v>0.43146490884282451</v>
      </c>
      <c r="O1740" s="165">
        <f t="shared" si="85"/>
        <v>0.43146490884282451</v>
      </c>
      <c r="P1740" s="18"/>
      <c r="Q1740" s="18"/>
      <c r="R1740" s="18"/>
      <c r="S1740" s="18"/>
      <c r="T1740" s="18"/>
      <c r="U1740" s="18"/>
      <c r="V1740" s="18"/>
      <c r="W1740" s="18"/>
      <c r="X1740" s="18"/>
    </row>
    <row r="1741" spans="13:24">
      <c r="M1741" s="558">
        <f t="shared" si="86"/>
        <v>1739</v>
      </c>
      <c r="N1741" s="15">
        <f t="shared" si="84"/>
        <v>0.4313498571630216</v>
      </c>
      <c r="O1741" s="165">
        <f t="shared" si="85"/>
        <v>0.4313498571630216</v>
      </c>
      <c r="P1741" s="18"/>
      <c r="Q1741" s="18"/>
      <c r="R1741" s="18"/>
      <c r="S1741" s="18"/>
      <c r="T1741" s="18"/>
      <c r="U1741" s="18"/>
      <c r="V1741" s="18"/>
      <c r="W1741" s="18"/>
      <c r="X1741" s="18"/>
    </row>
    <row r="1742" spans="13:24">
      <c r="M1742" s="558">
        <f t="shared" si="86"/>
        <v>1740</v>
      </c>
      <c r="N1742" s="15">
        <f t="shared" si="84"/>
        <v>0.43123488539878474</v>
      </c>
      <c r="O1742" s="165">
        <f t="shared" si="85"/>
        <v>0.43123488539878474</v>
      </c>
      <c r="P1742" s="18"/>
      <c r="Q1742" s="18"/>
      <c r="R1742" s="18"/>
      <c r="S1742" s="18"/>
      <c r="T1742" s="18"/>
      <c r="U1742" s="18"/>
      <c r="V1742" s="18"/>
      <c r="W1742" s="18"/>
      <c r="X1742" s="18"/>
    </row>
    <row r="1743" spans="13:24">
      <c r="M1743" s="558">
        <f t="shared" si="86"/>
        <v>1741</v>
      </c>
      <c r="N1743" s="15">
        <f t="shared" si="84"/>
        <v>0.4311199934498261</v>
      </c>
      <c r="O1743" s="165">
        <f t="shared" si="85"/>
        <v>0.4311199934498261</v>
      </c>
      <c r="P1743" s="18"/>
      <c r="Q1743" s="18"/>
      <c r="R1743" s="18"/>
      <c r="S1743" s="18"/>
      <c r="T1743" s="18"/>
      <c r="U1743" s="18"/>
      <c r="V1743" s="18"/>
      <c r="W1743" s="18"/>
      <c r="X1743" s="18"/>
    </row>
    <row r="1744" spans="13:24">
      <c r="M1744" s="558">
        <f t="shared" si="86"/>
        <v>1742</v>
      </c>
      <c r="N1744" s="15">
        <f t="shared" si="84"/>
        <v>0.4310051812159838</v>
      </c>
      <c r="O1744" s="165">
        <f t="shared" si="85"/>
        <v>0.4310051812159838</v>
      </c>
      <c r="P1744" s="18"/>
      <c r="Q1744" s="18"/>
      <c r="R1744" s="18"/>
      <c r="S1744" s="18"/>
      <c r="T1744" s="18"/>
      <c r="U1744" s="18"/>
      <c r="V1744" s="18"/>
      <c r="W1744" s="18"/>
      <c r="X1744" s="18"/>
    </row>
    <row r="1745" spans="13:24">
      <c r="M1745" s="558">
        <f t="shared" si="86"/>
        <v>1743</v>
      </c>
      <c r="N1745" s="15">
        <f t="shared" si="84"/>
        <v>0.43089044859722209</v>
      </c>
      <c r="O1745" s="165">
        <f t="shared" si="85"/>
        <v>0.43089044859722209</v>
      </c>
      <c r="P1745" s="18"/>
      <c r="Q1745" s="18"/>
      <c r="R1745" s="18"/>
      <c r="S1745" s="18"/>
      <c r="T1745" s="18"/>
      <c r="U1745" s="18"/>
      <c r="V1745" s="18"/>
      <c r="W1745" s="18"/>
      <c r="X1745" s="18"/>
    </row>
    <row r="1746" spans="13:24">
      <c r="M1746" s="558">
        <f t="shared" si="86"/>
        <v>1744</v>
      </c>
      <c r="N1746" s="15">
        <f t="shared" si="84"/>
        <v>0.43077579549363026</v>
      </c>
      <c r="O1746" s="165">
        <f t="shared" si="85"/>
        <v>0.43077579549363026</v>
      </c>
      <c r="P1746" s="18"/>
      <c r="Q1746" s="18"/>
      <c r="R1746" s="18"/>
      <c r="S1746" s="18"/>
      <c r="T1746" s="18"/>
      <c r="U1746" s="18"/>
      <c r="V1746" s="18"/>
      <c r="W1746" s="18"/>
      <c r="X1746" s="18"/>
    </row>
    <row r="1747" spans="13:24">
      <c r="M1747" s="558">
        <f t="shared" si="86"/>
        <v>1745</v>
      </c>
      <c r="N1747" s="15">
        <f t="shared" si="84"/>
        <v>0.43066122180542299</v>
      </c>
      <c r="O1747" s="165">
        <f t="shared" si="85"/>
        <v>0.43066122180542299</v>
      </c>
      <c r="P1747" s="18"/>
      <c r="Q1747" s="18"/>
      <c r="R1747" s="18"/>
      <c r="S1747" s="18"/>
      <c r="T1747" s="18"/>
      <c r="U1747" s="18"/>
      <c r="V1747" s="18"/>
      <c r="W1747" s="18"/>
      <c r="X1747" s="18"/>
    </row>
    <row r="1748" spans="13:24">
      <c r="M1748" s="558">
        <f t="shared" si="86"/>
        <v>1746</v>
      </c>
      <c r="N1748" s="15">
        <f t="shared" si="84"/>
        <v>0.43054672743294076</v>
      </c>
      <c r="O1748" s="165">
        <f t="shared" si="85"/>
        <v>0.43054672743294076</v>
      </c>
      <c r="P1748" s="18"/>
      <c r="Q1748" s="18"/>
      <c r="R1748" s="18"/>
      <c r="S1748" s="18"/>
      <c r="T1748" s="18"/>
      <c r="U1748" s="18"/>
      <c r="V1748" s="18"/>
      <c r="W1748" s="18"/>
      <c r="X1748" s="18"/>
    </row>
    <row r="1749" spans="13:24">
      <c r="M1749" s="558">
        <f t="shared" si="86"/>
        <v>1747</v>
      </c>
      <c r="N1749" s="15">
        <f t="shared" si="84"/>
        <v>0.43043231227664841</v>
      </c>
      <c r="O1749" s="165">
        <f t="shared" si="85"/>
        <v>0.43043231227664841</v>
      </c>
      <c r="P1749" s="18"/>
      <c r="Q1749" s="18"/>
      <c r="R1749" s="18"/>
      <c r="S1749" s="18"/>
      <c r="T1749" s="18"/>
      <c r="U1749" s="18"/>
      <c r="V1749" s="18"/>
      <c r="W1749" s="18"/>
      <c r="X1749" s="18"/>
    </row>
    <row r="1750" spans="13:24">
      <c r="M1750" s="558">
        <f t="shared" si="86"/>
        <v>1748</v>
      </c>
      <c r="N1750" s="15">
        <f t="shared" si="84"/>
        <v>0.43031797623713597</v>
      </c>
      <c r="O1750" s="165">
        <f t="shared" si="85"/>
        <v>0.43031797623713597</v>
      </c>
      <c r="P1750" s="18"/>
      <c r="Q1750" s="18"/>
      <c r="R1750" s="18"/>
      <c r="S1750" s="18"/>
      <c r="T1750" s="18"/>
      <c r="U1750" s="18"/>
      <c r="V1750" s="18"/>
      <c r="W1750" s="18"/>
      <c r="X1750" s="18"/>
    </row>
    <row r="1751" spans="13:24">
      <c r="M1751" s="558">
        <f t="shared" si="86"/>
        <v>1749</v>
      </c>
      <c r="N1751" s="15">
        <f t="shared" si="84"/>
        <v>0.43020371921511835</v>
      </c>
      <c r="O1751" s="165">
        <f t="shared" si="85"/>
        <v>0.43020371921511835</v>
      </c>
      <c r="P1751" s="18"/>
      <c r="Q1751" s="18"/>
      <c r="R1751" s="18"/>
      <c r="S1751" s="18"/>
      <c r="T1751" s="18"/>
      <c r="U1751" s="18"/>
      <c r="V1751" s="18"/>
      <c r="W1751" s="18"/>
      <c r="X1751" s="18"/>
    </row>
    <row r="1752" spans="13:24">
      <c r="M1752" s="558">
        <f t="shared" si="86"/>
        <v>1750</v>
      </c>
      <c r="N1752" s="15">
        <f t="shared" si="84"/>
        <v>0.43008954111143499</v>
      </c>
      <c r="O1752" s="165">
        <f t="shared" si="85"/>
        <v>0.43008954111143499</v>
      </c>
      <c r="P1752" s="18"/>
      <c r="Q1752" s="18"/>
      <c r="R1752" s="18"/>
      <c r="S1752" s="18"/>
      <c r="T1752" s="18"/>
      <c r="U1752" s="18"/>
      <c r="V1752" s="18"/>
      <c r="W1752" s="18"/>
      <c r="X1752" s="18"/>
    </row>
    <row r="1753" spans="13:24">
      <c r="M1753" s="558">
        <f t="shared" si="86"/>
        <v>1751</v>
      </c>
      <c r="N1753" s="15">
        <f t="shared" si="84"/>
        <v>0.42997544182704961</v>
      </c>
      <c r="O1753" s="165">
        <f t="shared" si="85"/>
        <v>0.42997544182704961</v>
      </c>
      <c r="P1753" s="18"/>
      <c r="Q1753" s="18"/>
      <c r="R1753" s="18"/>
      <c r="S1753" s="18"/>
      <c r="T1753" s="18"/>
      <c r="U1753" s="18"/>
      <c r="V1753" s="18"/>
      <c r="W1753" s="18"/>
      <c r="X1753" s="18"/>
    </row>
    <row r="1754" spans="13:24">
      <c r="M1754" s="558">
        <f t="shared" si="86"/>
        <v>1752</v>
      </c>
      <c r="N1754" s="15">
        <f t="shared" si="84"/>
        <v>0.42986142126305033</v>
      </c>
      <c r="O1754" s="165">
        <f t="shared" si="85"/>
        <v>0.42986142126305033</v>
      </c>
      <c r="P1754" s="18"/>
      <c r="Q1754" s="18"/>
      <c r="R1754" s="18"/>
      <c r="S1754" s="18"/>
      <c r="T1754" s="18"/>
      <c r="U1754" s="18"/>
      <c r="V1754" s="18"/>
      <c r="W1754" s="18"/>
      <c r="X1754" s="18"/>
    </row>
    <row r="1755" spans="13:24">
      <c r="M1755" s="558">
        <f t="shared" si="86"/>
        <v>1753</v>
      </c>
      <c r="N1755" s="15">
        <f t="shared" si="84"/>
        <v>0.42974747932064938</v>
      </c>
      <c r="O1755" s="165">
        <f t="shared" si="85"/>
        <v>0.42974747932064938</v>
      </c>
      <c r="P1755" s="18"/>
      <c r="Q1755" s="18"/>
      <c r="R1755" s="18"/>
      <c r="S1755" s="18"/>
      <c r="T1755" s="18"/>
      <c r="U1755" s="18"/>
      <c r="V1755" s="18"/>
      <c r="W1755" s="18"/>
      <c r="X1755" s="18"/>
    </row>
    <row r="1756" spans="13:24">
      <c r="M1756" s="558">
        <f t="shared" si="86"/>
        <v>1754</v>
      </c>
      <c r="N1756" s="15">
        <f t="shared" si="84"/>
        <v>0.42963361590118293</v>
      </c>
      <c r="O1756" s="165">
        <f t="shared" si="85"/>
        <v>0.42963361590118293</v>
      </c>
      <c r="P1756" s="18"/>
      <c r="Q1756" s="18"/>
      <c r="R1756" s="18"/>
      <c r="S1756" s="18"/>
      <c r="T1756" s="18"/>
      <c r="U1756" s="18"/>
      <c r="V1756" s="18"/>
      <c r="W1756" s="18"/>
      <c r="X1756" s="18"/>
    </row>
    <row r="1757" spans="13:24">
      <c r="M1757" s="558">
        <f t="shared" si="86"/>
        <v>1755</v>
      </c>
      <c r="N1757" s="15">
        <f t="shared" si="84"/>
        <v>0.42951983090611118</v>
      </c>
      <c r="O1757" s="165">
        <f t="shared" si="85"/>
        <v>0.42951983090611118</v>
      </c>
      <c r="P1757" s="18"/>
      <c r="Q1757" s="18"/>
      <c r="R1757" s="18"/>
      <c r="S1757" s="18"/>
      <c r="T1757" s="18"/>
      <c r="U1757" s="18"/>
      <c r="V1757" s="18"/>
      <c r="W1757" s="18"/>
      <c r="X1757" s="18"/>
    </row>
    <row r="1758" spans="13:24">
      <c r="M1758" s="558">
        <f t="shared" si="86"/>
        <v>1756</v>
      </c>
      <c r="N1758" s="15">
        <f t="shared" si="84"/>
        <v>0.42940612423701763</v>
      </c>
      <c r="O1758" s="165">
        <f t="shared" si="85"/>
        <v>0.42940612423701763</v>
      </c>
      <c r="P1758" s="18"/>
      <c r="Q1758" s="18"/>
      <c r="R1758" s="18"/>
      <c r="S1758" s="18"/>
      <c r="T1758" s="18"/>
      <c r="U1758" s="18"/>
      <c r="V1758" s="18"/>
      <c r="W1758" s="18"/>
      <c r="X1758" s="18"/>
    </row>
    <row r="1759" spans="13:24">
      <c r="M1759" s="558">
        <f t="shared" si="86"/>
        <v>1757</v>
      </c>
      <c r="N1759" s="15">
        <f t="shared" si="84"/>
        <v>0.42929249579560946</v>
      </c>
      <c r="O1759" s="165">
        <f t="shared" si="85"/>
        <v>0.42929249579560946</v>
      </c>
      <c r="P1759" s="18"/>
      <c r="Q1759" s="18"/>
      <c r="R1759" s="18"/>
      <c r="S1759" s="18"/>
      <c r="T1759" s="18"/>
      <c r="U1759" s="18"/>
      <c r="V1759" s="18"/>
      <c r="W1759" s="18"/>
      <c r="X1759" s="18"/>
    </row>
    <row r="1760" spans="13:24">
      <c r="M1760" s="558">
        <f t="shared" si="86"/>
        <v>1758</v>
      </c>
      <c r="N1760" s="15">
        <f t="shared" si="84"/>
        <v>0.42917894548371738</v>
      </c>
      <c r="O1760" s="165">
        <f t="shared" si="85"/>
        <v>0.42917894548371738</v>
      </c>
      <c r="P1760" s="18"/>
      <c r="Q1760" s="18"/>
      <c r="R1760" s="18"/>
      <c r="S1760" s="18"/>
      <c r="T1760" s="18"/>
      <c r="U1760" s="18"/>
      <c r="V1760" s="18"/>
      <c r="W1760" s="18"/>
      <c r="X1760" s="18"/>
    </row>
    <row r="1761" spans="13:24">
      <c r="M1761" s="558">
        <f t="shared" si="86"/>
        <v>1759</v>
      </c>
      <c r="N1761" s="15">
        <f t="shared" si="84"/>
        <v>0.42906547320329502</v>
      </c>
      <c r="O1761" s="165">
        <f t="shared" si="85"/>
        <v>0.42906547320329502</v>
      </c>
      <c r="P1761" s="18"/>
      <c r="Q1761" s="18"/>
      <c r="R1761" s="18"/>
      <c r="S1761" s="18"/>
      <c r="T1761" s="18"/>
      <c r="U1761" s="18"/>
      <c r="V1761" s="18"/>
      <c r="W1761" s="18"/>
      <c r="X1761" s="18"/>
    </row>
    <row r="1762" spans="13:24">
      <c r="M1762" s="558">
        <f t="shared" si="86"/>
        <v>1760</v>
      </c>
      <c r="N1762" s="15">
        <f t="shared" si="84"/>
        <v>0.42895207885641906</v>
      </c>
      <c r="O1762" s="165">
        <f t="shared" si="85"/>
        <v>0.42895207885641906</v>
      </c>
      <c r="P1762" s="18"/>
      <c r="Q1762" s="18"/>
      <c r="R1762" s="18"/>
      <c r="S1762" s="18"/>
      <c r="T1762" s="18"/>
      <c r="U1762" s="18"/>
      <c r="V1762" s="18"/>
      <c r="W1762" s="18"/>
      <c r="X1762" s="18"/>
    </row>
    <row r="1763" spans="13:24">
      <c r="M1763" s="558">
        <f t="shared" si="86"/>
        <v>1761</v>
      </c>
      <c r="N1763" s="15">
        <f t="shared" si="84"/>
        <v>0.42883876234528934</v>
      </c>
      <c r="O1763" s="165">
        <f t="shared" si="85"/>
        <v>0.42883876234528934</v>
      </c>
      <c r="P1763" s="18"/>
      <c r="Q1763" s="18"/>
      <c r="R1763" s="18"/>
      <c r="S1763" s="18"/>
      <c r="T1763" s="18"/>
      <c r="U1763" s="18"/>
      <c r="V1763" s="18"/>
      <c r="W1763" s="18"/>
      <c r="X1763" s="18"/>
    </row>
    <row r="1764" spans="13:24">
      <c r="M1764" s="558">
        <f t="shared" si="86"/>
        <v>1762</v>
      </c>
      <c r="N1764" s="15">
        <f t="shared" si="84"/>
        <v>0.42872552357222815</v>
      </c>
      <c r="O1764" s="165">
        <f t="shared" si="85"/>
        <v>0.42872552357222815</v>
      </c>
      <c r="P1764" s="18"/>
      <c r="Q1764" s="18"/>
      <c r="R1764" s="18"/>
      <c r="S1764" s="18"/>
      <c r="T1764" s="18"/>
      <c r="U1764" s="18"/>
      <c r="V1764" s="18"/>
      <c r="W1764" s="18"/>
      <c r="X1764" s="18"/>
    </row>
    <row r="1765" spans="13:24">
      <c r="M1765" s="558">
        <f t="shared" si="86"/>
        <v>1763</v>
      </c>
      <c r="N1765" s="15">
        <f t="shared" si="84"/>
        <v>0.42861236243968043</v>
      </c>
      <c r="O1765" s="165">
        <f t="shared" si="85"/>
        <v>0.42861236243968043</v>
      </c>
      <c r="P1765" s="18"/>
      <c r="Q1765" s="18"/>
      <c r="R1765" s="18"/>
      <c r="S1765" s="18"/>
      <c r="T1765" s="18"/>
      <c r="U1765" s="18"/>
      <c r="V1765" s="18"/>
      <c r="W1765" s="18"/>
      <c r="X1765" s="18"/>
    </row>
    <row r="1766" spans="13:24">
      <c r="M1766" s="558">
        <f t="shared" si="86"/>
        <v>1764</v>
      </c>
      <c r="N1766" s="15">
        <f t="shared" si="84"/>
        <v>0.42849927885021361</v>
      </c>
      <c r="O1766" s="165">
        <f t="shared" si="85"/>
        <v>0.42849927885021361</v>
      </c>
      <c r="P1766" s="18"/>
      <c r="Q1766" s="18"/>
      <c r="R1766" s="18"/>
      <c r="S1766" s="18"/>
      <c r="T1766" s="18"/>
      <c r="U1766" s="18"/>
      <c r="V1766" s="18"/>
      <c r="W1766" s="18"/>
      <c r="X1766" s="18"/>
    </row>
    <row r="1767" spans="13:24">
      <c r="M1767" s="558">
        <f t="shared" si="86"/>
        <v>1765</v>
      </c>
      <c r="N1767" s="15">
        <f t="shared" si="84"/>
        <v>0.42838627270651741</v>
      </c>
      <c r="O1767" s="165">
        <f t="shared" si="85"/>
        <v>0.42838627270651741</v>
      </c>
      <c r="P1767" s="18"/>
      <c r="Q1767" s="18"/>
      <c r="R1767" s="18"/>
      <c r="S1767" s="18"/>
      <c r="T1767" s="18"/>
      <c r="U1767" s="18"/>
      <c r="V1767" s="18"/>
      <c r="W1767" s="18"/>
      <c r="X1767" s="18"/>
    </row>
    <row r="1768" spans="13:24">
      <c r="M1768" s="558">
        <f t="shared" si="86"/>
        <v>1766</v>
      </c>
      <c r="N1768" s="15">
        <f t="shared" si="84"/>
        <v>0.42827334391140359</v>
      </c>
      <c r="O1768" s="165">
        <f t="shared" si="85"/>
        <v>0.42827334391140359</v>
      </c>
      <c r="P1768" s="18"/>
      <c r="Q1768" s="18"/>
      <c r="R1768" s="18"/>
      <c r="S1768" s="18"/>
      <c r="T1768" s="18"/>
      <c r="U1768" s="18"/>
      <c r="V1768" s="18"/>
      <c r="W1768" s="18"/>
      <c r="X1768" s="18"/>
    </row>
    <row r="1769" spans="13:24">
      <c r="M1769" s="558">
        <f t="shared" si="86"/>
        <v>1767</v>
      </c>
      <c r="N1769" s="15">
        <f t="shared" si="84"/>
        <v>0.42816049236780568</v>
      </c>
      <c r="O1769" s="165">
        <f t="shared" si="85"/>
        <v>0.42816049236780568</v>
      </c>
      <c r="P1769" s="18"/>
      <c r="Q1769" s="18"/>
      <c r="R1769" s="18"/>
      <c r="S1769" s="18"/>
      <c r="T1769" s="18"/>
      <c r="U1769" s="18"/>
      <c r="V1769" s="18"/>
      <c r="W1769" s="18"/>
      <c r="X1769" s="18"/>
    </row>
    <row r="1770" spans="13:24">
      <c r="M1770" s="558">
        <f t="shared" si="86"/>
        <v>1768</v>
      </c>
      <c r="N1770" s="15">
        <f t="shared" si="84"/>
        <v>0.4280477179787795</v>
      </c>
      <c r="O1770" s="165">
        <f t="shared" si="85"/>
        <v>0.4280477179787795</v>
      </c>
      <c r="P1770" s="18"/>
      <c r="Q1770" s="18"/>
      <c r="R1770" s="18"/>
      <c r="S1770" s="18"/>
      <c r="T1770" s="18"/>
      <c r="U1770" s="18"/>
      <c r="V1770" s="18"/>
      <c r="W1770" s="18"/>
      <c r="X1770" s="18"/>
    </row>
    <row r="1771" spans="13:24">
      <c r="M1771" s="558">
        <f t="shared" si="86"/>
        <v>1769</v>
      </c>
      <c r="N1771" s="15">
        <f t="shared" si="84"/>
        <v>0.42793502064750222</v>
      </c>
      <c r="O1771" s="165">
        <f t="shared" si="85"/>
        <v>0.42793502064750222</v>
      </c>
      <c r="P1771" s="18"/>
      <c r="Q1771" s="18"/>
      <c r="R1771" s="18"/>
      <c r="S1771" s="18"/>
      <c r="T1771" s="18"/>
      <c r="U1771" s="18"/>
      <c r="V1771" s="18"/>
      <c r="W1771" s="18"/>
      <c r="X1771" s="18"/>
    </row>
    <row r="1772" spans="13:24">
      <c r="M1772" s="558">
        <f t="shared" si="86"/>
        <v>1770</v>
      </c>
      <c r="N1772" s="15">
        <f t="shared" si="84"/>
        <v>0.42782240027727236</v>
      </c>
      <c r="O1772" s="165">
        <f t="shared" si="85"/>
        <v>0.42782240027727236</v>
      </c>
      <c r="P1772" s="18"/>
      <c r="Q1772" s="18"/>
      <c r="R1772" s="18"/>
      <c r="S1772" s="18"/>
      <c r="T1772" s="18"/>
      <c r="U1772" s="18"/>
      <c r="V1772" s="18"/>
      <c r="W1772" s="18"/>
      <c r="X1772" s="18"/>
    </row>
    <row r="1773" spans="13:24">
      <c r="M1773" s="558">
        <f t="shared" si="86"/>
        <v>1771</v>
      </c>
      <c r="N1773" s="15">
        <f t="shared" si="84"/>
        <v>0.42770985677151019</v>
      </c>
      <c r="O1773" s="165">
        <f t="shared" si="85"/>
        <v>0.42770985677151019</v>
      </c>
      <c r="P1773" s="18"/>
      <c r="Q1773" s="18"/>
      <c r="R1773" s="18"/>
      <c r="S1773" s="18"/>
      <c r="T1773" s="18"/>
      <c r="U1773" s="18"/>
      <c r="V1773" s="18"/>
      <c r="W1773" s="18"/>
      <c r="X1773" s="18"/>
    </row>
    <row r="1774" spans="13:24">
      <c r="M1774" s="558">
        <f t="shared" si="86"/>
        <v>1772</v>
      </c>
      <c r="N1774" s="15">
        <f t="shared" si="84"/>
        <v>0.42759739003375685</v>
      </c>
      <c r="O1774" s="165">
        <f t="shared" si="85"/>
        <v>0.42759739003375685</v>
      </c>
      <c r="P1774" s="18"/>
      <c r="Q1774" s="18"/>
      <c r="R1774" s="18"/>
      <c r="S1774" s="18"/>
      <c r="T1774" s="18"/>
      <c r="U1774" s="18"/>
      <c r="V1774" s="18"/>
      <c r="W1774" s="18"/>
      <c r="X1774" s="18"/>
    </row>
    <row r="1775" spans="13:24">
      <c r="M1775" s="558">
        <f t="shared" si="86"/>
        <v>1773</v>
      </c>
      <c r="N1775" s="15">
        <f t="shared" si="84"/>
        <v>0.42748499996767475</v>
      </c>
      <c r="O1775" s="165">
        <f t="shared" si="85"/>
        <v>0.42748499996767475</v>
      </c>
      <c r="P1775" s="18"/>
      <c r="Q1775" s="18"/>
      <c r="R1775" s="18"/>
      <c r="S1775" s="18"/>
      <c r="T1775" s="18"/>
      <c r="U1775" s="18"/>
      <c r="V1775" s="18"/>
      <c r="W1775" s="18"/>
      <c r="X1775" s="18"/>
    </row>
    <row r="1776" spans="13:24">
      <c r="M1776" s="558">
        <f t="shared" si="86"/>
        <v>1774</v>
      </c>
      <c r="N1776" s="15">
        <f t="shared" si="84"/>
        <v>0.42737268647704707</v>
      </c>
      <c r="O1776" s="165">
        <f t="shared" si="85"/>
        <v>0.42737268647704707</v>
      </c>
      <c r="P1776" s="18"/>
      <c r="Q1776" s="18"/>
      <c r="R1776" s="18"/>
      <c r="S1776" s="18"/>
      <c r="T1776" s="18"/>
      <c r="U1776" s="18"/>
      <c r="V1776" s="18"/>
      <c r="W1776" s="18"/>
      <c r="X1776" s="18"/>
    </row>
    <row r="1777" spans="13:24">
      <c r="M1777" s="558">
        <f t="shared" si="86"/>
        <v>1775</v>
      </c>
      <c r="N1777" s="15">
        <f t="shared" si="84"/>
        <v>0.42726044946577779</v>
      </c>
      <c r="O1777" s="165">
        <f t="shared" si="85"/>
        <v>0.42726044946577779</v>
      </c>
      <c r="P1777" s="18"/>
      <c r="Q1777" s="18"/>
      <c r="R1777" s="18"/>
      <c r="S1777" s="18"/>
      <c r="T1777" s="18"/>
      <c r="U1777" s="18"/>
      <c r="V1777" s="18"/>
      <c r="W1777" s="18"/>
      <c r="X1777" s="18"/>
    </row>
    <row r="1778" spans="13:24">
      <c r="M1778" s="558">
        <f t="shared" si="86"/>
        <v>1776</v>
      </c>
      <c r="N1778" s="15">
        <f t="shared" si="84"/>
        <v>0.42714828883789124</v>
      </c>
      <c r="O1778" s="165">
        <f t="shared" si="85"/>
        <v>0.42714828883789124</v>
      </c>
      <c r="P1778" s="18"/>
      <c r="Q1778" s="18"/>
      <c r="R1778" s="18"/>
      <c r="S1778" s="18"/>
      <c r="T1778" s="18"/>
      <c r="U1778" s="18"/>
      <c r="V1778" s="18"/>
      <c r="W1778" s="18"/>
      <c r="X1778" s="18"/>
    </row>
    <row r="1779" spans="13:24">
      <c r="M1779" s="558">
        <f t="shared" si="86"/>
        <v>1777</v>
      </c>
      <c r="N1779" s="15">
        <f t="shared" si="84"/>
        <v>0.42703620449753288</v>
      </c>
      <c r="O1779" s="165">
        <f t="shared" si="85"/>
        <v>0.42703620449753288</v>
      </c>
      <c r="P1779" s="18"/>
      <c r="Q1779" s="18"/>
      <c r="R1779" s="18"/>
      <c r="S1779" s="18"/>
      <c r="T1779" s="18"/>
      <c r="U1779" s="18"/>
      <c r="V1779" s="18"/>
      <c r="W1779" s="18"/>
      <c r="X1779" s="18"/>
    </row>
    <row r="1780" spans="13:24">
      <c r="M1780" s="558">
        <f t="shared" si="86"/>
        <v>1778</v>
      </c>
      <c r="N1780" s="15">
        <f t="shared" si="84"/>
        <v>0.42692419634896744</v>
      </c>
      <c r="O1780" s="165">
        <f t="shared" si="85"/>
        <v>0.42692419634896744</v>
      </c>
      <c r="P1780" s="18"/>
      <c r="Q1780" s="18"/>
      <c r="R1780" s="18"/>
      <c r="S1780" s="18"/>
      <c r="T1780" s="18"/>
      <c r="U1780" s="18"/>
      <c r="V1780" s="18"/>
      <c r="W1780" s="18"/>
      <c r="X1780" s="18"/>
    </row>
    <row r="1781" spans="13:24">
      <c r="M1781" s="558">
        <f t="shared" si="86"/>
        <v>1779</v>
      </c>
      <c r="N1781" s="15">
        <f t="shared" si="84"/>
        <v>0.4268122642965807</v>
      </c>
      <c r="O1781" s="165">
        <f t="shared" si="85"/>
        <v>0.4268122642965807</v>
      </c>
      <c r="P1781" s="18"/>
      <c r="Q1781" s="18"/>
      <c r="R1781" s="18"/>
      <c r="S1781" s="18"/>
      <c r="T1781" s="18"/>
      <c r="U1781" s="18"/>
      <c r="V1781" s="18"/>
      <c r="W1781" s="18"/>
      <c r="X1781" s="18"/>
    </row>
    <row r="1782" spans="13:24">
      <c r="M1782" s="558">
        <f t="shared" si="86"/>
        <v>1780</v>
      </c>
      <c r="N1782" s="15">
        <f t="shared" si="84"/>
        <v>0.42670040824487798</v>
      </c>
      <c r="O1782" s="165">
        <f t="shared" si="85"/>
        <v>0.42670040824487798</v>
      </c>
      <c r="P1782" s="18"/>
      <c r="Q1782" s="18"/>
      <c r="R1782" s="18"/>
      <c r="S1782" s="18"/>
      <c r="T1782" s="18"/>
      <c r="U1782" s="18"/>
      <c r="V1782" s="18"/>
      <c r="W1782" s="18"/>
      <c r="X1782" s="18"/>
    </row>
    <row r="1783" spans="13:24">
      <c r="M1783" s="558">
        <f t="shared" si="86"/>
        <v>1781</v>
      </c>
      <c r="N1783" s="15">
        <f t="shared" si="84"/>
        <v>0.42658862809848452</v>
      </c>
      <c r="O1783" s="165">
        <f t="shared" si="85"/>
        <v>0.42658862809848452</v>
      </c>
      <c r="P1783" s="18"/>
      <c r="Q1783" s="18"/>
      <c r="R1783" s="18"/>
      <c r="S1783" s="18"/>
      <c r="T1783" s="18"/>
      <c r="U1783" s="18"/>
      <c r="V1783" s="18"/>
      <c r="W1783" s="18"/>
      <c r="X1783" s="18"/>
    </row>
    <row r="1784" spans="13:24">
      <c r="M1784" s="558">
        <f t="shared" si="86"/>
        <v>1782</v>
      </c>
      <c r="N1784" s="15">
        <f t="shared" si="84"/>
        <v>0.42647692376214513</v>
      </c>
      <c r="O1784" s="165">
        <f t="shared" si="85"/>
        <v>0.42647692376214513</v>
      </c>
      <c r="P1784" s="18"/>
      <c r="Q1784" s="18"/>
      <c r="R1784" s="18"/>
      <c r="S1784" s="18"/>
      <c r="T1784" s="18"/>
      <c r="U1784" s="18"/>
      <c r="V1784" s="18"/>
      <c r="W1784" s="18"/>
      <c r="X1784" s="18"/>
    </row>
    <row r="1785" spans="13:24">
      <c r="M1785" s="558">
        <f t="shared" si="86"/>
        <v>1783</v>
      </c>
      <c r="N1785" s="15">
        <f t="shared" si="84"/>
        <v>0.42636529514072447</v>
      </c>
      <c r="O1785" s="165">
        <f t="shared" si="85"/>
        <v>0.42636529514072447</v>
      </c>
      <c r="P1785" s="18"/>
      <c r="Q1785" s="18"/>
      <c r="R1785" s="18"/>
      <c r="S1785" s="18"/>
      <c r="T1785" s="18"/>
      <c r="U1785" s="18"/>
      <c r="V1785" s="18"/>
      <c r="W1785" s="18"/>
      <c r="X1785" s="18"/>
    </row>
    <row r="1786" spans="13:24">
      <c r="M1786" s="558">
        <f t="shared" si="86"/>
        <v>1784</v>
      </c>
      <c r="N1786" s="15">
        <f t="shared" si="84"/>
        <v>0.4262537421392063</v>
      </c>
      <c r="O1786" s="165">
        <f t="shared" si="85"/>
        <v>0.4262537421392063</v>
      </c>
      <c r="P1786" s="18"/>
      <c r="Q1786" s="18"/>
      <c r="R1786" s="18"/>
      <c r="S1786" s="18"/>
      <c r="T1786" s="18"/>
      <c r="U1786" s="18"/>
      <c r="V1786" s="18"/>
      <c r="W1786" s="18"/>
      <c r="X1786" s="18"/>
    </row>
    <row r="1787" spans="13:24">
      <c r="M1787" s="558">
        <f t="shared" si="86"/>
        <v>1785</v>
      </c>
      <c r="N1787" s="15">
        <f t="shared" si="84"/>
        <v>0.42614226466269373</v>
      </c>
      <c r="O1787" s="165">
        <f t="shared" si="85"/>
        <v>0.42614226466269373</v>
      </c>
      <c r="P1787" s="18"/>
      <c r="Q1787" s="18"/>
      <c r="R1787" s="18"/>
      <c r="S1787" s="18"/>
      <c r="T1787" s="18"/>
      <c r="U1787" s="18"/>
      <c r="V1787" s="18"/>
      <c r="W1787" s="18"/>
      <c r="X1787" s="18"/>
    </row>
    <row r="1788" spans="13:24">
      <c r="M1788" s="558">
        <f t="shared" si="86"/>
        <v>1786</v>
      </c>
      <c r="N1788" s="15">
        <f t="shared" si="84"/>
        <v>0.42603086261640899</v>
      </c>
      <c r="O1788" s="165">
        <f t="shared" si="85"/>
        <v>0.42603086261640899</v>
      </c>
      <c r="P1788" s="18"/>
      <c r="Q1788" s="18"/>
      <c r="R1788" s="18"/>
      <c r="S1788" s="18"/>
      <c r="T1788" s="18"/>
      <c r="U1788" s="18"/>
      <c r="V1788" s="18"/>
      <c r="W1788" s="18"/>
      <c r="X1788" s="18"/>
    </row>
    <row r="1789" spans="13:24">
      <c r="M1789" s="558">
        <f t="shared" si="86"/>
        <v>1787</v>
      </c>
      <c r="N1789" s="15">
        <f t="shared" si="84"/>
        <v>0.42591953590569309</v>
      </c>
      <c r="O1789" s="165">
        <f t="shared" si="85"/>
        <v>0.42591953590569309</v>
      </c>
      <c r="P1789" s="18"/>
      <c r="Q1789" s="18"/>
      <c r="R1789" s="18"/>
      <c r="S1789" s="18"/>
      <c r="T1789" s="18"/>
      <c r="U1789" s="18"/>
      <c r="V1789" s="18"/>
      <c r="W1789" s="18"/>
      <c r="X1789" s="18"/>
    </row>
    <row r="1790" spans="13:24">
      <c r="M1790" s="558">
        <f t="shared" si="86"/>
        <v>1788</v>
      </c>
      <c r="N1790" s="15">
        <f t="shared" si="84"/>
        <v>0.42580828443600599</v>
      </c>
      <c r="O1790" s="165">
        <f t="shared" si="85"/>
        <v>0.42580828443600599</v>
      </c>
      <c r="P1790" s="18"/>
      <c r="Q1790" s="18"/>
      <c r="R1790" s="18"/>
      <c r="S1790" s="18"/>
      <c r="T1790" s="18"/>
      <c r="U1790" s="18"/>
      <c r="V1790" s="18"/>
      <c r="W1790" s="18"/>
      <c r="X1790" s="18"/>
    </row>
    <row r="1791" spans="13:24">
      <c r="M1791" s="558">
        <f t="shared" si="86"/>
        <v>1789</v>
      </c>
      <c r="N1791" s="15">
        <f t="shared" si="84"/>
        <v>0.42569710811292638</v>
      </c>
      <c r="O1791" s="165">
        <f t="shared" si="85"/>
        <v>0.42569710811292638</v>
      </c>
      <c r="P1791" s="18"/>
      <c r="Q1791" s="18"/>
      <c r="R1791" s="18"/>
      <c r="S1791" s="18"/>
      <c r="T1791" s="18"/>
      <c r="U1791" s="18"/>
      <c r="V1791" s="18"/>
      <c r="W1791" s="18"/>
      <c r="X1791" s="18"/>
    </row>
    <row r="1792" spans="13:24">
      <c r="M1792" s="558">
        <f t="shared" si="86"/>
        <v>1790</v>
      </c>
      <c r="N1792" s="15">
        <f t="shared" si="84"/>
        <v>0.42558600684215114</v>
      </c>
      <c r="O1792" s="165">
        <f t="shared" si="85"/>
        <v>0.42558600684215114</v>
      </c>
      <c r="P1792" s="18"/>
      <c r="Q1792" s="18"/>
      <c r="R1792" s="18"/>
      <c r="S1792" s="18"/>
      <c r="T1792" s="18"/>
      <c r="U1792" s="18"/>
      <c r="V1792" s="18"/>
      <c r="W1792" s="18"/>
      <c r="X1792" s="18"/>
    </row>
    <row r="1793" spans="13:24">
      <c r="M1793" s="558">
        <f t="shared" si="86"/>
        <v>1791</v>
      </c>
      <c r="N1793" s="15">
        <f t="shared" si="84"/>
        <v>0.42547498052949556</v>
      </c>
      <c r="O1793" s="165">
        <f t="shared" si="85"/>
        <v>0.42547498052949556</v>
      </c>
      <c r="P1793" s="18"/>
      <c r="Q1793" s="18"/>
      <c r="R1793" s="18"/>
      <c r="S1793" s="18"/>
      <c r="T1793" s="18"/>
      <c r="U1793" s="18"/>
      <c r="V1793" s="18"/>
      <c r="W1793" s="18"/>
      <c r="X1793" s="18"/>
    </row>
    <row r="1794" spans="13:24">
      <c r="M1794" s="558">
        <f t="shared" si="86"/>
        <v>1792</v>
      </c>
      <c r="N1794" s="15">
        <f t="shared" si="84"/>
        <v>0.42536402908089355</v>
      </c>
      <c r="O1794" s="165">
        <f t="shared" si="85"/>
        <v>0.42536402908089355</v>
      </c>
      <c r="P1794" s="18"/>
      <c r="Q1794" s="18"/>
      <c r="R1794" s="18"/>
      <c r="S1794" s="18"/>
      <c r="T1794" s="18"/>
      <c r="U1794" s="18"/>
      <c r="V1794" s="18"/>
      <c r="W1794" s="18"/>
      <c r="X1794" s="18"/>
    </row>
    <row r="1795" spans="13:24">
      <c r="M1795" s="558">
        <f t="shared" si="86"/>
        <v>1793</v>
      </c>
      <c r="N1795" s="15">
        <f t="shared" si="84"/>
        <v>0.42525315240239647</v>
      </c>
      <c r="O1795" s="165">
        <f t="shared" si="85"/>
        <v>0.42525315240239647</v>
      </c>
      <c r="P1795" s="18"/>
      <c r="Q1795" s="18"/>
      <c r="R1795" s="18"/>
      <c r="S1795" s="18"/>
      <c r="T1795" s="18"/>
      <c r="U1795" s="18"/>
      <c r="V1795" s="18"/>
      <c r="W1795" s="18"/>
      <c r="X1795" s="18"/>
    </row>
    <row r="1796" spans="13:24">
      <c r="M1796" s="558">
        <f t="shared" si="86"/>
        <v>1794</v>
      </c>
      <c r="N1796" s="15">
        <f t="shared" ref="N1796:N1859" si="87">IF(M1796&lt;$B$31+1,$B$32+$B$33/$B$31*(8760-M1796)+$B$34*IF(M1796&lt;$B$36-$B$31/(2*$B$35),1,IF(M1796&lt;$B$36+$B$31/(2*$B$35),COS(PI()/2*(M1796-($B$36-$B$31/(2*$B$35)))*$B$35/$B$31)^2,0))+$B$37*EXP((8760-M1796)/8760*$B$38)/EXP($B$38)-(8760-$B$31)*$B$33/$B$31,0)</f>
        <v>0.42514235040017379</v>
      </c>
      <c r="O1796" s="165">
        <f t="shared" ref="O1796:O1859" si="88">MIN(N1796,C$24)</f>
        <v>0.42514235040017379</v>
      </c>
      <c r="P1796" s="18"/>
      <c r="Q1796" s="18"/>
      <c r="R1796" s="18"/>
      <c r="S1796" s="18"/>
      <c r="T1796" s="18"/>
      <c r="U1796" s="18"/>
      <c r="V1796" s="18"/>
      <c r="W1796" s="18"/>
      <c r="X1796" s="18"/>
    </row>
    <row r="1797" spans="13:24">
      <c r="M1797" s="558">
        <f t="shared" ref="M1797:M1860" si="89">M1796+1</f>
        <v>1795</v>
      </c>
      <c r="N1797" s="15">
        <f t="shared" si="87"/>
        <v>0.42503162298051311</v>
      </c>
      <c r="O1797" s="165">
        <f t="shared" si="88"/>
        <v>0.42503162298051311</v>
      </c>
      <c r="P1797" s="18"/>
      <c r="Q1797" s="18"/>
      <c r="R1797" s="18"/>
      <c r="S1797" s="18"/>
      <c r="T1797" s="18"/>
      <c r="U1797" s="18"/>
      <c r="V1797" s="18"/>
      <c r="W1797" s="18"/>
      <c r="X1797" s="18"/>
    </row>
    <row r="1798" spans="13:24">
      <c r="M1798" s="558">
        <f t="shared" si="89"/>
        <v>1796</v>
      </c>
      <c r="N1798" s="15">
        <f t="shared" si="87"/>
        <v>0.42492097004981905</v>
      </c>
      <c r="O1798" s="165">
        <f t="shared" si="88"/>
        <v>0.42492097004981905</v>
      </c>
      <c r="P1798" s="18"/>
      <c r="Q1798" s="18"/>
      <c r="R1798" s="18"/>
      <c r="S1798" s="18"/>
      <c r="T1798" s="18"/>
      <c r="U1798" s="18"/>
      <c r="V1798" s="18"/>
      <c r="W1798" s="18"/>
      <c r="X1798" s="18"/>
    </row>
    <row r="1799" spans="13:24">
      <c r="M1799" s="558">
        <f t="shared" si="89"/>
        <v>1797</v>
      </c>
      <c r="N1799" s="15">
        <f t="shared" si="87"/>
        <v>0.42481039151461392</v>
      </c>
      <c r="O1799" s="165">
        <f t="shared" si="88"/>
        <v>0.42481039151461392</v>
      </c>
      <c r="P1799" s="18"/>
      <c r="Q1799" s="18"/>
      <c r="R1799" s="18"/>
      <c r="S1799" s="18"/>
      <c r="T1799" s="18"/>
      <c r="U1799" s="18"/>
      <c r="V1799" s="18"/>
      <c r="W1799" s="18"/>
      <c r="X1799" s="18"/>
    </row>
    <row r="1800" spans="13:24">
      <c r="M1800" s="558">
        <f t="shared" si="89"/>
        <v>1798</v>
      </c>
      <c r="N1800" s="15">
        <f t="shared" si="87"/>
        <v>0.42469988728153746</v>
      </c>
      <c r="O1800" s="165">
        <f t="shared" si="88"/>
        <v>0.42469988728153746</v>
      </c>
      <c r="P1800" s="18"/>
      <c r="Q1800" s="18"/>
      <c r="R1800" s="18"/>
      <c r="S1800" s="18"/>
      <c r="T1800" s="18"/>
      <c r="U1800" s="18"/>
      <c r="V1800" s="18"/>
      <c r="W1800" s="18"/>
      <c r="X1800" s="18"/>
    </row>
    <row r="1801" spans="13:24">
      <c r="M1801" s="558">
        <f t="shared" si="89"/>
        <v>1799</v>
      </c>
      <c r="N1801" s="15">
        <f t="shared" si="87"/>
        <v>0.42458945725734648</v>
      </c>
      <c r="O1801" s="165">
        <f t="shared" si="88"/>
        <v>0.42458945725734648</v>
      </c>
      <c r="P1801" s="18"/>
      <c r="Q1801" s="18"/>
      <c r="R1801" s="18"/>
      <c r="S1801" s="18"/>
      <c r="T1801" s="18"/>
      <c r="U1801" s="18"/>
      <c r="V1801" s="18"/>
      <c r="W1801" s="18"/>
      <c r="X1801" s="18"/>
    </row>
    <row r="1802" spans="13:24">
      <c r="M1802" s="558">
        <f t="shared" si="89"/>
        <v>1800</v>
      </c>
      <c r="N1802" s="15">
        <f t="shared" si="87"/>
        <v>0.42447910134891476</v>
      </c>
      <c r="O1802" s="165">
        <f t="shared" si="88"/>
        <v>0.42447910134891476</v>
      </c>
      <c r="P1802" s="18"/>
      <c r="Q1802" s="18"/>
      <c r="R1802" s="18"/>
      <c r="S1802" s="18"/>
      <c r="T1802" s="18"/>
      <c r="U1802" s="18"/>
      <c r="V1802" s="18"/>
      <c r="W1802" s="18"/>
      <c r="X1802" s="18"/>
    </row>
    <row r="1803" spans="13:24">
      <c r="M1803" s="558">
        <f t="shared" si="89"/>
        <v>1801</v>
      </c>
      <c r="N1803" s="15">
        <f t="shared" si="87"/>
        <v>0.42436881946323285</v>
      </c>
      <c r="O1803" s="165">
        <f t="shared" si="88"/>
        <v>0.42436881946323285</v>
      </c>
      <c r="P1803" s="18"/>
      <c r="Q1803" s="18"/>
      <c r="R1803" s="18"/>
      <c r="S1803" s="18"/>
      <c r="T1803" s="18"/>
      <c r="U1803" s="18"/>
      <c r="V1803" s="18"/>
      <c r="W1803" s="18"/>
      <c r="X1803" s="18"/>
    </row>
    <row r="1804" spans="13:24">
      <c r="M1804" s="558">
        <f t="shared" si="89"/>
        <v>1802</v>
      </c>
      <c r="N1804" s="15">
        <f t="shared" si="87"/>
        <v>0.42425861150740829</v>
      </c>
      <c r="O1804" s="165">
        <f t="shared" si="88"/>
        <v>0.42425861150740829</v>
      </c>
      <c r="P1804" s="18"/>
      <c r="Q1804" s="18"/>
      <c r="R1804" s="18"/>
      <c r="S1804" s="18"/>
      <c r="T1804" s="18"/>
      <c r="U1804" s="18"/>
      <c r="V1804" s="18"/>
      <c r="W1804" s="18"/>
      <c r="X1804" s="18"/>
    </row>
    <row r="1805" spans="13:24">
      <c r="M1805" s="558">
        <f t="shared" si="89"/>
        <v>1803</v>
      </c>
      <c r="N1805" s="15">
        <f t="shared" si="87"/>
        <v>0.42414847738866507</v>
      </c>
      <c r="O1805" s="165">
        <f t="shared" si="88"/>
        <v>0.42414847738866507</v>
      </c>
      <c r="P1805" s="18"/>
      <c r="Q1805" s="18"/>
      <c r="R1805" s="18"/>
      <c r="S1805" s="18"/>
      <c r="T1805" s="18"/>
      <c r="U1805" s="18"/>
      <c r="V1805" s="18"/>
      <c r="W1805" s="18"/>
      <c r="X1805" s="18"/>
    </row>
    <row r="1806" spans="13:24">
      <c r="M1806" s="558">
        <f t="shared" si="89"/>
        <v>1804</v>
      </c>
      <c r="N1806" s="15">
        <f t="shared" si="87"/>
        <v>0.42403841701434353</v>
      </c>
      <c r="O1806" s="165">
        <f t="shared" si="88"/>
        <v>0.42403841701434353</v>
      </c>
      <c r="P1806" s="18"/>
      <c r="Q1806" s="18"/>
      <c r="R1806" s="18"/>
      <c r="S1806" s="18"/>
      <c r="T1806" s="18"/>
      <c r="U1806" s="18"/>
      <c r="V1806" s="18"/>
      <c r="W1806" s="18"/>
      <c r="X1806" s="18"/>
    </row>
    <row r="1807" spans="13:24">
      <c r="M1807" s="558">
        <f t="shared" si="89"/>
        <v>1805</v>
      </c>
      <c r="N1807" s="15">
        <f t="shared" si="87"/>
        <v>0.4239284302919003</v>
      </c>
      <c r="O1807" s="165">
        <f t="shared" si="88"/>
        <v>0.4239284302919003</v>
      </c>
      <c r="P1807" s="18"/>
      <c r="Q1807" s="18"/>
      <c r="R1807" s="18"/>
      <c r="S1807" s="18"/>
      <c r="T1807" s="18"/>
      <c r="U1807" s="18"/>
      <c r="V1807" s="18"/>
      <c r="W1807" s="18"/>
      <c r="X1807" s="18"/>
    </row>
    <row r="1808" spans="13:24">
      <c r="M1808" s="558">
        <f t="shared" si="89"/>
        <v>1806</v>
      </c>
      <c r="N1808" s="15">
        <f t="shared" si="87"/>
        <v>0.42381851712890811</v>
      </c>
      <c r="O1808" s="165">
        <f t="shared" si="88"/>
        <v>0.42381851712890811</v>
      </c>
      <c r="P1808" s="18"/>
      <c r="Q1808" s="18"/>
      <c r="R1808" s="18"/>
      <c r="S1808" s="18"/>
      <c r="T1808" s="18"/>
      <c r="U1808" s="18"/>
      <c r="V1808" s="18"/>
      <c r="W1808" s="18"/>
      <c r="X1808" s="18"/>
    </row>
    <row r="1809" spans="13:24">
      <c r="M1809" s="558">
        <f t="shared" si="89"/>
        <v>1807</v>
      </c>
      <c r="N1809" s="15">
        <f t="shared" si="87"/>
        <v>0.42370867743305596</v>
      </c>
      <c r="O1809" s="165">
        <f t="shared" si="88"/>
        <v>0.42370867743305596</v>
      </c>
      <c r="P1809" s="18"/>
      <c r="Q1809" s="18"/>
      <c r="R1809" s="18"/>
      <c r="S1809" s="18"/>
      <c r="T1809" s="18"/>
      <c r="U1809" s="18"/>
      <c r="V1809" s="18"/>
      <c r="W1809" s="18"/>
      <c r="X1809" s="18"/>
    </row>
    <row r="1810" spans="13:24">
      <c r="M1810" s="558">
        <f t="shared" si="89"/>
        <v>1808</v>
      </c>
      <c r="N1810" s="15">
        <f t="shared" si="87"/>
        <v>0.42359891111214842</v>
      </c>
      <c r="O1810" s="165">
        <f t="shared" si="88"/>
        <v>0.42359891111214842</v>
      </c>
      <c r="P1810" s="18"/>
      <c r="Q1810" s="18"/>
      <c r="R1810" s="18"/>
      <c r="S1810" s="18"/>
      <c r="T1810" s="18"/>
      <c r="U1810" s="18"/>
      <c r="V1810" s="18"/>
      <c r="W1810" s="18"/>
      <c r="X1810" s="18"/>
    </row>
    <row r="1811" spans="13:24">
      <c r="M1811" s="558">
        <f t="shared" si="89"/>
        <v>1809</v>
      </c>
      <c r="N1811" s="15">
        <f t="shared" si="87"/>
        <v>0.42348921807410567</v>
      </c>
      <c r="O1811" s="165">
        <f t="shared" si="88"/>
        <v>0.42348921807410567</v>
      </c>
      <c r="P1811" s="18"/>
      <c r="Q1811" s="18"/>
      <c r="R1811" s="18"/>
      <c r="S1811" s="18"/>
      <c r="T1811" s="18"/>
      <c r="U1811" s="18"/>
      <c r="V1811" s="18"/>
      <c r="W1811" s="18"/>
      <c r="X1811" s="18"/>
    </row>
    <row r="1812" spans="13:24">
      <c r="M1812" s="558">
        <f t="shared" si="89"/>
        <v>1810</v>
      </c>
      <c r="N1812" s="15">
        <f t="shared" si="87"/>
        <v>0.42337959822696386</v>
      </c>
      <c r="O1812" s="165">
        <f t="shared" si="88"/>
        <v>0.42337959822696386</v>
      </c>
      <c r="P1812" s="18"/>
      <c r="Q1812" s="18"/>
      <c r="R1812" s="18"/>
      <c r="S1812" s="18"/>
      <c r="T1812" s="18"/>
      <c r="U1812" s="18"/>
      <c r="V1812" s="18"/>
      <c r="W1812" s="18"/>
      <c r="X1812" s="18"/>
    </row>
    <row r="1813" spans="13:24">
      <c r="M1813" s="558">
        <f t="shared" si="89"/>
        <v>1811</v>
      </c>
      <c r="N1813" s="15">
        <f t="shared" si="87"/>
        <v>0.4232700514788742</v>
      </c>
      <c r="O1813" s="165">
        <f t="shared" si="88"/>
        <v>0.4232700514788742</v>
      </c>
      <c r="P1813" s="18"/>
      <c r="Q1813" s="18"/>
      <c r="R1813" s="18"/>
      <c r="S1813" s="18"/>
      <c r="T1813" s="18"/>
      <c r="U1813" s="18"/>
      <c r="V1813" s="18"/>
      <c r="W1813" s="18"/>
      <c r="X1813" s="18"/>
    </row>
    <row r="1814" spans="13:24">
      <c r="M1814" s="558">
        <f t="shared" si="89"/>
        <v>1812</v>
      </c>
      <c r="N1814" s="15">
        <f t="shared" si="87"/>
        <v>0.42316057773810312</v>
      </c>
      <c r="O1814" s="165">
        <f t="shared" si="88"/>
        <v>0.42316057773810312</v>
      </c>
      <c r="P1814" s="18"/>
      <c r="Q1814" s="18"/>
      <c r="R1814" s="18"/>
      <c r="S1814" s="18"/>
      <c r="T1814" s="18"/>
      <c r="U1814" s="18"/>
      <c r="V1814" s="18"/>
      <c r="W1814" s="18"/>
      <c r="X1814" s="18"/>
    </row>
    <row r="1815" spans="13:24">
      <c r="M1815" s="558">
        <f t="shared" si="89"/>
        <v>1813</v>
      </c>
      <c r="N1815" s="15">
        <f t="shared" si="87"/>
        <v>0.42305117691303235</v>
      </c>
      <c r="O1815" s="165">
        <f t="shared" si="88"/>
        <v>0.42305117691303235</v>
      </c>
      <c r="P1815" s="18"/>
      <c r="Q1815" s="18"/>
      <c r="R1815" s="18"/>
      <c r="S1815" s="18"/>
      <c r="T1815" s="18"/>
      <c r="U1815" s="18"/>
      <c r="V1815" s="18"/>
      <c r="W1815" s="18"/>
      <c r="X1815" s="18"/>
    </row>
    <row r="1816" spans="13:24">
      <c r="M1816" s="558">
        <f t="shared" si="89"/>
        <v>1814</v>
      </c>
      <c r="N1816" s="15">
        <f t="shared" si="87"/>
        <v>0.42294184891215869</v>
      </c>
      <c r="O1816" s="165">
        <f t="shared" si="88"/>
        <v>0.42294184891215869</v>
      </c>
      <c r="P1816" s="18"/>
      <c r="Q1816" s="18"/>
      <c r="R1816" s="18"/>
      <c r="S1816" s="18"/>
      <c r="T1816" s="18"/>
      <c r="U1816" s="18"/>
      <c r="V1816" s="18"/>
      <c r="W1816" s="18"/>
      <c r="X1816" s="18"/>
    </row>
    <row r="1817" spans="13:24">
      <c r="M1817" s="558">
        <f t="shared" si="89"/>
        <v>1815</v>
      </c>
      <c r="N1817" s="15">
        <f t="shared" si="87"/>
        <v>0.42283259364409348</v>
      </c>
      <c r="O1817" s="165">
        <f t="shared" si="88"/>
        <v>0.42283259364409348</v>
      </c>
      <c r="P1817" s="18"/>
      <c r="Q1817" s="18"/>
      <c r="R1817" s="18"/>
      <c r="S1817" s="18"/>
      <c r="T1817" s="18"/>
      <c r="U1817" s="18"/>
      <c r="V1817" s="18"/>
      <c r="W1817" s="18"/>
      <c r="X1817" s="18"/>
    </row>
    <row r="1818" spans="13:24">
      <c r="M1818" s="558">
        <f t="shared" si="89"/>
        <v>1816</v>
      </c>
      <c r="N1818" s="15">
        <f t="shared" si="87"/>
        <v>0.42272341101756289</v>
      </c>
      <c r="O1818" s="165">
        <f t="shared" si="88"/>
        <v>0.42272341101756289</v>
      </c>
      <c r="P1818" s="18"/>
      <c r="Q1818" s="18"/>
      <c r="R1818" s="18"/>
      <c r="S1818" s="18"/>
      <c r="T1818" s="18"/>
      <c r="U1818" s="18"/>
      <c r="V1818" s="18"/>
      <c r="W1818" s="18"/>
      <c r="X1818" s="18"/>
    </row>
    <row r="1819" spans="13:24">
      <c r="M1819" s="558">
        <f t="shared" si="89"/>
        <v>1817</v>
      </c>
      <c r="N1819" s="15">
        <f t="shared" si="87"/>
        <v>0.42261430094140762</v>
      </c>
      <c r="O1819" s="165">
        <f t="shared" si="88"/>
        <v>0.42261430094140762</v>
      </c>
      <c r="P1819" s="18"/>
      <c r="Q1819" s="18"/>
      <c r="R1819" s="18"/>
      <c r="S1819" s="18"/>
      <c r="T1819" s="18"/>
      <c r="U1819" s="18"/>
      <c r="V1819" s="18"/>
      <c r="W1819" s="18"/>
      <c r="X1819" s="18"/>
    </row>
    <row r="1820" spans="13:24">
      <c r="M1820" s="558">
        <f t="shared" si="89"/>
        <v>1818</v>
      </c>
      <c r="N1820" s="15">
        <f t="shared" si="87"/>
        <v>0.42250526332458288</v>
      </c>
      <c r="O1820" s="165">
        <f t="shared" si="88"/>
        <v>0.42250526332458288</v>
      </c>
      <c r="P1820" s="18"/>
      <c r="Q1820" s="18"/>
      <c r="R1820" s="18"/>
      <c r="S1820" s="18"/>
      <c r="T1820" s="18"/>
      <c r="U1820" s="18"/>
      <c r="V1820" s="18"/>
      <c r="W1820" s="18"/>
      <c r="X1820" s="18"/>
    </row>
    <row r="1821" spans="13:24">
      <c r="M1821" s="558">
        <f t="shared" si="89"/>
        <v>1819</v>
      </c>
      <c r="N1821" s="15">
        <f t="shared" si="87"/>
        <v>0.42239629807615792</v>
      </c>
      <c r="O1821" s="165">
        <f t="shared" si="88"/>
        <v>0.42239629807615792</v>
      </c>
      <c r="P1821" s="18"/>
      <c r="Q1821" s="18"/>
      <c r="R1821" s="18"/>
      <c r="S1821" s="18"/>
      <c r="T1821" s="18"/>
      <c r="U1821" s="18"/>
      <c r="V1821" s="18"/>
      <c r="W1821" s="18"/>
      <c r="X1821" s="18"/>
    </row>
    <row r="1822" spans="13:24">
      <c r="M1822" s="558">
        <f t="shared" si="89"/>
        <v>1820</v>
      </c>
      <c r="N1822" s="15">
        <f t="shared" si="87"/>
        <v>0.42228740510531632</v>
      </c>
      <c r="O1822" s="165">
        <f t="shared" si="88"/>
        <v>0.42228740510531632</v>
      </c>
      <c r="P1822" s="18"/>
      <c r="Q1822" s="18"/>
      <c r="R1822" s="18"/>
      <c r="S1822" s="18"/>
      <c r="T1822" s="18"/>
      <c r="U1822" s="18"/>
      <c r="V1822" s="18"/>
      <c r="W1822" s="18"/>
      <c r="X1822" s="18"/>
    </row>
    <row r="1823" spans="13:24">
      <c r="M1823" s="558">
        <f t="shared" si="89"/>
        <v>1821</v>
      </c>
      <c r="N1823" s="15">
        <f t="shared" si="87"/>
        <v>0.42217858432135535</v>
      </c>
      <c r="O1823" s="165">
        <f t="shared" si="88"/>
        <v>0.42217858432135535</v>
      </c>
      <c r="P1823" s="18"/>
      <c r="Q1823" s="18"/>
      <c r="R1823" s="18"/>
      <c r="S1823" s="18"/>
      <c r="T1823" s="18"/>
      <c r="U1823" s="18"/>
      <c r="V1823" s="18"/>
      <c r="W1823" s="18"/>
      <c r="X1823" s="18"/>
    </row>
    <row r="1824" spans="13:24">
      <c r="M1824" s="558">
        <f t="shared" si="89"/>
        <v>1822</v>
      </c>
      <c r="N1824" s="15">
        <f t="shared" si="87"/>
        <v>0.42206983563368639</v>
      </c>
      <c r="O1824" s="165">
        <f t="shared" si="88"/>
        <v>0.42206983563368639</v>
      </c>
      <c r="P1824" s="18"/>
      <c r="Q1824" s="18"/>
      <c r="R1824" s="18"/>
      <c r="S1824" s="18"/>
      <c r="T1824" s="18"/>
      <c r="U1824" s="18"/>
      <c r="V1824" s="18"/>
      <c r="W1824" s="18"/>
      <c r="X1824" s="18"/>
    </row>
    <row r="1825" spans="13:24">
      <c r="M1825" s="558">
        <f t="shared" si="89"/>
        <v>1823</v>
      </c>
      <c r="N1825" s="15">
        <f t="shared" si="87"/>
        <v>0.42196115895183439</v>
      </c>
      <c r="O1825" s="165">
        <f t="shared" si="88"/>
        <v>0.42196115895183439</v>
      </c>
      <c r="P1825" s="18"/>
      <c r="Q1825" s="18"/>
      <c r="R1825" s="18"/>
      <c r="S1825" s="18"/>
      <c r="T1825" s="18"/>
      <c r="U1825" s="18"/>
      <c r="V1825" s="18"/>
      <c r="W1825" s="18"/>
      <c r="X1825" s="18"/>
    </row>
    <row r="1826" spans="13:24">
      <c r="M1826" s="558">
        <f t="shared" si="89"/>
        <v>1824</v>
      </c>
      <c r="N1826" s="15">
        <f t="shared" si="87"/>
        <v>0.42185255418543777</v>
      </c>
      <c r="O1826" s="165">
        <f t="shared" si="88"/>
        <v>0.42185255418543777</v>
      </c>
      <c r="P1826" s="18"/>
      <c r="Q1826" s="18"/>
      <c r="R1826" s="18"/>
      <c r="S1826" s="18"/>
      <c r="T1826" s="18"/>
      <c r="U1826" s="18"/>
      <c r="V1826" s="18"/>
      <c r="W1826" s="18"/>
      <c r="X1826" s="18"/>
    </row>
    <row r="1827" spans="13:24">
      <c r="M1827" s="558">
        <f t="shared" si="89"/>
        <v>1825</v>
      </c>
      <c r="N1827" s="15">
        <f t="shared" si="87"/>
        <v>0.42174402124424842</v>
      </c>
      <c r="O1827" s="165">
        <f t="shared" si="88"/>
        <v>0.42174402124424842</v>
      </c>
      <c r="P1827" s="18"/>
      <c r="Q1827" s="18"/>
      <c r="R1827" s="18"/>
      <c r="S1827" s="18"/>
      <c r="T1827" s="18"/>
      <c r="U1827" s="18"/>
      <c r="V1827" s="18"/>
      <c r="W1827" s="18"/>
      <c r="X1827" s="18"/>
    </row>
    <row r="1828" spans="13:24">
      <c r="M1828" s="558">
        <f t="shared" si="89"/>
        <v>1826</v>
      </c>
      <c r="N1828" s="15">
        <f t="shared" si="87"/>
        <v>0.42163556003813163</v>
      </c>
      <c r="O1828" s="165">
        <f t="shared" si="88"/>
        <v>0.42163556003813163</v>
      </c>
      <c r="P1828" s="18"/>
      <c r="Q1828" s="18"/>
      <c r="R1828" s="18"/>
      <c r="S1828" s="18"/>
      <c r="T1828" s="18"/>
      <c r="U1828" s="18"/>
      <c r="V1828" s="18"/>
      <c r="W1828" s="18"/>
      <c r="X1828" s="18"/>
    </row>
    <row r="1829" spans="13:24">
      <c r="M1829" s="558">
        <f t="shared" si="89"/>
        <v>1827</v>
      </c>
      <c r="N1829" s="15">
        <f t="shared" si="87"/>
        <v>0.42152717047706545</v>
      </c>
      <c r="O1829" s="165">
        <f t="shared" si="88"/>
        <v>0.42152717047706545</v>
      </c>
      <c r="P1829" s="18"/>
      <c r="Q1829" s="18"/>
      <c r="R1829" s="18"/>
      <c r="S1829" s="18"/>
      <c r="T1829" s="18"/>
      <c r="U1829" s="18"/>
      <c r="V1829" s="18"/>
      <c r="W1829" s="18"/>
      <c r="X1829" s="18"/>
    </row>
    <row r="1830" spans="13:24">
      <c r="M1830" s="558">
        <f t="shared" si="89"/>
        <v>1828</v>
      </c>
      <c r="N1830" s="15">
        <f t="shared" si="87"/>
        <v>0.42141885247114114</v>
      </c>
      <c r="O1830" s="165">
        <f t="shared" si="88"/>
        <v>0.42141885247114114</v>
      </c>
      <c r="P1830" s="18"/>
      <c r="Q1830" s="18"/>
      <c r="R1830" s="18"/>
      <c r="S1830" s="18"/>
      <c r="T1830" s="18"/>
      <c r="U1830" s="18"/>
      <c r="V1830" s="18"/>
      <c r="W1830" s="18"/>
      <c r="X1830" s="18"/>
    </row>
    <row r="1831" spans="13:24">
      <c r="M1831" s="558">
        <f t="shared" si="89"/>
        <v>1829</v>
      </c>
      <c r="N1831" s="15">
        <f t="shared" si="87"/>
        <v>0.42131060593056269</v>
      </c>
      <c r="O1831" s="165">
        <f t="shared" si="88"/>
        <v>0.42131060593056269</v>
      </c>
      <c r="P1831" s="18"/>
      <c r="Q1831" s="18"/>
      <c r="R1831" s="18"/>
      <c r="S1831" s="18"/>
      <c r="T1831" s="18"/>
      <c r="U1831" s="18"/>
      <c r="V1831" s="18"/>
      <c r="W1831" s="18"/>
      <c r="X1831" s="18"/>
    </row>
    <row r="1832" spans="13:24">
      <c r="M1832" s="558">
        <f t="shared" si="89"/>
        <v>1830</v>
      </c>
      <c r="N1832" s="15">
        <f t="shared" si="87"/>
        <v>0.42120243076564706</v>
      </c>
      <c r="O1832" s="165">
        <f t="shared" si="88"/>
        <v>0.42120243076564706</v>
      </c>
      <c r="P1832" s="18"/>
      <c r="Q1832" s="18"/>
      <c r="R1832" s="18"/>
      <c r="S1832" s="18"/>
      <c r="T1832" s="18"/>
      <c r="U1832" s="18"/>
      <c r="V1832" s="18"/>
      <c r="W1832" s="18"/>
      <c r="X1832" s="18"/>
    </row>
    <row r="1833" spans="13:24">
      <c r="M1833" s="558">
        <f t="shared" si="89"/>
        <v>1831</v>
      </c>
      <c r="N1833" s="15">
        <f t="shared" si="87"/>
        <v>0.42109432688682324</v>
      </c>
      <c r="O1833" s="165">
        <f t="shared" si="88"/>
        <v>0.42109432688682324</v>
      </c>
      <c r="P1833" s="18"/>
      <c r="Q1833" s="18"/>
      <c r="R1833" s="18"/>
      <c r="S1833" s="18"/>
      <c r="T1833" s="18"/>
      <c r="U1833" s="18"/>
      <c r="V1833" s="18"/>
      <c r="W1833" s="18"/>
      <c r="X1833" s="18"/>
    </row>
    <row r="1834" spans="13:24">
      <c r="M1834" s="558">
        <f t="shared" si="89"/>
        <v>1832</v>
      </c>
      <c r="N1834" s="15">
        <f t="shared" si="87"/>
        <v>0.42098629420463307</v>
      </c>
      <c r="O1834" s="165">
        <f t="shared" si="88"/>
        <v>0.42098629420463307</v>
      </c>
      <c r="P1834" s="18"/>
      <c r="Q1834" s="18"/>
      <c r="R1834" s="18"/>
      <c r="S1834" s="18"/>
      <c r="T1834" s="18"/>
      <c r="U1834" s="18"/>
      <c r="V1834" s="18"/>
      <c r="W1834" s="18"/>
      <c r="X1834" s="18"/>
    </row>
    <row r="1835" spans="13:24">
      <c r="M1835" s="558">
        <f t="shared" si="89"/>
        <v>1833</v>
      </c>
      <c r="N1835" s="15">
        <f t="shared" si="87"/>
        <v>0.42087833262973051</v>
      </c>
      <c r="O1835" s="165">
        <f t="shared" si="88"/>
        <v>0.42087833262973051</v>
      </c>
      <c r="P1835" s="18"/>
      <c r="Q1835" s="18"/>
      <c r="R1835" s="18"/>
      <c r="S1835" s="18"/>
      <c r="T1835" s="18"/>
      <c r="U1835" s="18"/>
      <c r="V1835" s="18"/>
      <c r="W1835" s="18"/>
      <c r="X1835" s="18"/>
    </row>
    <row r="1836" spans="13:24">
      <c r="M1836" s="558">
        <f t="shared" si="89"/>
        <v>1834</v>
      </c>
      <c r="N1836" s="15">
        <f t="shared" si="87"/>
        <v>0.42077044207288145</v>
      </c>
      <c r="O1836" s="165">
        <f t="shared" si="88"/>
        <v>0.42077044207288145</v>
      </c>
      <c r="P1836" s="18"/>
      <c r="Q1836" s="18"/>
      <c r="R1836" s="18"/>
      <c r="S1836" s="18"/>
      <c r="T1836" s="18"/>
      <c r="U1836" s="18"/>
      <c r="V1836" s="18"/>
      <c r="W1836" s="18"/>
      <c r="X1836" s="18"/>
    </row>
    <row r="1837" spans="13:24">
      <c r="M1837" s="558">
        <f t="shared" si="89"/>
        <v>1835</v>
      </c>
      <c r="N1837" s="15">
        <f t="shared" si="87"/>
        <v>0.42066262244496416</v>
      </c>
      <c r="O1837" s="165">
        <f t="shared" si="88"/>
        <v>0.42066262244496416</v>
      </c>
      <c r="P1837" s="18"/>
      <c r="Q1837" s="18"/>
      <c r="R1837" s="18"/>
      <c r="S1837" s="18"/>
      <c r="T1837" s="18"/>
      <c r="U1837" s="18"/>
      <c r="V1837" s="18"/>
      <c r="W1837" s="18"/>
      <c r="X1837" s="18"/>
    </row>
    <row r="1838" spans="13:24">
      <c r="M1838" s="558">
        <f t="shared" si="89"/>
        <v>1836</v>
      </c>
      <c r="N1838" s="15">
        <f t="shared" si="87"/>
        <v>0.42055487365696842</v>
      </c>
      <c r="O1838" s="165">
        <f t="shared" si="88"/>
        <v>0.42055487365696842</v>
      </c>
      <c r="P1838" s="18"/>
      <c r="Q1838" s="18"/>
      <c r="R1838" s="18"/>
      <c r="S1838" s="18"/>
      <c r="T1838" s="18"/>
      <c r="U1838" s="18"/>
      <c r="V1838" s="18"/>
      <c r="W1838" s="18"/>
      <c r="X1838" s="18"/>
    </row>
    <row r="1839" spans="13:24">
      <c r="M1839" s="558">
        <f t="shared" si="89"/>
        <v>1837</v>
      </c>
      <c r="N1839" s="15">
        <f t="shared" si="87"/>
        <v>0.42044719561999577</v>
      </c>
      <c r="O1839" s="165">
        <f t="shared" si="88"/>
        <v>0.42044719561999577</v>
      </c>
      <c r="P1839" s="18"/>
      <c r="Q1839" s="18"/>
      <c r="R1839" s="18"/>
      <c r="S1839" s="18"/>
      <c r="T1839" s="18"/>
      <c r="U1839" s="18"/>
      <c r="V1839" s="18"/>
      <c r="W1839" s="18"/>
      <c r="X1839" s="18"/>
    </row>
    <row r="1840" spans="13:24">
      <c r="M1840" s="558">
        <f t="shared" si="89"/>
        <v>1838</v>
      </c>
      <c r="N1840" s="15">
        <f t="shared" si="87"/>
        <v>0.42033958824525947</v>
      </c>
      <c r="O1840" s="165">
        <f t="shared" si="88"/>
        <v>0.42033958824525947</v>
      </c>
      <c r="P1840" s="18"/>
      <c r="Q1840" s="18"/>
      <c r="R1840" s="18"/>
      <c r="S1840" s="18"/>
      <c r="T1840" s="18"/>
      <c r="U1840" s="18"/>
      <c r="V1840" s="18"/>
      <c r="W1840" s="18"/>
      <c r="X1840" s="18"/>
    </row>
    <row r="1841" spans="13:24">
      <c r="M1841" s="558">
        <f t="shared" si="89"/>
        <v>1839</v>
      </c>
      <c r="N1841" s="15">
        <f t="shared" si="87"/>
        <v>0.42023205144408399</v>
      </c>
      <c r="O1841" s="165">
        <f t="shared" si="88"/>
        <v>0.42023205144408399</v>
      </c>
      <c r="P1841" s="18"/>
      <c r="Q1841" s="18"/>
      <c r="R1841" s="18"/>
      <c r="S1841" s="18"/>
      <c r="T1841" s="18"/>
      <c r="U1841" s="18"/>
      <c r="V1841" s="18"/>
      <c r="W1841" s="18"/>
      <c r="X1841" s="18"/>
    </row>
    <row r="1842" spans="13:24">
      <c r="M1842" s="558">
        <f t="shared" si="89"/>
        <v>1840</v>
      </c>
      <c r="N1842" s="15">
        <f t="shared" si="87"/>
        <v>0.42012458512790518</v>
      </c>
      <c r="O1842" s="165">
        <f t="shared" si="88"/>
        <v>0.42012458512790518</v>
      </c>
      <c r="P1842" s="18"/>
      <c r="Q1842" s="18"/>
      <c r="R1842" s="18"/>
      <c r="S1842" s="18"/>
      <c r="T1842" s="18"/>
      <c r="U1842" s="18"/>
      <c r="V1842" s="18"/>
      <c r="W1842" s="18"/>
      <c r="X1842" s="18"/>
    </row>
    <row r="1843" spans="13:24">
      <c r="M1843" s="558">
        <f t="shared" si="89"/>
        <v>1841</v>
      </c>
      <c r="N1843" s="15">
        <f t="shared" si="87"/>
        <v>0.42001718920827014</v>
      </c>
      <c r="O1843" s="165">
        <f t="shared" si="88"/>
        <v>0.42001718920827014</v>
      </c>
      <c r="P1843" s="18"/>
      <c r="Q1843" s="18"/>
      <c r="R1843" s="18"/>
      <c r="S1843" s="18"/>
      <c r="T1843" s="18"/>
      <c r="U1843" s="18"/>
      <c r="V1843" s="18"/>
      <c r="W1843" s="18"/>
      <c r="X1843" s="18"/>
    </row>
    <row r="1844" spans="13:24">
      <c r="M1844" s="558">
        <f t="shared" si="89"/>
        <v>1842</v>
      </c>
      <c r="N1844" s="15">
        <f t="shared" si="87"/>
        <v>0.4199098635968368</v>
      </c>
      <c r="O1844" s="165">
        <f t="shared" si="88"/>
        <v>0.4199098635968368</v>
      </c>
      <c r="P1844" s="18"/>
      <c r="Q1844" s="18"/>
      <c r="R1844" s="18"/>
      <c r="S1844" s="18"/>
      <c r="T1844" s="18"/>
      <c r="U1844" s="18"/>
      <c r="V1844" s="18"/>
      <c r="W1844" s="18"/>
      <c r="X1844" s="18"/>
    </row>
    <row r="1845" spans="13:24">
      <c r="M1845" s="558">
        <f t="shared" si="89"/>
        <v>1843</v>
      </c>
      <c r="N1845" s="15">
        <f t="shared" si="87"/>
        <v>0.41980260820537396</v>
      </c>
      <c r="O1845" s="165">
        <f t="shared" si="88"/>
        <v>0.41980260820537396</v>
      </c>
      <c r="P1845" s="18"/>
      <c r="Q1845" s="18"/>
      <c r="R1845" s="18"/>
      <c r="S1845" s="18"/>
      <c r="T1845" s="18"/>
      <c r="U1845" s="18"/>
      <c r="V1845" s="18"/>
      <c r="W1845" s="18"/>
      <c r="X1845" s="18"/>
    </row>
    <row r="1846" spans="13:24">
      <c r="M1846" s="558">
        <f t="shared" si="89"/>
        <v>1844</v>
      </c>
      <c r="N1846" s="15">
        <f t="shared" si="87"/>
        <v>0.41969542294576123</v>
      </c>
      <c r="O1846" s="165">
        <f t="shared" si="88"/>
        <v>0.41969542294576123</v>
      </c>
      <c r="P1846" s="18"/>
      <c r="Q1846" s="18"/>
      <c r="R1846" s="18"/>
      <c r="S1846" s="18"/>
      <c r="T1846" s="18"/>
      <c r="U1846" s="18"/>
      <c r="V1846" s="18"/>
      <c r="W1846" s="18"/>
      <c r="X1846" s="18"/>
    </row>
    <row r="1847" spans="13:24">
      <c r="M1847" s="558">
        <f t="shared" si="89"/>
        <v>1845</v>
      </c>
      <c r="N1847" s="15">
        <f t="shared" si="87"/>
        <v>0.41958830772998879</v>
      </c>
      <c r="O1847" s="165">
        <f t="shared" si="88"/>
        <v>0.41958830772998879</v>
      </c>
      <c r="P1847" s="18"/>
      <c r="Q1847" s="18"/>
      <c r="R1847" s="18"/>
      <c r="S1847" s="18"/>
      <c r="T1847" s="18"/>
      <c r="U1847" s="18"/>
      <c r="V1847" s="18"/>
      <c r="W1847" s="18"/>
      <c r="X1847" s="18"/>
    </row>
    <row r="1848" spans="13:24">
      <c r="M1848" s="558">
        <f t="shared" si="89"/>
        <v>1846</v>
      </c>
      <c r="N1848" s="15">
        <f t="shared" si="87"/>
        <v>0.41948126247015727</v>
      </c>
      <c r="O1848" s="165">
        <f t="shared" si="88"/>
        <v>0.41948126247015727</v>
      </c>
      <c r="P1848" s="18"/>
      <c r="Q1848" s="18"/>
      <c r="R1848" s="18"/>
      <c r="S1848" s="18"/>
      <c r="T1848" s="18"/>
      <c r="U1848" s="18"/>
      <c r="V1848" s="18"/>
      <c r="W1848" s="18"/>
      <c r="X1848" s="18"/>
    </row>
    <row r="1849" spans="13:24">
      <c r="M1849" s="558">
        <f t="shared" si="89"/>
        <v>1847</v>
      </c>
      <c r="N1849" s="15">
        <f t="shared" si="87"/>
        <v>0.41937428707847746</v>
      </c>
      <c r="O1849" s="165">
        <f t="shared" si="88"/>
        <v>0.41937428707847746</v>
      </c>
      <c r="P1849" s="18"/>
      <c r="Q1849" s="18"/>
      <c r="R1849" s="18"/>
      <c r="S1849" s="18"/>
      <c r="T1849" s="18"/>
      <c r="U1849" s="18"/>
      <c r="V1849" s="18"/>
      <c r="W1849" s="18"/>
      <c r="X1849" s="18"/>
    </row>
    <row r="1850" spans="13:24">
      <c r="M1850" s="558">
        <f t="shared" si="89"/>
        <v>1848</v>
      </c>
      <c r="N1850" s="15">
        <f t="shared" si="87"/>
        <v>0.41926738146727061</v>
      </c>
      <c r="O1850" s="165">
        <f t="shared" si="88"/>
        <v>0.41926738146727061</v>
      </c>
      <c r="P1850" s="18"/>
      <c r="Q1850" s="18"/>
      <c r="R1850" s="18"/>
      <c r="S1850" s="18"/>
      <c r="T1850" s="18"/>
      <c r="U1850" s="18"/>
      <c r="V1850" s="18"/>
      <c r="W1850" s="18"/>
      <c r="X1850" s="18"/>
    </row>
    <row r="1851" spans="13:24">
      <c r="M1851" s="558">
        <f t="shared" si="89"/>
        <v>1849</v>
      </c>
      <c r="N1851" s="15">
        <f t="shared" si="87"/>
        <v>0.41916054554896776</v>
      </c>
      <c r="O1851" s="165">
        <f t="shared" si="88"/>
        <v>0.41916054554896776</v>
      </c>
      <c r="P1851" s="18"/>
      <c r="Q1851" s="18"/>
      <c r="R1851" s="18"/>
      <c r="S1851" s="18"/>
      <c r="T1851" s="18"/>
      <c r="U1851" s="18"/>
      <c r="V1851" s="18"/>
      <c r="W1851" s="18"/>
      <c r="X1851" s="18"/>
    </row>
    <row r="1852" spans="13:24">
      <c r="M1852" s="558">
        <f t="shared" si="89"/>
        <v>1850</v>
      </c>
      <c r="N1852" s="15">
        <f t="shared" si="87"/>
        <v>0.41905377923610981</v>
      </c>
      <c r="O1852" s="165">
        <f t="shared" si="88"/>
        <v>0.41905377923610981</v>
      </c>
      <c r="P1852" s="18"/>
      <c r="Q1852" s="18"/>
      <c r="R1852" s="18"/>
      <c r="S1852" s="18"/>
      <c r="T1852" s="18"/>
      <c r="U1852" s="18"/>
      <c r="V1852" s="18"/>
      <c r="W1852" s="18"/>
      <c r="X1852" s="18"/>
    </row>
    <row r="1853" spans="13:24">
      <c r="M1853" s="558">
        <f t="shared" si="89"/>
        <v>1851</v>
      </c>
      <c r="N1853" s="15">
        <f t="shared" si="87"/>
        <v>0.41894708244134765</v>
      </c>
      <c r="O1853" s="165">
        <f t="shared" si="88"/>
        <v>0.41894708244134765</v>
      </c>
      <c r="P1853" s="18"/>
      <c r="Q1853" s="18"/>
      <c r="R1853" s="18"/>
      <c r="S1853" s="18"/>
      <c r="T1853" s="18"/>
      <c r="U1853" s="18"/>
      <c r="V1853" s="18"/>
      <c r="W1853" s="18"/>
      <c r="X1853" s="18"/>
    </row>
    <row r="1854" spans="13:24">
      <c r="M1854" s="558">
        <f t="shared" si="89"/>
        <v>1852</v>
      </c>
      <c r="N1854" s="15">
        <f t="shared" si="87"/>
        <v>0.41884045507744166</v>
      </c>
      <c r="O1854" s="165">
        <f t="shared" si="88"/>
        <v>0.41884045507744166</v>
      </c>
      <c r="P1854" s="18"/>
      <c r="Q1854" s="18"/>
      <c r="R1854" s="18"/>
      <c r="S1854" s="18"/>
      <c r="T1854" s="18"/>
      <c r="U1854" s="18"/>
      <c r="V1854" s="18"/>
      <c r="W1854" s="18"/>
      <c r="X1854" s="18"/>
    </row>
    <row r="1855" spans="13:24">
      <c r="M1855" s="558">
        <f t="shared" si="89"/>
        <v>1853</v>
      </c>
      <c r="N1855" s="15">
        <f t="shared" si="87"/>
        <v>0.41873389705726155</v>
      </c>
      <c r="O1855" s="165">
        <f t="shared" si="88"/>
        <v>0.41873389705726155</v>
      </c>
      <c r="P1855" s="18"/>
      <c r="Q1855" s="18"/>
      <c r="R1855" s="18"/>
      <c r="S1855" s="18"/>
      <c r="T1855" s="18"/>
      <c r="U1855" s="18"/>
      <c r="V1855" s="18"/>
      <c r="W1855" s="18"/>
      <c r="X1855" s="18"/>
    </row>
    <row r="1856" spans="13:24">
      <c r="M1856" s="558">
        <f t="shared" si="89"/>
        <v>1854</v>
      </c>
      <c r="N1856" s="15">
        <f t="shared" si="87"/>
        <v>0.41862740829378664</v>
      </c>
      <c r="O1856" s="165">
        <f t="shared" si="88"/>
        <v>0.41862740829378664</v>
      </c>
      <c r="P1856" s="18"/>
      <c r="Q1856" s="18"/>
      <c r="R1856" s="18"/>
      <c r="S1856" s="18"/>
      <c r="T1856" s="18"/>
      <c r="U1856" s="18"/>
      <c r="V1856" s="18"/>
      <c r="W1856" s="18"/>
      <c r="X1856" s="18"/>
    </row>
    <row r="1857" spans="13:24">
      <c r="M1857" s="558">
        <f t="shared" si="89"/>
        <v>1855</v>
      </c>
      <c r="N1857" s="15">
        <f t="shared" si="87"/>
        <v>0.41852098870010535</v>
      </c>
      <c r="O1857" s="165">
        <f t="shared" si="88"/>
        <v>0.41852098870010535</v>
      </c>
      <c r="P1857" s="18"/>
      <c r="Q1857" s="18"/>
      <c r="R1857" s="18"/>
      <c r="S1857" s="18"/>
      <c r="T1857" s="18"/>
      <c r="U1857" s="18"/>
      <c r="V1857" s="18"/>
      <c r="W1857" s="18"/>
      <c r="X1857" s="18"/>
    </row>
    <row r="1858" spans="13:24">
      <c r="M1858" s="558">
        <f t="shared" si="89"/>
        <v>1856</v>
      </c>
      <c r="N1858" s="15">
        <f t="shared" si="87"/>
        <v>0.41841463818941499</v>
      </c>
      <c r="O1858" s="165">
        <f t="shared" si="88"/>
        <v>0.41841463818941499</v>
      </c>
      <c r="P1858" s="18"/>
      <c r="Q1858" s="18"/>
      <c r="R1858" s="18"/>
      <c r="S1858" s="18"/>
      <c r="T1858" s="18"/>
      <c r="U1858" s="18"/>
      <c r="V1858" s="18"/>
      <c r="W1858" s="18"/>
      <c r="X1858" s="18"/>
    </row>
    <row r="1859" spans="13:24">
      <c r="M1859" s="558">
        <f t="shared" si="89"/>
        <v>1857</v>
      </c>
      <c r="N1859" s="15">
        <f t="shared" si="87"/>
        <v>0.4183083566750222</v>
      </c>
      <c r="O1859" s="165">
        <f t="shared" si="88"/>
        <v>0.4183083566750222</v>
      </c>
      <c r="P1859" s="18"/>
      <c r="Q1859" s="18"/>
      <c r="R1859" s="18"/>
      <c r="S1859" s="18"/>
      <c r="T1859" s="18"/>
      <c r="U1859" s="18"/>
      <c r="V1859" s="18"/>
      <c r="W1859" s="18"/>
      <c r="X1859" s="18"/>
    </row>
    <row r="1860" spans="13:24">
      <c r="M1860" s="558">
        <f t="shared" si="89"/>
        <v>1858</v>
      </c>
      <c r="N1860" s="15">
        <f t="shared" ref="N1860:N1923" si="90">IF(M1860&lt;$B$31+1,$B$32+$B$33/$B$31*(8760-M1860)+$B$34*IF(M1860&lt;$B$36-$B$31/(2*$B$35),1,IF(M1860&lt;$B$36+$B$31/(2*$B$35),COS(PI()/2*(M1860-($B$36-$B$31/(2*$B$35)))*$B$35/$B$31)^2,0))+$B$37*EXP((8760-M1860)/8760*$B$38)/EXP($B$38)-(8760-$B$31)*$B$33/$B$31,0)</f>
        <v>0.4182021440703419</v>
      </c>
      <c r="O1860" s="165">
        <f t="shared" ref="O1860:O1923" si="91">MIN(N1860,C$24)</f>
        <v>0.4182021440703419</v>
      </c>
      <c r="P1860" s="18"/>
      <c r="Q1860" s="18"/>
      <c r="R1860" s="18"/>
      <c r="S1860" s="18"/>
      <c r="T1860" s="18"/>
      <c r="U1860" s="18"/>
      <c r="V1860" s="18"/>
      <c r="W1860" s="18"/>
      <c r="X1860" s="18"/>
    </row>
    <row r="1861" spans="13:24">
      <c r="M1861" s="558">
        <f t="shared" ref="M1861:M1924" si="92">M1860+1</f>
        <v>1859</v>
      </c>
      <c r="N1861" s="15">
        <f t="shared" si="90"/>
        <v>0.41809600028889804</v>
      </c>
      <c r="O1861" s="165">
        <f t="shared" si="91"/>
        <v>0.41809600028889804</v>
      </c>
      <c r="P1861" s="18"/>
      <c r="Q1861" s="18"/>
      <c r="R1861" s="18"/>
      <c r="S1861" s="18"/>
      <c r="T1861" s="18"/>
      <c r="U1861" s="18"/>
      <c r="V1861" s="18"/>
      <c r="W1861" s="18"/>
      <c r="X1861" s="18"/>
    </row>
    <row r="1862" spans="13:24">
      <c r="M1862" s="558">
        <f t="shared" si="92"/>
        <v>1860</v>
      </c>
      <c r="N1862" s="15">
        <f t="shared" si="90"/>
        <v>0.41798992524432305</v>
      </c>
      <c r="O1862" s="165">
        <f t="shared" si="91"/>
        <v>0.41798992524432305</v>
      </c>
      <c r="P1862" s="18"/>
      <c r="Q1862" s="18"/>
      <c r="R1862" s="18"/>
      <c r="S1862" s="18"/>
      <c r="T1862" s="18"/>
      <c r="U1862" s="18"/>
      <c r="V1862" s="18"/>
      <c r="W1862" s="18"/>
      <c r="X1862" s="18"/>
    </row>
    <row r="1863" spans="13:24">
      <c r="M1863" s="558">
        <f t="shared" si="92"/>
        <v>1861</v>
      </c>
      <c r="N1863" s="15">
        <f t="shared" si="90"/>
        <v>0.41788391885035764</v>
      </c>
      <c r="O1863" s="165">
        <f t="shared" si="91"/>
        <v>0.41788391885035764</v>
      </c>
      <c r="P1863" s="18"/>
      <c r="Q1863" s="18"/>
      <c r="R1863" s="18"/>
      <c r="S1863" s="18"/>
      <c r="T1863" s="18"/>
      <c r="U1863" s="18"/>
      <c r="V1863" s="18"/>
      <c r="W1863" s="18"/>
      <c r="X1863" s="18"/>
    </row>
    <row r="1864" spans="13:24">
      <c r="M1864" s="558">
        <f t="shared" si="92"/>
        <v>1862</v>
      </c>
      <c r="N1864" s="15">
        <f t="shared" si="90"/>
        <v>0.41777798102085067</v>
      </c>
      <c r="O1864" s="165">
        <f t="shared" si="91"/>
        <v>0.41777798102085067</v>
      </c>
      <c r="P1864" s="18"/>
      <c r="Q1864" s="18"/>
      <c r="R1864" s="18"/>
      <c r="S1864" s="18"/>
      <c r="T1864" s="18"/>
      <c r="U1864" s="18"/>
      <c r="V1864" s="18"/>
      <c r="W1864" s="18"/>
      <c r="X1864" s="18"/>
    </row>
    <row r="1865" spans="13:24">
      <c r="M1865" s="558">
        <f t="shared" si="92"/>
        <v>1863</v>
      </c>
      <c r="N1865" s="15">
        <f t="shared" si="90"/>
        <v>0.41767211166975948</v>
      </c>
      <c r="O1865" s="165">
        <f t="shared" si="91"/>
        <v>0.41767211166975948</v>
      </c>
      <c r="P1865" s="18"/>
      <c r="Q1865" s="18"/>
      <c r="R1865" s="18"/>
      <c r="S1865" s="18"/>
      <c r="T1865" s="18"/>
      <c r="U1865" s="18"/>
      <c r="V1865" s="18"/>
      <c r="W1865" s="18"/>
      <c r="X1865" s="18"/>
    </row>
    <row r="1866" spans="13:24">
      <c r="M1866" s="558">
        <f t="shared" si="92"/>
        <v>1864</v>
      </c>
      <c r="N1866" s="15">
        <f t="shared" si="90"/>
        <v>0.41756631071114902</v>
      </c>
      <c r="O1866" s="165">
        <f t="shared" si="91"/>
        <v>0.41756631071114902</v>
      </c>
      <c r="P1866" s="18"/>
      <c r="Q1866" s="18"/>
      <c r="R1866" s="18"/>
      <c r="S1866" s="18"/>
      <c r="T1866" s="18"/>
      <c r="U1866" s="18"/>
      <c r="V1866" s="18"/>
      <c r="W1866" s="18"/>
      <c r="X1866" s="18"/>
    </row>
    <row r="1867" spans="13:24">
      <c r="M1867" s="558">
        <f t="shared" si="92"/>
        <v>1865</v>
      </c>
      <c r="N1867" s="15">
        <f t="shared" si="90"/>
        <v>0.41746057805919223</v>
      </c>
      <c r="O1867" s="165">
        <f t="shared" si="91"/>
        <v>0.41746057805919223</v>
      </c>
      <c r="P1867" s="18"/>
      <c r="Q1867" s="18"/>
      <c r="R1867" s="18"/>
      <c r="S1867" s="18"/>
      <c r="T1867" s="18"/>
      <c r="U1867" s="18"/>
      <c r="V1867" s="18"/>
      <c r="W1867" s="18"/>
      <c r="X1867" s="18"/>
    </row>
    <row r="1868" spans="13:24">
      <c r="M1868" s="558">
        <f t="shared" si="92"/>
        <v>1866</v>
      </c>
      <c r="N1868" s="15">
        <f t="shared" si="90"/>
        <v>0.41735491362816979</v>
      </c>
      <c r="O1868" s="165">
        <f t="shared" si="91"/>
        <v>0.41735491362816979</v>
      </c>
      <c r="P1868" s="18"/>
      <c r="Q1868" s="18"/>
      <c r="R1868" s="18"/>
      <c r="S1868" s="18"/>
      <c r="T1868" s="18"/>
      <c r="U1868" s="18"/>
      <c r="V1868" s="18"/>
      <c r="W1868" s="18"/>
      <c r="X1868" s="18"/>
    </row>
    <row r="1869" spans="13:24">
      <c r="M1869" s="558">
        <f t="shared" si="92"/>
        <v>1867</v>
      </c>
      <c r="N1869" s="15">
        <f t="shared" si="90"/>
        <v>0.41724931733246995</v>
      </c>
      <c r="O1869" s="165">
        <f t="shared" si="91"/>
        <v>0.41724931733246995</v>
      </c>
      <c r="P1869" s="18"/>
      <c r="Q1869" s="18"/>
      <c r="R1869" s="18"/>
      <c r="S1869" s="18"/>
      <c r="T1869" s="18"/>
      <c r="U1869" s="18"/>
      <c r="V1869" s="18"/>
      <c r="W1869" s="18"/>
      <c r="X1869" s="18"/>
    </row>
    <row r="1870" spans="13:24">
      <c r="M1870" s="558">
        <f t="shared" si="92"/>
        <v>1868</v>
      </c>
      <c r="N1870" s="15">
        <f t="shared" si="90"/>
        <v>0.41714378908658817</v>
      </c>
      <c r="O1870" s="165">
        <f t="shared" si="91"/>
        <v>0.41714378908658817</v>
      </c>
      <c r="P1870" s="18"/>
      <c r="Q1870" s="18"/>
      <c r="R1870" s="18"/>
      <c r="S1870" s="18"/>
      <c r="T1870" s="18"/>
      <c r="U1870" s="18"/>
      <c r="V1870" s="18"/>
      <c r="W1870" s="18"/>
      <c r="X1870" s="18"/>
    </row>
    <row r="1871" spans="13:24">
      <c r="M1871" s="558">
        <f t="shared" si="92"/>
        <v>1869</v>
      </c>
      <c r="N1871" s="15">
        <f t="shared" si="90"/>
        <v>0.41703832880512759</v>
      </c>
      <c r="O1871" s="165">
        <f t="shared" si="91"/>
        <v>0.41703832880512759</v>
      </c>
      <c r="P1871" s="18"/>
      <c r="Q1871" s="18"/>
      <c r="R1871" s="18"/>
      <c r="S1871" s="18"/>
      <c r="T1871" s="18"/>
      <c r="U1871" s="18"/>
      <c r="V1871" s="18"/>
      <c r="W1871" s="18"/>
      <c r="X1871" s="18"/>
    </row>
    <row r="1872" spans="13:24">
      <c r="M1872" s="558">
        <f t="shared" si="92"/>
        <v>1870</v>
      </c>
      <c r="N1872" s="15">
        <f t="shared" si="90"/>
        <v>0.41693293640279822</v>
      </c>
      <c r="O1872" s="165">
        <f t="shared" si="91"/>
        <v>0.41693293640279822</v>
      </c>
      <c r="P1872" s="18"/>
      <c r="Q1872" s="18"/>
      <c r="R1872" s="18"/>
      <c r="S1872" s="18"/>
      <c r="T1872" s="18"/>
      <c r="U1872" s="18"/>
      <c r="V1872" s="18"/>
      <c r="W1872" s="18"/>
      <c r="X1872" s="18"/>
    </row>
    <row r="1873" spans="13:24">
      <c r="M1873" s="558">
        <f t="shared" si="92"/>
        <v>1871</v>
      </c>
      <c r="N1873" s="15">
        <f t="shared" si="90"/>
        <v>0.41682761179441719</v>
      </c>
      <c r="O1873" s="165">
        <f t="shared" si="91"/>
        <v>0.41682761179441719</v>
      </c>
      <c r="P1873" s="18"/>
      <c r="Q1873" s="18"/>
      <c r="R1873" s="18"/>
      <c r="S1873" s="18"/>
      <c r="T1873" s="18"/>
      <c r="U1873" s="18"/>
      <c r="V1873" s="18"/>
      <c r="W1873" s="18"/>
      <c r="X1873" s="18"/>
    </row>
    <row r="1874" spans="13:24">
      <c r="M1874" s="558">
        <f t="shared" si="92"/>
        <v>1872</v>
      </c>
      <c r="N1874" s="15">
        <f t="shared" si="90"/>
        <v>0.41672235489490861</v>
      </c>
      <c r="O1874" s="165">
        <f t="shared" si="91"/>
        <v>0.41672235489490861</v>
      </c>
      <c r="P1874" s="18"/>
      <c r="Q1874" s="18"/>
      <c r="R1874" s="18"/>
      <c r="S1874" s="18"/>
      <c r="T1874" s="18"/>
      <c r="U1874" s="18"/>
      <c r="V1874" s="18"/>
      <c r="W1874" s="18"/>
      <c r="X1874" s="18"/>
    </row>
    <row r="1875" spans="13:24">
      <c r="M1875" s="558">
        <f t="shared" si="92"/>
        <v>1873</v>
      </c>
      <c r="N1875" s="15">
        <f t="shared" si="90"/>
        <v>0.41661716561930323</v>
      </c>
      <c r="O1875" s="165">
        <f t="shared" si="91"/>
        <v>0.41661716561930323</v>
      </c>
      <c r="P1875" s="18"/>
      <c r="Q1875" s="18"/>
      <c r="R1875" s="18"/>
      <c r="S1875" s="18"/>
      <c r="T1875" s="18"/>
      <c r="U1875" s="18"/>
      <c r="V1875" s="18"/>
      <c r="W1875" s="18"/>
      <c r="X1875" s="18"/>
    </row>
    <row r="1876" spans="13:24">
      <c r="M1876" s="558">
        <f t="shared" si="92"/>
        <v>1874</v>
      </c>
      <c r="N1876" s="15">
        <f t="shared" si="90"/>
        <v>0.41651204388273844</v>
      </c>
      <c r="O1876" s="165">
        <f t="shared" si="91"/>
        <v>0.41651204388273844</v>
      </c>
      <c r="P1876" s="18"/>
      <c r="Q1876" s="18"/>
      <c r="R1876" s="18"/>
      <c r="S1876" s="18"/>
      <c r="T1876" s="18"/>
      <c r="U1876" s="18"/>
      <c r="V1876" s="18"/>
      <c r="W1876" s="18"/>
      <c r="X1876" s="18"/>
    </row>
    <row r="1877" spans="13:24">
      <c r="M1877" s="558">
        <f t="shared" si="92"/>
        <v>1875</v>
      </c>
      <c r="N1877" s="15">
        <f t="shared" si="90"/>
        <v>0.4164069896004583</v>
      </c>
      <c r="O1877" s="165">
        <f t="shared" si="91"/>
        <v>0.4164069896004583</v>
      </c>
      <c r="P1877" s="18"/>
      <c r="Q1877" s="18"/>
      <c r="R1877" s="18"/>
      <c r="S1877" s="18"/>
      <c r="T1877" s="18"/>
      <c r="U1877" s="18"/>
      <c r="V1877" s="18"/>
      <c r="W1877" s="18"/>
      <c r="X1877" s="18"/>
    </row>
    <row r="1878" spans="13:24">
      <c r="M1878" s="558">
        <f t="shared" si="92"/>
        <v>1876</v>
      </c>
      <c r="N1878" s="15">
        <f t="shared" si="90"/>
        <v>0.41630200268781303</v>
      </c>
      <c r="O1878" s="165">
        <f t="shared" si="91"/>
        <v>0.41630200268781303</v>
      </c>
      <c r="P1878" s="18"/>
      <c r="Q1878" s="18"/>
      <c r="R1878" s="18"/>
      <c r="S1878" s="18"/>
      <c r="T1878" s="18"/>
      <c r="U1878" s="18"/>
      <c r="V1878" s="18"/>
      <c r="W1878" s="18"/>
      <c r="X1878" s="18"/>
    </row>
    <row r="1879" spans="13:24">
      <c r="M1879" s="558">
        <f t="shared" si="92"/>
        <v>1877</v>
      </c>
      <c r="N1879" s="15">
        <f t="shared" si="90"/>
        <v>0.4161970830602591</v>
      </c>
      <c r="O1879" s="165">
        <f t="shared" si="91"/>
        <v>0.4161970830602591</v>
      </c>
      <c r="P1879" s="18"/>
      <c r="Q1879" s="18"/>
      <c r="R1879" s="18"/>
      <c r="S1879" s="18"/>
      <c r="T1879" s="18"/>
      <c r="U1879" s="18"/>
      <c r="V1879" s="18"/>
      <c r="W1879" s="18"/>
      <c r="X1879" s="18"/>
    </row>
    <row r="1880" spans="13:24">
      <c r="M1880" s="558">
        <f t="shared" si="92"/>
        <v>1878</v>
      </c>
      <c r="N1880" s="15">
        <f t="shared" si="90"/>
        <v>0.41609223063335915</v>
      </c>
      <c r="O1880" s="165">
        <f t="shared" si="91"/>
        <v>0.41609223063335915</v>
      </c>
      <c r="P1880" s="18"/>
      <c r="Q1880" s="18"/>
      <c r="R1880" s="18"/>
      <c r="S1880" s="18"/>
      <c r="T1880" s="18"/>
      <c r="U1880" s="18"/>
      <c r="V1880" s="18"/>
      <c r="W1880" s="18"/>
      <c r="X1880" s="18"/>
    </row>
    <row r="1881" spans="13:24">
      <c r="M1881" s="558">
        <f t="shared" si="92"/>
        <v>1879</v>
      </c>
      <c r="N1881" s="15">
        <f t="shared" si="90"/>
        <v>0.41598744532278181</v>
      </c>
      <c r="O1881" s="165">
        <f t="shared" si="91"/>
        <v>0.41598744532278181</v>
      </c>
      <c r="P1881" s="18"/>
      <c r="Q1881" s="18"/>
      <c r="R1881" s="18"/>
      <c r="S1881" s="18"/>
      <c r="T1881" s="18"/>
      <c r="U1881" s="18"/>
      <c r="V1881" s="18"/>
      <c r="W1881" s="18"/>
      <c r="X1881" s="18"/>
    </row>
    <row r="1882" spans="13:24">
      <c r="M1882" s="558">
        <f t="shared" si="92"/>
        <v>1880</v>
      </c>
      <c r="N1882" s="15">
        <f t="shared" si="90"/>
        <v>0.41588272704430146</v>
      </c>
      <c r="O1882" s="165">
        <f t="shared" si="91"/>
        <v>0.41588272704430146</v>
      </c>
      <c r="P1882" s="18"/>
      <c r="Q1882" s="18"/>
      <c r="R1882" s="18"/>
      <c r="S1882" s="18"/>
      <c r="T1882" s="18"/>
      <c r="U1882" s="18"/>
      <c r="V1882" s="18"/>
      <c r="W1882" s="18"/>
      <c r="X1882" s="18"/>
    </row>
    <row r="1883" spans="13:24">
      <c r="M1883" s="558">
        <f t="shared" si="92"/>
        <v>1881</v>
      </c>
      <c r="N1883" s="15">
        <f t="shared" si="90"/>
        <v>0.41577807571379805</v>
      </c>
      <c r="O1883" s="165">
        <f t="shared" si="91"/>
        <v>0.41577807571379805</v>
      </c>
      <c r="P1883" s="18"/>
      <c r="Q1883" s="18"/>
      <c r="R1883" s="18"/>
      <c r="S1883" s="18"/>
      <c r="T1883" s="18"/>
      <c r="U1883" s="18"/>
      <c r="V1883" s="18"/>
      <c r="W1883" s="18"/>
      <c r="X1883" s="18"/>
    </row>
    <row r="1884" spans="13:24">
      <c r="M1884" s="558">
        <f t="shared" si="92"/>
        <v>1882</v>
      </c>
      <c r="N1884" s="15">
        <f t="shared" si="90"/>
        <v>0.41567349124725755</v>
      </c>
      <c r="O1884" s="165">
        <f t="shared" si="91"/>
        <v>0.41567349124725755</v>
      </c>
      <c r="P1884" s="18"/>
      <c r="Q1884" s="18"/>
      <c r="R1884" s="18"/>
      <c r="S1884" s="18"/>
      <c r="T1884" s="18"/>
      <c r="U1884" s="18"/>
      <c r="V1884" s="18"/>
      <c r="W1884" s="18"/>
      <c r="X1884" s="18"/>
    </row>
    <row r="1885" spans="13:24">
      <c r="M1885" s="558">
        <f t="shared" si="92"/>
        <v>1883</v>
      </c>
      <c r="N1885" s="15">
        <f t="shared" si="90"/>
        <v>0.41556897356077083</v>
      </c>
      <c r="O1885" s="165">
        <f t="shared" si="91"/>
        <v>0.41556897356077083</v>
      </c>
      <c r="P1885" s="18"/>
      <c r="Q1885" s="18"/>
      <c r="R1885" s="18"/>
      <c r="S1885" s="18"/>
      <c r="T1885" s="18"/>
      <c r="U1885" s="18"/>
      <c r="V1885" s="18"/>
      <c r="W1885" s="18"/>
      <c r="X1885" s="18"/>
    </row>
    <row r="1886" spans="13:24">
      <c r="M1886" s="558">
        <f t="shared" si="92"/>
        <v>1884</v>
      </c>
      <c r="N1886" s="15">
        <f t="shared" si="90"/>
        <v>0.41546452257053434</v>
      </c>
      <c r="O1886" s="165">
        <f t="shared" si="91"/>
        <v>0.41546452257053434</v>
      </c>
      <c r="P1886" s="18"/>
      <c r="Q1886" s="18"/>
      <c r="R1886" s="18"/>
      <c r="S1886" s="18"/>
      <c r="T1886" s="18"/>
      <c r="U1886" s="18"/>
      <c r="V1886" s="18"/>
      <c r="W1886" s="18"/>
      <c r="X1886" s="18"/>
    </row>
    <row r="1887" spans="13:24">
      <c r="M1887" s="558">
        <f t="shared" si="92"/>
        <v>1885</v>
      </c>
      <c r="N1887" s="15">
        <f t="shared" si="90"/>
        <v>0.41536013819284967</v>
      </c>
      <c r="O1887" s="165">
        <f t="shared" si="91"/>
        <v>0.41536013819284967</v>
      </c>
      <c r="P1887" s="18"/>
      <c r="Q1887" s="18"/>
      <c r="R1887" s="18"/>
      <c r="S1887" s="18"/>
      <c r="T1887" s="18"/>
      <c r="U1887" s="18"/>
      <c r="V1887" s="18"/>
      <c r="W1887" s="18"/>
      <c r="X1887" s="18"/>
    </row>
    <row r="1888" spans="13:24">
      <c r="M1888" s="558">
        <f t="shared" si="92"/>
        <v>1886</v>
      </c>
      <c r="N1888" s="15">
        <f t="shared" si="90"/>
        <v>0.41525582034412334</v>
      </c>
      <c r="O1888" s="165">
        <f t="shared" si="91"/>
        <v>0.41525582034412334</v>
      </c>
      <c r="P1888" s="18"/>
      <c r="Q1888" s="18"/>
      <c r="R1888" s="18"/>
      <c r="S1888" s="18"/>
      <c r="T1888" s="18"/>
      <c r="U1888" s="18"/>
      <c r="V1888" s="18"/>
      <c r="W1888" s="18"/>
      <c r="X1888" s="18"/>
    </row>
    <row r="1889" spans="13:24">
      <c r="M1889" s="558">
        <f t="shared" si="92"/>
        <v>1887</v>
      </c>
      <c r="N1889" s="15">
        <f t="shared" si="90"/>
        <v>0.41515156894086697</v>
      </c>
      <c r="O1889" s="165">
        <f t="shared" si="91"/>
        <v>0.41515156894086697</v>
      </c>
      <c r="P1889" s="18"/>
      <c r="Q1889" s="18"/>
      <c r="R1889" s="18"/>
      <c r="S1889" s="18"/>
      <c r="T1889" s="18"/>
      <c r="U1889" s="18"/>
      <c r="V1889" s="18"/>
      <c r="W1889" s="18"/>
      <c r="X1889" s="18"/>
    </row>
    <row r="1890" spans="13:24">
      <c r="M1890" s="558">
        <f t="shared" si="92"/>
        <v>1888</v>
      </c>
      <c r="N1890" s="15">
        <f t="shared" si="90"/>
        <v>0.41504738389969675</v>
      </c>
      <c r="O1890" s="165">
        <f t="shared" si="91"/>
        <v>0.41504738389969675</v>
      </c>
      <c r="P1890" s="18"/>
      <c r="Q1890" s="18"/>
      <c r="R1890" s="18"/>
      <c r="S1890" s="18"/>
      <c r="T1890" s="18"/>
      <c r="U1890" s="18"/>
      <c r="V1890" s="18"/>
      <c r="W1890" s="18"/>
      <c r="X1890" s="18"/>
    </row>
    <row r="1891" spans="13:24">
      <c r="M1891" s="558">
        <f t="shared" si="92"/>
        <v>1889</v>
      </c>
      <c r="N1891" s="15">
        <f t="shared" si="90"/>
        <v>0.41494326513733354</v>
      </c>
      <c r="O1891" s="165">
        <f t="shared" si="91"/>
        <v>0.41494326513733354</v>
      </c>
      <c r="P1891" s="18"/>
      <c r="Q1891" s="18"/>
      <c r="R1891" s="18"/>
      <c r="S1891" s="18"/>
      <c r="T1891" s="18"/>
      <c r="U1891" s="18"/>
      <c r="V1891" s="18"/>
      <c r="W1891" s="18"/>
      <c r="X1891" s="18"/>
    </row>
    <row r="1892" spans="13:24">
      <c r="M1892" s="558">
        <f t="shared" si="92"/>
        <v>1890</v>
      </c>
      <c r="N1892" s="15">
        <f t="shared" si="90"/>
        <v>0.41483921257060291</v>
      </c>
      <c r="O1892" s="165">
        <f t="shared" si="91"/>
        <v>0.41483921257060291</v>
      </c>
      <c r="P1892" s="18"/>
      <c r="Q1892" s="18"/>
      <c r="R1892" s="18"/>
      <c r="S1892" s="18"/>
      <c r="T1892" s="18"/>
      <c r="U1892" s="18"/>
      <c r="V1892" s="18"/>
      <c r="W1892" s="18"/>
      <c r="X1892" s="18"/>
    </row>
    <row r="1893" spans="13:24">
      <c r="M1893" s="558">
        <f t="shared" si="92"/>
        <v>1891</v>
      </c>
      <c r="N1893" s="15">
        <f t="shared" si="90"/>
        <v>0.41473522611643454</v>
      </c>
      <c r="O1893" s="165">
        <f t="shared" si="91"/>
        <v>0.41473522611643454</v>
      </c>
      <c r="P1893" s="18"/>
      <c r="Q1893" s="18"/>
      <c r="R1893" s="18"/>
      <c r="S1893" s="18"/>
      <c r="T1893" s="18"/>
      <c r="U1893" s="18"/>
      <c r="V1893" s="18"/>
      <c r="W1893" s="18"/>
      <c r="X1893" s="18"/>
    </row>
    <row r="1894" spans="13:24">
      <c r="M1894" s="558">
        <f t="shared" si="92"/>
        <v>1892</v>
      </c>
      <c r="N1894" s="15">
        <f t="shared" si="90"/>
        <v>0.41463130569186252</v>
      </c>
      <c r="O1894" s="165">
        <f t="shared" si="91"/>
        <v>0.41463130569186252</v>
      </c>
      <c r="P1894" s="18"/>
      <c r="Q1894" s="18"/>
      <c r="R1894" s="18"/>
      <c r="S1894" s="18"/>
      <c r="T1894" s="18"/>
      <c r="U1894" s="18"/>
      <c r="V1894" s="18"/>
      <c r="W1894" s="18"/>
      <c r="X1894" s="18"/>
    </row>
    <row r="1895" spans="13:24">
      <c r="M1895" s="558">
        <f t="shared" si="92"/>
        <v>1893</v>
      </c>
      <c r="N1895" s="15">
        <f t="shared" si="90"/>
        <v>0.4145274512140249</v>
      </c>
      <c r="O1895" s="165">
        <f t="shared" si="91"/>
        <v>0.4145274512140249</v>
      </c>
      <c r="P1895" s="18"/>
      <c r="Q1895" s="18"/>
      <c r="R1895" s="18"/>
      <c r="S1895" s="18"/>
      <c r="T1895" s="18"/>
      <c r="U1895" s="18"/>
      <c r="V1895" s="18"/>
      <c r="W1895" s="18"/>
      <c r="X1895" s="18"/>
    </row>
    <row r="1896" spans="13:24">
      <c r="M1896" s="558">
        <f t="shared" si="92"/>
        <v>1894</v>
      </c>
      <c r="N1896" s="15">
        <f t="shared" si="90"/>
        <v>0.41442366260016406</v>
      </c>
      <c r="O1896" s="165">
        <f t="shared" si="91"/>
        <v>0.41442366260016406</v>
      </c>
      <c r="P1896" s="18"/>
      <c r="Q1896" s="18"/>
      <c r="R1896" s="18"/>
      <c r="S1896" s="18"/>
      <c r="T1896" s="18"/>
      <c r="U1896" s="18"/>
      <c r="V1896" s="18"/>
      <c r="W1896" s="18"/>
      <c r="X1896" s="18"/>
    </row>
    <row r="1897" spans="13:24">
      <c r="M1897" s="558">
        <f t="shared" si="92"/>
        <v>1895</v>
      </c>
      <c r="N1897" s="15">
        <f t="shared" si="90"/>
        <v>0.41431993976762582</v>
      </c>
      <c r="O1897" s="165">
        <f t="shared" si="91"/>
        <v>0.41431993976762582</v>
      </c>
      <c r="P1897" s="18"/>
      <c r="Q1897" s="18"/>
      <c r="R1897" s="18"/>
      <c r="S1897" s="18"/>
      <c r="T1897" s="18"/>
      <c r="U1897" s="18"/>
      <c r="V1897" s="18"/>
      <c r="W1897" s="18"/>
      <c r="X1897" s="18"/>
    </row>
    <row r="1898" spans="13:24">
      <c r="M1898" s="558">
        <f t="shared" si="92"/>
        <v>1896</v>
      </c>
      <c r="N1898" s="15">
        <f t="shared" si="90"/>
        <v>0.41421628263385984</v>
      </c>
      <c r="O1898" s="165">
        <f t="shared" si="91"/>
        <v>0.41421628263385984</v>
      </c>
      <c r="P1898" s="18"/>
      <c r="Q1898" s="18"/>
      <c r="R1898" s="18"/>
      <c r="S1898" s="18"/>
      <c r="T1898" s="18"/>
      <c r="U1898" s="18"/>
      <c r="V1898" s="18"/>
      <c r="W1898" s="18"/>
      <c r="X1898" s="18"/>
    </row>
    <row r="1899" spans="13:24">
      <c r="M1899" s="558">
        <f t="shared" si="92"/>
        <v>1897</v>
      </c>
      <c r="N1899" s="15">
        <f t="shared" si="90"/>
        <v>0.41411269111641968</v>
      </c>
      <c r="O1899" s="165">
        <f t="shared" si="91"/>
        <v>0.41411269111641968</v>
      </c>
      <c r="P1899" s="18"/>
      <c r="Q1899" s="18"/>
      <c r="R1899" s="18"/>
      <c r="S1899" s="18"/>
      <c r="T1899" s="18"/>
      <c r="U1899" s="18"/>
      <c r="V1899" s="18"/>
      <c r="W1899" s="18"/>
      <c r="X1899" s="18"/>
    </row>
    <row r="1900" spans="13:24">
      <c r="M1900" s="558">
        <f t="shared" si="92"/>
        <v>1898</v>
      </c>
      <c r="N1900" s="15">
        <f t="shared" si="90"/>
        <v>0.41400916513296199</v>
      </c>
      <c r="O1900" s="165">
        <f t="shared" si="91"/>
        <v>0.41400916513296199</v>
      </c>
      <c r="P1900" s="18"/>
      <c r="Q1900" s="18"/>
      <c r="R1900" s="18"/>
      <c r="S1900" s="18"/>
      <c r="T1900" s="18"/>
      <c r="U1900" s="18"/>
      <c r="V1900" s="18"/>
      <c r="W1900" s="18"/>
      <c r="X1900" s="18"/>
    </row>
    <row r="1901" spans="13:24">
      <c r="M1901" s="558">
        <f t="shared" si="92"/>
        <v>1899</v>
      </c>
      <c r="N1901" s="15">
        <f t="shared" si="90"/>
        <v>0.4139057046012467</v>
      </c>
      <c r="O1901" s="165">
        <f t="shared" si="91"/>
        <v>0.4139057046012467</v>
      </c>
      <c r="P1901" s="18"/>
      <c r="Q1901" s="18"/>
      <c r="R1901" s="18"/>
      <c r="S1901" s="18"/>
      <c r="T1901" s="18"/>
      <c r="U1901" s="18"/>
      <c r="V1901" s="18"/>
      <c r="W1901" s="18"/>
      <c r="X1901" s="18"/>
    </row>
    <row r="1902" spans="13:24">
      <c r="M1902" s="558">
        <f t="shared" si="92"/>
        <v>1900</v>
      </c>
      <c r="N1902" s="15">
        <f t="shared" si="90"/>
        <v>0.41380230943913743</v>
      </c>
      <c r="O1902" s="165">
        <f t="shared" si="91"/>
        <v>0.41380230943913743</v>
      </c>
      <c r="P1902" s="18"/>
      <c r="Q1902" s="18"/>
      <c r="R1902" s="18"/>
      <c r="S1902" s="18"/>
      <c r="T1902" s="18"/>
      <c r="U1902" s="18"/>
      <c r="V1902" s="18"/>
      <c r="W1902" s="18"/>
      <c r="X1902" s="18"/>
    </row>
    <row r="1903" spans="13:24">
      <c r="M1903" s="558">
        <f t="shared" si="92"/>
        <v>1901</v>
      </c>
      <c r="N1903" s="15">
        <f t="shared" si="90"/>
        <v>0.4136989795646005</v>
      </c>
      <c r="O1903" s="165">
        <f t="shared" si="91"/>
        <v>0.4136989795646005</v>
      </c>
      <c r="P1903" s="18"/>
      <c r="Q1903" s="18"/>
      <c r="R1903" s="18"/>
      <c r="S1903" s="18"/>
      <c r="T1903" s="18"/>
      <c r="U1903" s="18"/>
      <c r="V1903" s="18"/>
      <c r="W1903" s="18"/>
      <c r="X1903" s="18"/>
    </row>
    <row r="1904" spans="13:24">
      <c r="M1904" s="558">
        <f t="shared" si="92"/>
        <v>1902</v>
      </c>
      <c r="N1904" s="15">
        <f t="shared" si="90"/>
        <v>0.41359571489570507</v>
      </c>
      <c r="O1904" s="165">
        <f t="shared" si="91"/>
        <v>0.41359571489570507</v>
      </c>
      <c r="P1904" s="18"/>
      <c r="Q1904" s="18"/>
      <c r="R1904" s="18"/>
      <c r="S1904" s="18"/>
      <c r="T1904" s="18"/>
      <c r="U1904" s="18"/>
      <c r="V1904" s="18"/>
      <c r="W1904" s="18"/>
      <c r="X1904" s="18"/>
    </row>
    <row r="1905" spans="13:24">
      <c r="M1905" s="558">
        <f t="shared" si="92"/>
        <v>1903</v>
      </c>
      <c r="N1905" s="15">
        <f t="shared" si="90"/>
        <v>0.41349251535062348</v>
      </c>
      <c r="O1905" s="165">
        <f t="shared" si="91"/>
        <v>0.41349251535062348</v>
      </c>
      <c r="P1905" s="18"/>
      <c r="Q1905" s="18"/>
      <c r="R1905" s="18"/>
      <c r="S1905" s="18"/>
      <c r="T1905" s="18"/>
      <c r="U1905" s="18"/>
      <c r="V1905" s="18"/>
      <c r="W1905" s="18"/>
      <c r="X1905" s="18"/>
    </row>
    <row r="1906" spans="13:24">
      <c r="M1906" s="558">
        <f t="shared" si="92"/>
        <v>1904</v>
      </c>
      <c r="N1906" s="15">
        <f t="shared" si="90"/>
        <v>0.41338938084763055</v>
      </c>
      <c r="O1906" s="165">
        <f t="shared" si="91"/>
        <v>0.41338938084763055</v>
      </c>
      <c r="P1906" s="18"/>
      <c r="Q1906" s="18"/>
      <c r="R1906" s="18"/>
      <c r="S1906" s="18"/>
      <c r="T1906" s="18"/>
      <c r="U1906" s="18"/>
      <c r="V1906" s="18"/>
      <c r="W1906" s="18"/>
      <c r="X1906" s="18"/>
    </row>
    <row r="1907" spans="13:24">
      <c r="M1907" s="558">
        <f t="shared" si="92"/>
        <v>1905</v>
      </c>
      <c r="N1907" s="15">
        <f t="shared" si="90"/>
        <v>0.41328631130510368</v>
      </c>
      <c r="O1907" s="165">
        <f t="shared" si="91"/>
        <v>0.41328631130510368</v>
      </c>
      <c r="P1907" s="18"/>
      <c r="Q1907" s="18"/>
      <c r="R1907" s="18"/>
      <c r="S1907" s="18"/>
      <c r="T1907" s="18"/>
      <c r="U1907" s="18"/>
      <c r="V1907" s="18"/>
      <c r="W1907" s="18"/>
      <c r="X1907" s="18"/>
    </row>
    <row r="1908" spans="13:24">
      <c r="M1908" s="558">
        <f t="shared" si="92"/>
        <v>1906</v>
      </c>
      <c r="N1908" s="15">
        <f t="shared" si="90"/>
        <v>0.41318330664152259</v>
      </c>
      <c r="O1908" s="165">
        <f t="shared" si="91"/>
        <v>0.41318330664152259</v>
      </c>
      <c r="P1908" s="18"/>
      <c r="Q1908" s="18"/>
      <c r="R1908" s="18"/>
      <c r="S1908" s="18"/>
      <c r="T1908" s="18"/>
      <c r="U1908" s="18"/>
      <c r="V1908" s="18"/>
      <c r="W1908" s="18"/>
      <c r="X1908" s="18"/>
    </row>
    <row r="1909" spans="13:24">
      <c r="M1909" s="558">
        <f t="shared" si="92"/>
        <v>1907</v>
      </c>
      <c r="N1909" s="15">
        <f t="shared" si="90"/>
        <v>0.41308036677546955</v>
      </c>
      <c r="O1909" s="165">
        <f t="shared" si="91"/>
        <v>0.41308036677546955</v>
      </c>
      <c r="P1909" s="18"/>
      <c r="Q1909" s="18"/>
      <c r="R1909" s="18"/>
      <c r="S1909" s="18"/>
      <c r="T1909" s="18"/>
      <c r="U1909" s="18"/>
      <c r="V1909" s="18"/>
      <c r="W1909" s="18"/>
      <c r="X1909" s="18"/>
    </row>
    <row r="1910" spans="13:24">
      <c r="M1910" s="558">
        <f t="shared" si="92"/>
        <v>1908</v>
      </c>
      <c r="N1910" s="15">
        <f t="shared" si="90"/>
        <v>0.4129774916256288</v>
      </c>
      <c r="O1910" s="165">
        <f t="shared" si="91"/>
        <v>0.4129774916256288</v>
      </c>
      <c r="P1910" s="18"/>
      <c r="Q1910" s="18"/>
      <c r="R1910" s="18"/>
      <c r="S1910" s="18"/>
      <c r="T1910" s="18"/>
      <c r="U1910" s="18"/>
      <c r="V1910" s="18"/>
      <c r="W1910" s="18"/>
      <c r="X1910" s="18"/>
    </row>
    <row r="1911" spans="13:24">
      <c r="M1911" s="558">
        <f t="shared" si="92"/>
        <v>1909</v>
      </c>
      <c r="N1911" s="15">
        <f t="shared" si="90"/>
        <v>0.41287468111078668</v>
      </c>
      <c r="O1911" s="165">
        <f t="shared" si="91"/>
        <v>0.41287468111078668</v>
      </c>
      <c r="P1911" s="18"/>
      <c r="Q1911" s="18"/>
      <c r="R1911" s="18"/>
      <c r="S1911" s="18"/>
      <c r="T1911" s="18"/>
      <c r="U1911" s="18"/>
      <c r="V1911" s="18"/>
      <c r="W1911" s="18"/>
      <c r="X1911" s="18"/>
    </row>
    <row r="1912" spans="13:24">
      <c r="M1912" s="558">
        <f t="shared" si="92"/>
        <v>1910</v>
      </c>
      <c r="N1912" s="15">
        <f t="shared" si="90"/>
        <v>0.41277193514983157</v>
      </c>
      <c r="O1912" s="165">
        <f t="shared" si="91"/>
        <v>0.41277193514983157</v>
      </c>
      <c r="P1912" s="18"/>
      <c r="Q1912" s="18"/>
      <c r="R1912" s="18"/>
      <c r="S1912" s="18"/>
      <c r="T1912" s="18"/>
      <c r="U1912" s="18"/>
      <c r="V1912" s="18"/>
      <c r="W1912" s="18"/>
      <c r="X1912" s="18"/>
    </row>
    <row r="1913" spans="13:24">
      <c r="M1913" s="558">
        <f t="shared" si="92"/>
        <v>1911</v>
      </c>
      <c r="N1913" s="15">
        <f t="shared" si="90"/>
        <v>0.41266925366175328</v>
      </c>
      <c r="O1913" s="165">
        <f t="shared" si="91"/>
        <v>0.41266925366175328</v>
      </c>
      <c r="P1913" s="18"/>
      <c r="Q1913" s="18"/>
      <c r="R1913" s="18"/>
      <c r="S1913" s="18"/>
      <c r="T1913" s="18"/>
      <c r="U1913" s="18"/>
      <c r="V1913" s="18"/>
      <c r="W1913" s="18"/>
      <c r="X1913" s="18"/>
    </row>
    <row r="1914" spans="13:24">
      <c r="M1914" s="558">
        <f t="shared" si="92"/>
        <v>1912</v>
      </c>
      <c r="N1914" s="15">
        <f t="shared" si="90"/>
        <v>0.41256663656564385</v>
      </c>
      <c r="O1914" s="165">
        <f t="shared" si="91"/>
        <v>0.41256663656564385</v>
      </c>
      <c r="P1914" s="18"/>
      <c r="Q1914" s="18"/>
      <c r="R1914" s="18"/>
      <c r="S1914" s="18"/>
      <c r="T1914" s="18"/>
      <c r="U1914" s="18"/>
      <c r="V1914" s="18"/>
      <c r="W1914" s="18"/>
      <c r="X1914" s="18"/>
    </row>
    <row r="1915" spans="13:24">
      <c r="M1915" s="558">
        <f t="shared" si="92"/>
        <v>1913</v>
      </c>
      <c r="N1915" s="15">
        <f t="shared" si="90"/>
        <v>0.41246408378069632</v>
      </c>
      <c r="O1915" s="165">
        <f t="shared" si="91"/>
        <v>0.41246408378069632</v>
      </c>
      <c r="P1915" s="18"/>
      <c r="Q1915" s="18"/>
      <c r="R1915" s="18"/>
      <c r="S1915" s="18"/>
      <c r="T1915" s="18"/>
      <c r="U1915" s="18"/>
      <c r="V1915" s="18"/>
      <c r="W1915" s="18"/>
      <c r="X1915" s="18"/>
    </row>
    <row r="1916" spans="13:24">
      <c r="M1916" s="558">
        <f t="shared" si="92"/>
        <v>1914</v>
      </c>
      <c r="N1916" s="15">
        <f t="shared" si="90"/>
        <v>0.41236159522620525</v>
      </c>
      <c r="O1916" s="165">
        <f t="shared" si="91"/>
        <v>0.41236159522620525</v>
      </c>
      <c r="P1916" s="18"/>
      <c r="Q1916" s="18"/>
      <c r="R1916" s="18"/>
      <c r="S1916" s="18"/>
      <c r="T1916" s="18"/>
      <c r="U1916" s="18"/>
      <c r="V1916" s="18"/>
      <c r="W1916" s="18"/>
      <c r="X1916" s="18"/>
    </row>
    <row r="1917" spans="13:24">
      <c r="M1917" s="558">
        <f t="shared" si="92"/>
        <v>1915</v>
      </c>
      <c r="N1917" s="15">
        <f t="shared" si="90"/>
        <v>0.41225917082156682</v>
      </c>
      <c r="O1917" s="165">
        <f t="shared" si="91"/>
        <v>0.41225917082156682</v>
      </c>
      <c r="P1917" s="18"/>
      <c r="Q1917" s="18"/>
      <c r="R1917" s="18"/>
      <c r="S1917" s="18"/>
      <c r="T1917" s="18"/>
      <c r="U1917" s="18"/>
      <c r="V1917" s="18"/>
      <c r="W1917" s="18"/>
      <c r="X1917" s="18"/>
    </row>
    <row r="1918" spans="13:24">
      <c r="M1918" s="558">
        <f t="shared" si="92"/>
        <v>1916</v>
      </c>
      <c r="N1918" s="15">
        <f t="shared" si="90"/>
        <v>0.41215681048627806</v>
      </c>
      <c r="O1918" s="165">
        <f t="shared" si="91"/>
        <v>0.41215681048627806</v>
      </c>
      <c r="P1918" s="18"/>
      <c r="Q1918" s="18"/>
      <c r="R1918" s="18"/>
      <c r="S1918" s="18"/>
      <c r="T1918" s="18"/>
      <c r="U1918" s="18"/>
      <c r="V1918" s="18"/>
      <c r="W1918" s="18"/>
      <c r="X1918" s="18"/>
    </row>
    <row r="1919" spans="13:24">
      <c r="M1919" s="558">
        <f t="shared" si="92"/>
        <v>1917</v>
      </c>
      <c r="N1919" s="15">
        <f t="shared" si="90"/>
        <v>0.41205451413993699</v>
      </c>
      <c r="O1919" s="165">
        <f t="shared" si="91"/>
        <v>0.41205451413993699</v>
      </c>
      <c r="P1919" s="18"/>
      <c r="Q1919" s="18"/>
      <c r="R1919" s="18"/>
      <c r="S1919" s="18"/>
      <c r="T1919" s="18"/>
      <c r="U1919" s="18"/>
      <c r="V1919" s="18"/>
      <c r="W1919" s="18"/>
      <c r="X1919" s="18"/>
    </row>
    <row r="1920" spans="13:24">
      <c r="M1920" s="558">
        <f t="shared" si="92"/>
        <v>1918</v>
      </c>
      <c r="N1920" s="15">
        <f t="shared" si="90"/>
        <v>0.41195228170224263</v>
      </c>
      <c r="O1920" s="165">
        <f t="shared" si="91"/>
        <v>0.41195228170224263</v>
      </c>
      <c r="P1920" s="18"/>
      <c r="Q1920" s="18"/>
      <c r="R1920" s="18"/>
      <c r="S1920" s="18"/>
      <c r="T1920" s="18"/>
      <c r="U1920" s="18"/>
      <c r="V1920" s="18"/>
      <c r="W1920" s="18"/>
      <c r="X1920" s="18"/>
    </row>
    <row r="1921" spans="13:24">
      <c r="M1921" s="558">
        <f t="shared" si="92"/>
        <v>1919</v>
      </c>
      <c r="N1921" s="15">
        <f t="shared" si="90"/>
        <v>0.41185011309299485</v>
      </c>
      <c r="O1921" s="165">
        <f t="shared" si="91"/>
        <v>0.41185011309299485</v>
      </c>
      <c r="P1921" s="18"/>
      <c r="Q1921" s="18"/>
      <c r="R1921" s="18"/>
      <c r="S1921" s="18"/>
      <c r="T1921" s="18"/>
      <c r="U1921" s="18"/>
      <c r="V1921" s="18"/>
      <c r="W1921" s="18"/>
      <c r="X1921" s="18"/>
    </row>
    <row r="1922" spans="13:24">
      <c r="M1922" s="558">
        <f t="shared" si="92"/>
        <v>1920</v>
      </c>
      <c r="N1922" s="15">
        <f t="shared" si="90"/>
        <v>0.41174800823209406</v>
      </c>
      <c r="O1922" s="165">
        <f t="shared" si="91"/>
        <v>0.41174800823209406</v>
      </c>
      <c r="P1922" s="18"/>
      <c r="Q1922" s="18"/>
      <c r="R1922" s="18"/>
      <c r="S1922" s="18"/>
      <c r="T1922" s="18"/>
      <c r="U1922" s="18"/>
      <c r="V1922" s="18"/>
      <c r="W1922" s="18"/>
      <c r="X1922" s="18"/>
    </row>
    <row r="1923" spans="13:24">
      <c r="M1923" s="558">
        <f t="shared" si="92"/>
        <v>1921</v>
      </c>
      <c r="N1923" s="15">
        <f t="shared" si="90"/>
        <v>0.41164596703954104</v>
      </c>
      <c r="O1923" s="165">
        <f t="shared" si="91"/>
        <v>0.41164596703954104</v>
      </c>
      <c r="P1923" s="18"/>
      <c r="Q1923" s="18"/>
      <c r="R1923" s="18"/>
      <c r="S1923" s="18"/>
      <c r="T1923" s="18"/>
      <c r="U1923" s="18"/>
      <c r="V1923" s="18"/>
      <c r="W1923" s="18"/>
      <c r="X1923" s="18"/>
    </row>
    <row r="1924" spans="13:24">
      <c r="M1924" s="558">
        <f t="shared" si="92"/>
        <v>1922</v>
      </c>
      <c r="N1924" s="15">
        <f t="shared" ref="N1924:N1987" si="93">IF(M1924&lt;$B$31+1,$B$32+$B$33/$B$31*(8760-M1924)+$B$34*IF(M1924&lt;$B$36-$B$31/(2*$B$35),1,IF(M1924&lt;$B$36+$B$31/(2*$B$35),COS(PI()/2*(M1924-($B$36-$B$31/(2*$B$35)))*$B$35/$B$31)^2,0))+$B$37*EXP((8760-M1924)/8760*$B$38)/EXP($B$38)-(8760-$B$31)*$B$33/$B$31,0)</f>
        <v>0.41154398943543735</v>
      </c>
      <c r="O1924" s="165">
        <f t="shared" ref="O1924:O1987" si="94">MIN(N1924,C$24)</f>
        <v>0.41154398943543735</v>
      </c>
      <c r="P1924" s="18"/>
      <c r="Q1924" s="18"/>
      <c r="R1924" s="18"/>
      <c r="S1924" s="18"/>
      <c r="T1924" s="18"/>
      <c r="U1924" s="18"/>
      <c r="V1924" s="18"/>
      <c r="W1924" s="18"/>
      <c r="X1924" s="18"/>
    </row>
    <row r="1925" spans="13:24">
      <c r="M1925" s="558">
        <f t="shared" ref="M1925:M1988" si="95">M1924+1</f>
        <v>1923</v>
      </c>
      <c r="N1925" s="15">
        <f t="shared" si="93"/>
        <v>0.41144207533998445</v>
      </c>
      <c r="O1925" s="165">
        <f t="shared" si="94"/>
        <v>0.41144207533998445</v>
      </c>
      <c r="P1925" s="18"/>
      <c r="Q1925" s="18"/>
      <c r="R1925" s="18"/>
      <c r="S1925" s="18"/>
      <c r="T1925" s="18"/>
      <c r="U1925" s="18"/>
      <c r="V1925" s="18"/>
      <c r="W1925" s="18"/>
      <c r="X1925" s="18"/>
    </row>
    <row r="1926" spans="13:24">
      <c r="M1926" s="558">
        <f t="shared" si="95"/>
        <v>1924</v>
      </c>
      <c r="N1926" s="15">
        <f t="shared" si="93"/>
        <v>0.41134022467348413</v>
      </c>
      <c r="O1926" s="165">
        <f t="shared" si="94"/>
        <v>0.41134022467348413</v>
      </c>
      <c r="P1926" s="18"/>
      <c r="Q1926" s="18"/>
      <c r="R1926" s="18"/>
      <c r="S1926" s="18"/>
      <c r="T1926" s="18"/>
      <c r="U1926" s="18"/>
      <c r="V1926" s="18"/>
      <c r="W1926" s="18"/>
      <c r="X1926" s="18"/>
    </row>
    <row r="1927" spans="13:24">
      <c r="M1927" s="558">
        <f t="shared" si="95"/>
        <v>1925</v>
      </c>
      <c r="N1927" s="15">
        <f t="shared" si="93"/>
        <v>0.41123843735633819</v>
      </c>
      <c r="O1927" s="165">
        <f t="shared" si="94"/>
        <v>0.41123843735633819</v>
      </c>
      <c r="P1927" s="18"/>
      <c r="Q1927" s="18"/>
      <c r="R1927" s="18"/>
      <c r="S1927" s="18"/>
      <c r="T1927" s="18"/>
      <c r="U1927" s="18"/>
      <c r="V1927" s="18"/>
      <c r="W1927" s="18"/>
      <c r="X1927" s="18"/>
    </row>
    <row r="1928" spans="13:24">
      <c r="M1928" s="558">
        <f t="shared" si="95"/>
        <v>1926</v>
      </c>
      <c r="N1928" s="15">
        <f t="shared" si="93"/>
        <v>0.41113671330904816</v>
      </c>
      <c r="O1928" s="165">
        <f t="shared" si="94"/>
        <v>0.41113671330904816</v>
      </c>
      <c r="P1928" s="18"/>
      <c r="Q1928" s="18"/>
      <c r="R1928" s="18"/>
      <c r="S1928" s="18"/>
      <c r="T1928" s="18"/>
      <c r="U1928" s="18"/>
      <c r="V1928" s="18"/>
      <c r="W1928" s="18"/>
      <c r="X1928" s="18"/>
    </row>
    <row r="1929" spans="13:24">
      <c r="M1929" s="558">
        <f t="shared" si="95"/>
        <v>1927</v>
      </c>
      <c r="N1929" s="15">
        <f t="shared" si="93"/>
        <v>0.41103505245221555</v>
      </c>
      <c r="O1929" s="165">
        <f t="shared" si="94"/>
        <v>0.41103505245221555</v>
      </c>
      <c r="P1929" s="18"/>
      <c r="Q1929" s="18"/>
      <c r="R1929" s="18"/>
      <c r="S1929" s="18"/>
      <c r="T1929" s="18"/>
      <c r="U1929" s="18"/>
      <c r="V1929" s="18"/>
      <c r="W1929" s="18"/>
      <c r="X1929" s="18"/>
    </row>
    <row r="1930" spans="13:24">
      <c r="M1930" s="558">
        <f t="shared" si="95"/>
        <v>1928</v>
      </c>
      <c r="N1930" s="15">
        <f t="shared" si="93"/>
        <v>0.41093345470654141</v>
      </c>
      <c r="O1930" s="165">
        <f t="shared" si="94"/>
        <v>0.41093345470654141</v>
      </c>
      <c r="P1930" s="18"/>
      <c r="Q1930" s="18"/>
      <c r="R1930" s="18"/>
      <c r="S1930" s="18"/>
      <c r="T1930" s="18"/>
      <c r="U1930" s="18"/>
      <c r="V1930" s="18"/>
      <c r="W1930" s="18"/>
      <c r="X1930" s="18"/>
    </row>
    <row r="1931" spans="13:24">
      <c r="M1931" s="558">
        <f t="shared" si="95"/>
        <v>1929</v>
      </c>
      <c r="N1931" s="15">
        <f t="shared" si="93"/>
        <v>0.41083191999282631</v>
      </c>
      <c r="O1931" s="165">
        <f t="shared" si="94"/>
        <v>0.41083191999282631</v>
      </c>
      <c r="P1931" s="18"/>
      <c r="Q1931" s="18"/>
      <c r="R1931" s="18"/>
      <c r="S1931" s="18"/>
      <c r="T1931" s="18"/>
      <c r="U1931" s="18"/>
      <c r="V1931" s="18"/>
      <c r="W1931" s="18"/>
      <c r="X1931" s="18"/>
    </row>
    <row r="1932" spans="13:24">
      <c r="M1932" s="558">
        <f t="shared" si="95"/>
        <v>1930</v>
      </c>
      <c r="N1932" s="15">
        <f t="shared" si="93"/>
        <v>0.41073044823197008</v>
      </c>
      <c r="O1932" s="165">
        <f t="shared" si="94"/>
        <v>0.41073044823197008</v>
      </c>
      <c r="P1932" s="18"/>
      <c r="Q1932" s="18"/>
      <c r="R1932" s="18"/>
      <c r="S1932" s="18"/>
      <c r="T1932" s="18"/>
      <c r="U1932" s="18"/>
      <c r="V1932" s="18"/>
      <c r="W1932" s="18"/>
      <c r="X1932" s="18"/>
    </row>
    <row r="1933" spans="13:24">
      <c r="M1933" s="558">
        <f t="shared" si="95"/>
        <v>1931</v>
      </c>
      <c r="N1933" s="15">
        <f t="shared" si="93"/>
        <v>0.41062903934497214</v>
      </c>
      <c r="O1933" s="165">
        <f t="shared" si="94"/>
        <v>0.41062903934497214</v>
      </c>
      <c r="P1933" s="18"/>
      <c r="Q1933" s="18"/>
      <c r="R1933" s="18"/>
      <c r="S1933" s="18"/>
      <c r="T1933" s="18"/>
      <c r="U1933" s="18"/>
      <c r="V1933" s="18"/>
      <c r="W1933" s="18"/>
      <c r="X1933" s="18"/>
    </row>
    <row r="1934" spans="13:24">
      <c r="M1934" s="558">
        <f t="shared" si="95"/>
        <v>1932</v>
      </c>
      <c r="N1934" s="15">
        <f t="shared" si="93"/>
        <v>0.4105276932529307</v>
      </c>
      <c r="O1934" s="165">
        <f t="shared" si="94"/>
        <v>0.4105276932529307</v>
      </c>
      <c r="P1934" s="18"/>
      <c r="Q1934" s="18"/>
      <c r="R1934" s="18"/>
      <c r="S1934" s="18"/>
      <c r="T1934" s="18"/>
      <c r="U1934" s="18"/>
      <c r="V1934" s="18"/>
      <c r="W1934" s="18"/>
      <c r="X1934" s="18"/>
    </row>
    <row r="1935" spans="13:24">
      <c r="M1935" s="558">
        <f t="shared" si="95"/>
        <v>1933</v>
      </c>
      <c r="N1935" s="15">
        <f t="shared" si="93"/>
        <v>0.41042640987704304</v>
      </c>
      <c r="O1935" s="165">
        <f t="shared" si="94"/>
        <v>0.41042640987704304</v>
      </c>
      <c r="P1935" s="18"/>
      <c r="Q1935" s="18"/>
      <c r="R1935" s="18"/>
      <c r="S1935" s="18"/>
      <c r="T1935" s="18"/>
      <c r="U1935" s="18"/>
      <c r="V1935" s="18"/>
      <c r="W1935" s="18"/>
      <c r="X1935" s="18"/>
    </row>
    <row r="1936" spans="13:24">
      <c r="M1936" s="558">
        <f t="shared" si="95"/>
        <v>1934</v>
      </c>
      <c r="N1936" s="15">
        <f t="shared" si="93"/>
        <v>0.41032518913860577</v>
      </c>
      <c r="O1936" s="165">
        <f t="shared" si="94"/>
        <v>0.41032518913860577</v>
      </c>
      <c r="P1936" s="18"/>
      <c r="Q1936" s="18"/>
      <c r="R1936" s="18"/>
      <c r="S1936" s="18"/>
      <c r="T1936" s="18"/>
      <c r="U1936" s="18"/>
      <c r="V1936" s="18"/>
      <c r="W1936" s="18"/>
      <c r="X1936" s="18"/>
    </row>
    <row r="1937" spans="13:24">
      <c r="M1937" s="558">
        <f t="shared" si="95"/>
        <v>1935</v>
      </c>
      <c r="N1937" s="15">
        <f t="shared" si="93"/>
        <v>0.41022403095901361</v>
      </c>
      <c r="O1937" s="165">
        <f t="shared" si="94"/>
        <v>0.41022403095901361</v>
      </c>
      <c r="P1937" s="18"/>
      <c r="Q1937" s="18"/>
      <c r="R1937" s="18"/>
      <c r="S1937" s="18"/>
      <c r="T1937" s="18"/>
      <c r="U1937" s="18"/>
      <c r="V1937" s="18"/>
      <c r="W1937" s="18"/>
      <c r="X1937" s="18"/>
    </row>
    <row r="1938" spans="13:24">
      <c r="M1938" s="558">
        <f t="shared" si="95"/>
        <v>1936</v>
      </c>
      <c r="N1938" s="15">
        <f t="shared" si="93"/>
        <v>0.41012293525976029</v>
      </c>
      <c r="O1938" s="165">
        <f t="shared" si="94"/>
        <v>0.41012293525976029</v>
      </c>
      <c r="P1938" s="18"/>
      <c r="Q1938" s="18"/>
      <c r="R1938" s="18"/>
      <c r="S1938" s="18"/>
      <c r="T1938" s="18"/>
      <c r="U1938" s="18"/>
      <c r="V1938" s="18"/>
      <c r="W1938" s="18"/>
      <c r="X1938" s="18"/>
    </row>
    <row r="1939" spans="13:24">
      <c r="M1939" s="558">
        <f t="shared" si="95"/>
        <v>1937</v>
      </c>
      <c r="N1939" s="15">
        <f t="shared" si="93"/>
        <v>0.41002190196243815</v>
      </c>
      <c r="O1939" s="165">
        <f t="shared" si="94"/>
        <v>0.41002190196243815</v>
      </c>
      <c r="P1939" s="18"/>
      <c r="Q1939" s="18"/>
      <c r="R1939" s="18"/>
      <c r="S1939" s="18"/>
      <c r="T1939" s="18"/>
      <c r="U1939" s="18"/>
      <c r="V1939" s="18"/>
      <c r="W1939" s="18"/>
      <c r="X1939" s="18"/>
    </row>
    <row r="1940" spans="13:24">
      <c r="M1940" s="558">
        <f t="shared" si="95"/>
        <v>1938</v>
      </c>
      <c r="N1940" s="15">
        <f t="shared" si="93"/>
        <v>0.40992093098873761</v>
      </c>
      <c r="O1940" s="165">
        <f t="shared" si="94"/>
        <v>0.40992093098873761</v>
      </c>
      <c r="P1940" s="18"/>
      <c r="Q1940" s="18"/>
      <c r="R1940" s="18"/>
      <c r="S1940" s="18"/>
      <c r="T1940" s="18"/>
      <c r="U1940" s="18"/>
      <c r="V1940" s="18"/>
      <c r="W1940" s="18"/>
      <c r="X1940" s="18"/>
    </row>
    <row r="1941" spans="13:24">
      <c r="M1941" s="558">
        <f t="shared" si="95"/>
        <v>1939</v>
      </c>
      <c r="N1941" s="15">
        <f t="shared" si="93"/>
        <v>0.40982002226044756</v>
      </c>
      <c r="O1941" s="165">
        <f t="shared" si="94"/>
        <v>0.40982002226044756</v>
      </c>
      <c r="P1941" s="18"/>
      <c r="Q1941" s="18"/>
      <c r="R1941" s="18"/>
      <c r="S1941" s="18"/>
      <c r="T1941" s="18"/>
      <c r="U1941" s="18"/>
      <c r="V1941" s="18"/>
      <c r="W1941" s="18"/>
      <c r="X1941" s="18"/>
    </row>
    <row r="1942" spans="13:24">
      <c r="M1942" s="558">
        <f t="shared" si="95"/>
        <v>1940</v>
      </c>
      <c r="N1942" s="15">
        <f t="shared" si="93"/>
        <v>0.4097191756994551</v>
      </c>
      <c r="O1942" s="165">
        <f t="shared" si="94"/>
        <v>0.4097191756994551</v>
      </c>
      <c r="P1942" s="18"/>
      <c r="Q1942" s="18"/>
      <c r="R1942" s="18"/>
      <c r="S1942" s="18"/>
      <c r="T1942" s="18"/>
      <c r="U1942" s="18"/>
      <c r="V1942" s="18"/>
      <c r="W1942" s="18"/>
      <c r="X1942" s="18"/>
    </row>
    <row r="1943" spans="13:24">
      <c r="M1943" s="558">
        <f t="shared" si="95"/>
        <v>1941</v>
      </c>
      <c r="N1943" s="15">
        <f t="shared" si="93"/>
        <v>0.40961839122774513</v>
      </c>
      <c r="O1943" s="165">
        <f t="shared" si="94"/>
        <v>0.40961839122774513</v>
      </c>
      <c r="P1943" s="18"/>
      <c r="Q1943" s="18"/>
      <c r="R1943" s="18"/>
      <c r="S1943" s="18"/>
      <c r="T1943" s="18"/>
      <c r="U1943" s="18"/>
      <c r="V1943" s="18"/>
      <c r="W1943" s="18"/>
      <c r="X1943" s="18"/>
    </row>
    <row r="1944" spans="13:24">
      <c r="M1944" s="558">
        <f t="shared" si="95"/>
        <v>1942</v>
      </c>
      <c r="N1944" s="15">
        <f t="shared" si="93"/>
        <v>0.4095176687674007</v>
      </c>
      <c r="O1944" s="165">
        <f t="shared" si="94"/>
        <v>0.4095176687674007</v>
      </c>
      <c r="P1944" s="18"/>
      <c r="Q1944" s="18"/>
      <c r="R1944" s="18"/>
      <c r="S1944" s="18"/>
      <c r="T1944" s="18"/>
      <c r="U1944" s="18"/>
      <c r="V1944" s="18"/>
      <c r="W1944" s="18"/>
      <c r="X1944" s="18"/>
    </row>
    <row r="1945" spans="13:24">
      <c r="M1945" s="558">
        <f t="shared" si="95"/>
        <v>1943</v>
      </c>
      <c r="N1945" s="15">
        <f t="shared" si="93"/>
        <v>0.40941700824060251</v>
      </c>
      <c r="O1945" s="165">
        <f t="shared" si="94"/>
        <v>0.40941700824060251</v>
      </c>
      <c r="P1945" s="18"/>
      <c r="Q1945" s="18"/>
      <c r="R1945" s="18"/>
      <c r="S1945" s="18"/>
      <c r="T1945" s="18"/>
      <c r="U1945" s="18"/>
      <c r="V1945" s="18"/>
      <c r="W1945" s="18"/>
      <c r="X1945" s="18"/>
    </row>
    <row r="1946" spans="13:24">
      <c r="M1946" s="558">
        <f t="shared" si="95"/>
        <v>1944</v>
      </c>
      <c r="N1946" s="15">
        <f t="shared" si="93"/>
        <v>0.40931640956962884</v>
      </c>
      <c r="O1946" s="165">
        <f t="shared" si="94"/>
        <v>0.40931640956962884</v>
      </c>
      <c r="P1946" s="18"/>
      <c r="Q1946" s="18"/>
      <c r="R1946" s="18"/>
      <c r="S1946" s="18"/>
      <c r="T1946" s="18"/>
      <c r="U1946" s="18"/>
      <c r="V1946" s="18"/>
      <c r="W1946" s="18"/>
      <c r="X1946" s="18"/>
    </row>
    <row r="1947" spans="13:24">
      <c r="M1947" s="558">
        <f t="shared" si="95"/>
        <v>1945</v>
      </c>
      <c r="N1947" s="15">
        <f t="shared" si="93"/>
        <v>0.40921587267685566</v>
      </c>
      <c r="O1947" s="165">
        <f t="shared" si="94"/>
        <v>0.40921587267685566</v>
      </c>
      <c r="P1947" s="18"/>
      <c r="Q1947" s="18"/>
      <c r="R1947" s="18"/>
      <c r="S1947" s="18"/>
      <c r="T1947" s="18"/>
      <c r="U1947" s="18"/>
      <c r="V1947" s="18"/>
      <c r="W1947" s="18"/>
      <c r="X1947" s="18"/>
    </row>
    <row r="1948" spans="13:24">
      <c r="M1948" s="558">
        <f t="shared" si="95"/>
        <v>1946</v>
      </c>
      <c r="N1948" s="15">
        <f t="shared" si="93"/>
        <v>0.40911539748475639</v>
      </c>
      <c r="O1948" s="165">
        <f t="shared" si="94"/>
        <v>0.40911539748475639</v>
      </c>
      <c r="P1948" s="18"/>
      <c r="Q1948" s="18"/>
      <c r="R1948" s="18"/>
      <c r="S1948" s="18"/>
      <c r="T1948" s="18"/>
      <c r="U1948" s="18"/>
      <c r="V1948" s="18"/>
      <c r="W1948" s="18"/>
      <c r="X1948" s="18"/>
    </row>
    <row r="1949" spans="13:24">
      <c r="M1949" s="558">
        <f t="shared" si="95"/>
        <v>1947</v>
      </c>
      <c r="N1949" s="15">
        <f t="shared" si="93"/>
        <v>0.40901498391590152</v>
      </c>
      <c r="O1949" s="165">
        <f t="shared" si="94"/>
        <v>0.40901498391590152</v>
      </c>
      <c r="P1949" s="18"/>
      <c r="Q1949" s="18"/>
      <c r="R1949" s="18"/>
      <c r="S1949" s="18"/>
      <c r="T1949" s="18"/>
      <c r="U1949" s="18"/>
      <c r="V1949" s="18"/>
      <c r="W1949" s="18"/>
      <c r="X1949" s="18"/>
    </row>
    <row r="1950" spans="13:24">
      <c r="M1950" s="558">
        <f t="shared" si="95"/>
        <v>1948</v>
      </c>
      <c r="N1950" s="15">
        <f t="shared" si="93"/>
        <v>0.40891463189295874</v>
      </c>
      <c r="O1950" s="165">
        <f t="shared" si="94"/>
        <v>0.40891463189295874</v>
      </c>
      <c r="P1950" s="18"/>
      <c r="Q1950" s="18"/>
      <c r="R1950" s="18"/>
      <c r="S1950" s="18"/>
      <c r="T1950" s="18"/>
      <c r="U1950" s="18"/>
      <c r="V1950" s="18"/>
      <c r="W1950" s="18"/>
      <c r="X1950" s="18"/>
    </row>
    <row r="1951" spans="13:24">
      <c r="M1951" s="558">
        <f t="shared" si="95"/>
        <v>1949</v>
      </c>
      <c r="N1951" s="15">
        <f t="shared" si="93"/>
        <v>0.4088143413386931</v>
      </c>
      <c r="O1951" s="165">
        <f t="shared" si="94"/>
        <v>0.4088143413386931</v>
      </c>
      <c r="P1951" s="18"/>
      <c r="Q1951" s="18"/>
      <c r="R1951" s="18"/>
      <c r="S1951" s="18"/>
      <c r="T1951" s="18"/>
      <c r="U1951" s="18"/>
      <c r="V1951" s="18"/>
      <c r="W1951" s="18"/>
      <c r="X1951" s="18"/>
    </row>
    <row r="1952" spans="13:24">
      <c r="M1952" s="558">
        <f t="shared" si="95"/>
        <v>1950</v>
      </c>
      <c r="N1952" s="15">
        <f t="shared" si="93"/>
        <v>0.4087141121759662</v>
      </c>
      <c r="O1952" s="165">
        <f t="shared" si="94"/>
        <v>0.4087141121759662</v>
      </c>
      <c r="P1952" s="18"/>
      <c r="Q1952" s="18"/>
      <c r="R1952" s="18"/>
      <c r="S1952" s="18"/>
      <c r="T1952" s="18"/>
      <c r="U1952" s="18"/>
      <c r="V1952" s="18"/>
      <c r="W1952" s="18"/>
      <c r="X1952" s="18"/>
    </row>
    <row r="1953" spans="13:24">
      <c r="M1953" s="558">
        <f t="shared" si="95"/>
        <v>1951</v>
      </c>
      <c r="N1953" s="15">
        <f t="shared" si="93"/>
        <v>0.40861394432773662</v>
      </c>
      <c r="O1953" s="165">
        <f t="shared" si="94"/>
        <v>0.40861394432773662</v>
      </c>
      <c r="P1953" s="18"/>
      <c r="Q1953" s="18"/>
      <c r="R1953" s="18"/>
      <c r="S1953" s="18"/>
      <c r="T1953" s="18"/>
      <c r="U1953" s="18"/>
      <c r="V1953" s="18"/>
      <c r="W1953" s="18"/>
      <c r="X1953" s="18"/>
    </row>
    <row r="1954" spans="13:24">
      <c r="M1954" s="558">
        <f t="shared" si="95"/>
        <v>1952</v>
      </c>
      <c r="N1954" s="15">
        <f t="shared" si="93"/>
        <v>0.40851383771705957</v>
      </c>
      <c r="O1954" s="165">
        <f t="shared" si="94"/>
        <v>0.40851383771705957</v>
      </c>
      <c r="P1954" s="18"/>
      <c r="Q1954" s="18"/>
      <c r="R1954" s="18"/>
      <c r="S1954" s="18"/>
      <c r="T1954" s="18"/>
      <c r="U1954" s="18"/>
      <c r="V1954" s="18"/>
      <c r="W1954" s="18"/>
      <c r="X1954" s="18"/>
    </row>
    <row r="1955" spans="13:24">
      <c r="M1955" s="558">
        <f t="shared" si="95"/>
        <v>1953</v>
      </c>
      <c r="N1955" s="15">
        <f t="shared" si="93"/>
        <v>0.40841379226708691</v>
      </c>
      <c r="O1955" s="165">
        <f t="shared" si="94"/>
        <v>0.40841379226708691</v>
      </c>
      <c r="P1955" s="18"/>
      <c r="Q1955" s="18"/>
      <c r="R1955" s="18"/>
      <c r="S1955" s="18"/>
      <c r="T1955" s="18"/>
      <c r="U1955" s="18"/>
      <c r="V1955" s="18"/>
      <c r="W1955" s="18"/>
      <c r="X1955" s="18"/>
    </row>
    <row r="1956" spans="13:24">
      <c r="M1956" s="558">
        <f t="shared" si="95"/>
        <v>1954</v>
      </c>
      <c r="N1956" s="15">
        <f t="shared" si="93"/>
        <v>0.40831380790106681</v>
      </c>
      <c r="O1956" s="165">
        <f t="shared" si="94"/>
        <v>0.40831380790106681</v>
      </c>
      <c r="P1956" s="18"/>
      <c r="Q1956" s="18"/>
      <c r="R1956" s="18"/>
      <c r="S1956" s="18"/>
      <c r="T1956" s="18"/>
      <c r="U1956" s="18"/>
      <c r="V1956" s="18"/>
      <c r="W1956" s="18"/>
      <c r="X1956" s="18"/>
    </row>
    <row r="1957" spans="13:24">
      <c r="M1957" s="558">
        <f t="shared" si="95"/>
        <v>1955</v>
      </c>
      <c r="N1957" s="15">
        <f t="shared" si="93"/>
        <v>0.40821388454234375</v>
      </c>
      <c r="O1957" s="165">
        <f t="shared" si="94"/>
        <v>0.40821388454234375</v>
      </c>
      <c r="P1957" s="18"/>
      <c r="Q1957" s="18"/>
      <c r="R1957" s="18"/>
      <c r="S1957" s="18"/>
      <c r="T1957" s="18"/>
      <c r="U1957" s="18"/>
      <c r="V1957" s="18"/>
      <c r="W1957" s="18"/>
      <c r="X1957" s="18"/>
    </row>
    <row r="1958" spans="13:24">
      <c r="M1958" s="558">
        <f t="shared" si="95"/>
        <v>1956</v>
      </c>
      <c r="N1958" s="15">
        <f t="shared" si="93"/>
        <v>0.4081140221143586</v>
      </c>
      <c r="O1958" s="165">
        <f t="shared" si="94"/>
        <v>0.4081140221143586</v>
      </c>
      <c r="P1958" s="18"/>
      <c r="Q1958" s="18"/>
      <c r="R1958" s="18"/>
      <c r="S1958" s="18"/>
      <c r="T1958" s="18"/>
      <c r="U1958" s="18"/>
      <c r="V1958" s="18"/>
      <c r="W1958" s="18"/>
      <c r="X1958" s="18"/>
    </row>
    <row r="1959" spans="13:24">
      <c r="M1959" s="558">
        <f t="shared" si="95"/>
        <v>1957</v>
      </c>
      <c r="N1959" s="15">
        <f t="shared" si="93"/>
        <v>0.40801422054064818</v>
      </c>
      <c r="O1959" s="165">
        <f t="shared" si="94"/>
        <v>0.40801422054064818</v>
      </c>
      <c r="P1959" s="18"/>
      <c r="Q1959" s="18"/>
      <c r="R1959" s="18"/>
      <c r="S1959" s="18"/>
      <c r="T1959" s="18"/>
      <c r="U1959" s="18"/>
      <c r="V1959" s="18"/>
      <c r="W1959" s="18"/>
      <c r="X1959" s="18"/>
    </row>
    <row r="1960" spans="13:24">
      <c r="M1960" s="558">
        <f t="shared" si="95"/>
        <v>1958</v>
      </c>
      <c r="N1960" s="15">
        <f t="shared" si="93"/>
        <v>0.40791447974484513</v>
      </c>
      <c r="O1960" s="165">
        <f t="shared" si="94"/>
        <v>0.40791447974484513</v>
      </c>
      <c r="P1960" s="18"/>
      <c r="Q1960" s="18"/>
      <c r="R1960" s="18"/>
      <c r="S1960" s="18"/>
      <c r="T1960" s="18"/>
      <c r="U1960" s="18"/>
      <c r="V1960" s="18"/>
      <c r="W1960" s="18"/>
      <c r="X1960" s="18"/>
    </row>
    <row r="1961" spans="13:24">
      <c r="M1961" s="558">
        <f t="shared" si="95"/>
        <v>1959</v>
      </c>
      <c r="N1961" s="15">
        <f t="shared" si="93"/>
        <v>0.40781479965067813</v>
      </c>
      <c r="O1961" s="165">
        <f t="shared" si="94"/>
        <v>0.40781479965067813</v>
      </c>
      <c r="P1961" s="18"/>
      <c r="Q1961" s="18"/>
      <c r="R1961" s="18"/>
      <c r="S1961" s="18"/>
      <c r="T1961" s="18"/>
      <c r="U1961" s="18"/>
      <c r="V1961" s="18"/>
      <c r="W1961" s="18"/>
      <c r="X1961" s="18"/>
    </row>
    <row r="1962" spans="13:24">
      <c r="M1962" s="558">
        <f t="shared" si="95"/>
        <v>1960</v>
      </c>
      <c r="N1962" s="15">
        <f t="shared" si="93"/>
        <v>0.4077151801819715</v>
      </c>
      <c r="O1962" s="165">
        <f t="shared" si="94"/>
        <v>0.4077151801819715</v>
      </c>
      <c r="P1962" s="18"/>
      <c r="Q1962" s="18"/>
      <c r="R1962" s="18"/>
      <c r="S1962" s="18"/>
      <c r="T1962" s="18"/>
      <c r="U1962" s="18"/>
      <c r="V1962" s="18"/>
      <c r="W1962" s="18"/>
      <c r="X1962" s="18"/>
    </row>
    <row r="1963" spans="13:24">
      <c r="M1963" s="558">
        <f t="shared" si="95"/>
        <v>1961</v>
      </c>
      <c r="N1963" s="15">
        <f t="shared" si="93"/>
        <v>0.40761562126264517</v>
      </c>
      <c r="O1963" s="165">
        <f t="shared" si="94"/>
        <v>0.40761562126264517</v>
      </c>
      <c r="P1963" s="18"/>
      <c r="Q1963" s="18"/>
      <c r="R1963" s="18"/>
      <c r="S1963" s="18"/>
      <c r="T1963" s="18"/>
      <c r="U1963" s="18"/>
      <c r="V1963" s="18"/>
      <c r="W1963" s="18"/>
      <c r="X1963" s="18"/>
    </row>
    <row r="1964" spans="13:24">
      <c r="M1964" s="558">
        <f t="shared" si="95"/>
        <v>1962</v>
      </c>
      <c r="N1964" s="15">
        <f t="shared" si="93"/>
        <v>0.40751612281671457</v>
      </c>
      <c r="O1964" s="165">
        <f t="shared" si="94"/>
        <v>0.40751612281671457</v>
      </c>
      <c r="P1964" s="18"/>
      <c r="Q1964" s="18"/>
      <c r="R1964" s="18"/>
      <c r="S1964" s="18"/>
      <c r="T1964" s="18"/>
      <c r="U1964" s="18"/>
      <c r="V1964" s="18"/>
      <c r="W1964" s="18"/>
      <c r="X1964" s="18"/>
    </row>
    <row r="1965" spans="13:24">
      <c r="M1965" s="558">
        <f t="shared" si="95"/>
        <v>1963</v>
      </c>
      <c r="N1965" s="15">
        <f t="shared" si="93"/>
        <v>0.40741668476829035</v>
      </c>
      <c r="O1965" s="165">
        <f t="shared" si="94"/>
        <v>0.40741668476829035</v>
      </c>
      <c r="P1965" s="18"/>
      <c r="Q1965" s="18"/>
      <c r="R1965" s="18"/>
      <c r="S1965" s="18"/>
      <c r="T1965" s="18"/>
      <c r="U1965" s="18"/>
      <c r="V1965" s="18"/>
      <c r="W1965" s="18"/>
      <c r="X1965" s="18"/>
    </row>
    <row r="1966" spans="13:24">
      <c r="M1966" s="558">
        <f t="shared" si="95"/>
        <v>1964</v>
      </c>
      <c r="N1966" s="15">
        <f t="shared" si="93"/>
        <v>0.40731730704157854</v>
      </c>
      <c r="O1966" s="165">
        <f t="shared" si="94"/>
        <v>0.40731730704157854</v>
      </c>
      <c r="P1966" s="18"/>
      <c r="Q1966" s="18"/>
      <c r="R1966" s="18"/>
      <c r="S1966" s="18"/>
      <c r="T1966" s="18"/>
      <c r="U1966" s="18"/>
      <c r="V1966" s="18"/>
      <c r="W1966" s="18"/>
      <c r="X1966" s="18"/>
    </row>
    <row r="1967" spans="13:24">
      <c r="M1967" s="558">
        <f t="shared" si="95"/>
        <v>1965</v>
      </c>
      <c r="N1967" s="15">
        <f t="shared" si="93"/>
        <v>0.40721798956088029</v>
      </c>
      <c r="O1967" s="165">
        <f t="shared" si="94"/>
        <v>0.40721798956088029</v>
      </c>
      <c r="P1967" s="18"/>
      <c r="Q1967" s="18"/>
      <c r="R1967" s="18"/>
      <c r="S1967" s="18"/>
      <c r="T1967" s="18"/>
      <c r="U1967" s="18"/>
      <c r="V1967" s="18"/>
      <c r="W1967" s="18"/>
      <c r="X1967" s="18"/>
    </row>
    <row r="1968" spans="13:24">
      <c r="M1968" s="558">
        <f t="shared" si="95"/>
        <v>1966</v>
      </c>
      <c r="N1968" s="15">
        <f t="shared" si="93"/>
        <v>0.40711873225059153</v>
      </c>
      <c r="O1968" s="165">
        <f t="shared" si="94"/>
        <v>0.40711873225059153</v>
      </c>
      <c r="P1968" s="18"/>
      <c r="Q1968" s="18"/>
      <c r="R1968" s="18"/>
      <c r="S1968" s="18"/>
      <c r="T1968" s="18"/>
      <c r="U1968" s="18"/>
      <c r="V1968" s="18"/>
      <c r="W1968" s="18"/>
      <c r="X1968" s="18"/>
    </row>
    <row r="1969" spans="13:24">
      <c r="M1969" s="558">
        <f t="shared" si="95"/>
        <v>1967</v>
      </c>
      <c r="N1969" s="15">
        <f t="shared" si="93"/>
        <v>0.40701953503520333</v>
      </c>
      <c r="O1969" s="165">
        <f t="shared" si="94"/>
        <v>0.40701953503520333</v>
      </c>
      <c r="P1969" s="18"/>
      <c r="Q1969" s="18"/>
      <c r="R1969" s="18"/>
      <c r="S1969" s="18"/>
      <c r="T1969" s="18"/>
      <c r="U1969" s="18"/>
      <c r="V1969" s="18"/>
      <c r="W1969" s="18"/>
      <c r="X1969" s="18"/>
    </row>
    <row r="1970" spans="13:24">
      <c r="M1970" s="558">
        <f t="shared" si="95"/>
        <v>1968</v>
      </c>
      <c r="N1970" s="15">
        <f t="shared" si="93"/>
        <v>0.40692039783930151</v>
      </c>
      <c r="O1970" s="165">
        <f t="shared" si="94"/>
        <v>0.40692039783930151</v>
      </c>
      <c r="P1970" s="18"/>
      <c r="Q1970" s="18"/>
      <c r="R1970" s="18"/>
      <c r="S1970" s="18"/>
      <c r="T1970" s="18"/>
      <c r="U1970" s="18"/>
      <c r="V1970" s="18"/>
      <c r="W1970" s="18"/>
      <c r="X1970" s="18"/>
    </row>
    <row r="1971" spans="13:24">
      <c r="M1971" s="558">
        <f t="shared" si="95"/>
        <v>1969</v>
      </c>
      <c r="N1971" s="15">
        <f t="shared" si="93"/>
        <v>0.40682132058756632</v>
      </c>
      <c r="O1971" s="165">
        <f t="shared" si="94"/>
        <v>0.40682132058756632</v>
      </c>
      <c r="P1971" s="18"/>
      <c r="Q1971" s="18"/>
      <c r="R1971" s="18"/>
      <c r="S1971" s="18"/>
      <c r="T1971" s="18"/>
      <c r="U1971" s="18"/>
      <c r="V1971" s="18"/>
      <c r="W1971" s="18"/>
      <c r="X1971" s="18"/>
    </row>
    <row r="1972" spans="13:24">
      <c r="M1972" s="558">
        <f t="shared" si="95"/>
        <v>1970</v>
      </c>
      <c r="N1972" s="15">
        <f t="shared" si="93"/>
        <v>0.4067223032047726</v>
      </c>
      <c r="O1972" s="165">
        <f t="shared" si="94"/>
        <v>0.4067223032047726</v>
      </c>
      <c r="P1972" s="18"/>
      <c r="Q1972" s="18"/>
      <c r="R1972" s="18"/>
      <c r="S1972" s="18"/>
      <c r="T1972" s="18"/>
      <c r="U1972" s="18"/>
      <c r="V1972" s="18"/>
      <c r="W1972" s="18"/>
      <c r="X1972" s="18"/>
    </row>
    <row r="1973" spans="13:24">
      <c r="M1973" s="558">
        <f t="shared" si="95"/>
        <v>1971</v>
      </c>
      <c r="N1973" s="15">
        <f t="shared" si="93"/>
        <v>0.40662334561578972</v>
      </c>
      <c r="O1973" s="165">
        <f t="shared" si="94"/>
        <v>0.40662334561578972</v>
      </c>
      <c r="P1973" s="18"/>
      <c r="Q1973" s="18"/>
      <c r="R1973" s="18"/>
      <c r="S1973" s="18"/>
      <c r="T1973" s="18"/>
      <c r="U1973" s="18"/>
      <c r="V1973" s="18"/>
      <c r="W1973" s="18"/>
      <c r="X1973" s="18"/>
    </row>
    <row r="1974" spans="13:24">
      <c r="M1974" s="558">
        <f t="shared" si="95"/>
        <v>1972</v>
      </c>
      <c r="N1974" s="15">
        <f t="shared" si="93"/>
        <v>0.40652444774558127</v>
      </c>
      <c r="O1974" s="165">
        <f t="shared" si="94"/>
        <v>0.40652444774558127</v>
      </c>
      <c r="P1974" s="18"/>
      <c r="Q1974" s="18"/>
      <c r="R1974" s="18"/>
      <c r="S1974" s="18"/>
      <c r="T1974" s="18"/>
      <c r="U1974" s="18"/>
      <c r="V1974" s="18"/>
      <c r="W1974" s="18"/>
      <c r="X1974" s="18"/>
    </row>
    <row r="1975" spans="13:24">
      <c r="M1975" s="558">
        <f t="shared" si="95"/>
        <v>1973</v>
      </c>
      <c r="N1975" s="15">
        <f t="shared" si="93"/>
        <v>0.40642560951920487</v>
      </c>
      <c r="O1975" s="165">
        <f t="shared" si="94"/>
        <v>0.40642560951920487</v>
      </c>
      <c r="P1975" s="18"/>
      <c r="Q1975" s="18"/>
      <c r="R1975" s="18"/>
      <c r="S1975" s="18"/>
      <c r="T1975" s="18"/>
      <c r="U1975" s="18"/>
      <c r="V1975" s="18"/>
      <c r="W1975" s="18"/>
      <c r="X1975" s="18"/>
    </row>
    <row r="1976" spans="13:24">
      <c r="M1976" s="558">
        <f t="shared" si="95"/>
        <v>1974</v>
      </c>
      <c r="N1976" s="15">
        <f t="shared" si="93"/>
        <v>0.40632683086181248</v>
      </c>
      <c r="O1976" s="165">
        <f t="shared" si="94"/>
        <v>0.40632683086181248</v>
      </c>
      <c r="P1976" s="18"/>
      <c r="Q1976" s="18"/>
      <c r="R1976" s="18"/>
      <c r="S1976" s="18"/>
      <c r="T1976" s="18"/>
      <c r="U1976" s="18"/>
      <c r="V1976" s="18"/>
      <c r="W1976" s="18"/>
      <c r="X1976" s="18"/>
    </row>
    <row r="1977" spans="13:24">
      <c r="M1977" s="558">
        <f t="shared" si="95"/>
        <v>1975</v>
      </c>
      <c r="N1977" s="15">
        <f t="shared" si="93"/>
        <v>0.40622811169864959</v>
      </c>
      <c r="O1977" s="165">
        <f t="shared" si="94"/>
        <v>0.40622811169864959</v>
      </c>
      <c r="P1977" s="18"/>
      <c r="Q1977" s="18"/>
      <c r="R1977" s="18"/>
      <c r="S1977" s="18"/>
      <c r="T1977" s="18"/>
      <c r="U1977" s="18"/>
      <c r="V1977" s="18"/>
      <c r="W1977" s="18"/>
      <c r="X1977" s="18"/>
    </row>
    <row r="1978" spans="13:24">
      <c r="M1978" s="558">
        <f t="shared" si="95"/>
        <v>1976</v>
      </c>
      <c r="N1978" s="15">
        <f t="shared" si="93"/>
        <v>0.4061294519550559</v>
      </c>
      <c r="O1978" s="165">
        <f t="shared" si="94"/>
        <v>0.4061294519550559</v>
      </c>
      <c r="P1978" s="18"/>
      <c r="Q1978" s="18"/>
      <c r="R1978" s="18"/>
      <c r="S1978" s="18"/>
      <c r="T1978" s="18"/>
      <c r="U1978" s="18"/>
      <c r="V1978" s="18"/>
      <c r="W1978" s="18"/>
      <c r="X1978" s="18"/>
    </row>
    <row r="1979" spans="13:24">
      <c r="M1979" s="558">
        <f t="shared" si="95"/>
        <v>1977</v>
      </c>
      <c r="N1979" s="15">
        <f t="shared" si="93"/>
        <v>0.40603085155646457</v>
      </c>
      <c r="O1979" s="165">
        <f t="shared" si="94"/>
        <v>0.40603085155646457</v>
      </c>
      <c r="P1979" s="18"/>
      <c r="Q1979" s="18"/>
      <c r="R1979" s="18"/>
      <c r="S1979" s="18"/>
      <c r="T1979" s="18"/>
      <c r="U1979" s="18"/>
      <c r="V1979" s="18"/>
      <c r="W1979" s="18"/>
      <c r="X1979" s="18"/>
    </row>
    <row r="1980" spans="13:24">
      <c r="M1980" s="558">
        <f t="shared" si="95"/>
        <v>1978</v>
      </c>
      <c r="N1980" s="15">
        <f t="shared" si="93"/>
        <v>0.40593231042840233</v>
      </c>
      <c r="O1980" s="165">
        <f t="shared" si="94"/>
        <v>0.40593231042840233</v>
      </c>
      <c r="P1980" s="18"/>
      <c r="Q1980" s="18"/>
      <c r="R1980" s="18"/>
      <c r="S1980" s="18"/>
      <c r="T1980" s="18"/>
      <c r="U1980" s="18"/>
      <c r="V1980" s="18"/>
      <c r="W1980" s="18"/>
      <c r="X1980" s="18"/>
    </row>
    <row r="1981" spans="13:24">
      <c r="M1981" s="558">
        <f t="shared" si="95"/>
        <v>1979</v>
      </c>
      <c r="N1981" s="15">
        <f t="shared" si="93"/>
        <v>0.40583382849648941</v>
      </c>
      <c r="O1981" s="165">
        <f t="shared" si="94"/>
        <v>0.40583382849648941</v>
      </c>
      <c r="P1981" s="18"/>
      <c r="Q1981" s="18"/>
      <c r="R1981" s="18"/>
      <c r="S1981" s="18"/>
      <c r="T1981" s="18"/>
      <c r="U1981" s="18"/>
      <c r="V1981" s="18"/>
      <c r="W1981" s="18"/>
      <c r="X1981" s="18"/>
    </row>
    <row r="1982" spans="13:24">
      <c r="M1982" s="558">
        <f t="shared" si="95"/>
        <v>1980</v>
      </c>
      <c r="N1982" s="15">
        <f t="shared" si="93"/>
        <v>0.40573540568643962</v>
      </c>
      <c r="O1982" s="165">
        <f t="shared" si="94"/>
        <v>0.40573540568643962</v>
      </c>
      <c r="P1982" s="18"/>
      <c r="Q1982" s="18"/>
      <c r="R1982" s="18"/>
      <c r="S1982" s="18"/>
      <c r="T1982" s="18"/>
      <c r="U1982" s="18"/>
      <c r="V1982" s="18"/>
      <c r="W1982" s="18"/>
      <c r="X1982" s="18"/>
    </row>
    <row r="1983" spans="13:24">
      <c r="M1983" s="558">
        <f t="shared" si="95"/>
        <v>1981</v>
      </c>
      <c r="N1983" s="15">
        <f t="shared" si="93"/>
        <v>0.40563704192405953</v>
      </c>
      <c r="O1983" s="165">
        <f t="shared" si="94"/>
        <v>0.40563704192405953</v>
      </c>
      <c r="P1983" s="18"/>
      <c r="Q1983" s="18"/>
      <c r="R1983" s="18"/>
      <c r="S1983" s="18"/>
      <c r="T1983" s="18"/>
      <c r="U1983" s="18"/>
      <c r="V1983" s="18"/>
      <c r="W1983" s="18"/>
      <c r="X1983" s="18"/>
    </row>
    <row r="1984" spans="13:24">
      <c r="M1984" s="558">
        <f t="shared" si="95"/>
        <v>1982</v>
      </c>
      <c r="N1984" s="15">
        <f t="shared" si="93"/>
        <v>0.40553873713524913</v>
      </c>
      <c r="O1984" s="165">
        <f t="shared" si="94"/>
        <v>0.40553873713524913</v>
      </c>
      <c r="P1984" s="18"/>
      <c r="Q1984" s="18"/>
      <c r="R1984" s="18"/>
      <c r="S1984" s="18"/>
      <c r="T1984" s="18"/>
      <c r="U1984" s="18"/>
      <c r="V1984" s="18"/>
      <c r="W1984" s="18"/>
      <c r="X1984" s="18"/>
    </row>
    <row r="1985" spans="13:24">
      <c r="M1985" s="558">
        <f t="shared" si="95"/>
        <v>1983</v>
      </c>
      <c r="N1985" s="15">
        <f t="shared" si="93"/>
        <v>0.40544049124600129</v>
      </c>
      <c r="O1985" s="165">
        <f t="shared" si="94"/>
        <v>0.40544049124600129</v>
      </c>
      <c r="P1985" s="18"/>
      <c r="Q1985" s="18"/>
      <c r="R1985" s="18"/>
      <c r="S1985" s="18"/>
      <c r="T1985" s="18"/>
      <c r="U1985" s="18"/>
      <c r="V1985" s="18"/>
      <c r="W1985" s="18"/>
      <c r="X1985" s="18"/>
    </row>
    <row r="1986" spans="13:24">
      <c r="M1986" s="558">
        <f t="shared" si="95"/>
        <v>1984</v>
      </c>
      <c r="N1986" s="15">
        <f t="shared" si="93"/>
        <v>0.40534230418240191</v>
      </c>
      <c r="O1986" s="165">
        <f t="shared" si="94"/>
        <v>0.40534230418240191</v>
      </c>
      <c r="P1986" s="18"/>
      <c r="Q1986" s="18"/>
      <c r="R1986" s="18"/>
      <c r="S1986" s="18"/>
      <c r="T1986" s="18"/>
      <c r="U1986" s="18"/>
      <c r="V1986" s="18"/>
      <c r="W1986" s="18"/>
      <c r="X1986" s="18"/>
    </row>
    <row r="1987" spans="13:24">
      <c r="M1987" s="558">
        <f t="shared" si="95"/>
        <v>1985</v>
      </c>
      <c r="N1987" s="15">
        <f t="shared" si="93"/>
        <v>0.40524417587062944</v>
      </c>
      <c r="O1987" s="165">
        <f t="shared" si="94"/>
        <v>0.40524417587062944</v>
      </c>
      <c r="P1987" s="18"/>
      <c r="Q1987" s="18"/>
      <c r="R1987" s="18"/>
      <c r="S1987" s="18"/>
      <c r="T1987" s="18"/>
      <c r="U1987" s="18"/>
      <c r="V1987" s="18"/>
      <c r="W1987" s="18"/>
      <c r="X1987" s="18"/>
    </row>
    <row r="1988" spans="13:24">
      <c r="M1988" s="558">
        <f t="shared" si="95"/>
        <v>1986</v>
      </c>
      <c r="N1988" s="15">
        <f t="shared" ref="N1988:N2051" si="96">IF(M1988&lt;$B$31+1,$B$32+$B$33/$B$31*(8760-M1988)+$B$34*IF(M1988&lt;$B$36-$B$31/(2*$B$35),1,IF(M1988&lt;$B$36+$B$31/(2*$B$35),COS(PI()/2*(M1988-($B$36-$B$31/(2*$B$35)))*$B$35/$B$31)^2,0))+$B$37*EXP((8760-M1988)/8760*$B$38)/EXP($B$38)-(8760-$B$31)*$B$33/$B$31,0)</f>
        <v>0.40514610623695491</v>
      </c>
      <c r="O1988" s="165">
        <f t="shared" ref="O1988:O2051" si="97">MIN(N1988,C$24)</f>
        <v>0.40514610623695491</v>
      </c>
      <c r="P1988" s="18"/>
      <c r="Q1988" s="18"/>
      <c r="R1988" s="18"/>
      <c r="S1988" s="18"/>
      <c r="T1988" s="18"/>
      <c r="U1988" s="18"/>
      <c r="V1988" s="18"/>
      <c r="W1988" s="18"/>
      <c r="X1988" s="18"/>
    </row>
    <row r="1989" spans="13:24">
      <c r="M1989" s="558">
        <f t="shared" ref="M1989:M2052" si="98">M1988+1</f>
        <v>1987</v>
      </c>
      <c r="N1989" s="15">
        <f t="shared" si="96"/>
        <v>0.40504809520774232</v>
      </c>
      <c r="O1989" s="165">
        <f t="shared" si="97"/>
        <v>0.40504809520774232</v>
      </c>
      <c r="P1989" s="18"/>
      <c r="Q1989" s="18"/>
      <c r="R1989" s="18"/>
      <c r="S1989" s="18"/>
      <c r="T1989" s="18"/>
      <c r="U1989" s="18"/>
      <c r="V1989" s="18"/>
      <c r="W1989" s="18"/>
      <c r="X1989" s="18"/>
    </row>
    <row r="1990" spans="13:24">
      <c r="M1990" s="558">
        <f t="shared" si="98"/>
        <v>1988</v>
      </c>
      <c r="N1990" s="15">
        <f t="shared" si="96"/>
        <v>0.40495014270944762</v>
      </c>
      <c r="O1990" s="165">
        <f t="shared" si="97"/>
        <v>0.40495014270944762</v>
      </c>
      <c r="P1990" s="18"/>
      <c r="Q1990" s="18"/>
      <c r="R1990" s="18"/>
      <c r="S1990" s="18"/>
      <c r="T1990" s="18"/>
      <c r="U1990" s="18"/>
      <c r="V1990" s="18"/>
      <c r="W1990" s="18"/>
      <c r="X1990" s="18"/>
    </row>
    <row r="1991" spans="13:24">
      <c r="M1991" s="558">
        <f t="shared" si="98"/>
        <v>1989</v>
      </c>
      <c r="N1991" s="15">
        <f t="shared" si="96"/>
        <v>0.40485224866861913</v>
      </c>
      <c r="O1991" s="165">
        <f t="shared" si="97"/>
        <v>0.40485224866861913</v>
      </c>
      <c r="P1991" s="18"/>
      <c r="Q1991" s="18"/>
      <c r="R1991" s="18"/>
      <c r="S1991" s="18"/>
      <c r="T1991" s="18"/>
      <c r="U1991" s="18"/>
      <c r="V1991" s="18"/>
      <c r="W1991" s="18"/>
      <c r="X1991" s="18"/>
    </row>
    <row r="1992" spans="13:24">
      <c r="M1992" s="558">
        <f t="shared" si="98"/>
        <v>1990</v>
      </c>
      <c r="N1992" s="15">
        <f t="shared" si="96"/>
        <v>0.40475441301189763</v>
      </c>
      <c r="O1992" s="165">
        <f t="shared" si="97"/>
        <v>0.40475441301189763</v>
      </c>
      <c r="P1992" s="18"/>
      <c r="Q1992" s="18"/>
      <c r="R1992" s="18"/>
      <c r="S1992" s="18"/>
      <c r="T1992" s="18"/>
      <c r="U1992" s="18"/>
      <c r="V1992" s="18"/>
      <c r="W1992" s="18"/>
      <c r="X1992" s="18"/>
    </row>
    <row r="1993" spans="13:24">
      <c r="M1993" s="558">
        <f t="shared" si="98"/>
        <v>1991</v>
      </c>
      <c r="N1993" s="15">
        <f t="shared" si="96"/>
        <v>0.40465663566601551</v>
      </c>
      <c r="O1993" s="165">
        <f t="shared" si="97"/>
        <v>0.40465663566601551</v>
      </c>
      <c r="P1993" s="18"/>
      <c r="Q1993" s="18"/>
      <c r="R1993" s="18"/>
      <c r="S1993" s="18"/>
      <c r="T1993" s="18"/>
      <c r="U1993" s="18"/>
      <c r="V1993" s="18"/>
      <c r="W1993" s="18"/>
      <c r="X1993" s="18"/>
    </row>
    <row r="1994" spans="13:24">
      <c r="M1994" s="558">
        <f t="shared" si="98"/>
        <v>1992</v>
      </c>
      <c r="N1994" s="15">
        <f t="shared" si="96"/>
        <v>0.40455891655779758</v>
      </c>
      <c r="O1994" s="165">
        <f t="shared" si="97"/>
        <v>0.40455891655779758</v>
      </c>
      <c r="P1994" s="18"/>
      <c r="Q1994" s="18"/>
      <c r="R1994" s="18"/>
      <c r="S1994" s="18"/>
      <c r="T1994" s="18"/>
      <c r="U1994" s="18"/>
      <c r="V1994" s="18"/>
      <c r="W1994" s="18"/>
      <c r="X1994" s="18"/>
    </row>
    <row r="1995" spans="13:24">
      <c r="M1995" s="558">
        <f t="shared" si="98"/>
        <v>1993</v>
      </c>
      <c r="N1995" s="15">
        <f t="shared" si="96"/>
        <v>0.40446125561416008</v>
      </c>
      <c r="O1995" s="165">
        <f t="shared" si="97"/>
        <v>0.40446125561416008</v>
      </c>
      <c r="P1995" s="18"/>
      <c r="Q1995" s="18"/>
      <c r="R1995" s="18"/>
      <c r="S1995" s="18"/>
      <c r="T1995" s="18"/>
      <c r="U1995" s="18"/>
      <c r="V1995" s="18"/>
      <c r="W1995" s="18"/>
      <c r="X1995" s="18"/>
    </row>
    <row r="1996" spans="13:24">
      <c r="M1996" s="558">
        <f t="shared" si="98"/>
        <v>1994</v>
      </c>
      <c r="N1996" s="15">
        <f t="shared" si="96"/>
        <v>0.40436365276211117</v>
      </c>
      <c r="O1996" s="165">
        <f t="shared" si="97"/>
        <v>0.40436365276211117</v>
      </c>
      <c r="P1996" s="18"/>
      <c r="Q1996" s="18"/>
      <c r="R1996" s="18"/>
      <c r="S1996" s="18"/>
      <c r="T1996" s="18"/>
      <c r="U1996" s="18"/>
      <c r="V1996" s="18"/>
      <c r="W1996" s="18"/>
      <c r="X1996" s="18"/>
    </row>
    <row r="1997" spans="13:24">
      <c r="M1997" s="558">
        <f t="shared" si="98"/>
        <v>1995</v>
      </c>
      <c r="N1997" s="15">
        <f t="shared" si="96"/>
        <v>0.40426610792875062</v>
      </c>
      <c r="O1997" s="165">
        <f t="shared" si="97"/>
        <v>0.40426610792875062</v>
      </c>
      <c r="P1997" s="18"/>
      <c r="Q1997" s="18"/>
      <c r="R1997" s="18"/>
      <c r="S1997" s="18"/>
      <c r="T1997" s="18"/>
      <c r="U1997" s="18"/>
      <c r="V1997" s="18"/>
      <c r="W1997" s="18"/>
      <c r="X1997" s="18"/>
    </row>
    <row r="1998" spans="13:24">
      <c r="M1998" s="558">
        <f t="shared" si="98"/>
        <v>1996</v>
      </c>
      <c r="N1998" s="15">
        <f t="shared" si="96"/>
        <v>0.40416862104126966</v>
      </c>
      <c r="O1998" s="165">
        <f t="shared" si="97"/>
        <v>0.40416862104126966</v>
      </c>
      <c r="P1998" s="18"/>
      <c r="Q1998" s="18"/>
      <c r="R1998" s="18"/>
      <c r="S1998" s="18"/>
      <c r="T1998" s="18"/>
      <c r="U1998" s="18"/>
      <c r="V1998" s="18"/>
      <c r="W1998" s="18"/>
      <c r="X1998" s="18"/>
    </row>
    <row r="1999" spans="13:24">
      <c r="M1999" s="558">
        <f t="shared" si="98"/>
        <v>1997</v>
      </c>
      <c r="N1999" s="15">
        <f t="shared" si="96"/>
        <v>0.40407119202695074</v>
      </c>
      <c r="O1999" s="165">
        <f t="shared" si="97"/>
        <v>0.40407119202695074</v>
      </c>
      <c r="P1999" s="18"/>
      <c r="Q1999" s="18"/>
      <c r="R1999" s="18"/>
      <c r="S1999" s="18"/>
      <c r="T1999" s="18"/>
      <c r="U1999" s="18"/>
      <c r="V1999" s="18"/>
      <c r="W1999" s="18"/>
      <c r="X1999" s="18"/>
    </row>
    <row r="2000" spans="13:24">
      <c r="M2000" s="558">
        <f t="shared" si="98"/>
        <v>1998</v>
      </c>
      <c r="N2000" s="15">
        <f t="shared" si="96"/>
        <v>0.40397382081316779</v>
      </c>
      <c r="O2000" s="165">
        <f t="shared" si="97"/>
        <v>0.40397382081316779</v>
      </c>
      <c r="P2000" s="18"/>
      <c r="Q2000" s="18"/>
      <c r="R2000" s="18"/>
      <c r="S2000" s="18"/>
      <c r="T2000" s="18"/>
      <c r="U2000" s="18"/>
      <c r="V2000" s="18"/>
      <c r="W2000" s="18"/>
      <c r="X2000" s="18"/>
    </row>
    <row r="2001" spans="13:24">
      <c r="M2001" s="558">
        <f t="shared" si="98"/>
        <v>1999</v>
      </c>
      <c r="N2001" s="15">
        <f t="shared" si="96"/>
        <v>0.40387650732738578</v>
      </c>
      <c r="O2001" s="165">
        <f t="shared" si="97"/>
        <v>0.40387650732738578</v>
      </c>
      <c r="P2001" s="18"/>
      <c r="Q2001" s="18"/>
      <c r="R2001" s="18"/>
      <c r="S2001" s="18"/>
      <c r="T2001" s="18"/>
      <c r="U2001" s="18"/>
      <c r="V2001" s="18"/>
      <c r="W2001" s="18"/>
      <c r="X2001" s="18"/>
    </row>
    <row r="2002" spans="13:24">
      <c r="M2002" s="558">
        <f t="shared" si="98"/>
        <v>2000</v>
      </c>
      <c r="N2002" s="15">
        <f t="shared" si="96"/>
        <v>0.40377925149716071</v>
      </c>
      <c r="O2002" s="165">
        <f t="shared" si="97"/>
        <v>0.40377925149716071</v>
      </c>
      <c r="P2002" s="18"/>
      <c r="Q2002" s="18"/>
      <c r="R2002" s="18"/>
      <c r="S2002" s="18"/>
      <c r="T2002" s="18"/>
      <c r="U2002" s="18"/>
      <c r="V2002" s="18"/>
      <c r="W2002" s="18"/>
      <c r="X2002" s="18"/>
    </row>
    <row r="2003" spans="13:24">
      <c r="M2003" s="558">
        <f t="shared" si="98"/>
        <v>2001</v>
      </c>
      <c r="N2003" s="15">
        <f t="shared" si="96"/>
        <v>0.40368205325013928</v>
      </c>
      <c r="O2003" s="165">
        <f t="shared" si="97"/>
        <v>0.40368205325013928</v>
      </c>
      <c r="P2003" s="18"/>
      <c r="Q2003" s="18"/>
      <c r="R2003" s="18"/>
      <c r="S2003" s="18"/>
      <c r="T2003" s="18"/>
      <c r="U2003" s="18"/>
      <c r="V2003" s="18"/>
      <c r="W2003" s="18"/>
      <c r="X2003" s="18"/>
    </row>
    <row r="2004" spans="13:24">
      <c r="M2004" s="558">
        <f t="shared" si="98"/>
        <v>2002</v>
      </c>
      <c r="N2004" s="15">
        <f t="shared" si="96"/>
        <v>0.40358491251405954</v>
      </c>
      <c r="O2004" s="165">
        <f t="shared" si="97"/>
        <v>0.40358491251405954</v>
      </c>
      <c r="P2004" s="18"/>
      <c r="Q2004" s="18"/>
      <c r="R2004" s="18"/>
      <c r="S2004" s="18"/>
      <c r="T2004" s="18"/>
      <c r="U2004" s="18"/>
      <c r="V2004" s="18"/>
      <c r="W2004" s="18"/>
      <c r="X2004" s="18"/>
    </row>
    <row r="2005" spans="13:24">
      <c r="M2005" s="558">
        <f t="shared" si="98"/>
        <v>2003</v>
      </c>
      <c r="N2005" s="15">
        <f t="shared" si="96"/>
        <v>0.40348782921674969</v>
      </c>
      <c r="O2005" s="165">
        <f t="shared" si="97"/>
        <v>0.40348782921674969</v>
      </c>
      <c r="P2005" s="18"/>
      <c r="Q2005" s="18"/>
      <c r="R2005" s="18"/>
      <c r="S2005" s="18"/>
      <c r="T2005" s="18"/>
      <c r="U2005" s="18"/>
      <c r="V2005" s="18"/>
      <c r="W2005" s="18"/>
      <c r="X2005" s="18"/>
    </row>
    <row r="2006" spans="13:24">
      <c r="M2006" s="558">
        <f t="shared" si="98"/>
        <v>2004</v>
      </c>
      <c r="N2006" s="15">
        <f t="shared" si="96"/>
        <v>0.40339080328612864</v>
      </c>
      <c r="O2006" s="165">
        <f t="shared" si="97"/>
        <v>0.40339080328612864</v>
      </c>
      <c r="P2006" s="18"/>
      <c r="Q2006" s="18"/>
      <c r="R2006" s="18"/>
      <c r="S2006" s="18"/>
      <c r="T2006" s="18"/>
      <c r="U2006" s="18"/>
      <c r="V2006" s="18"/>
      <c r="W2006" s="18"/>
      <c r="X2006" s="18"/>
    </row>
    <row r="2007" spans="13:24">
      <c r="M2007" s="558">
        <f t="shared" si="98"/>
        <v>2005</v>
      </c>
      <c r="N2007" s="15">
        <f t="shared" si="96"/>
        <v>0.40329383465020591</v>
      </c>
      <c r="O2007" s="165">
        <f t="shared" si="97"/>
        <v>0.40329383465020591</v>
      </c>
      <c r="P2007" s="18"/>
      <c r="Q2007" s="18"/>
      <c r="R2007" s="18"/>
      <c r="S2007" s="18"/>
      <c r="T2007" s="18"/>
      <c r="U2007" s="18"/>
      <c r="V2007" s="18"/>
      <c r="W2007" s="18"/>
      <c r="X2007" s="18"/>
    </row>
    <row r="2008" spans="13:24">
      <c r="M2008" s="558">
        <f t="shared" si="98"/>
        <v>2006</v>
      </c>
      <c r="N2008" s="15">
        <f t="shared" si="96"/>
        <v>0.40319692323708123</v>
      </c>
      <c r="O2008" s="165">
        <f t="shared" si="97"/>
        <v>0.40319692323708123</v>
      </c>
      <c r="P2008" s="18"/>
      <c r="Q2008" s="18"/>
      <c r="R2008" s="18"/>
      <c r="S2008" s="18"/>
      <c r="T2008" s="18"/>
      <c r="U2008" s="18"/>
      <c r="V2008" s="18"/>
      <c r="W2008" s="18"/>
      <c r="X2008" s="18"/>
    </row>
    <row r="2009" spans="13:24">
      <c r="M2009" s="558">
        <f t="shared" si="98"/>
        <v>2007</v>
      </c>
      <c r="N2009" s="15">
        <f t="shared" si="96"/>
        <v>0.40310006897494449</v>
      </c>
      <c r="O2009" s="165">
        <f t="shared" si="97"/>
        <v>0.40310006897494449</v>
      </c>
      <c r="P2009" s="18"/>
      <c r="Q2009" s="18"/>
      <c r="R2009" s="18"/>
      <c r="S2009" s="18"/>
      <c r="T2009" s="18"/>
      <c r="U2009" s="18"/>
      <c r="V2009" s="18"/>
      <c r="W2009" s="18"/>
      <c r="X2009" s="18"/>
    </row>
    <row r="2010" spans="13:24">
      <c r="M2010" s="558">
        <f t="shared" si="98"/>
        <v>2008</v>
      </c>
      <c r="N2010" s="15">
        <f t="shared" si="96"/>
        <v>0.4030032717920759</v>
      </c>
      <c r="O2010" s="165">
        <f t="shared" si="97"/>
        <v>0.4030032717920759</v>
      </c>
      <c r="P2010" s="18"/>
      <c r="Q2010" s="18"/>
      <c r="R2010" s="18"/>
      <c r="S2010" s="18"/>
      <c r="T2010" s="18"/>
      <c r="U2010" s="18"/>
      <c r="V2010" s="18"/>
      <c r="W2010" s="18"/>
      <c r="X2010" s="18"/>
    </row>
    <row r="2011" spans="13:24">
      <c r="M2011" s="558">
        <f t="shared" si="98"/>
        <v>2009</v>
      </c>
      <c r="N2011" s="15">
        <f t="shared" si="96"/>
        <v>0.40290653161684553</v>
      </c>
      <c r="O2011" s="165">
        <f t="shared" si="97"/>
        <v>0.40290653161684553</v>
      </c>
      <c r="P2011" s="18"/>
      <c r="Q2011" s="18"/>
      <c r="R2011" s="18"/>
      <c r="S2011" s="18"/>
      <c r="T2011" s="18"/>
      <c r="U2011" s="18"/>
      <c r="V2011" s="18"/>
      <c r="W2011" s="18"/>
      <c r="X2011" s="18"/>
    </row>
    <row r="2012" spans="13:24">
      <c r="M2012" s="558">
        <f t="shared" si="98"/>
        <v>2010</v>
      </c>
      <c r="N2012" s="15">
        <f t="shared" si="96"/>
        <v>0.40280984837771333</v>
      </c>
      <c r="O2012" s="165">
        <f t="shared" si="97"/>
        <v>0.40280984837771333</v>
      </c>
      <c r="P2012" s="18"/>
      <c r="Q2012" s="18"/>
      <c r="R2012" s="18"/>
      <c r="S2012" s="18"/>
      <c r="T2012" s="18"/>
      <c r="U2012" s="18"/>
      <c r="V2012" s="18"/>
      <c r="W2012" s="18"/>
      <c r="X2012" s="18"/>
    </row>
    <row r="2013" spans="13:24">
      <c r="M2013" s="558">
        <f t="shared" si="98"/>
        <v>2011</v>
      </c>
      <c r="N2013" s="15">
        <f t="shared" si="96"/>
        <v>0.40271322200322923</v>
      </c>
      <c r="O2013" s="165">
        <f t="shared" si="97"/>
        <v>0.40271322200322923</v>
      </c>
      <c r="P2013" s="18"/>
      <c r="Q2013" s="18"/>
      <c r="R2013" s="18"/>
      <c r="S2013" s="18"/>
      <c r="T2013" s="18"/>
      <c r="U2013" s="18"/>
      <c r="V2013" s="18"/>
      <c r="W2013" s="18"/>
      <c r="X2013" s="18"/>
    </row>
    <row r="2014" spans="13:24">
      <c r="M2014" s="558">
        <f t="shared" si="98"/>
        <v>2012</v>
      </c>
      <c r="N2014" s="15">
        <f t="shared" si="96"/>
        <v>0.40261665242203243</v>
      </c>
      <c r="O2014" s="165">
        <f t="shared" si="97"/>
        <v>0.40261665242203243</v>
      </c>
      <c r="P2014" s="18"/>
      <c r="Q2014" s="18"/>
      <c r="R2014" s="18"/>
      <c r="S2014" s="18"/>
      <c r="T2014" s="18"/>
      <c r="U2014" s="18"/>
      <c r="V2014" s="18"/>
      <c r="W2014" s="18"/>
      <c r="X2014" s="18"/>
    </row>
    <row r="2015" spans="13:24">
      <c r="M2015" s="558">
        <f t="shared" si="98"/>
        <v>2013</v>
      </c>
      <c r="N2015" s="15">
        <f t="shared" si="96"/>
        <v>0.40252013956285204</v>
      </c>
      <c r="O2015" s="165">
        <f t="shared" si="97"/>
        <v>0.40252013956285204</v>
      </c>
      <c r="P2015" s="18"/>
      <c r="Q2015" s="18"/>
      <c r="R2015" s="18"/>
      <c r="S2015" s="18"/>
      <c r="T2015" s="18"/>
      <c r="U2015" s="18"/>
      <c r="V2015" s="18"/>
      <c r="W2015" s="18"/>
      <c r="X2015" s="18"/>
    </row>
    <row r="2016" spans="13:24">
      <c r="M2016" s="558">
        <f t="shared" si="98"/>
        <v>2014</v>
      </c>
      <c r="N2016" s="15">
        <f t="shared" si="96"/>
        <v>0.40242368335450651</v>
      </c>
      <c r="O2016" s="165">
        <f t="shared" si="97"/>
        <v>0.40242368335450651</v>
      </c>
      <c r="P2016" s="18"/>
      <c r="Q2016" s="18"/>
      <c r="R2016" s="18"/>
      <c r="S2016" s="18"/>
      <c r="T2016" s="18"/>
      <c r="U2016" s="18"/>
      <c r="V2016" s="18"/>
      <c r="W2016" s="18"/>
      <c r="X2016" s="18"/>
    </row>
    <row r="2017" spans="13:24">
      <c r="M2017" s="558">
        <f t="shared" si="98"/>
        <v>2015</v>
      </c>
      <c r="N2017" s="15">
        <f t="shared" si="96"/>
        <v>0.40232728372590354</v>
      </c>
      <c r="O2017" s="165">
        <f t="shared" si="97"/>
        <v>0.40232728372590354</v>
      </c>
      <c r="P2017" s="18"/>
      <c r="Q2017" s="18"/>
      <c r="R2017" s="18"/>
      <c r="S2017" s="18"/>
      <c r="T2017" s="18"/>
      <c r="U2017" s="18"/>
      <c r="V2017" s="18"/>
      <c r="W2017" s="18"/>
      <c r="X2017" s="18"/>
    </row>
    <row r="2018" spans="13:24">
      <c r="M2018" s="558">
        <f t="shared" si="98"/>
        <v>2016</v>
      </c>
      <c r="N2018" s="15">
        <f t="shared" si="96"/>
        <v>0.40223094060604009</v>
      </c>
      <c r="O2018" s="165">
        <f t="shared" si="97"/>
        <v>0.40223094060604009</v>
      </c>
      <c r="P2018" s="18"/>
      <c r="Q2018" s="18"/>
      <c r="R2018" s="18"/>
      <c r="S2018" s="18"/>
      <c r="T2018" s="18"/>
      <c r="U2018" s="18"/>
      <c r="V2018" s="18"/>
      <c r="W2018" s="18"/>
      <c r="X2018" s="18"/>
    </row>
    <row r="2019" spans="13:24">
      <c r="M2019" s="558">
        <f t="shared" si="98"/>
        <v>2017</v>
      </c>
      <c r="N2019" s="15">
        <f t="shared" si="96"/>
        <v>0.40213465392400227</v>
      </c>
      <c r="O2019" s="165">
        <f t="shared" si="97"/>
        <v>0.40213465392400227</v>
      </c>
      <c r="P2019" s="18"/>
      <c r="Q2019" s="18"/>
      <c r="R2019" s="18"/>
      <c r="S2019" s="18"/>
      <c r="T2019" s="18"/>
      <c r="U2019" s="18"/>
      <c r="V2019" s="18"/>
      <c r="W2019" s="18"/>
      <c r="X2019" s="18"/>
    </row>
    <row r="2020" spans="13:24">
      <c r="M2020" s="558">
        <f t="shared" si="98"/>
        <v>2018</v>
      </c>
      <c r="N2020" s="15">
        <f t="shared" si="96"/>
        <v>0.40203842360896513</v>
      </c>
      <c r="O2020" s="165">
        <f t="shared" si="97"/>
        <v>0.40203842360896513</v>
      </c>
      <c r="P2020" s="18"/>
      <c r="Q2020" s="18"/>
      <c r="R2020" s="18"/>
      <c r="S2020" s="18"/>
      <c r="T2020" s="18"/>
      <c r="U2020" s="18"/>
      <c r="V2020" s="18"/>
      <c r="W2020" s="18"/>
      <c r="X2020" s="18"/>
    </row>
    <row r="2021" spans="13:24">
      <c r="M2021" s="558">
        <f t="shared" si="98"/>
        <v>2019</v>
      </c>
      <c r="N2021" s="15">
        <f t="shared" si="96"/>
        <v>0.40194224959019259</v>
      </c>
      <c r="O2021" s="165">
        <f t="shared" si="97"/>
        <v>0.40194224959019259</v>
      </c>
      <c r="P2021" s="18"/>
      <c r="Q2021" s="18"/>
      <c r="R2021" s="18"/>
      <c r="S2021" s="18"/>
      <c r="T2021" s="18"/>
      <c r="U2021" s="18"/>
      <c r="V2021" s="18"/>
      <c r="W2021" s="18"/>
      <c r="X2021" s="18"/>
    </row>
    <row r="2022" spans="13:24">
      <c r="M2022" s="558">
        <f t="shared" si="98"/>
        <v>2020</v>
      </c>
      <c r="N2022" s="15">
        <f t="shared" si="96"/>
        <v>0.40184613179703732</v>
      </c>
      <c r="O2022" s="165">
        <f t="shared" si="97"/>
        <v>0.40184613179703732</v>
      </c>
      <c r="P2022" s="18"/>
      <c r="Q2022" s="18"/>
      <c r="R2022" s="18"/>
      <c r="S2022" s="18"/>
      <c r="T2022" s="18"/>
      <c r="U2022" s="18"/>
      <c r="V2022" s="18"/>
      <c r="W2022" s="18"/>
      <c r="X2022" s="18"/>
    </row>
    <row r="2023" spans="13:24">
      <c r="M2023" s="558">
        <f t="shared" si="98"/>
        <v>2021</v>
      </c>
      <c r="N2023" s="15">
        <f t="shared" si="96"/>
        <v>0.40175007015894082</v>
      </c>
      <c r="O2023" s="165">
        <f t="shared" si="97"/>
        <v>0.40175007015894082</v>
      </c>
      <c r="P2023" s="18"/>
      <c r="Q2023" s="18"/>
      <c r="R2023" s="18"/>
      <c r="S2023" s="18"/>
      <c r="T2023" s="18"/>
      <c r="U2023" s="18"/>
      <c r="V2023" s="18"/>
      <c r="W2023" s="18"/>
      <c r="X2023" s="18"/>
    </row>
    <row r="2024" spans="13:24">
      <c r="M2024" s="558">
        <f t="shared" si="98"/>
        <v>2022</v>
      </c>
      <c r="N2024" s="15">
        <f t="shared" si="96"/>
        <v>0.40165406460543285</v>
      </c>
      <c r="O2024" s="165">
        <f t="shared" si="97"/>
        <v>0.40165406460543285</v>
      </c>
      <c r="P2024" s="18"/>
      <c r="Q2024" s="18"/>
      <c r="R2024" s="18"/>
      <c r="S2024" s="18"/>
      <c r="T2024" s="18"/>
      <c r="U2024" s="18"/>
      <c r="V2024" s="18"/>
      <c r="W2024" s="18"/>
      <c r="X2024" s="18"/>
    </row>
    <row r="2025" spans="13:24">
      <c r="M2025" s="558">
        <f t="shared" si="98"/>
        <v>2023</v>
      </c>
      <c r="N2025" s="15">
        <f t="shared" si="96"/>
        <v>0.40155811506613182</v>
      </c>
      <c r="O2025" s="165">
        <f t="shared" si="97"/>
        <v>0.40155811506613182</v>
      </c>
      <c r="P2025" s="18"/>
      <c r="Q2025" s="18"/>
      <c r="R2025" s="18"/>
      <c r="S2025" s="18"/>
      <c r="T2025" s="18"/>
      <c r="U2025" s="18"/>
      <c r="V2025" s="18"/>
      <c r="W2025" s="18"/>
      <c r="X2025" s="18"/>
    </row>
    <row r="2026" spans="13:24">
      <c r="M2026" s="558">
        <f t="shared" si="98"/>
        <v>2024</v>
      </c>
      <c r="N2026" s="15">
        <f t="shared" si="96"/>
        <v>0.40146222147074451</v>
      </c>
      <c r="O2026" s="165">
        <f t="shared" si="97"/>
        <v>0.40146222147074451</v>
      </c>
      <c r="P2026" s="18"/>
      <c r="Q2026" s="18"/>
      <c r="R2026" s="18"/>
      <c r="S2026" s="18"/>
      <c r="T2026" s="18"/>
      <c r="U2026" s="18"/>
      <c r="V2026" s="18"/>
      <c r="W2026" s="18"/>
      <c r="X2026" s="18"/>
    </row>
    <row r="2027" spans="13:24">
      <c r="M2027" s="558">
        <f t="shared" si="98"/>
        <v>2025</v>
      </c>
      <c r="N2027" s="15">
        <f t="shared" si="96"/>
        <v>0.40136638374906553</v>
      </c>
      <c r="O2027" s="165">
        <f t="shared" si="97"/>
        <v>0.40136638374906553</v>
      </c>
      <c r="P2027" s="18"/>
      <c r="Q2027" s="18"/>
      <c r="R2027" s="18"/>
      <c r="S2027" s="18"/>
      <c r="T2027" s="18"/>
      <c r="U2027" s="18"/>
      <c r="V2027" s="18"/>
      <c r="W2027" s="18"/>
      <c r="X2027" s="18"/>
    </row>
    <row r="2028" spans="13:24">
      <c r="M2028" s="558">
        <f t="shared" si="98"/>
        <v>2026</v>
      </c>
      <c r="N2028" s="15">
        <f t="shared" si="96"/>
        <v>0.40127060183097818</v>
      </c>
      <c r="O2028" s="165">
        <f t="shared" si="97"/>
        <v>0.40127060183097818</v>
      </c>
      <c r="P2028" s="18"/>
      <c r="Q2028" s="18"/>
      <c r="R2028" s="18"/>
      <c r="S2028" s="18"/>
      <c r="T2028" s="18"/>
      <c r="U2028" s="18"/>
      <c r="V2028" s="18"/>
      <c r="W2028" s="18"/>
      <c r="X2028" s="18"/>
    </row>
    <row r="2029" spans="13:24">
      <c r="M2029" s="558">
        <f t="shared" si="98"/>
        <v>2027</v>
      </c>
      <c r="N2029" s="15">
        <f t="shared" si="96"/>
        <v>0.40117487564645321</v>
      </c>
      <c r="O2029" s="165">
        <f t="shared" si="97"/>
        <v>0.40117487564645321</v>
      </c>
      <c r="P2029" s="18"/>
      <c r="Q2029" s="18"/>
      <c r="R2029" s="18"/>
      <c r="S2029" s="18"/>
      <c r="T2029" s="18"/>
      <c r="U2029" s="18"/>
      <c r="V2029" s="18"/>
      <c r="W2029" s="18"/>
      <c r="X2029" s="18"/>
    </row>
    <row r="2030" spans="13:24">
      <c r="M2030" s="558">
        <f t="shared" si="98"/>
        <v>2028</v>
      </c>
      <c r="N2030" s="15">
        <f t="shared" si="96"/>
        <v>0.40107920512554951</v>
      </c>
      <c r="O2030" s="165">
        <f t="shared" si="97"/>
        <v>0.40107920512554951</v>
      </c>
      <c r="P2030" s="18"/>
      <c r="Q2030" s="18"/>
      <c r="R2030" s="18"/>
      <c r="S2030" s="18"/>
      <c r="T2030" s="18"/>
      <c r="U2030" s="18"/>
      <c r="V2030" s="18"/>
      <c r="W2030" s="18"/>
      <c r="X2030" s="18"/>
    </row>
    <row r="2031" spans="13:24">
      <c r="M2031" s="558">
        <f t="shared" si="98"/>
        <v>2029</v>
      </c>
      <c r="N2031" s="15">
        <f t="shared" si="96"/>
        <v>0.40098359019841379</v>
      </c>
      <c r="O2031" s="165">
        <f t="shared" si="97"/>
        <v>0.40098359019841379</v>
      </c>
      <c r="P2031" s="18"/>
      <c r="Q2031" s="18"/>
      <c r="R2031" s="18"/>
      <c r="S2031" s="18"/>
      <c r="T2031" s="18"/>
      <c r="U2031" s="18"/>
      <c r="V2031" s="18"/>
      <c r="W2031" s="18"/>
      <c r="X2031" s="18"/>
    </row>
    <row r="2032" spans="13:24">
      <c r="M2032" s="558">
        <f t="shared" si="98"/>
        <v>2030</v>
      </c>
      <c r="N2032" s="15">
        <f t="shared" si="96"/>
        <v>0.40088803079528035</v>
      </c>
      <c r="O2032" s="165">
        <f t="shared" si="97"/>
        <v>0.40088803079528035</v>
      </c>
      <c r="P2032" s="18"/>
      <c r="Q2032" s="18"/>
      <c r="R2032" s="18"/>
      <c r="S2032" s="18"/>
      <c r="T2032" s="18"/>
      <c r="U2032" s="18"/>
      <c r="V2032" s="18"/>
      <c r="W2032" s="18"/>
      <c r="X2032" s="18"/>
    </row>
    <row r="2033" spans="13:24">
      <c r="M2033" s="558">
        <f t="shared" si="98"/>
        <v>2031</v>
      </c>
      <c r="N2033" s="15">
        <f t="shared" si="96"/>
        <v>0.40079252684647082</v>
      </c>
      <c r="O2033" s="165">
        <f t="shared" si="97"/>
        <v>0.40079252684647082</v>
      </c>
      <c r="P2033" s="18"/>
      <c r="Q2033" s="18"/>
      <c r="R2033" s="18"/>
      <c r="S2033" s="18"/>
      <c r="T2033" s="18"/>
      <c r="U2033" s="18"/>
      <c r="V2033" s="18"/>
      <c r="W2033" s="18"/>
      <c r="X2033" s="18"/>
    </row>
    <row r="2034" spans="13:24">
      <c r="M2034" s="558">
        <f t="shared" si="98"/>
        <v>2032</v>
      </c>
      <c r="N2034" s="15">
        <f t="shared" si="96"/>
        <v>0.40069707828239465</v>
      </c>
      <c r="O2034" s="165">
        <f t="shared" si="97"/>
        <v>0.40069707828239465</v>
      </c>
      <c r="P2034" s="18"/>
      <c r="Q2034" s="18"/>
      <c r="R2034" s="18"/>
      <c r="S2034" s="18"/>
      <c r="T2034" s="18"/>
      <c r="U2034" s="18"/>
      <c r="V2034" s="18"/>
      <c r="W2034" s="18"/>
      <c r="X2034" s="18"/>
    </row>
    <row r="2035" spans="13:24">
      <c r="M2035" s="558">
        <f t="shared" si="98"/>
        <v>2033</v>
      </c>
      <c r="N2035" s="15">
        <f t="shared" si="96"/>
        <v>0.40060168503354854</v>
      </c>
      <c r="O2035" s="165">
        <f t="shared" si="97"/>
        <v>0.40060168503354854</v>
      </c>
      <c r="P2035" s="18"/>
      <c r="Q2035" s="18"/>
      <c r="R2035" s="18"/>
      <c r="S2035" s="18"/>
      <c r="T2035" s="18"/>
      <c r="U2035" s="18"/>
      <c r="V2035" s="18"/>
      <c r="W2035" s="18"/>
      <c r="X2035" s="18"/>
    </row>
    <row r="2036" spans="13:24">
      <c r="M2036" s="558">
        <f t="shared" si="98"/>
        <v>2034</v>
      </c>
      <c r="N2036" s="15">
        <f t="shared" si="96"/>
        <v>0.40050634703051613</v>
      </c>
      <c r="O2036" s="165">
        <f t="shared" si="97"/>
        <v>0.40050634703051613</v>
      </c>
      <c r="P2036" s="18"/>
      <c r="Q2036" s="18"/>
      <c r="R2036" s="18"/>
      <c r="S2036" s="18"/>
      <c r="T2036" s="18"/>
      <c r="U2036" s="18"/>
      <c r="V2036" s="18"/>
      <c r="W2036" s="18"/>
      <c r="X2036" s="18"/>
    </row>
    <row r="2037" spans="13:24">
      <c r="M2037" s="558">
        <f t="shared" si="98"/>
        <v>2035</v>
      </c>
      <c r="N2037" s="15">
        <f t="shared" si="96"/>
        <v>0.40041106420396833</v>
      </c>
      <c r="O2037" s="165">
        <f t="shared" si="97"/>
        <v>0.40041106420396833</v>
      </c>
      <c r="P2037" s="18"/>
      <c r="Q2037" s="18"/>
      <c r="R2037" s="18"/>
      <c r="S2037" s="18"/>
      <c r="T2037" s="18"/>
      <c r="U2037" s="18"/>
      <c r="V2037" s="18"/>
      <c r="W2037" s="18"/>
      <c r="X2037" s="18"/>
    </row>
    <row r="2038" spans="13:24">
      <c r="M2038" s="558">
        <f t="shared" si="98"/>
        <v>2036</v>
      </c>
      <c r="N2038" s="15">
        <f t="shared" si="96"/>
        <v>0.40031583648466329</v>
      </c>
      <c r="O2038" s="165">
        <f t="shared" si="97"/>
        <v>0.40031583648466329</v>
      </c>
      <c r="P2038" s="18"/>
      <c r="Q2038" s="18"/>
      <c r="R2038" s="18"/>
      <c r="S2038" s="18"/>
      <c r="T2038" s="18"/>
      <c r="U2038" s="18"/>
      <c r="V2038" s="18"/>
      <c r="W2038" s="18"/>
      <c r="X2038" s="18"/>
    </row>
    <row r="2039" spans="13:24">
      <c r="M2039" s="558">
        <f t="shared" si="98"/>
        <v>2037</v>
      </c>
      <c r="N2039" s="15">
        <f t="shared" si="96"/>
        <v>0.40022066380344573</v>
      </c>
      <c r="O2039" s="165">
        <f t="shared" si="97"/>
        <v>0.40022066380344573</v>
      </c>
      <c r="P2039" s="18"/>
      <c r="Q2039" s="18"/>
      <c r="R2039" s="18"/>
      <c r="S2039" s="18"/>
      <c r="T2039" s="18"/>
      <c r="U2039" s="18"/>
      <c r="V2039" s="18"/>
      <c r="W2039" s="18"/>
      <c r="X2039" s="18"/>
    </row>
    <row r="2040" spans="13:24">
      <c r="M2040" s="558">
        <f t="shared" si="98"/>
        <v>2038</v>
      </c>
      <c r="N2040" s="15">
        <f t="shared" si="96"/>
        <v>0.40012554609124718</v>
      </c>
      <c r="O2040" s="165">
        <f t="shared" si="97"/>
        <v>0.40012554609124718</v>
      </c>
      <c r="P2040" s="18"/>
      <c r="Q2040" s="18"/>
      <c r="R2040" s="18"/>
      <c r="S2040" s="18"/>
      <c r="T2040" s="18"/>
      <c r="U2040" s="18"/>
      <c r="V2040" s="18"/>
      <c r="W2040" s="18"/>
      <c r="X2040" s="18"/>
    </row>
    <row r="2041" spans="13:24">
      <c r="M2041" s="558">
        <f t="shared" si="98"/>
        <v>2039</v>
      </c>
      <c r="N2041" s="15">
        <f t="shared" si="96"/>
        <v>0.40003048327908608</v>
      </c>
      <c r="O2041" s="165">
        <f t="shared" si="97"/>
        <v>0.40003048327908608</v>
      </c>
      <c r="P2041" s="18"/>
      <c r="Q2041" s="18"/>
      <c r="R2041" s="18"/>
      <c r="S2041" s="18"/>
      <c r="T2041" s="18"/>
      <c r="U2041" s="18"/>
      <c r="V2041" s="18"/>
      <c r="W2041" s="18"/>
      <c r="X2041" s="18"/>
    </row>
    <row r="2042" spans="13:24">
      <c r="M2042" s="558">
        <f t="shared" si="98"/>
        <v>2040</v>
      </c>
      <c r="N2042" s="15">
        <f t="shared" si="96"/>
        <v>0.39993547529806733</v>
      </c>
      <c r="O2042" s="165">
        <f t="shared" si="97"/>
        <v>0.39993547529806733</v>
      </c>
      <c r="P2042" s="18"/>
      <c r="Q2042" s="18"/>
      <c r="R2042" s="18"/>
      <c r="S2042" s="18"/>
      <c r="T2042" s="18"/>
      <c r="U2042" s="18"/>
      <c r="V2042" s="18"/>
      <c r="W2042" s="18"/>
      <c r="X2042" s="18"/>
    </row>
    <row r="2043" spans="13:24">
      <c r="M2043" s="558">
        <f t="shared" si="98"/>
        <v>2041</v>
      </c>
      <c r="N2043" s="15">
        <f t="shared" si="96"/>
        <v>0.39984052207938203</v>
      </c>
      <c r="O2043" s="165">
        <f t="shared" si="97"/>
        <v>0.39984052207938203</v>
      </c>
      <c r="P2043" s="18"/>
      <c r="Q2043" s="18"/>
      <c r="R2043" s="18"/>
      <c r="S2043" s="18"/>
      <c r="T2043" s="18"/>
      <c r="U2043" s="18"/>
      <c r="V2043" s="18"/>
      <c r="W2043" s="18"/>
      <c r="X2043" s="18"/>
    </row>
    <row r="2044" spans="13:24">
      <c r="M2044" s="558">
        <f t="shared" si="98"/>
        <v>2042</v>
      </c>
      <c r="N2044" s="15">
        <f t="shared" si="96"/>
        <v>0.39974562355430804</v>
      </c>
      <c r="O2044" s="165">
        <f t="shared" si="97"/>
        <v>0.39974562355430804</v>
      </c>
      <c r="P2044" s="18"/>
      <c r="Q2044" s="18"/>
      <c r="R2044" s="18"/>
      <c r="S2044" s="18"/>
      <c r="T2044" s="18"/>
      <c r="U2044" s="18"/>
      <c r="V2044" s="18"/>
      <c r="W2044" s="18"/>
      <c r="X2044" s="18"/>
    </row>
    <row r="2045" spans="13:24">
      <c r="M2045" s="558">
        <f t="shared" si="98"/>
        <v>2043</v>
      </c>
      <c r="N2045" s="15">
        <f t="shared" si="96"/>
        <v>0.39965077965420925</v>
      </c>
      <c r="O2045" s="165">
        <f t="shared" si="97"/>
        <v>0.39965077965420925</v>
      </c>
      <c r="P2045" s="18"/>
      <c r="Q2045" s="18"/>
      <c r="R2045" s="18"/>
      <c r="S2045" s="18"/>
      <c r="T2045" s="18"/>
      <c r="U2045" s="18"/>
      <c r="V2045" s="18"/>
      <c r="W2045" s="18"/>
      <c r="X2045" s="18"/>
    </row>
    <row r="2046" spans="13:24">
      <c r="M2046" s="558">
        <f t="shared" si="98"/>
        <v>2044</v>
      </c>
      <c r="N2046" s="15">
        <f t="shared" si="96"/>
        <v>0.39955599031053568</v>
      </c>
      <c r="O2046" s="165">
        <f t="shared" si="97"/>
        <v>0.39955599031053568</v>
      </c>
      <c r="P2046" s="18"/>
      <c r="Q2046" s="18"/>
      <c r="R2046" s="18"/>
      <c r="S2046" s="18"/>
      <c r="T2046" s="18"/>
      <c r="U2046" s="18"/>
      <c r="V2046" s="18"/>
      <c r="W2046" s="18"/>
      <c r="X2046" s="18"/>
    </row>
    <row r="2047" spans="13:24">
      <c r="M2047" s="558">
        <f t="shared" si="98"/>
        <v>2045</v>
      </c>
      <c r="N2047" s="15">
        <f t="shared" si="96"/>
        <v>0.39946125545482336</v>
      </c>
      <c r="O2047" s="165">
        <f t="shared" si="97"/>
        <v>0.39946125545482336</v>
      </c>
      <c r="P2047" s="18"/>
      <c r="Q2047" s="18"/>
      <c r="R2047" s="18"/>
      <c r="S2047" s="18"/>
      <c r="T2047" s="18"/>
      <c r="U2047" s="18"/>
      <c r="V2047" s="18"/>
      <c r="W2047" s="18"/>
      <c r="X2047" s="18"/>
    </row>
    <row r="2048" spans="13:24">
      <c r="M2048" s="558">
        <f t="shared" si="98"/>
        <v>2046</v>
      </c>
      <c r="N2048" s="15">
        <f t="shared" si="96"/>
        <v>0.39936657501869427</v>
      </c>
      <c r="O2048" s="165">
        <f t="shared" si="97"/>
        <v>0.39936657501869427</v>
      </c>
      <c r="P2048" s="18"/>
      <c r="Q2048" s="18"/>
      <c r="R2048" s="18"/>
      <c r="S2048" s="18"/>
      <c r="T2048" s="18"/>
      <c r="U2048" s="18"/>
      <c r="V2048" s="18"/>
      <c r="W2048" s="18"/>
      <c r="X2048" s="18"/>
    </row>
    <row r="2049" spans="13:24">
      <c r="M2049" s="558">
        <f t="shared" si="98"/>
        <v>2047</v>
      </c>
      <c r="N2049" s="15">
        <f t="shared" si="96"/>
        <v>0.3992719489338562</v>
      </c>
      <c r="O2049" s="165">
        <f t="shared" si="97"/>
        <v>0.3992719489338562</v>
      </c>
      <c r="P2049" s="18"/>
      <c r="Q2049" s="18"/>
      <c r="R2049" s="18"/>
      <c r="S2049" s="18"/>
      <c r="T2049" s="18"/>
      <c r="U2049" s="18"/>
      <c r="V2049" s="18"/>
      <c r="W2049" s="18"/>
      <c r="X2049" s="18"/>
    </row>
    <row r="2050" spans="13:24">
      <c r="M2050" s="558">
        <f t="shared" si="98"/>
        <v>2048</v>
      </c>
      <c r="N2050" s="15">
        <f t="shared" si="96"/>
        <v>0.39917737713210277</v>
      </c>
      <c r="O2050" s="165">
        <f t="shared" si="97"/>
        <v>0.39917737713210277</v>
      </c>
      <c r="P2050" s="18"/>
      <c r="Q2050" s="18"/>
      <c r="R2050" s="18"/>
      <c r="S2050" s="18"/>
      <c r="T2050" s="18"/>
      <c r="U2050" s="18"/>
      <c r="V2050" s="18"/>
      <c r="W2050" s="18"/>
      <c r="X2050" s="18"/>
    </row>
    <row r="2051" spans="13:24">
      <c r="M2051" s="558">
        <f t="shared" si="98"/>
        <v>2049</v>
      </c>
      <c r="N2051" s="15">
        <f t="shared" si="96"/>
        <v>0.39908285954531292</v>
      </c>
      <c r="O2051" s="165">
        <f t="shared" si="97"/>
        <v>0.39908285954531292</v>
      </c>
      <c r="P2051" s="18"/>
      <c r="Q2051" s="18"/>
      <c r="R2051" s="18"/>
      <c r="S2051" s="18"/>
      <c r="T2051" s="18"/>
      <c r="U2051" s="18"/>
      <c r="V2051" s="18"/>
      <c r="W2051" s="18"/>
      <c r="X2051" s="18"/>
    </row>
    <row r="2052" spans="13:24">
      <c r="M2052" s="558">
        <f t="shared" si="98"/>
        <v>2050</v>
      </c>
      <c r="N2052" s="15">
        <f t="shared" ref="N2052:N2115" si="99">IF(M2052&lt;$B$31+1,$B$32+$B$33/$B$31*(8760-M2052)+$B$34*IF(M2052&lt;$B$36-$B$31/(2*$B$35),1,IF(M2052&lt;$B$36+$B$31/(2*$B$35),COS(PI()/2*(M2052-($B$36-$B$31/(2*$B$35)))*$B$35/$B$31)^2,0))+$B$37*EXP((8760-M2052)/8760*$B$38)/EXP($B$38)-(8760-$B$31)*$B$33/$B$31,0)</f>
        <v>0.39898839610545123</v>
      </c>
      <c r="O2052" s="165">
        <f t="shared" ref="O2052:O2115" si="100">MIN(N2052,C$24)</f>
        <v>0.39898839610545123</v>
      </c>
      <c r="P2052" s="18"/>
      <c r="Q2052" s="18"/>
      <c r="R2052" s="18"/>
      <c r="S2052" s="18"/>
      <c r="T2052" s="18"/>
      <c r="U2052" s="18"/>
      <c r="V2052" s="18"/>
      <c r="W2052" s="18"/>
      <c r="X2052" s="18"/>
    </row>
    <row r="2053" spans="13:24">
      <c r="M2053" s="558">
        <f t="shared" ref="M2053:M2116" si="101">M2052+1</f>
        <v>2051</v>
      </c>
      <c r="N2053" s="15">
        <f t="shared" si="99"/>
        <v>0.39889398674456777</v>
      </c>
      <c r="O2053" s="165">
        <f t="shared" si="100"/>
        <v>0.39889398674456777</v>
      </c>
      <c r="P2053" s="18"/>
      <c r="Q2053" s="18"/>
      <c r="R2053" s="18"/>
      <c r="S2053" s="18"/>
      <c r="T2053" s="18"/>
      <c r="U2053" s="18"/>
      <c r="V2053" s="18"/>
      <c r="W2053" s="18"/>
      <c r="X2053" s="18"/>
    </row>
    <row r="2054" spans="13:24">
      <c r="M2054" s="558">
        <f t="shared" si="101"/>
        <v>2052</v>
      </c>
      <c r="N2054" s="15">
        <f t="shared" si="99"/>
        <v>0.39879963139479768</v>
      </c>
      <c r="O2054" s="165">
        <f t="shared" si="100"/>
        <v>0.39879963139479768</v>
      </c>
      <c r="P2054" s="18"/>
      <c r="Q2054" s="18"/>
      <c r="R2054" s="18"/>
      <c r="S2054" s="18"/>
      <c r="T2054" s="18"/>
      <c r="U2054" s="18"/>
      <c r="V2054" s="18"/>
      <c r="W2054" s="18"/>
      <c r="X2054" s="18"/>
    </row>
    <row r="2055" spans="13:24">
      <c r="M2055" s="558">
        <f t="shared" si="101"/>
        <v>2053</v>
      </c>
      <c r="N2055" s="15">
        <f t="shared" si="99"/>
        <v>0.39870532998836128</v>
      </c>
      <c r="O2055" s="165">
        <f t="shared" si="100"/>
        <v>0.39870532998836128</v>
      </c>
      <c r="P2055" s="18"/>
      <c r="Q2055" s="18"/>
      <c r="R2055" s="18"/>
      <c r="S2055" s="18"/>
      <c r="T2055" s="18"/>
      <c r="U2055" s="18"/>
      <c r="V2055" s="18"/>
      <c r="W2055" s="18"/>
      <c r="X2055" s="18"/>
    </row>
    <row r="2056" spans="13:24">
      <c r="M2056" s="558">
        <f t="shared" si="101"/>
        <v>2054</v>
      </c>
      <c r="N2056" s="15">
        <f t="shared" si="99"/>
        <v>0.39861108245756421</v>
      </c>
      <c r="O2056" s="165">
        <f t="shared" si="100"/>
        <v>0.39861108245756421</v>
      </c>
      <c r="P2056" s="18"/>
      <c r="Q2056" s="18"/>
      <c r="R2056" s="18"/>
      <c r="S2056" s="18"/>
      <c r="T2056" s="18"/>
      <c r="U2056" s="18"/>
      <c r="V2056" s="18"/>
      <c r="W2056" s="18"/>
      <c r="X2056" s="18"/>
    </row>
    <row r="2057" spans="13:24">
      <c r="M2057" s="558">
        <f t="shared" si="101"/>
        <v>2055</v>
      </c>
      <c r="N2057" s="15">
        <f t="shared" si="99"/>
        <v>0.39851688873479679</v>
      </c>
      <c r="O2057" s="165">
        <f t="shared" si="100"/>
        <v>0.39851688873479679</v>
      </c>
      <c r="P2057" s="18"/>
      <c r="Q2057" s="18"/>
      <c r="R2057" s="18"/>
      <c r="S2057" s="18"/>
      <c r="T2057" s="18"/>
      <c r="U2057" s="18"/>
      <c r="V2057" s="18"/>
      <c r="W2057" s="18"/>
      <c r="X2057" s="18"/>
    </row>
    <row r="2058" spans="13:24">
      <c r="M2058" s="558">
        <f t="shared" si="101"/>
        <v>2056</v>
      </c>
      <c r="N2058" s="15">
        <f t="shared" si="99"/>
        <v>0.39842274875253414</v>
      </c>
      <c r="O2058" s="165">
        <f t="shared" si="100"/>
        <v>0.39842274875253414</v>
      </c>
      <c r="P2058" s="18"/>
      <c r="Q2058" s="18"/>
      <c r="R2058" s="18"/>
      <c r="S2058" s="18"/>
      <c r="T2058" s="18"/>
      <c r="U2058" s="18"/>
      <c r="V2058" s="18"/>
      <c r="W2058" s="18"/>
      <c r="X2058" s="18"/>
    </row>
    <row r="2059" spans="13:24">
      <c r="M2059" s="558">
        <f t="shared" si="101"/>
        <v>2057</v>
      </c>
      <c r="N2059" s="15">
        <f t="shared" si="99"/>
        <v>0.39832866244333642</v>
      </c>
      <c r="O2059" s="165">
        <f t="shared" si="100"/>
        <v>0.39832866244333642</v>
      </c>
      <c r="P2059" s="18"/>
      <c r="Q2059" s="18"/>
      <c r="R2059" s="18"/>
      <c r="S2059" s="18"/>
      <c r="T2059" s="18"/>
      <c r="U2059" s="18"/>
      <c r="V2059" s="18"/>
      <c r="W2059" s="18"/>
      <c r="X2059" s="18"/>
    </row>
    <row r="2060" spans="13:24">
      <c r="M2060" s="558">
        <f t="shared" si="101"/>
        <v>2058</v>
      </c>
      <c r="N2060" s="15">
        <f t="shared" si="99"/>
        <v>0.39823462973984813</v>
      </c>
      <c r="O2060" s="165">
        <f t="shared" si="100"/>
        <v>0.39823462973984813</v>
      </c>
      <c r="P2060" s="18"/>
      <c r="Q2060" s="18"/>
      <c r="R2060" s="18"/>
      <c r="S2060" s="18"/>
      <c r="T2060" s="18"/>
      <c r="U2060" s="18"/>
      <c r="V2060" s="18"/>
      <c r="W2060" s="18"/>
      <c r="X2060" s="18"/>
    </row>
    <row r="2061" spans="13:24">
      <c r="M2061" s="558">
        <f t="shared" si="101"/>
        <v>2059</v>
      </c>
      <c r="N2061" s="15">
        <f t="shared" si="99"/>
        <v>0.39814065057479853</v>
      </c>
      <c r="O2061" s="165">
        <f t="shared" si="100"/>
        <v>0.39814065057479853</v>
      </c>
      <c r="P2061" s="18"/>
      <c r="Q2061" s="18"/>
      <c r="R2061" s="18"/>
      <c r="S2061" s="18"/>
      <c r="T2061" s="18"/>
      <c r="U2061" s="18"/>
      <c r="V2061" s="18"/>
      <c r="W2061" s="18"/>
      <c r="X2061" s="18"/>
    </row>
    <row r="2062" spans="13:24">
      <c r="M2062" s="558">
        <f t="shared" si="101"/>
        <v>2060</v>
      </c>
      <c r="N2062" s="15">
        <f t="shared" si="99"/>
        <v>0.39804672488100096</v>
      </c>
      <c r="O2062" s="165">
        <f t="shared" si="100"/>
        <v>0.39804672488100096</v>
      </c>
      <c r="P2062" s="18"/>
      <c r="Q2062" s="18"/>
      <c r="R2062" s="18"/>
      <c r="S2062" s="18"/>
      <c r="T2062" s="18"/>
      <c r="U2062" s="18"/>
      <c r="V2062" s="18"/>
      <c r="W2062" s="18"/>
      <c r="X2062" s="18"/>
    </row>
    <row r="2063" spans="13:24">
      <c r="M2063" s="558">
        <f t="shared" si="101"/>
        <v>2061</v>
      </c>
      <c r="N2063" s="15">
        <f t="shared" si="99"/>
        <v>0.39795285259135349</v>
      </c>
      <c r="O2063" s="165">
        <f t="shared" si="100"/>
        <v>0.39795285259135349</v>
      </c>
      <c r="P2063" s="18"/>
      <c r="Q2063" s="18"/>
      <c r="R2063" s="18"/>
      <c r="S2063" s="18"/>
      <c r="T2063" s="18"/>
      <c r="U2063" s="18"/>
      <c r="V2063" s="18"/>
      <c r="W2063" s="18"/>
      <c r="X2063" s="18"/>
    </row>
    <row r="2064" spans="13:24">
      <c r="M2064" s="558">
        <f t="shared" si="101"/>
        <v>2062</v>
      </c>
      <c r="N2064" s="15">
        <f t="shared" si="99"/>
        <v>0.39785903363883812</v>
      </c>
      <c r="O2064" s="165">
        <f t="shared" si="100"/>
        <v>0.39785903363883812</v>
      </c>
      <c r="P2064" s="18"/>
      <c r="Q2064" s="18"/>
      <c r="R2064" s="18"/>
      <c r="S2064" s="18"/>
      <c r="T2064" s="18"/>
      <c r="U2064" s="18"/>
      <c r="V2064" s="18"/>
      <c r="W2064" s="18"/>
      <c r="X2064" s="18"/>
    </row>
    <row r="2065" spans="13:24">
      <c r="M2065" s="558">
        <f t="shared" si="101"/>
        <v>2063</v>
      </c>
      <c r="N2065" s="15">
        <f t="shared" si="99"/>
        <v>0.39776526795652106</v>
      </c>
      <c r="O2065" s="165">
        <f t="shared" si="100"/>
        <v>0.39776526795652106</v>
      </c>
      <c r="P2065" s="18"/>
      <c r="Q2065" s="18"/>
      <c r="R2065" s="18"/>
      <c r="S2065" s="18"/>
      <c r="T2065" s="18"/>
      <c r="U2065" s="18"/>
      <c r="V2065" s="18"/>
      <c r="W2065" s="18"/>
      <c r="X2065" s="18"/>
    </row>
    <row r="2066" spans="13:24">
      <c r="M2066" s="558">
        <f t="shared" si="101"/>
        <v>2064</v>
      </c>
      <c r="N2066" s="15">
        <f t="shared" si="99"/>
        <v>0.39767155547755251</v>
      </c>
      <c r="O2066" s="165">
        <f t="shared" si="100"/>
        <v>0.39767155547755251</v>
      </c>
      <c r="P2066" s="18"/>
      <c r="Q2066" s="18"/>
      <c r="R2066" s="18"/>
      <c r="S2066" s="18"/>
      <c r="T2066" s="18"/>
      <c r="U2066" s="18"/>
      <c r="V2066" s="18"/>
      <c r="W2066" s="18"/>
      <c r="X2066" s="18"/>
    </row>
    <row r="2067" spans="13:24">
      <c r="M2067" s="558">
        <f t="shared" si="101"/>
        <v>2065</v>
      </c>
      <c r="N2067" s="15">
        <f t="shared" si="99"/>
        <v>0.39757789613516648</v>
      </c>
      <c r="O2067" s="165">
        <f t="shared" si="100"/>
        <v>0.39757789613516648</v>
      </c>
      <c r="P2067" s="18"/>
      <c r="Q2067" s="18"/>
      <c r="R2067" s="18"/>
      <c r="S2067" s="18"/>
      <c r="T2067" s="18"/>
      <c r="U2067" s="18"/>
      <c r="V2067" s="18"/>
      <c r="W2067" s="18"/>
      <c r="X2067" s="18"/>
    </row>
    <row r="2068" spans="13:24">
      <c r="M2068" s="558">
        <f t="shared" si="101"/>
        <v>2066</v>
      </c>
      <c r="N2068" s="15">
        <f t="shared" si="99"/>
        <v>0.39748428986268081</v>
      </c>
      <c r="O2068" s="165">
        <f t="shared" si="100"/>
        <v>0.39748428986268081</v>
      </c>
      <c r="P2068" s="18"/>
      <c r="Q2068" s="18"/>
      <c r="R2068" s="18"/>
      <c r="S2068" s="18"/>
      <c r="T2068" s="18"/>
      <c r="U2068" s="18"/>
      <c r="V2068" s="18"/>
      <c r="W2068" s="18"/>
      <c r="X2068" s="18"/>
    </row>
    <row r="2069" spans="13:24">
      <c r="M2069" s="558">
        <f t="shared" si="101"/>
        <v>2067</v>
      </c>
      <c r="N2069" s="15">
        <f t="shared" si="99"/>
        <v>0.39739073659349716</v>
      </c>
      <c r="O2069" s="165">
        <f t="shared" si="100"/>
        <v>0.39739073659349716</v>
      </c>
      <c r="P2069" s="18"/>
      <c r="Q2069" s="18"/>
      <c r="R2069" s="18"/>
      <c r="S2069" s="18"/>
      <c r="T2069" s="18"/>
      <c r="U2069" s="18"/>
      <c r="V2069" s="18"/>
      <c r="W2069" s="18"/>
      <c r="X2069" s="18"/>
    </row>
    <row r="2070" spans="13:24">
      <c r="M2070" s="558">
        <f t="shared" si="101"/>
        <v>2068</v>
      </c>
      <c r="N2070" s="15">
        <f t="shared" si="99"/>
        <v>0.39729723626110053</v>
      </c>
      <c r="O2070" s="165">
        <f t="shared" si="100"/>
        <v>0.39729723626110053</v>
      </c>
      <c r="P2070" s="18"/>
      <c r="Q2070" s="18"/>
      <c r="R2070" s="18"/>
      <c r="S2070" s="18"/>
      <c r="T2070" s="18"/>
      <c r="U2070" s="18"/>
      <c r="V2070" s="18"/>
      <c r="W2070" s="18"/>
      <c r="X2070" s="18"/>
    </row>
    <row r="2071" spans="13:24">
      <c r="M2071" s="558">
        <f t="shared" si="101"/>
        <v>2069</v>
      </c>
      <c r="N2071" s="15">
        <f t="shared" si="99"/>
        <v>0.39720378879905954</v>
      </c>
      <c r="O2071" s="165">
        <f t="shared" si="100"/>
        <v>0.39720378879905954</v>
      </c>
      <c r="P2071" s="18"/>
      <c r="Q2071" s="18"/>
      <c r="R2071" s="18"/>
      <c r="S2071" s="18"/>
      <c r="T2071" s="18"/>
      <c r="U2071" s="18"/>
      <c r="V2071" s="18"/>
      <c r="W2071" s="18"/>
      <c r="X2071" s="18"/>
    </row>
    <row r="2072" spans="13:24">
      <c r="M2072" s="558">
        <f t="shared" si="101"/>
        <v>2070</v>
      </c>
      <c r="N2072" s="15">
        <f t="shared" si="99"/>
        <v>0.39711039414102622</v>
      </c>
      <c r="O2072" s="165">
        <f t="shared" si="100"/>
        <v>0.39711039414102622</v>
      </c>
      <c r="P2072" s="18"/>
      <c r="Q2072" s="18"/>
      <c r="R2072" s="18"/>
      <c r="S2072" s="18"/>
      <c r="T2072" s="18"/>
      <c r="U2072" s="18"/>
      <c r="V2072" s="18"/>
      <c r="W2072" s="18"/>
      <c r="X2072" s="18"/>
    </row>
    <row r="2073" spans="13:24">
      <c r="M2073" s="558">
        <f t="shared" si="101"/>
        <v>2071</v>
      </c>
      <c r="N2073" s="15">
        <f t="shared" si="99"/>
        <v>0.39701705222073558</v>
      </c>
      <c r="O2073" s="165">
        <f t="shared" si="100"/>
        <v>0.39701705222073558</v>
      </c>
      <c r="P2073" s="18"/>
      <c r="Q2073" s="18"/>
      <c r="R2073" s="18"/>
      <c r="S2073" s="18"/>
      <c r="T2073" s="18"/>
      <c r="U2073" s="18"/>
      <c r="V2073" s="18"/>
      <c r="W2073" s="18"/>
      <c r="X2073" s="18"/>
    </row>
    <row r="2074" spans="13:24">
      <c r="M2074" s="558">
        <f t="shared" si="101"/>
        <v>2072</v>
      </c>
      <c r="N2074" s="15">
        <f t="shared" si="99"/>
        <v>0.39692376297200616</v>
      </c>
      <c r="O2074" s="165">
        <f t="shared" si="100"/>
        <v>0.39692376297200616</v>
      </c>
      <c r="P2074" s="18"/>
      <c r="Q2074" s="18"/>
      <c r="R2074" s="18"/>
      <c r="S2074" s="18"/>
      <c r="T2074" s="18"/>
      <c r="U2074" s="18"/>
      <c r="V2074" s="18"/>
      <c r="W2074" s="18"/>
      <c r="X2074" s="18"/>
    </row>
    <row r="2075" spans="13:24">
      <c r="M2075" s="558">
        <f t="shared" si="101"/>
        <v>2073</v>
      </c>
      <c r="N2075" s="15">
        <f t="shared" si="99"/>
        <v>0.39683052632873933</v>
      </c>
      <c r="O2075" s="165">
        <f t="shared" si="100"/>
        <v>0.39683052632873933</v>
      </c>
      <c r="P2075" s="18"/>
      <c r="Q2075" s="18"/>
      <c r="R2075" s="18"/>
      <c r="S2075" s="18"/>
      <c r="T2075" s="18"/>
      <c r="U2075" s="18"/>
      <c r="V2075" s="18"/>
      <c r="W2075" s="18"/>
      <c r="X2075" s="18"/>
    </row>
    <row r="2076" spans="13:24">
      <c r="M2076" s="558">
        <f t="shared" si="101"/>
        <v>2074</v>
      </c>
      <c r="N2076" s="15">
        <f t="shared" si="99"/>
        <v>0.39673734222491952</v>
      </c>
      <c r="O2076" s="165">
        <f t="shared" si="100"/>
        <v>0.39673734222491952</v>
      </c>
      <c r="P2076" s="18"/>
      <c r="Q2076" s="18"/>
      <c r="R2076" s="18"/>
      <c r="S2076" s="18"/>
      <c r="T2076" s="18"/>
      <c r="U2076" s="18"/>
      <c r="V2076" s="18"/>
      <c r="W2076" s="18"/>
      <c r="X2076" s="18"/>
    </row>
    <row r="2077" spans="13:24">
      <c r="M2077" s="558">
        <f t="shared" si="101"/>
        <v>2075</v>
      </c>
      <c r="N2077" s="15">
        <f t="shared" si="99"/>
        <v>0.39664421059461374</v>
      </c>
      <c r="O2077" s="165">
        <f t="shared" si="100"/>
        <v>0.39664421059461374</v>
      </c>
      <c r="P2077" s="18"/>
      <c r="Q2077" s="18"/>
      <c r="R2077" s="18"/>
      <c r="S2077" s="18"/>
      <c r="T2077" s="18"/>
      <c r="U2077" s="18"/>
      <c r="V2077" s="18"/>
      <c r="W2077" s="18"/>
      <c r="X2077" s="18"/>
    </row>
    <row r="2078" spans="13:24">
      <c r="M2078" s="558">
        <f t="shared" si="101"/>
        <v>2076</v>
      </c>
      <c r="N2078" s="15">
        <f t="shared" si="99"/>
        <v>0.39655113137197218</v>
      </c>
      <c r="O2078" s="165">
        <f t="shared" si="100"/>
        <v>0.39655113137197218</v>
      </c>
      <c r="P2078" s="18"/>
      <c r="Q2078" s="18"/>
      <c r="R2078" s="18"/>
      <c r="S2078" s="18"/>
      <c r="T2078" s="18"/>
      <c r="U2078" s="18"/>
      <c r="V2078" s="18"/>
      <c r="W2078" s="18"/>
      <c r="X2078" s="18"/>
    </row>
    <row r="2079" spans="13:24">
      <c r="M2079" s="558">
        <f t="shared" si="101"/>
        <v>2077</v>
      </c>
      <c r="N2079" s="15">
        <f t="shared" si="99"/>
        <v>0.39645810449122731</v>
      </c>
      <c r="O2079" s="165">
        <f t="shared" si="100"/>
        <v>0.39645810449122731</v>
      </c>
      <c r="P2079" s="18"/>
      <c r="Q2079" s="18"/>
      <c r="R2079" s="18"/>
      <c r="S2079" s="18"/>
      <c r="T2079" s="18"/>
      <c r="U2079" s="18"/>
      <c r="V2079" s="18"/>
      <c r="W2079" s="18"/>
      <c r="X2079" s="18"/>
    </row>
    <row r="2080" spans="13:24">
      <c r="M2080" s="558">
        <f t="shared" si="101"/>
        <v>2078</v>
      </c>
      <c r="N2080" s="15">
        <f t="shared" si="99"/>
        <v>0.39636512988669426</v>
      </c>
      <c r="O2080" s="165">
        <f t="shared" si="100"/>
        <v>0.39636512988669426</v>
      </c>
      <c r="P2080" s="18"/>
      <c r="Q2080" s="18"/>
      <c r="R2080" s="18"/>
      <c r="S2080" s="18"/>
      <c r="T2080" s="18"/>
      <c r="U2080" s="18"/>
      <c r="V2080" s="18"/>
      <c r="W2080" s="18"/>
      <c r="X2080" s="18"/>
    </row>
    <row r="2081" spans="13:24">
      <c r="M2081" s="558">
        <f t="shared" si="101"/>
        <v>2079</v>
      </c>
      <c r="N2081" s="15">
        <f t="shared" si="99"/>
        <v>0.39627220749277065</v>
      </c>
      <c r="O2081" s="165">
        <f t="shared" si="100"/>
        <v>0.39627220749277065</v>
      </c>
      <c r="P2081" s="18"/>
      <c r="Q2081" s="18"/>
      <c r="R2081" s="18"/>
      <c r="S2081" s="18"/>
      <c r="T2081" s="18"/>
      <c r="U2081" s="18"/>
      <c r="V2081" s="18"/>
      <c r="W2081" s="18"/>
      <c r="X2081" s="18"/>
    </row>
    <row r="2082" spans="13:24">
      <c r="M2082" s="558">
        <f t="shared" si="101"/>
        <v>2080</v>
      </c>
      <c r="N2082" s="15">
        <f t="shared" si="99"/>
        <v>0.39617933724393628</v>
      </c>
      <c r="O2082" s="165">
        <f t="shared" si="100"/>
        <v>0.39617933724393628</v>
      </c>
      <c r="P2082" s="18"/>
      <c r="Q2082" s="18"/>
      <c r="R2082" s="18"/>
      <c r="S2082" s="18"/>
      <c r="T2082" s="18"/>
      <c r="U2082" s="18"/>
      <c r="V2082" s="18"/>
      <c r="W2082" s="18"/>
      <c r="X2082" s="18"/>
    </row>
    <row r="2083" spans="13:24">
      <c r="M2083" s="558">
        <f t="shared" si="101"/>
        <v>2081</v>
      </c>
      <c r="N2083" s="15">
        <f t="shared" si="99"/>
        <v>0.39608651907475323</v>
      </c>
      <c r="O2083" s="165">
        <f t="shared" si="100"/>
        <v>0.39608651907475323</v>
      </c>
      <c r="P2083" s="18"/>
      <c r="Q2083" s="18"/>
      <c r="R2083" s="18"/>
      <c r="S2083" s="18"/>
      <c r="T2083" s="18"/>
      <c r="U2083" s="18"/>
      <c r="V2083" s="18"/>
      <c r="W2083" s="18"/>
      <c r="X2083" s="18"/>
    </row>
    <row r="2084" spans="13:24">
      <c r="M2084" s="558">
        <f t="shared" si="101"/>
        <v>2082</v>
      </c>
      <c r="N2084" s="15">
        <f t="shared" si="99"/>
        <v>0.39599375291986588</v>
      </c>
      <c r="O2084" s="165">
        <f t="shared" si="100"/>
        <v>0.39599375291986588</v>
      </c>
      <c r="P2084" s="18"/>
      <c r="Q2084" s="18"/>
      <c r="R2084" s="18"/>
      <c r="S2084" s="18"/>
      <c r="T2084" s="18"/>
      <c r="U2084" s="18"/>
      <c r="V2084" s="18"/>
      <c r="W2084" s="18"/>
      <c r="X2084" s="18"/>
    </row>
    <row r="2085" spans="13:24">
      <c r="M2085" s="558">
        <f t="shared" si="101"/>
        <v>2083</v>
      </c>
      <c r="N2085" s="15">
        <f t="shared" si="99"/>
        <v>0.39590103871400029</v>
      </c>
      <c r="O2085" s="165">
        <f t="shared" si="100"/>
        <v>0.39590103871400029</v>
      </c>
      <c r="P2085" s="18"/>
      <c r="Q2085" s="18"/>
      <c r="R2085" s="18"/>
      <c r="S2085" s="18"/>
      <c r="T2085" s="18"/>
      <c r="U2085" s="18"/>
      <c r="V2085" s="18"/>
      <c r="W2085" s="18"/>
      <c r="X2085" s="18"/>
    </row>
    <row r="2086" spans="13:24">
      <c r="M2086" s="558">
        <f t="shared" si="101"/>
        <v>2084</v>
      </c>
      <c r="N2086" s="15">
        <f t="shared" si="99"/>
        <v>0.39580837639196464</v>
      </c>
      <c r="O2086" s="165">
        <f t="shared" si="100"/>
        <v>0.39580837639196464</v>
      </c>
      <c r="P2086" s="18"/>
      <c r="Q2086" s="18"/>
      <c r="R2086" s="18"/>
      <c r="S2086" s="18"/>
      <c r="T2086" s="18"/>
      <c r="U2086" s="18"/>
      <c r="V2086" s="18"/>
      <c r="W2086" s="18"/>
      <c r="X2086" s="18"/>
    </row>
    <row r="2087" spans="13:24">
      <c r="M2087" s="558">
        <f t="shared" si="101"/>
        <v>2085</v>
      </c>
      <c r="N2087" s="15">
        <f t="shared" si="99"/>
        <v>0.39571576588864898</v>
      </c>
      <c r="O2087" s="165">
        <f t="shared" si="100"/>
        <v>0.39571576588864898</v>
      </c>
      <c r="P2087" s="18"/>
      <c r="Q2087" s="18"/>
      <c r="R2087" s="18"/>
      <c r="S2087" s="18"/>
      <c r="T2087" s="18"/>
      <c r="U2087" s="18"/>
      <c r="V2087" s="18"/>
      <c r="W2087" s="18"/>
      <c r="X2087" s="18"/>
    </row>
    <row r="2088" spans="13:24">
      <c r="M2088" s="558">
        <f t="shared" si="101"/>
        <v>2086</v>
      </c>
      <c r="N2088" s="15">
        <f t="shared" si="99"/>
        <v>0.39562320713902493</v>
      </c>
      <c r="O2088" s="165">
        <f t="shared" si="100"/>
        <v>0.39562320713902493</v>
      </c>
      <c r="P2088" s="18"/>
      <c r="Q2088" s="18"/>
      <c r="R2088" s="18"/>
      <c r="S2088" s="18"/>
      <c r="T2088" s="18"/>
      <c r="U2088" s="18"/>
      <c r="V2088" s="18"/>
      <c r="W2088" s="18"/>
      <c r="X2088" s="18"/>
    </row>
    <row r="2089" spans="13:24">
      <c r="M2089" s="558">
        <f t="shared" si="101"/>
        <v>2087</v>
      </c>
      <c r="N2089" s="15">
        <f t="shared" si="99"/>
        <v>0.39553070007814567</v>
      </c>
      <c r="O2089" s="165">
        <f t="shared" si="100"/>
        <v>0.39553070007814567</v>
      </c>
      <c r="P2089" s="18"/>
      <c r="Q2089" s="18"/>
      <c r="R2089" s="18"/>
      <c r="S2089" s="18"/>
      <c r="T2089" s="18"/>
      <c r="U2089" s="18"/>
      <c r="V2089" s="18"/>
      <c r="W2089" s="18"/>
      <c r="X2089" s="18"/>
    </row>
    <row r="2090" spans="13:24">
      <c r="M2090" s="558">
        <f t="shared" si="101"/>
        <v>2088</v>
      </c>
      <c r="N2090" s="15">
        <f t="shared" si="99"/>
        <v>0.39543824464114613</v>
      </c>
      <c r="O2090" s="165">
        <f t="shared" si="100"/>
        <v>0.39543824464114613</v>
      </c>
      <c r="P2090" s="18"/>
      <c r="Q2090" s="18"/>
      <c r="R2090" s="18"/>
      <c r="S2090" s="18"/>
      <c r="T2090" s="18"/>
      <c r="U2090" s="18"/>
      <c r="V2090" s="18"/>
      <c r="W2090" s="18"/>
      <c r="X2090" s="18"/>
    </row>
    <row r="2091" spans="13:24">
      <c r="M2091" s="558">
        <f t="shared" si="101"/>
        <v>2089</v>
      </c>
      <c r="N2091" s="15">
        <f t="shared" si="99"/>
        <v>0.39534584076324247</v>
      </c>
      <c r="O2091" s="165">
        <f t="shared" si="100"/>
        <v>0.39534584076324247</v>
      </c>
      <c r="P2091" s="18"/>
      <c r="Q2091" s="18"/>
      <c r="R2091" s="18"/>
      <c r="S2091" s="18"/>
      <c r="T2091" s="18"/>
      <c r="U2091" s="18"/>
      <c r="V2091" s="18"/>
      <c r="W2091" s="18"/>
      <c r="X2091" s="18"/>
    </row>
    <row r="2092" spans="13:24">
      <c r="M2092" s="558">
        <f t="shared" si="101"/>
        <v>2090</v>
      </c>
      <c r="N2092" s="15">
        <f t="shared" si="99"/>
        <v>0.39525348837973207</v>
      </c>
      <c r="O2092" s="165">
        <f t="shared" si="100"/>
        <v>0.39525348837973207</v>
      </c>
      <c r="P2092" s="18"/>
      <c r="Q2092" s="18"/>
      <c r="R2092" s="18"/>
      <c r="S2092" s="18"/>
      <c r="T2092" s="18"/>
      <c r="U2092" s="18"/>
      <c r="V2092" s="18"/>
      <c r="W2092" s="18"/>
      <c r="X2092" s="18"/>
    </row>
    <row r="2093" spans="13:24">
      <c r="M2093" s="558">
        <f t="shared" si="101"/>
        <v>2091</v>
      </c>
      <c r="N2093" s="15">
        <f t="shared" si="99"/>
        <v>0.3951611874259936</v>
      </c>
      <c r="O2093" s="165">
        <f t="shared" si="100"/>
        <v>0.3951611874259936</v>
      </c>
      <c r="P2093" s="18"/>
      <c r="Q2093" s="18"/>
      <c r="R2093" s="18"/>
      <c r="S2093" s="18"/>
      <c r="T2093" s="18"/>
      <c r="U2093" s="18"/>
      <c r="V2093" s="18"/>
      <c r="W2093" s="18"/>
      <c r="X2093" s="18"/>
    </row>
    <row r="2094" spans="13:24">
      <c r="M2094" s="558">
        <f t="shared" si="101"/>
        <v>2092</v>
      </c>
      <c r="N2094" s="15">
        <f t="shared" si="99"/>
        <v>0.39506893783748692</v>
      </c>
      <c r="O2094" s="165">
        <f t="shared" si="100"/>
        <v>0.39506893783748692</v>
      </c>
      <c r="P2094" s="18"/>
      <c r="Q2094" s="18"/>
      <c r="R2094" s="18"/>
      <c r="S2094" s="18"/>
      <c r="T2094" s="18"/>
      <c r="U2094" s="18"/>
      <c r="V2094" s="18"/>
      <c r="W2094" s="18"/>
      <c r="X2094" s="18"/>
    </row>
    <row r="2095" spans="13:24">
      <c r="M2095" s="558">
        <f t="shared" si="101"/>
        <v>2093</v>
      </c>
      <c r="N2095" s="15">
        <f t="shared" si="99"/>
        <v>0.39497673954975276</v>
      </c>
      <c r="O2095" s="165">
        <f t="shared" si="100"/>
        <v>0.39497673954975276</v>
      </c>
      <c r="P2095" s="18"/>
      <c r="Q2095" s="18"/>
      <c r="R2095" s="18"/>
      <c r="S2095" s="18"/>
      <c r="T2095" s="18"/>
      <c r="U2095" s="18"/>
      <c r="V2095" s="18"/>
      <c r="W2095" s="18"/>
      <c r="X2095" s="18"/>
    </row>
    <row r="2096" spans="13:24">
      <c r="M2096" s="558">
        <f t="shared" si="101"/>
        <v>2094</v>
      </c>
      <c r="N2096" s="15">
        <f t="shared" si="99"/>
        <v>0.39488459249841273</v>
      </c>
      <c r="O2096" s="165">
        <f t="shared" si="100"/>
        <v>0.39488459249841273</v>
      </c>
      <c r="P2096" s="18"/>
      <c r="Q2096" s="18"/>
      <c r="R2096" s="18"/>
      <c r="S2096" s="18"/>
      <c r="T2096" s="18"/>
      <c r="U2096" s="18"/>
      <c r="V2096" s="18"/>
      <c r="W2096" s="18"/>
      <c r="X2096" s="18"/>
    </row>
    <row r="2097" spans="13:24">
      <c r="M2097" s="558">
        <f t="shared" si="101"/>
        <v>2095</v>
      </c>
      <c r="N2097" s="15">
        <f t="shared" si="99"/>
        <v>0.39479249661916926</v>
      </c>
      <c r="O2097" s="165">
        <f t="shared" si="100"/>
        <v>0.39479249661916926</v>
      </c>
      <c r="P2097" s="18"/>
      <c r="Q2097" s="18"/>
      <c r="R2097" s="18"/>
      <c r="S2097" s="18"/>
      <c r="T2097" s="18"/>
      <c r="U2097" s="18"/>
      <c r="V2097" s="18"/>
      <c r="W2097" s="18"/>
      <c r="X2097" s="18"/>
    </row>
    <row r="2098" spans="13:24">
      <c r="M2098" s="558">
        <f t="shared" si="101"/>
        <v>2096</v>
      </c>
      <c r="N2098" s="15">
        <f t="shared" si="99"/>
        <v>0.39470045184780556</v>
      </c>
      <c r="O2098" s="165">
        <f t="shared" si="100"/>
        <v>0.39470045184780556</v>
      </c>
      <c r="P2098" s="18"/>
      <c r="Q2098" s="18"/>
      <c r="R2098" s="18"/>
      <c r="S2098" s="18"/>
      <c r="T2098" s="18"/>
      <c r="U2098" s="18"/>
      <c r="V2098" s="18"/>
      <c r="W2098" s="18"/>
      <c r="X2098" s="18"/>
    </row>
    <row r="2099" spans="13:24">
      <c r="M2099" s="558">
        <f t="shared" si="101"/>
        <v>2097</v>
      </c>
      <c r="N2099" s="15">
        <f t="shared" si="99"/>
        <v>0.39460845812018536</v>
      </c>
      <c r="O2099" s="165">
        <f t="shared" si="100"/>
        <v>0.39460845812018536</v>
      </c>
      <c r="P2099" s="18"/>
      <c r="Q2099" s="18"/>
      <c r="R2099" s="18"/>
      <c r="S2099" s="18"/>
      <c r="T2099" s="18"/>
      <c r="U2099" s="18"/>
      <c r="V2099" s="18"/>
      <c r="W2099" s="18"/>
      <c r="X2099" s="18"/>
    </row>
    <row r="2100" spans="13:24">
      <c r="M2100" s="558">
        <f t="shared" si="101"/>
        <v>2098</v>
      </c>
      <c r="N2100" s="15">
        <f t="shared" si="99"/>
        <v>0.39451651537225269</v>
      </c>
      <c r="O2100" s="165">
        <f t="shared" si="100"/>
        <v>0.39451651537225269</v>
      </c>
      <c r="P2100" s="18"/>
      <c r="Q2100" s="18"/>
      <c r="R2100" s="18"/>
      <c r="S2100" s="18"/>
      <c r="T2100" s="18"/>
      <c r="U2100" s="18"/>
      <c r="V2100" s="18"/>
      <c r="W2100" s="18"/>
      <c r="X2100" s="18"/>
    </row>
    <row r="2101" spans="13:24">
      <c r="M2101" s="558">
        <f t="shared" si="101"/>
        <v>2099</v>
      </c>
      <c r="N2101" s="15">
        <f t="shared" si="99"/>
        <v>0.39442462354003222</v>
      </c>
      <c r="O2101" s="165">
        <f t="shared" si="100"/>
        <v>0.39442462354003222</v>
      </c>
      <c r="P2101" s="18"/>
      <c r="Q2101" s="18"/>
      <c r="R2101" s="18"/>
      <c r="S2101" s="18"/>
      <c r="T2101" s="18"/>
      <c r="U2101" s="18"/>
      <c r="V2101" s="18"/>
      <c r="W2101" s="18"/>
      <c r="X2101" s="18"/>
    </row>
    <row r="2102" spans="13:24">
      <c r="M2102" s="558">
        <f t="shared" si="101"/>
        <v>2100</v>
      </c>
      <c r="N2102" s="15">
        <f t="shared" si="99"/>
        <v>0.39433278255962895</v>
      </c>
      <c r="O2102" s="165">
        <f t="shared" si="100"/>
        <v>0.39433278255962895</v>
      </c>
      <c r="P2102" s="18"/>
      <c r="Q2102" s="18"/>
      <c r="R2102" s="18"/>
      <c r="S2102" s="18"/>
      <c r="T2102" s="18"/>
      <c r="U2102" s="18"/>
      <c r="V2102" s="18"/>
      <c r="W2102" s="18"/>
      <c r="X2102" s="18"/>
    </row>
    <row r="2103" spans="13:24">
      <c r="M2103" s="558">
        <f t="shared" si="101"/>
        <v>2101</v>
      </c>
      <c r="N2103" s="15">
        <f t="shared" si="99"/>
        <v>0.39424099236722782</v>
      </c>
      <c r="O2103" s="165">
        <f t="shared" si="100"/>
        <v>0.39424099236722782</v>
      </c>
      <c r="P2103" s="18"/>
      <c r="Q2103" s="18"/>
      <c r="R2103" s="18"/>
      <c r="S2103" s="18"/>
      <c r="T2103" s="18"/>
      <c r="U2103" s="18"/>
      <c r="V2103" s="18"/>
      <c r="W2103" s="18"/>
      <c r="X2103" s="18"/>
    </row>
    <row r="2104" spans="13:24">
      <c r="M2104" s="558">
        <f t="shared" si="101"/>
        <v>2102</v>
      </c>
      <c r="N2104" s="15">
        <f t="shared" si="99"/>
        <v>0.3941492528990938</v>
      </c>
      <c r="O2104" s="165">
        <f t="shared" si="100"/>
        <v>0.3941492528990938</v>
      </c>
      <c r="P2104" s="18"/>
      <c r="Q2104" s="18"/>
      <c r="R2104" s="18"/>
      <c r="S2104" s="18"/>
      <c r="T2104" s="18"/>
      <c r="U2104" s="18"/>
      <c r="V2104" s="18"/>
      <c r="W2104" s="18"/>
      <c r="X2104" s="18"/>
    </row>
    <row r="2105" spans="13:24">
      <c r="M2105" s="558">
        <f t="shared" si="101"/>
        <v>2103</v>
      </c>
      <c r="N2105" s="15">
        <f t="shared" si="99"/>
        <v>0.39405756409157239</v>
      </c>
      <c r="O2105" s="165">
        <f t="shared" si="100"/>
        <v>0.39405756409157239</v>
      </c>
      <c r="P2105" s="18"/>
      <c r="Q2105" s="18"/>
      <c r="R2105" s="18"/>
      <c r="S2105" s="18"/>
      <c r="T2105" s="18"/>
      <c r="U2105" s="18"/>
      <c r="V2105" s="18"/>
      <c r="W2105" s="18"/>
      <c r="X2105" s="18"/>
    </row>
    <row r="2106" spans="13:24">
      <c r="M2106" s="558">
        <f t="shared" si="101"/>
        <v>2104</v>
      </c>
      <c r="N2106" s="15">
        <f t="shared" si="99"/>
        <v>0.39396592588108831</v>
      </c>
      <c r="O2106" s="165">
        <f t="shared" si="100"/>
        <v>0.39396592588108831</v>
      </c>
      <c r="P2106" s="18"/>
      <c r="Q2106" s="18"/>
      <c r="R2106" s="18"/>
      <c r="S2106" s="18"/>
      <c r="T2106" s="18"/>
      <c r="U2106" s="18"/>
      <c r="V2106" s="18"/>
      <c r="W2106" s="18"/>
      <c r="X2106" s="18"/>
    </row>
    <row r="2107" spans="13:24">
      <c r="M2107" s="558">
        <f t="shared" si="101"/>
        <v>2105</v>
      </c>
      <c r="N2107" s="15">
        <f t="shared" si="99"/>
        <v>0.39387433820414641</v>
      </c>
      <c r="O2107" s="165">
        <f t="shared" si="100"/>
        <v>0.39387433820414641</v>
      </c>
      <c r="P2107" s="18"/>
      <c r="Q2107" s="18"/>
      <c r="R2107" s="18"/>
      <c r="S2107" s="18"/>
      <c r="T2107" s="18"/>
      <c r="U2107" s="18"/>
      <c r="V2107" s="18"/>
      <c r="W2107" s="18"/>
      <c r="X2107" s="18"/>
    </row>
    <row r="2108" spans="13:24">
      <c r="M2108" s="558">
        <f t="shared" si="101"/>
        <v>2106</v>
      </c>
      <c r="N2108" s="15">
        <f t="shared" si="99"/>
        <v>0.39378280099733109</v>
      </c>
      <c r="O2108" s="165">
        <f t="shared" si="100"/>
        <v>0.39378280099733109</v>
      </c>
      <c r="P2108" s="18"/>
      <c r="Q2108" s="18"/>
      <c r="R2108" s="18"/>
      <c r="S2108" s="18"/>
      <c r="T2108" s="18"/>
      <c r="U2108" s="18"/>
      <c r="V2108" s="18"/>
      <c r="W2108" s="18"/>
      <c r="X2108" s="18"/>
    </row>
    <row r="2109" spans="13:24">
      <c r="M2109" s="558">
        <f t="shared" si="101"/>
        <v>2107</v>
      </c>
      <c r="N2109" s="15">
        <f t="shared" si="99"/>
        <v>0.39369131419730657</v>
      </c>
      <c r="O2109" s="165">
        <f t="shared" si="100"/>
        <v>0.39369131419730657</v>
      </c>
      <c r="P2109" s="18"/>
      <c r="Q2109" s="18"/>
      <c r="R2109" s="18"/>
      <c r="S2109" s="18"/>
      <c r="T2109" s="18"/>
      <c r="U2109" s="18"/>
      <c r="V2109" s="18"/>
      <c r="W2109" s="18"/>
      <c r="X2109" s="18"/>
    </row>
    <row r="2110" spans="13:24">
      <c r="M2110" s="558">
        <f t="shared" si="101"/>
        <v>2108</v>
      </c>
      <c r="N2110" s="15">
        <f t="shared" si="99"/>
        <v>0.39359987774081623</v>
      </c>
      <c r="O2110" s="165">
        <f t="shared" si="100"/>
        <v>0.39359987774081623</v>
      </c>
      <c r="P2110" s="18"/>
      <c r="Q2110" s="18"/>
      <c r="R2110" s="18"/>
      <c r="S2110" s="18"/>
      <c r="T2110" s="18"/>
      <c r="U2110" s="18"/>
      <c r="V2110" s="18"/>
      <c r="W2110" s="18"/>
      <c r="X2110" s="18"/>
    </row>
    <row r="2111" spans="13:24">
      <c r="M2111" s="558">
        <f t="shared" si="101"/>
        <v>2109</v>
      </c>
      <c r="N2111" s="15">
        <f t="shared" si="99"/>
        <v>0.39350849156468298</v>
      </c>
      <c r="O2111" s="165">
        <f t="shared" si="100"/>
        <v>0.39350849156468298</v>
      </c>
      <c r="P2111" s="18"/>
      <c r="Q2111" s="18"/>
      <c r="R2111" s="18"/>
      <c r="S2111" s="18"/>
      <c r="T2111" s="18"/>
      <c r="U2111" s="18"/>
      <c r="V2111" s="18"/>
      <c r="W2111" s="18"/>
      <c r="X2111" s="18"/>
    </row>
    <row r="2112" spans="13:24">
      <c r="M2112" s="558">
        <f t="shared" si="101"/>
        <v>2110</v>
      </c>
      <c r="N2112" s="15">
        <f t="shared" si="99"/>
        <v>0.39341715560580903</v>
      </c>
      <c r="O2112" s="165">
        <f t="shared" si="100"/>
        <v>0.39341715560580903</v>
      </c>
      <c r="P2112" s="18"/>
      <c r="Q2112" s="18"/>
      <c r="R2112" s="18"/>
      <c r="S2112" s="18"/>
      <c r="T2112" s="18"/>
      <c r="U2112" s="18"/>
      <c r="V2112" s="18"/>
      <c r="W2112" s="18"/>
      <c r="X2112" s="18"/>
    </row>
    <row r="2113" spans="13:24">
      <c r="M2113" s="558">
        <f t="shared" si="101"/>
        <v>2111</v>
      </c>
      <c r="N2113" s="15">
        <f t="shared" si="99"/>
        <v>0.39332586980117584</v>
      </c>
      <c r="O2113" s="165">
        <f t="shared" si="100"/>
        <v>0.39332586980117584</v>
      </c>
      <c r="P2113" s="18"/>
      <c r="Q2113" s="18"/>
      <c r="R2113" s="18"/>
      <c r="S2113" s="18"/>
      <c r="T2113" s="18"/>
      <c r="U2113" s="18"/>
      <c r="V2113" s="18"/>
      <c r="W2113" s="18"/>
      <c r="X2113" s="18"/>
    </row>
    <row r="2114" spans="13:24">
      <c r="M2114" s="558">
        <f t="shared" si="101"/>
        <v>2112</v>
      </c>
      <c r="N2114" s="15">
        <f t="shared" si="99"/>
        <v>0.39323463408784376</v>
      </c>
      <c r="O2114" s="165">
        <f t="shared" si="100"/>
        <v>0.39323463408784376</v>
      </c>
      <c r="P2114" s="18"/>
      <c r="Q2114" s="18"/>
      <c r="R2114" s="18"/>
      <c r="S2114" s="18"/>
      <c r="T2114" s="18"/>
      <c r="U2114" s="18"/>
      <c r="V2114" s="18"/>
      <c r="W2114" s="18"/>
      <c r="X2114" s="18"/>
    </row>
    <row r="2115" spans="13:24">
      <c r="M2115" s="558">
        <f t="shared" si="101"/>
        <v>2113</v>
      </c>
      <c r="N2115" s="15">
        <f t="shared" si="99"/>
        <v>0.39314344840295223</v>
      </c>
      <c r="O2115" s="165">
        <f t="shared" si="100"/>
        <v>0.39314344840295223</v>
      </c>
      <c r="P2115" s="18"/>
      <c r="Q2115" s="18"/>
      <c r="R2115" s="18"/>
      <c r="S2115" s="18"/>
      <c r="T2115" s="18"/>
      <c r="U2115" s="18"/>
      <c r="V2115" s="18"/>
      <c r="W2115" s="18"/>
      <c r="X2115" s="18"/>
    </row>
    <row r="2116" spans="13:24">
      <c r="M2116" s="558">
        <f t="shared" si="101"/>
        <v>2114</v>
      </c>
      <c r="N2116" s="15">
        <f t="shared" ref="N2116:N2179" si="102">IF(M2116&lt;$B$31+1,$B$32+$B$33/$B$31*(8760-M2116)+$B$34*IF(M2116&lt;$B$36-$B$31/(2*$B$35),1,IF(M2116&lt;$B$36+$B$31/(2*$B$35),COS(PI()/2*(M2116-($B$36-$B$31/(2*$B$35)))*$B$35/$B$31)^2,0))+$B$37*EXP((8760-M2116)/8760*$B$38)/EXP($B$38)-(8760-$B$31)*$B$33/$B$31,0)</f>
        <v>0.39305231268371965</v>
      </c>
      <c r="O2116" s="165">
        <f t="shared" ref="O2116:O2179" si="103">MIN(N2116,C$24)</f>
        <v>0.39305231268371965</v>
      </c>
      <c r="P2116" s="18"/>
      <c r="Q2116" s="18"/>
      <c r="R2116" s="18"/>
      <c r="S2116" s="18"/>
      <c r="T2116" s="18"/>
      <c r="U2116" s="18"/>
      <c r="V2116" s="18"/>
      <c r="W2116" s="18"/>
      <c r="X2116" s="18"/>
    </row>
    <row r="2117" spans="13:24">
      <c r="M2117" s="558">
        <f t="shared" ref="M2117:M2180" si="104">M2116+1</f>
        <v>2115</v>
      </c>
      <c r="N2117" s="15">
        <f t="shared" si="102"/>
        <v>0.39296122686744306</v>
      </c>
      <c r="O2117" s="165">
        <f t="shared" si="103"/>
        <v>0.39296122686744306</v>
      </c>
      <c r="P2117" s="18"/>
      <c r="Q2117" s="18"/>
      <c r="R2117" s="18"/>
      <c r="S2117" s="18"/>
      <c r="T2117" s="18"/>
      <c r="U2117" s="18"/>
      <c r="V2117" s="18"/>
      <c r="W2117" s="18"/>
      <c r="X2117" s="18"/>
    </row>
    <row r="2118" spans="13:24">
      <c r="M2118" s="558">
        <f t="shared" si="104"/>
        <v>2116</v>
      </c>
      <c r="N2118" s="15">
        <f t="shared" si="102"/>
        <v>0.39287019089149833</v>
      </c>
      <c r="O2118" s="165">
        <f t="shared" si="103"/>
        <v>0.39287019089149833</v>
      </c>
      <c r="P2118" s="18"/>
      <c r="Q2118" s="18"/>
      <c r="R2118" s="18"/>
      <c r="S2118" s="18"/>
      <c r="T2118" s="18"/>
      <c r="U2118" s="18"/>
      <c r="V2118" s="18"/>
      <c r="W2118" s="18"/>
      <c r="X2118" s="18"/>
    </row>
    <row r="2119" spans="13:24">
      <c r="M2119" s="558">
        <f t="shared" si="104"/>
        <v>2117</v>
      </c>
      <c r="N2119" s="15">
        <f t="shared" si="102"/>
        <v>0.39277920469333971</v>
      </c>
      <c r="O2119" s="165">
        <f t="shared" si="103"/>
        <v>0.39277920469333971</v>
      </c>
      <c r="P2119" s="18"/>
      <c r="Q2119" s="18"/>
      <c r="R2119" s="18"/>
      <c r="S2119" s="18"/>
      <c r="T2119" s="18"/>
      <c r="U2119" s="18"/>
      <c r="V2119" s="18"/>
      <c r="W2119" s="18"/>
      <c r="X2119" s="18"/>
    </row>
    <row r="2120" spans="13:24">
      <c r="M2120" s="558">
        <f t="shared" si="104"/>
        <v>2118</v>
      </c>
      <c r="N2120" s="15">
        <f t="shared" si="102"/>
        <v>0.39268826821050018</v>
      </c>
      <c r="O2120" s="165">
        <f t="shared" si="103"/>
        <v>0.39268826821050018</v>
      </c>
      <c r="P2120" s="18"/>
      <c r="Q2120" s="18"/>
      <c r="R2120" s="18"/>
      <c r="S2120" s="18"/>
      <c r="T2120" s="18"/>
      <c r="U2120" s="18"/>
      <c r="V2120" s="18"/>
      <c r="W2120" s="18"/>
      <c r="X2120" s="18"/>
    </row>
    <row r="2121" spans="13:24">
      <c r="M2121" s="558">
        <f t="shared" si="104"/>
        <v>2119</v>
      </c>
      <c r="N2121" s="15">
        <f t="shared" si="102"/>
        <v>0.39259738138059108</v>
      </c>
      <c r="O2121" s="165">
        <f t="shared" si="103"/>
        <v>0.39259738138059108</v>
      </c>
      <c r="P2121" s="18"/>
      <c r="Q2121" s="18"/>
      <c r="R2121" s="18"/>
      <c r="S2121" s="18"/>
      <c r="T2121" s="18"/>
      <c r="U2121" s="18"/>
      <c r="V2121" s="18"/>
      <c r="W2121" s="18"/>
      <c r="X2121" s="18"/>
    </row>
    <row r="2122" spans="13:24">
      <c r="M2122" s="558">
        <f t="shared" si="104"/>
        <v>2120</v>
      </c>
      <c r="N2122" s="15">
        <f t="shared" si="102"/>
        <v>0.39250654414130187</v>
      </c>
      <c r="O2122" s="165">
        <f t="shared" si="103"/>
        <v>0.39250654414130187</v>
      </c>
      <c r="P2122" s="18"/>
      <c r="Q2122" s="18"/>
      <c r="R2122" s="18"/>
      <c r="S2122" s="18"/>
      <c r="T2122" s="18"/>
      <c r="U2122" s="18"/>
      <c r="V2122" s="18"/>
      <c r="W2122" s="18"/>
      <c r="X2122" s="18"/>
    </row>
    <row r="2123" spans="13:24">
      <c r="M2123" s="558">
        <f t="shared" si="104"/>
        <v>2121</v>
      </c>
      <c r="N2123" s="15">
        <f t="shared" si="102"/>
        <v>0.39241575643040028</v>
      </c>
      <c r="O2123" s="165">
        <f t="shared" si="103"/>
        <v>0.39241575643040028</v>
      </c>
      <c r="P2123" s="18"/>
      <c r="Q2123" s="18"/>
      <c r="R2123" s="18"/>
      <c r="S2123" s="18"/>
      <c r="T2123" s="18"/>
      <c r="U2123" s="18"/>
      <c r="V2123" s="18"/>
      <c r="W2123" s="18"/>
      <c r="X2123" s="18"/>
    </row>
    <row r="2124" spans="13:24">
      <c r="M2124" s="558">
        <f t="shared" si="104"/>
        <v>2122</v>
      </c>
      <c r="N2124" s="15">
        <f t="shared" si="102"/>
        <v>0.39232501818573218</v>
      </c>
      <c r="O2124" s="165">
        <f t="shared" si="103"/>
        <v>0.39232501818573218</v>
      </c>
      <c r="P2124" s="18"/>
      <c r="Q2124" s="18"/>
      <c r="R2124" s="18"/>
      <c r="S2124" s="18"/>
      <c r="T2124" s="18"/>
      <c r="U2124" s="18"/>
      <c r="V2124" s="18"/>
      <c r="W2124" s="18"/>
      <c r="X2124" s="18"/>
    </row>
    <row r="2125" spans="13:24">
      <c r="M2125" s="558">
        <f t="shared" si="104"/>
        <v>2123</v>
      </c>
      <c r="N2125" s="15">
        <f t="shared" si="102"/>
        <v>0.39223432934522151</v>
      </c>
      <c r="O2125" s="165">
        <f t="shared" si="103"/>
        <v>0.39223432934522151</v>
      </c>
      <c r="P2125" s="18"/>
      <c r="Q2125" s="18"/>
      <c r="R2125" s="18"/>
      <c r="S2125" s="18"/>
      <c r="T2125" s="18"/>
      <c r="U2125" s="18"/>
      <c r="V2125" s="18"/>
      <c r="W2125" s="18"/>
      <c r="X2125" s="18"/>
    </row>
    <row r="2126" spans="13:24">
      <c r="M2126" s="558">
        <f t="shared" si="104"/>
        <v>2124</v>
      </c>
      <c r="N2126" s="15">
        <f t="shared" si="102"/>
        <v>0.39214368984686993</v>
      </c>
      <c r="O2126" s="165">
        <f t="shared" si="103"/>
        <v>0.39214368984686993</v>
      </c>
      <c r="P2126" s="18"/>
      <c r="Q2126" s="18"/>
      <c r="R2126" s="18"/>
      <c r="S2126" s="18"/>
      <c r="T2126" s="18"/>
      <c r="U2126" s="18"/>
      <c r="V2126" s="18"/>
      <c r="W2126" s="18"/>
      <c r="X2126" s="18"/>
    </row>
    <row r="2127" spans="13:24">
      <c r="M2127" s="558">
        <f t="shared" si="104"/>
        <v>2125</v>
      </c>
      <c r="N2127" s="15">
        <f t="shared" si="102"/>
        <v>0.39205309962875695</v>
      </c>
      <c r="O2127" s="165">
        <f t="shared" si="103"/>
        <v>0.39205309962875695</v>
      </c>
      <c r="P2127" s="18"/>
      <c r="Q2127" s="18"/>
      <c r="R2127" s="18"/>
      <c r="S2127" s="18"/>
      <c r="T2127" s="18"/>
      <c r="U2127" s="18"/>
      <c r="V2127" s="18"/>
      <c r="W2127" s="18"/>
      <c r="X2127" s="18"/>
    </row>
    <row r="2128" spans="13:24">
      <c r="M2128" s="558">
        <f t="shared" si="104"/>
        <v>2126</v>
      </c>
      <c r="N2128" s="15">
        <f t="shared" si="102"/>
        <v>0.39196255862903995</v>
      </c>
      <c r="O2128" s="165">
        <f t="shared" si="103"/>
        <v>0.39196255862903995</v>
      </c>
      <c r="P2128" s="18"/>
      <c r="Q2128" s="18"/>
      <c r="R2128" s="18"/>
      <c r="S2128" s="18"/>
      <c r="T2128" s="18"/>
      <c r="U2128" s="18"/>
      <c r="V2128" s="18"/>
      <c r="W2128" s="18"/>
      <c r="X2128" s="18"/>
    </row>
    <row r="2129" spans="13:24">
      <c r="M2129" s="558">
        <f t="shared" si="104"/>
        <v>2127</v>
      </c>
      <c r="N2129" s="15">
        <f t="shared" si="102"/>
        <v>0.39187206678595371</v>
      </c>
      <c r="O2129" s="165">
        <f t="shared" si="103"/>
        <v>0.39187206678595371</v>
      </c>
      <c r="P2129" s="18"/>
      <c r="Q2129" s="18"/>
      <c r="R2129" s="18"/>
      <c r="S2129" s="18"/>
      <c r="T2129" s="18"/>
      <c r="U2129" s="18"/>
      <c r="V2129" s="18"/>
      <c r="W2129" s="18"/>
      <c r="X2129" s="18"/>
    </row>
    <row r="2130" spans="13:24">
      <c r="M2130" s="558">
        <f t="shared" si="104"/>
        <v>2128</v>
      </c>
      <c r="N2130" s="15">
        <f t="shared" si="102"/>
        <v>0.39178162403781058</v>
      </c>
      <c r="O2130" s="165">
        <f t="shared" si="103"/>
        <v>0.39178162403781058</v>
      </c>
      <c r="P2130" s="18"/>
      <c r="Q2130" s="18"/>
      <c r="R2130" s="18"/>
      <c r="S2130" s="18"/>
      <c r="T2130" s="18"/>
      <c r="U2130" s="18"/>
      <c r="V2130" s="18"/>
      <c r="W2130" s="18"/>
      <c r="X2130" s="18"/>
    </row>
    <row r="2131" spans="13:24">
      <c r="M2131" s="558">
        <f t="shared" si="104"/>
        <v>2129</v>
      </c>
      <c r="N2131" s="15">
        <f t="shared" si="102"/>
        <v>0.39169123032300052</v>
      </c>
      <c r="O2131" s="165">
        <f t="shared" si="103"/>
        <v>0.39169123032300052</v>
      </c>
      <c r="P2131" s="18"/>
      <c r="Q2131" s="18"/>
      <c r="R2131" s="18"/>
      <c r="S2131" s="18"/>
      <c r="T2131" s="18"/>
      <c r="U2131" s="18"/>
      <c r="V2131" s="18"/>
      <c r="W2131" s="18"/>
      <c r="X2131" s="18"/>
    </row>
    <row r="2132" spans="13:24">
      <c r="M2132" s="558">
        <f t="shared" si="104"/>
        <v>2130</v>
      </c>
      <c r="N2132" s="15">
        <f t="shared" si="102"/>
        <v>0.3916008855799904</v>
      </c>
      <c r="O2132" s="165">
        <f t="shared" si="103"/>
        <v>0.3916008855799904</v>
      </c>
      <c r="P2132" s="18"/>
      <c r="Q2132" s="18"/>
      <c r="R2132" s="18"/>
      <c r="S2132" s="18"/>
      <c r="T2132" s="18"/>
      <c r="U2132" s="18"/>
      <c r="V2132" s="18"/>
      <c r="W2132" s="18"/>
      <c r="X2132" s="18"/>
    </row>
    <row r="2133" spans="13:24">
      <c r="M2133" s="558">
        <f t="shared" si="104"/>
        <v>2131</v>
      </c>
      <c r="N2133" s="15">
        <f t="shared" si="102"/>
        <v>0.39151058974732478</v>
      </c>
      <c r="O2133" s="165">
        <f t="shared" si="103"/>
        <v>0.39151058974732478</v>
      </c>
      <c r="P2133" s="18"/>
      <c r="Q2133" s="18"/>
      <c r="R2133" s="18"/>
      <c r="S2133" s="18"/>
      <c r="T2133" s="18"/>
      <c r="U2133" s="18"/>
      <c r="V2133" s="18"/>
      <c r="W2133" s="18"/>
      <c r="X2133" s="18"/>
    </row>
    <row r="2134" spans="13:24">
      <c r="M2134" s="558">
        <f t="shared" si="104"/>
        <v>2132</v>
      </c>
      <c r="N2134" s="15">
        <f t="shared" si="102"/>
        <v>0.39142034276362486</v>
      </c>
      <c r="O2134" s="165">
        <f t="shared" si="103"/>
        <v>0.39142034276362486</v>
      </c>
      <c r="P2134" s="18"/>
      <c r="Q2134" s="18"/>
      <c r="R2134" s="18"/>
      <c r="S2134" s="18"/>
      <c r="T2134" s="18"/>
      <c r="U2134" s="18"/>
      <c r="V2134" s="18"/>
      <c r="W2134" s="18"/>
      <c r="X2134" s="18"/>
    </row>
    <row r="2135" spans="13:24">
      <c r="M2135" s="558">
        <f t="shared" si="104"/>
        <v>2133</v>
      </c>
      <c r="N2135" s="15">
        <f t="shared" si="102"/>
        <v>0.39133014456758924</v>
      </c>
      <c r="O2135" s="165">
        <f t="shared" si="103"/>
        <v>0.39133014456758924</v>
      </c>
      <c r="P2135" s="18"/>
      <c r="Q2135" s="18"/>
      <c r="R2135" s="18"/>
      <c r="S2135" s="18"/>
      <c r="T2135" s="18"/>
      <c r="U2135" s="18"/>
      <c r="V2135" s="18"/>
      <c r="W2135" s="18"/>
      <c r="X2135" s="18"/>
    </row>
    <row r="2136" spans="13:24">
      <c r="M2136" s="558">
        <f t="shared" si="104"/>
        <v>2134</v>
      </c>
      <c r="N2136" s="15">
        <f t="shared" si="102"/>
        <v>0.39123999509799345</v>
      </c>
      <c r="O2136" s="165">
        <f t="shared" si="103"/>
        <v>0.39123999509799345</v>
      </c>
      <c r="P2136" s="18"/>
      <c r="Q2136" s="18"/>
      <c r="R2136" s="18"/>
      <c r="S2136" s="18"/>
      <c r="T2136" s="18"/>
      <c r="U2136" s="18"/>
      <c r="V2136" s="18"/>
      <c r="W2136" s="18"/>
      <c r="X2136" s="18"/>
    </row>
    <row r="2137" spans="13:24">
      <c r="M2137" s="558">
        <f t="shared" si="104"/>
        <v>2135</v>
      </c>
      <c r="N2137" s="15">
        <f t="shared" si="102"/>
        <v>0.39114989429368952</v>
      </c>
      <c r="O2137" s="165">
        <f t="shared" si="103"/>
        <v>0.39114989429368952</v>
      </c>
      <c r="P2137" s="18"/>
      <c r="Q2137" s="18"/>
      <c r="R2137" s="18"/>
      <c r="S2137" s="18"/>
      <c r="T2137" s="18"/>
      <c r="U2137" s="18"/>
      <c r="V2137" s="18"/>
      <c r="W2137" s="18"/>
      <c r="X2137" s="18"/>
    </row>
    <row r="2138" spans="13:24">
      <c r="M2138" s="558">
        <f t="shared" si="104"/>
        <v>2136</v>
      </c>
      <c r="N2138" s="15">
        <f t="shared" si="102"/>
        <v>0.39105984209360645</v>
      </c>
      <c r="O2138" s="165">
        <f t="shared" si="103"/>
        <v>0.39105984209360645</v>
      </c>
      <c r="P2138" s="18"/>
      <c r="Q2138" s="18"/>
      <c r="R2138" s="18"/>
      <c r="S2138" s="18"/>
      <c r="T2138" s="18"/>
      <c r="U2138" s="18"/>
      <c r="V2138" s="18"/>
      <c r="W2138" s="18"/>
      <c r="X2138" s="18"/>
    </row>
    <row r="2139" spans="13:24">
      <c r="M2139" s="558">
        <f t="shared" si="104"/>
        <v>2137</v>
      </c>
      <c r="N2139" s="15">
        <f t="shared" si="102"/>
        <v>0.39096983843674987</v>
      </c>
      <c r="O2139" s="165">
        <f t="shared" si="103"/>
        <v>0.39096983843674987</v>
      </c>
      <c r="P2139" s="18"/>
      <c r="Q2139" s="18"/>
      <c r="R2139" s="18"/>
      <c r="S2139" s="18"/>
      <c r="T2139" s="18"/>
      <c r="U2139" s="18"/>
      <c r="V2139" s="18"/>
      <c r="W2139" s="18"/>
      <c r="X2139" s="18"/>
    </row>
    <row r="2140" spans="13:24">
      <c r="M2140" s="558">
        <f t="shared" si="104"/>
        <v>2138</v>
      </c>
      <c r="N2140" s="15">
        <f t="shared" si="102"/>
        <v>0.39087988326220202</v>
      </c>
      <c r="O2140" s="165">
        <f t="shared" si="103"/>
        <v>0.39087988326220202</v>
      </c>
      <c r="P2140" s="18"/>
      <c r="Q2140" s="18"/>
      <c r="R2140" s="18"/>
      <c r="S2140" s="18"/>
      <c r="T2140" s="18"/>
      <c r="U2140" s="18"/>
      <c r="V2140" s="18"/>
      <c r="W2140" s="18"/>
      <c r="X2140" s="18"/>
    </row>
    <row r="2141" spans="13:24">
      <c r="M2141" s="558">
        <f t="shared" si="104"/>
        <v>2139</v>
      </c>
      <c r="N2141" s="15">
        <f t="shared" si="102"/>
        <v>0.3907899765091214</v>
      </c>
      <c r="O2141" s="165">
        <f t="shared" si="103"/>
        <v>0.3907899765091214</v>
      </c>
      <c r="P2141" s="18"/>
      <c r="Q2141" s="18"/>
      <c r="R2141" s="18"/>
      <c r="S2141" s="18"/>
      <c r="T2141" s="18"/>
      <c r="U2141" s="18"/>
      <c r="V2141" s="18"/>
      <c r="W2141" s="18"/>
      <c r="X2141" s="18"/>
    </row>
    <row r="2142" spans="13:24">
      <c r="M2142" s="558">
        <f t="shared" si="104"/>
        <v>2140</v>
      </c>
      <c r="N2142" s="15">
        <f t="shared" si="102"/>
        <v>0.39070011811674282</v>
      </c>
      <c r="O2142" s="165">
        <f t="shared" si="103"/>
        <v>0.39070011811674282</v>
      </c>
      <c r="P2142" s="18"/>
      <c r="Q2142" s="18"/>
      <c r="R2142" s="18"/>
      <c r="S2142" s="18"/>
      <c r="T2142" s="18"/>
      <c r="U2142" s="18"/>
      <c r="V2142" s="18"/>
      <c r="W2142" s="18"/>
      <c r="X2142" s="18"/>
    </row>
    <row r="2143" spans="13:24">
      <c r="M2143" s="558">
        <f t="shared" si="104"/>
        <v>2141</v>
      </c>
      <c r="N2143" s="15">
        <f t="shared" si="102"/>
        <v>0.39061030802437779</v>
      </c>
      <c r="O2143" s="165">
        <f t="shared" si="103"/>
        <v>0.39061030802437779</v>
      </c>
      <c r="P2143" s="18"/>
      <c r="Q2143" s="18"/>
      <c r="R2143" s="18"/>
      <c r="S2143" s="18"/>
      <c r="T2143" s="18"/>
      <c r="U2143" s="18"/>
      <c r="V2143" s="18"/>
      <c r="W2143" s="18"/>
      <c r="X2143" s="18"/>
    </row>
    <row r="2144" spans="13:24">
      <c r="M2144" s="558">
        <f t="shared" si="104"/>
        <v>2142</v>
      </c>
      <c r="N2144" s="15">
        <f t="shared" si="102"/>
        <v>0.39052054617141352</v>
      </c>
      <c r="O2144" s="165">
        <f t="shared" si="103"/>
        <v>0.39052054617141352</v>
      </c>
      <c r="P2144" s="18"/>
      <c r="Q2144" s="18"/>
      <c r="R2144" s="18"/>
      <c r="S2144" s="18"/>
      <c r="T2144" s="18"/>
      <c r="U2144" s="18"/>
      <c r="V2144" s="18"/>
      <c r="W2144" s="18"/>
      <c r="X2144" s="18"/>
    </row>
    <row r="2145" spans="13:24">
      <c r="M2145" s="558">
        <f t="shared" si="104"/>
        <v>2143</v>
      </c>
      <c r="N2145" s="15">
        <f t="shared" si="102"/>
        <v>0.39043083249731331</v>
      </c>
      <c r="O2145" s="165">
        <f t="shared" si="103"/>
        <v>0.39043083249731331</v>
      </c>
      <c r="P2145" s="18"/>
      <c r="Q2145" s="18"/>
      <c r="R2145" s="18"/>
      <c r="S2145" s="18"/>
      <c r="T2145" s="18"/>
      <c r="U2145" s="18"/>
      <c r="V2145" s="18"/>
      <c r="W2145" s="18"/>
      <c r="X2145" s="18"/>
    </row>
    <row r="2146" spans="13:24">
      <c r="M2146" s="558">
        <f t="shared" si="104"/>
        <v>2144</v>
      </c>
      <c r="N2146" s="15">
        <f t="shared" si="102"/>
        <v>0.3903411669416168</v>
      </c>
      <c r="O2146" s="165">
        <f t="shared" si="103"/>
        <v>0.3903411669416168</v>
      </c>
      <c r="P2146" s="18"/>
      <c r="Q2146" s="18"/>
      <c r="R2146" s="18"/>
      <c r="S2146" s="18"/>
      <c r="T2146" s="18"/>
      <c r="U2146" s="18"/>
      <c r="V2146" s="18"/>
      <c r="W2146" s="18"/>
      <c r="X2146" s="18"/>
    </row>
    <row r="2147" spans="13:24">
      <c r="M2147" s="558">
        <f t="shared" si="104"/>
        <v>2145</v>
      </c>
      <c r="N2147" s="15">
        <f t="shared" si="102"/>
        <v>0.39025154944393914</v>
      </c>
      <c r="O2147" s="165">
        <f t="shared" si="103"/>
        <v>0.39025154944393914</v>
      </c>
      <c r="P2147" s="18"/>
      <c r="Q2147" s="18"/>
      <c r="R2147" s="18"/>
      <c r="S2147" s="18"/>
      <c r="T2147" s="18"/>
      <c r="U2147" s="18"/>
      <c r="V2147" s="18"/>
      <c r="W2147" s="18"/>
      <c r="X2147" s="18"/>
    </row>
    <row r="2148" spans="13:24">
      <c r="M2148" s="558">
        <f t="shared" si="104"/>
        <v>2146</v>
      </c>
      <c r="N2148" s="15">
        <f t="shared" si="102"/>
        <v>0.39016197994397128</v>
      </c>
      <c r="O2148" s="165">
        <f t="shared" si="103"/>
        <v>0.39016197994397128</v>
      </c>
      <c r="P2148" s="18"/>
      <c r="Q2148" s="18"/>
      <c r="R2148" s="18"/>
      <c r="S2148" s="18"/>
      <c r="T2148" s="18"/>
      <c r="U2148" s="18"/>
      <c r="V2148" s="18"/>
      <c r="W2148" s="18"/>
      <c r="X2148" s="18"/>
    </row>
    <row r="2149" spans="13:24">
      <c r="M2149" s="558">
        <f t="shared" si="104"/>
        <v>2147</v>
      </c>
      <c r="N2149" s="15">
        <f t="shared" si="102"/>
        <v>0.39007245838148008</v>
      </c>
      <c r="O2149" s="165">
        <f t="shared" si="103"/>
        <v>0.39007245838148008</v>
      </c>
      <c r="P2149" s="18"/>
      <c r="Q2149" s="18"/>
      <c r="R2149" s="18"/>
      <c r="S2149" s="18"/>
      <c r="T2149" s="18"/>
      <c r="U2149" s="18"/>
      <c r="V2149" s="18"/>
      <c r="W2149" s="18"/>
      <c r="X2149" s="18"/>
    </row>
    <row r="2150" spans="13:24">
      <c r="M2150" s="558">
        <f t="shared" si="104"/>
        <v>2148</v>
      </c>
      <c r="N2150" s="15">
        <f t="shared" si="102"/>
        <v>0.38998298469630782</v>
      </c>
      <c r="O2150" s="165">
        <f t="shared" si="103"/>
        <v>0.38998298469630782</v>
      </c>
      <c r="P2150" s="18"/>
      <c r="Q2150" s="18"/>
      <c r="R2150" s="18"/>
      <c r="S2150" s="18"/>
      <c r="T2150" s="18"/>
      <c r="U2150" s="18"/>
      <c r="V2150" s="18"/>
      <c r="W2150" s="18"/>
      <c r="X2150" s="18"/>
    </row>
    <row r="2151" spans="13:24">
      <c r="M2151" s="558">
        <f t="shared" si="104"/>
        <v>2149</v>
      </c>
      <c r="N2151" s="15">
        <f t="shared" si="102"/>
        <v>0.38989355882837234</v>
      </c>
      <c r="O2151" s="165">
        <f t="shared" si="103"/>
        <v>0.38989355882837234</v>
      </c>
      <c r="P2151" s="18"/>
      <c r="Q2151" s="18"/>
      <c r="R2151" s="18"/>
      <c r="S2151" s="18"/>
      <c r="T2151" s="18"/>
      <c r="U2151" s="18"/>
      <c r="V2151" s="18"/>
      <c r="W2151" s="18"/>
      <c r="X2151" s="18"/>
    </row>
    <row r="2152" spans="13:24">
      <c r="M2152" s="558">
        <f t="shared" si="104"/>
        <v>2150</v>
      </c>
      <c r="N2152" s="15">
        <f t="shared" si="102"/>
        <v>0.38980418071766687</v>
      </c>
      <c r="O2152" s="165">
        <f t="shared" si="103"/>
        <v>0.38980418071766687</v>
      </c>
      <c r="P2152" s="18"/>
      <c r="Q2152" s="18"/>
      <c r="R2152" s="18"/>
      <c r="S2152" s="18"/>
      <c r="T2152" s="18"/>
      <c r="U2152" s="18"/>
      <c r="V2152" s="18"/>
      <c r="W2152" s="18"/>
      <c r="X2152" s="18"/>
    </row>
    <row r="2153" spans="13:24">
      <c r="M2153" s="558">
        <f t="shared" si="104"/>
        <v>2151</v>
      </c>
      <c r="N2153" s="15">
        <f t="shared" si="102"/>
        <v>0.38971485030425973</v>
      </c>
      <c r="O2153" s="165">
        <f t="shared" si="103"/>
        <v>0.38971485030425973</v>
      </c>
      <c r="P2153" s="18"/>
      <c r="Q2153" s="18"/>
      <c r="R2153" s="18"/>
      <c r="S2153" s="18"/>
      <c r="T2153" s="18"/>
      <c r="U2153" s="18"/>
      <c r="V2153" s="18"/>
      <c r="W2153" s="18"/>
      <c r="X2153" s="18"/>
    </row>
    <row r="2154" spans="13:24">
      <c r="M2154" s="558">
        <f t="shared" si="104"/>
        <v>2152</v>
      </c>
      <c r="N2154" s="15">
        <f t="shared" si="102"/>
        <v>0.3896255675282948</v>
      </c>
      <c r="O2154" s="165">
        <f t="shared" si="103"/>
        <v>0.3896255675282948</v>
      </c>
      <c r="P2154" s="18"/>
      <c r="Q2154" s="18"/>
      <c r="R2154" s="18"/>
      <c r="S2154" s="18"/>
      <c r="T2154" s="18"/>
      <c r="U2154" s="18"/>
      <c r="V2154" s="18"/>
      <c r="W2154" s="18"/>
      <c r="X2154" s="18"/>
    </row>
    <row r="2155" spans="13:24">
      <c r="M2155" s="558">
        <f t="shared" si="104"/>
        <v>2153</v>
      </c>
      <c r="N2155" s="15">
        <f t="shared" si="102"/>
        <v>0.38953633232999096</v>
      </c>
      <c r="O2155" s="165">
        <f t="shared" si="103"/>
        <v>0.38953633232999096</v>
      </c>
      <c r="P2155" s="18"/>
      <c r="Q2155" s="18"/>
      <c r="R2155" s="18"/>
      <c r="S2155" s="18"/>
      <c r="T2155" s="18"/>
      <c r="U2155" s="18"/>
      <c r="V2155" s="18"/>
      <c r="W2155" s="18"/>
      <c r="X2155" s="18"/>
    </row>
    <row r="2156" spans="13:24">
      <c r="M2156" s="558">
        <f t="shared" si="104"/>
        <v>2154</v>
      </c>
      <c r="N2156" s="15">
        <f t="shared" si="102"/>
        <v>0.38944714464964203</v>
      </c>
      <c r="O2156" s="165">
        <f t="shared" si="103"/>
        <v>0.38944714464964203</v>
      </c>
      <c r="P2156" s="18"/>
      <c r="Q2156" s="18"/>
      <c r="R2156" s="18"/>
      <c r="S2156" s="18"/>
      <c r="T2156" s="18"/>
      <c r="U2156" s="18"/>
      <c r="V2156" s="18"/>
      <c r="W2156" s="18"/>
      <c r="X2156" s="18"/>
    </row>
    <row r="2157" spans="13:24">
      <c r="M2157" s="558">
        <f t="shared" si="104"/>
        <v>2155</v>
      </c>
      <c r="N2157" s="15">
        <f t="shared" si="102"/>
        <v>0.38935800442761659</v>
      </c>
      <c r="O2157" s="165">
        <f t="shared" si="103"/>
        <v>0.38935800442761659</v>
      </c>
      <c r="P2157" s="18"/>
      <c r="Q2157" s="18"/>
      <c r="R2157" s="18"/>
      <c r="S2157" s="18"/>
      <c r="T2157" s="18"/>
      <c r="U2157" s="18"/>
      <c r="V2157" s="18"/>
      <c r="W2157" s="18"/>
      <c r="X2157" s="18"/>
    </row>
    <row r="2158" spans="13:24">
      <c r="M2158" s="558">
        <f t="shared" si="104"/>
        <v>2156</v>
      </c>
      <c r="N2158" s="15">
        <f t="shared" si="102"/>
        <v>0.38926891160435856</v>
      </c>
      <c r="O2158" s="165">
        <f t="shared" si="103"/>
        <v>0.38926891160435856</v>
      </c>
      <c r="P2158" s="18"/>
      <c r="Q2158" s="18"/>
      <c r="R2158" s="18"/>
      <c r="S2158" s="18"/>
      <c r="T2158" s="18"/>
      <c r="U2158" s="18"/>
      <c r="V2158" s="18"/>
      <c r="W2158" s="18"/>
      <c r="X2158" s="18"/>
    </row>
    <row r="2159" spans="13:24">
      <c r="M2159" s="558">
        <f t="shared" si="104"/>
        <v>2157</v>
      </c>
      <c r="N2159" s="15">
        <f t="shared" si="102"/>
        <v>0.38917986612038619</v>
      </c>
      <c r="O2159" s="165">
        <f t="shared" si="103"/>
        <v>0.38917986612038619</v>
      </c>
      <c r="P2159" s="18"/>
      <c r="Q2159" s="18"/>
      <c r="R2159" s="18"/>
      <c r="S2159" s="18"/>
      <c r="T2159" s="18"/>
      <c r="U2159" s="18"/>
      <c r="V2159" s="18"/>
      <c r="W2159" s="18"/>
      <c r="X2159" s="18"/>
    </row>
    <row r="2160" spans="13:24">
      <c r="M2160" s="558">
        <f t="shared" si="104"/>
        <v>2158</v>
      </c>
      <c r="N2160" s="15">
        <f t="shared" si="102"/>
        <v>0.38909086791629233</v>
      </c>
      <c r="O2160" s="165">
        <f t="shared" si="103"/>
        <v>0.38909086791629233</v>
      </c>
      <c r="P2160" s="18"/>
      <c r="Q2160" s="18"/>
      <c r="R2160" s="18"/>
      <c r="S2160" s="18"/>
      <c r="T2160" s="18"/>
      <c r="U2160" s="18"/>
      <c r="V2160" s="18"/>
      <c r="W2160" s="18"/>
      <c r="X2160" s="18"/>
    </row>
    <row r="2161" spans="13:24">
      <c r="M2161" s="558">
        <f t="shared" si="104"/>
        <v>2159</v>
      </c>
      <c r="N2161" s="15">
        <f t="shared" si="102"/>
        <v>0.38900191693274472</v>
      </c>
      <c r="O2161" s="165">
        <f t="shared" si="103"/>
        <v>0.38900191693274472</v>
      </c>
      <c r="P2161" s="18"/>
      <c r="Q2161" s="18"/>
      <c r="R2161" s="18"/>
      <c r="S2161" s="18"/>
      <c r="T2161" s="18"/>
      <c r="U2161" s="18"/>
      <c r="V2161" s="18"/>
      <c r="W2161" s="18"/>
      <c r="X2161" s="18"/>
    </row>
    <row r="2162" spans="13:24">
      <c r="M2162" s="558">
        <f t="shared" si="104"/>
        <v>2160</v>
      </c>
      <c r="N2162" s="15">
        <f t="shared" si="102"/>
        <v>0.38891301311048532</v>
      </c>
      <c r="O2162" s="165">
        <f t="shared" si="103"/>
        <v>0.38891301311048532</v>
      </c>
      <c r="P2162" s="18"/>
      <c r="Q2162" s="18"/>
      <c r="R2162" s="18"/>
      <c r="S2162" s="18"/>
      <c r="T2162" s="18"/>
      <c r="U2162" s="18"/>
      <c r="V2162" s="18"/>
      <c r="W2162" s="18"/>
      <c r="X2162" s="18"/>
    </row>
    <row r="2163" spans="13:24">
      <c r="M2163" s="558">
        <f t="shared" si="104"/>
        <v>2161</v>
      </c>
      <c r="N2163" s="15">
        <f t="shared" si="102"/>
        <v>0.38882415639033041</v>
      </c>
      <c r="O2163" s="165">
        <f t="shared" si="103"/>
        <v>0.38882415639033041</v>
      </c>
      <c r="P2163" s="18"/>
      <c r="Q2163" s="18"/>
      <c r="R2163" s="18"/>
      <c r="S2163" s="18"/>
      <c r="T2163" s="18"/>
      <c r="U2163" s="18"/>
      <c r="V2163" s="18"/>
      <c r="W2163" s="18"/>
      <c r="X2163" s="18"/>
    </row>
    <row r="2164" spans="13:24">
      <c r="M2164" s="558">
        <f t="shared" si="104"/>
        <v>2162</v>
      </c>
      <c r="N2164" s="15">
        <f t="shared" si="102"/>
        <v>0.38873534671317073</v>
      </c>
      <c r="O2164" s="165">
        <f t="shared" si="103"/>
        <v>0.38873534671317073</v>
      </c>
      <c r="P2164" s="18"/>
      <c r="Q2164" s="18"/>
      <c r="R2164" s="18"/>
      <c r="S2164" s="18"/>
      <c r="T2164" s="18"/>
      <c r="U2164" s="18"/>
      <c r="V2164" s="18"/>
      <c r="W2164" s="18"/>
      <c r="X2164" s="18"/>
    </row>
    <row r="2165" spans="13:24">
      <c r="M2165" s="558">
        <f t="shared" si="104"/>
        <v>2163</v>
      </c>
      <c r="N2165" s="15">
        <f t="shared" si="102"/>
        <v>0.3886465840199711</v>
      </c>
      <c r="O2165" s="165">
        <f t="shared" si="103"/>
        <v>0.3886465840199711</v>
      </c>
      <c r="P2165" s="18"/>
      <c r="Q2165" s="18"/>
      <c r="R2165" s="18"/>
      <c r="S2165" s="18"/>
      <c r="T2165" s="18"/>
      <c r="U2165" s="18"/>
      <c r="V2165" s="18"/>
      <c r="W2165" s="18"/>
      <c r="X2165" s="18"/>
    </row>
    <row r="2166" spans="13:24">
      <c r="M2166" s="558">
        <f t="shared" si="104"/>
        <v>2164</v>
      </c>
      <c r="N2166" s="15">
        <f t="shared" si="102"/>
        <v>0.3885578682517703</v>
      </c>
      <c r="O2166" s="165">
        <f t="shared" si="103"/>
        <v>0.3885578682517703</v>
      </c>
      <c r="P2166" s="18"/>
      <c r="Q2166" s="18"/>
      <c r="R2166" s="18"/>
      <c r="S2166" s="18"/>
      <c r="T2166" s="18"/>
      <c r="U2166" s="18"/>
      <c r="V2166" s="18"/>
      <c r="W2166" s="18"/>
      <c r="X2166" s="18"/>
    </row>
    <row r="2167" spans="13:24">
      <c r="M2167" s="558">
        <f t="shared" si="104"/>
        <v>2165</v>
      </c>
      <c r="N2167" s="15">
        <f t="shared" si="102"/>
        <v>0.38846919934968138</v>
      </c>
      <c r="O2167" s="165">
        <f t="shared" si="103"/>
        <v>0.38846919934968138</v>
      </c>
      <c r="P2167" s="18"/>
      <c r="Q2167" s="18"/>
      <c r="R2167" s="18"/>
      <c r="S2167" s="18"/>
      <c r="T2167" s="18"/>
      <c r="U2167" s="18"/>
      <c r="V2167" s="18"/>
      <c r="W2167" s="18"/>
      <c r="X2167" s="18"/>
    </row>
    <row r="2168" spans="13:24">
      <c r="M2168" s="558">
        <f t="shared" si="104"/>
        <v>2166</v>
      </c>
      <c r="N2168" s="15">
        <f t="shared" si="102"/>
        <v>0.38838057725489106</v>
      </c>
      <c r="O2168" s="165">
        <f t="shared" si="103"/>
        <v>0.38838057725489106</v>
      </c>
      <c r="P2168" s="18"/>
      <c r="Q2168" s="18"/>
      <c r="R2168" s="18"/>
      <c r="S2168" s="18"/>
      <c r="T2168" s="18"/>
      <c r="U2168" s="18"/>
      <c r="V2168" s="18"/>
      <c r="W2168" s="18"/>
      <c r="X2168" s="18"/>
    </row>
    <row r="2169" spans="13:24">
      <c r="M2169" s="558">
        <f t="shared" si="104"/>
        <v>2167</v>
      </c>
      <c r="N2169" s="15">
        <f t="shared" si="102"/>
        <v>0.38829200190865992</v>
      </c>
      <c r="O2169" s="165">
        <f t="shared" si="103"/>
        <v>0.38829200190865992</v>
      </c>
      <c r="P2169" s="18"/>
      <c r="Q2169" s="18"/>
      <c r="R2169" s="18"/>
      <c r="S2169" s="18"/>
      <c r="T2169" s="18"/>
      <c r="U2169" s="18"/>
      <c r="V2169" s="18"/>
      <c r="W2169" s="18"/>
      <c r="X2169" s="18"/>
    </row>
    <row r="2170" spans="13:24">
      <c r="M2170" s="558">
        <f t="shared" si="104"/>
        <v>2168</v>
      </c>
      <c r="N2170" s="15">
        <f t="shared" si="102"/>
        <v>0.38820347325232235</v>
      </c>
      <c r="O2170" s="165">
        <f t="shared" si="103"/>
        <v>0.38820347325232235</v>
      </c>
      <c r="P2170" s="18"/>
      <c r="Q2170" s="18"/>
      <c r="R2170" s="18"/>
      <c r="S2170" s="18"/>
      <c r="T2170" s="18"/>
      <c r="U2170" s="18"/>
      <c r="V2170" s="18"/>
      <c r="W2170" s="18"/>
      <c r="X2170" s="18"/>
    </row>
    <row r="2171" spans="13:24">
      <c r="M2171" s="558">
        <f t="shared" si="104"/>
        <v>2169</v>
      </c>
      <c r="N2171" s="15">
        <f t="shared" si="102"/>
        <v>0.38811499122728627</v>
      </c>
      <c r="O2171" s="165">
        <f t="shared" si="103"/>
        <v>0.38811499122728627</v>
      </c>
      <c r="P2171" s="18"/>
      <c r="Q2171" s="18"/>
      <c r="R2171" s="18"/>
      <c r="S2171" s="18"/>
      <c r="T2171" s="18"/>
      <c r="U2171" s="18"/>
      <c r="V2171" s="18"/>
      <c r="W2171" s="18"/>
      <c r="X2171" s="18"/>
    </row>
    <row r="2172" spans="13:24">
      <c r="M2172" s="558">
        <f t="shared" si="104"/>
        <v>2170</v>
      </c>
      <c r="N2172" s="15">
        <f t="shared" si="102"/>
        <v>0.38802655577503303</v>
      </c>
      <c r="O2172" s="165">
        <f t="shared" si="103"/>
        <v>0.38802655577503303</v>
      </c>
      <c r="P2172" s="18"/>
      <c r="Q2172" s="18"/>
      <c r="R2172" s="18"/>
      <c r="S2172" s="18"/>
      <c r="T2172" s="18"/>
      <c r="U2172" s="18"/>
      <c r="V2172" s="18"/>
      <c r="W2172" s="18"/>
      <c r="X2172" s="18"/>
    </row>
    <row r="2173" spans="13:24">
      <c r="M2173" s="558">
        <f t="shared" si="104"/>
        <v>2171</v>
      </c>
      <c r="N2173" s="15">
        <f t="shared" si="102"/>
        <v>0.38793816683711757</v>
      </c>
      <c r="O2173" s="165">
        <f t="shared" si="103"/>
        <v>0.38793816683711757</v>
      </c>
      <c r="P2173" s="18"/>
      <c r="Q2173" s="18"/>
      <c r="R2173" s="18"/>
      <c r="S2173" s="18"/>
      <c r="T2173" s="18"/>
      <c r="U2173" s="18"/>
      <c r="V2173" s="18"/>
      <c r="W2173" s="18"/>
      <c r="X2173" s="18"/>
    </row>
    <row r="2174" spans="13:24">
      <c r="M2174" s="558">
        <f t="shared" si="104"/>
        <v>2172</v>
      </c>
      <c r="N2174" s="15">
        <f t="shared" si="102"/>
        <v>0.38784982435516824</v>
      </c>
      <c r="O2174" s="165">
        <f t="shared" si="103"/>
        <v>0.38784982435516824</v>
      </c>
      <c r="P2174" s="18"/>
      <c r="Q2174" s="18"/>
      <c r="R2174" s="18"/>
      <c r="S2174" s="18"/>
      <c r="T2174" s="18"/>
      <c r="U2174" s="18"/>
      <c r="V2174" s="18"/>
      <c r="W2174" s="18"/>
      <c r="X2174" s="18"/>
    </row>
    <row r="2175" spans="13:24">
      <c r="M2175" s="558">
        <f t="shared" si="104"/>
        <v>2173</v>
      </c>
      <c r="N2175" s="15">
        <f t="shared" si="102"/>
        <v>0.38776152827088639</v>
      </c>
      <c r="O2175" s="165">
        <f t="shared" si="103"/>
        <v>0.38776152827088639</v>
      </c>
      <c r="P2175" s="18"/>
      <c r="Q2175" s="18"/>
      <c r="R2175" s="18"/>
      <c r="S2175" s="18"/>
      <c r="T2175" s="18"/>
      <c r="U2175" s="18"/>
      <c r="V2175" s="18"/>
      <c r="W2175" s="18"/>
      <c r="X2175" s="18"/>
    </row>
    <row r="2176" spans="13:24">
      <c r="M2176" s="558">
        <f t="shared" si="104"/>
        <v>2174</v>
      </c>
      <c r="N2176" s="15">
        <f t="shared" si="102"/>
        <v>0.38767327852604677</v>
      </c>
      <c r="O2176" s="165">
        <f t="shared" si="103"/>
        <v>0.38767327852604677</v>
      </c>
      <c r="P2176" s="18"/>
      <c r="Q2176" s="18"/>
      <c r="R2176" s="18"/>
      <c r="S2176" s="18"/>
      <c r="T2176" s="18"/>
      <c r="U2176" s="18"/>
      <c r="V2176" s="18"/>
      <c r="W2176" s="18"/>
      <c r="X2176" s="18"/>
    </row>
    <row r="2177" spans="13:24">
      <c r="M2177" s="558">
        <f t="shared" si="104"/>
        <v>2175</v>
      </c>
      <c r="N2177" s="15">
        <f t="shared" si="102"/>
        <v>0.38758507506249712</v>
      </c>
      <c r="O2177" s="165">
        <f t="shared" si="103"/>
        <v>0.38758507506249712</v>
      </c>
      <c r="P2177" s="18"/>
      <c r="Q2177" s="18"/>
      <c r="R2177" s="18"/>
      <c r="S2177" s="18"/>
      <c r="T2177" s="18"/>
      <c r="U2177" s="18"/>
      <c r="V2177" s="18"/>
      <c r="W2177" s="18"/>
      <c r="X2177" s="18"/>
    </row>
    <row r="2178" spans="13:24">
      <c r="M2178" s="558">
        <f t="shared" si="104"/>
        <v>2176</v>
      </c>
      <c r="N2178" s="15">
        <f t="shared" si="102"/>
        <v>0.38749691782215806</v>
      </c>
      <c r="O2178" s="165">
        <f t="shared" si="103"/>
        <v>0.38749691782215806</v>
      </c>
      <c r="P2178" s="18"/>
      <c r="Q2178" s="18"/>
      <c r="R2178" s="18"/>
      <c r="S2178" s="18"/>
      <c r="T2178" s="18"/>
      <c r="U2178" s="18"/>
      <c r="V2178" s="18"/>
      <c r="W2178" s="18"/>
      <c r="X2178" s="18"/>
    </row>
    <row r="2179" spans="13:24">
      <c r="M2179" s="558">
        <f t="shared" si="104"/>
        <v>2177</v>
      </c>
      <c r="N2179" s="15">
        <f t="shared" si="102"/>
        <v>0.38740880674702316</v>
      </c>
      <c r="O2179" s="165">
        <f t="shared" si="103"/>
        <v>0.38740880674702316</v>
      </c>
      <c r="P2179" s="18"/>
      <c r="Q2179" s="18"/>
      <c r="R2179" s="18"/>
      <c r="S2179" s="18"/>
      <c r="T2179" s="18"/>
      <c r="U2179" s="18"/>
      <c r="V2179" s="18"/>
      <c r="W2179" s="18"/>
      <c r="X2179" s="18"/>
    </row>
    <row r="2180" spans="13:24">
      <c r="M2180" s="558">
        <f t="shared" si="104"/>
        <v>2178</v>
      </c>
      <c r="N2180" s="15">
        <f t="shared" ref="N2180:N2243" si="105">IF(M2180&lt;$B$31+1,$B$32+$B$33/$B$31*(8760-M2180)+$B$34*IF(M2180&lt;$B$36-$B$31/(2*$B$35),1,IF(M2180&lt;$B$36+$B$31/(2*$B$35),COS(PI()/2*(M2180-($B$36-$B$31/(2*$B$35)))*$B$35/$B$31)^2,0))+$B$37*EXP((8760-M2180)/8760*$B$38)/EXP($B$38)-(8760-$B$31)*$B$33/$B$31,0)</f>
        <v>0.38732074177915893</v>
      </c>
      <c r="O2180" s="165">
        <f t="shared" ref="O2180:O2243" si="106">MIN(N2180,C$24)</f>
        <v>0.38732074177915893</v>
      </c>
      <c r="P2180" s="18"/>
      <c r="Q2180" s="18"/>
      <c r="R2180" s="18"/>
      <c r="S2180" s="18"/>
      <c r="T2180" s="18"/>
      <c r="U2180" s="18"/>
      <c r="V2180" s="18"/>
      <c r="W2180" s="18"/>
      <c r="X2180" s="18"/>
    </row>
    <row r="2181" spans="13:24">
      <c r="M2181" s="558">
        <f t="shared" ref="M2181:M2244" si="107">M2180+1</f>
        <v>2179</v>
      </c>
      <c r="N2181" s="15">
        <f t="shared" si="105"/>
        <v>0.38723272286070426</v>
      </c>
      <c r="O2181" s="165">
        <f t="shared" si="106"/>
        <v>0.38723272286070426</v>
      </c>
      <c r="P2181" s="18"/>
      <c r="Q2181" s="18"/>
      <c r="R2181" s="18"/>
      <c r="S2181" s="18"/>
      <c r="T2181" s="18"/>
      <c r="U2181" s="18"/>
      <c r="V2181" s="18"/>
      <c r="W2181" s="18"/>
      <c r="X2181" s="18"/>
    </row>
    <row r="2182" spans="13:24">
      <c r="M2182" s="558">
        <f t="shared" si="107"/>
        <v>2180</v>
      </c>
      <c r="N2182" s="15">
        <f t="shared" si="105"/>
        <v>0.38714474993387105</v>
      </c>
      <c r="O2182" s="165">
        <f t="shared" si="106"/>
        <v>0.38714474993387105</v>
      </c>
      <c r="P2182" s="18"/>
      <c r="Q2182" s="18"/>
      <c r="R2182" s="18"/>
      <c r="S2182" s="18"/>
      <c r="T2182" s="18"/>
      <c r="U2182" s="18"/>
      <c r="V2182" s="18"/>
      <c r="W2182" s="18"/>
      <c r="X2182" s="18"/>
    </row>
    <row r="2183" spans="13:24">
      <c r="M2183" s="558">
        <f t="shared" si="107"/>
        <v>2181</v>
      </c>
      <c r="N2183" s="15">
        <f t="shared" si="105"/>
        <v>0.38705682294094329</v>
      </c>
      <c r="O2183" s="165">
        <f t="shared" si="106"/>
        <v>0.38705682294094329</v>
      </c>
      <c r="P2183" s="18"/>
      <c r="Q2183" s="18"/>
      <c r="R2183" s="18"/>
      <c r="S2183" s="18"/>
      <c r="T2183" s="18"/>
      <c r="U2183" s="18"/>
      <c r="V2183" s="18"/>
      <c r="W2183" s="18"/>
      <c r="X2183" s="18"/>
    </row>
    <row r="2184" spans="13:24">
      <c r="M2184" s="558">
        <f t="shared" si="107"/>
        <v>2182</v>
      </c>
      <c r="N2184" s="15">
        <f t="shared" si="105"/>
        <v>0.38696894182427771</v>
      </c>
      <c r="O2184" s="165">
        <f t="shared" si="106"/>
        <v>0.38696894182427771</v>
      </c>
      <c r="P2184" s="18"/>
      <c r="Q2184" s="18"/>
      <c r="R2184" s="18"/>
      <c r="S2184" s="18"/>
      <c r="T2184" s="18"/>
      <c r="U2184" s="18"/>
      <c r="V2184" s="18"/>
      <c r="W2184" s="18"/>
      <c r="X2184" s="18"/>
    </row>
    <row r="2185" spans="13:24">
      <c r="M2185" s="558">
        <f t="shared" si="107"/>
        <v>2183</v>
      </c>
      <c r="N2185" s="15">
        <f t="shared" si="105"/>
        <v>0.38688110652630336</v>
      </c>
      <c r="O2185" s="165">
        <f t="shared" si="106"/>
        <v>0.38688110652630336</v>
      </c>
      <c r="P2185" s="18"/>
      <c r="Q2185" s="18"/>
      <c r="R2185" s="18"/>
      <c r="S2185" s="18"/>
      <c r="T2185" s="18"/>
      <c r="U2185" s="18"/>
      <c r="V2185" s="18"/>
      <c r="W2185" s="18"/>
      <c r="X2185" s="18"/>
    </row>
    <row r="2186" spans="13:24">
      <c r="M2186" s="558">
        <f t="shared" si="107"/>
        <v>2184</v>
      </c>
      <c r="N2186" s="15">
        <f t="shared" si="105"/>
        <v>0.38679331698952141</v>
      </c>
      <c r="O2186" s="165">
        <f t="shared" si="106"/>
        <v>0.38679331698952141</v>
      </c>
      <c r="P2186" s="18"/>
      <c r="Q2186" s="18"/>
      <c r="R2186" s="18"/>
      <c r="S2186" s="18"/>
      <c r="T2186" s="18"/>
      <c r="U2186" s="18"/>
      <c r="V2186" s="18"/>
      <c r="W2186" s="18"/>
      <c r="X2186" s="18"/>
    </row>
    <row r="2187" spans="13:24">
      <c r="M2187" s="558">
        <f t="shared" si="107"/>
        <v>2185</v>
      </c>
      <c r="N2187" s="15">
        <f t="shared" si="105"/>
        <v>0.38670557315650517</v>
      </c>
      <c r="O2187" s="165">
        <f t="shared" si="106"/>
        <v>0.38670557315650517</v>
      </c>
      <c r="P2187" s="18"/>
      <c r="Q2187" s="18"/>
      <c r="R2187" s="18"/>
      <c r="S2187" s="18"/>
      <c r="T2187" s="18"/>
      <c r="U2187" s="18"/>
      <c r="V2187" s="18"/>
      <c r="W2187" s="18"/>
      <c r="X2187" s="18"/>
    </row>
    <row r="2188" spans="13:24">
      <c r="M2188" s="558">
        <f t="shared" si="107"/>
        <v>2186</v>
      </c>
      <c r="N2188" s="15">
        <f t="shared" si="105"/>
        <v>0.38661787496990019</v>
      </c>
      <c r="O2188" s="165">
        <f t="shared" si="106"/>
        <v>0.38661787496990019</v>
      </c>
      <c r="P2188" s="18"/>
      <c r="Q2188" s="18"/>
      <c r="R2188" s="18"/>
      <c r="S2188" s="18"/>
      <c r="T2188" s="18"/>
      <c r="U2188" s="18"/>
      <c r="V2188" s="18"/>
      <c r="W2188" s="18"/>
      <c r="X2188" s="18"/>
    </row>
    <row r="2189" spans="13:24">
      <c r="M2189" s="558">
        <f t="shared" si="107"/>
        <v>2187</v>
      </c>
      <c r="N2189" s="15">
        <f t="shared" si="105"/>
        <v>0.38653022237242385</v>
      </c>
      <c r="O2189" s="165">
        <f t="shared" si="106"/>
        <v>0.38653022237242385</v>
      </c>
      <c r="P2189" s="18"/>
      <c r="Q2189" s="18"/>
      <c r="R2189" s="18"/>
      <c r="S2189" s="18"/>
      <c r="T2189" s="18"/>
      <c r="U2189" s="18"/>
      <c r="V2189" s="18"/>
      <c r="W2189" s="18"/>
      <c r="X2189" s="18"/>
    </row>
    <row r="2190" spans="13:24">
      <c r="M2190" s="558">
        <f t="shared" si="107"/>
        <v>2188</v>
      </c>
      <c r="N2190" s="15">
        <f t="shared" si="105"/>
        <v>0.38644261530686541</v>
      </c>
      <c r="O2190" s="165">
        <f t="shared" si="106"/>
        <v>0.38644261530686541</v>
      </c>
      <c r="P2190" s="18"/>
      <c r="Q2190" s="18"/>
      <c r="R2190" s="18"/>
      <c r="S2190" s="18"/>
      <c r="T2190" s="18"/>
      <c r="U2190" s="18"/>
      <c r="V2190" s="18"/>
      <c r="W2190" s="18"/>
      <c r="X2190" s="18"/>
    </row>
    <row r="2191" spans="13:24">
      <c r="M2191" s="558">
        <f t="shared" si="107"/>
        <v>2189</v>
      </c>
      <c r="N2191" s="15">
        <f t="shared" si="105"/>
        <v>0.38635505371608597</v>
      </c>
      <c r="O2191" s="165">
        <f t="shared" si="106"/>
        <v>0.38635505371608597</v>
      </c>
      <c r="P2191" s="18"/>
      <c r="Q2191" s="18"/>
      <c r="R2191" s="18"/>
      <c r="S2191" s="18"/>
      <c r="T2191" s="18"/>
      <c r="U2191" s="18"/>
      <c r="V2191" s="18"/>
      <c r="W2191" s="18"/>
      <c r="X2191" s="18"/>
    </row>
    <row r="2192" spans="13:24">
      <c r="M2192" s="558">
        <f t="shared" si="107"/>
        <v>2190</v>
      </c>
      <c r="N2192" s="15">
        <f t="shared" si="105"/>
        <v>0.38626753754301846</v>
      </c>
      <c r="O2192" s="165">
        <f t="shared" si="106"/>
        <v>0.38626753754301846</v>
      </c>
      <c r="P2192" s="18"/>
      <c r="Q2192" s="18"/>
      <c r="R2192" s="18"/>
      <c r="S2192" s="18"/>
      <c r="T2192" s="18"/>
      <c r="U2192" s="18"/>
      <c r="V2192" s="18"/>
      <c r="W2192" s="18"/>
      <c r="X2192" s="18"/>
    </row>
    <row r="2193" spans="13:24">
      <c r="M2193" s="558">
        <f t="shared" si="107"/>
        <v>2191</v>
      </c>
      <c r="N2193" s="15">
        <f t="shared" si="105"/>
        <v>0.38618006673066718</v>
      </c>
      <c r="O2193" s="165">
        <f t="shared" si="106"/>
        <v>0.38618006673066718</v>
      </c>
      <c r="P2193" s="18"/>
      <c r="Q2193" s="18"/>
      <c r="R2193" s="18"/>
      <c r="S2193" s="18"/>
      <c r="T2193" s="18"/>
      <c r="U2193" s="18"/>
      <c r="V2193" s="18"/>
      <c r="W2193" s="18"/>
      <c r="X2193" s="18"/>
    </row>
    <row r="2194" spans="13:24">
      <c r="M2194" s="558">
        <f t="shared" si="107"/>
        <v>2192</v>
      </c>
      <c r="N2194" s="15">
        <f t="shared" si="105"/>
        <v>0.38609264122210801</v>
      </c>
      <c r="O2194" s="165">
        <f t="shared" si="106"/>
        <v>0.38609264122210801</v>
      </c>
      <c r="P2194" s="18"/>
      <c r="Q2194" s="18"/>
      <c r="R2194" s="18"/>
      <c r="S2194" s="18"/>
      <c r="T2194" s="18"/>
      <c r="U2194" s="18"/>
      <c r="V2194" s="18"/>
      <c r="W2194" s="18"/>
      <c r="X2194" s="18"/>
    </row>
    <row r="2195" spans="13:24">
      <c r="M2195" s="558">
        <f t="shared" si="107"/>
        <v>2193</v>
      </c>
      <c r="N2195" s="15">
        <f t="shared" si="105"/>
        <v>0.38600526096048854</v>
      </c>
      <c r="O2195" s="165">
        <f t="shared" si="106"/>
        <v>0.38600526096048854</v>
      </c>
      <c r="P2195" s="18"/>
      <c r="Q2195" s="18"/>
      <c r="R2195" s="18"/>
      <c r="S2195" s="18"/>
      <c r="T2195" s="18"/>
      <c r="U2195" s="18"/>
      <c r="V2195" s="18"/>
      <c r="W2195" s="18"/>
      <c r="X2195" s="18"/>
    </row>
    <row r="2196" spans="13:24">
      <c r="M2196" s="558">
        <f t="shared" si="107"/>
        <v>2194</v>
      </c>
      <c r="N2196" s="15">
        <f t="shared" si="105"/>
        <v>0.3859179258890274</v>
      </c>
      <c r="O2196" s="165">
        <f t="shared" si="106"/>
        <v>0.3859179258890274</v>
      </c>
      <c r="P2196" s="18"/>
      <c r="Q2196" s="18"/>
      <c r="R2196" s="18"/>
      <c r="S2196" s="18"/>
      <c r="T2196" s="18"/>
      <c r="U2196" s="18"/>
      <c r="V2196" s="18"/>
      <c r="W2196" s="18"/>
      <c r="X2196" s="18"/>
    </row>
    <row r="2197" spans="13:24">
      <c r="M2197" s="558">
        <f t="shared" si="107"/>
        <v>2195</v>
      </c>
      <c r="N2197" s="15">
        <f t="shared" si="105"/>
        <v>0.38583063595101447</v>
      </c>
      <c r="O2197" s="165">
        <f t="shared" si="106"/>
        <v>0.38583063595101447</v>
      </c>
      <c r="P2197" s="18"/>
      <c r="Q2197" s="18"/>
      <c r="R2197" s="18"/>
      <c r="S2197" s="18"/>
      <c r="T2197" s="18"/>
      <c r="U2197" s="18"/>
      <c r="V2197" s="18"/>
      <c r="W2197" s="18"/>
      <c r="X2197" s="18"/>
    </row>
    <row r="2198" spans="13:24">
      <c r="M2198" s="558">
        <f t="shared" si="107"/>
        <v>2196</v>
      </c>
      <c r="N2198" s="15">
        <f t="shared" si="105"/>
        <v>0.38574339108981098</v>
      </c>
      <c r="O2198" s="165">
        <f t="shared" si="106"/>
        <v>0.38574339108981098</v>
      </c>
      <c r="P2198" s="18"/>
      <c r="Q2198" s="18"/>
      <c r="R2198" s="18"/>
      <c r="S2198" s="18"/>
      <c r="T2198" s="18"/>
      <c r="U2198" s="18"/>
      <c r="V2198" s="18"/>
      <c r="W2198" s="18"/>
      <c r="X2198" s="18"/>
    </row>
    <row r="2199" spans="13:24">
      <c r="M2199" s="558">
        <f t="shared" si="107"/>
        <v>2197</v>
      </c>
      <c r="N2199" s="15">
        <f t="shared" si="105"/>
        <v>0.3856561912488492</v>
      </c>
      <c r="O2199" s="165">
        <f t="shared" si="106"/>
        <v>0.3856561912488492</v>
      </c>
      <c r="P2199" s="18"/>
      <c r="Q2199" s="18"/>
      <c r="R2199" s="18"/>
      <c r="S2199" s="18"/>
      <c r="T2199" s="18"/>
      <c r="U2199" s="18"/>
      <c r="V2199" s="18"/>
      <c r="W2199" s="18"/>
      <c r="X2199" s="18"/>
    </row>
    <row r="2200" spans="13:24">
      <c r="M2200" s="558">
        <f t="shared" si="107"/>
        <v>2198</v>
      </c>
      <c r="N2200" s="15">
        <f t="shared" si="105"/>
        <v>0.38556903637163226</v>
      </c>
      <c r="O2200" s="165">
        <f t="shared" si="106"/>
        <v>0.38556903637163226</v>
      </c>
      <c r="P2200" s="18"/>
      <c r="Q2200" s="18"/>
      <c r="R2200" s="18"/>
      <c r="S2200" s="18"/>
      <c r="T2200" s="18"/>
      <c r="U2200" s="18"/>
      <c r="V2200" s="18"/>
      <c r="W2200" s="18"/>
      <c r="X2200" s="18"/>
    </row>
    <row r="2201" spans="13:24">
      <c r="M2201" s="558">
        <f t="shared" si="107"/>
        <v>2199</v>
      </c>
      <c r="N2201" s="15">
        <f t="shared" si="105"/>
        <v>0.38548192640173429</v>
      </c>
      <c r="O2201" s="165">
        <f t="shared" si="106"/>
        <v>0.38548192640173429</v>
      </c>
      <c r="P2201" s="18"/>
      <c r="Q2201" s="18"/>
      <c r="R2201" s="18"/>
      <c r="S2201" s="18"/>
      <c r="T2201" s="18"/>
      <c r="U2201" s="18"/>
      <c r="V2201" s="18"/>
      <c r="W2201" s="18"/>
      <c r="X2201" s="18"/>
    </row>
    <row r="2202" spans="13:24">
      <c r="M2202" s="558">
        <f t="shared" si="107"/>
        <v>2200</v>
      </c>
      <c r="N2202" s="15">
        <f t="shared" si="105"/>
        <v>0.38539486128280021</v>
      </c>
      <c r="O2202" s="165">
        <f t="shared" si="106"/>
        <v>0.38539486128280021</v>
      </c>
      <c r="P2202" s="18"/>
      <c r="Q2202" s="18"/>
      <c r="R2202" s="18"/>
      <c r="S2202" s="18"/>
      <c r="T2202" s="18"/>
      <c r="U2202" s="18"/>
      <c r="V2202" s="18"/>
      <c r="W2202" s="18"/>
      <c r="X2202" s="18"/>
    </row>
    <row r="2203" spans="13:24">
      <c r="M2203" s="558">
        <f t="shared" si="107"/>
        <v>2201</v>
      </c>
      <c r="N2203" s="15">
        <f t="shared" si="105"/>
        <v>0.38530784095854576</v>
      </c>
      <c r="O2203" s="165">
        <f t="shared" si="106"/>
        <v>0.38530784095854576</v>
      </c>
      <c r="P2203" s="18"/>
      <c r="Q2203" s="18"/>
      <c r="R2203" s="18"/>
      <c r="S2203" s="18"/>
      <c r="T2203" s="18"/>
      <c r="U2203" s="18"/>
      <c r="V2203" s="18"/>
      <c r="W2203" s="18"/>
      <c r="X2203" s="18"/>
    </row>
    <row r="2204" spans="13:24">
      <c r="M2204" s="558">
        <f t="shared" si="107"/>
        <v>2202</v>
      </c>
      <c r="N2204" s="15">
        <f t="shared" si="105"/>
        <v>0.38522086537275702</v>
      </c>
      <c r="O2204" s="165">
        <f t="shared" si="106"/>
        <v>0.38522086537275702</v>
      </c>
      <c r="P2204" s="18"/>
      <c r="Q2204" s="18"/>
      <c r="R2204" s="18"/>
      <c r="S2204" s="18"/>
      <c r="T2204" s="18"/>
      <c r="U2204" s="18"/>
      <c r="V2204" s="18"/>
      <c r="W2204" s="18"/>
      <c r="X2204" s="18"/>
    </row>
    <row r="2205" spans="13:24">
      <c r="M2205" s="558">
        <f t="shared" si="107"/>
        <v>2203</v>
      </c>
      <c r="N2205" s="15">
        <f t="shared" si="105"/>
        <v>0.38513393446929101</v>
      </c>
      <c r="O2205" s="165">
        <f t="shared" si="106"/>
        <v>0.38513393446929101</v>
      </c>
      <c r="P2205" s="18"/>
      <c r="Q2205" s="18"/>
      <c r="R2205" s="18"/>
      <c r="S2205" s="18"/>
      <c r="T2205" s="18"/>
      <c r="U2205" s="18"/>
      <c r="V2205" s="18"/>
      <c r="W2205" s="18"/>
      <c r="X2205" s="18"/>
    </row>
    <row r="2206" spans="13:24">
      <c r="M2206" s="558">
        <f t="shared" si="107"/>
        <v>2204</v>
      </c>
      <c r="N2206" s="15">
        <f t="shared" si="105"/>
        <v>0.38504704819207486</v>
      </c>
      <c r="O2206" s="165">
        <f t="shared" si="106"/>
        <v>0.38504704819207486</v>
      </c>
      <c r="P2206" s="18"/>
      <c r="Q2206" s="18"/>
      <c r="R2206" s="18"/>
      <c r="S2206" s="18"/>
      <c r="T2206" s="18"/>
      <c r="U2206" s="18"/>
      <c r="V2206" s="18"/>
      <c r="W2206" s="18"/>
      <c r="X2206" s="18"/>
    </row>
    <row r="2207" spans="13:24">
      <c r="M2207" s="558">
        <f t="shared" si="107"/>
        <v>2205</v>
      </c>
      <c r="N2207" s="15">
        <f t="shared" si="105"/>
        <v>0.38496020648510632</v>
      </c>
      <c r="O2207" s="165">
        <f t="shared" si="106"/>
        <v>0.38496020648510632</v>
      </c>
      <c r="P2207" s="18"/>
      <c r="Q2207" s="18"/>
      <c r="R2207" s="18"/>
      <c r="S2207" s="18"/>
      <c r="T2207" s="18"/>
      <c r="U2207" s="18"/>
      <c r="V2207" s="18"/>
      <c r="W2207" s="18"/>
      <c r="X2207" s="18"/>
    </row>
    <row r="2208" spans="13:24">
      <c r="M2208" s="558">
        <f t="shared" si="107"/>
        <v>2206</v>
      </c>
      <c r="N2208" s="15">
        <f t="shared" si="105"/>
        <v>0.38487340929245323</v>
      </c>
      <c r="O2208" s="165">
        <f t="shared" si="106"/>
        <v>0.38487340929245323</v>
      </c>
      <c r="P2208" s="18"/>
      <c r="Q2208" s="18"/>
      <c r="R2208" s="18"/>
      <c r="S2208" s="18"/>
      <c r="T2208" s="18"/>
      <c r="U2208" s="18"/>
      <c r="V2208" s="18"/>
      <c r="W2208" s="18"/>
      <c r="X2208" s="18"/>
    </row>
    <row r="2209" spans="13:24">
      <c r="M2209" s="558">
        <f t="shared" si="107"/>
        <v>2207</v>
      </c>
      <c r="N2209" s="15">
        <f t="shared" si="105"/>
        <v>0.38478665655825361</v>
      </c>
      <c r="O2209" s="165">
        <f t="shared" si="106"/>
        <v>0.38478665655825361</v>
      </c>
      <c r="P2209" s="18"/>
      <c r="Q2209" s="18"/>
      <c r="R2209" s="18"/>
      <c r="S2209" s="18"/>
      <c r="T2209" s="18"/>
      <c r="U2209" s="18"/>
      <c r="V2209" s="18"/>
      <c r="W2209" s="18"/>
      <c r="X2209" s="18"/>
    </row>
    <row r="2210" spans="13:24">
      <c r="M2210" s="558">
        <f t="shared" si="107"/>
        <v>2208</v>
      </c>
      <c r="N2210" s="15">
        <f t="shared" si="105"/>
        <v>0.38469994822671594</v>
      </c>
      <c r="O2210" s="165">
        <f t="shared" si="106"/>
        <v>0.38469994822671594</v>
      </c>
      <c r="P2210" s="18"/>
      <c r="Q2210" s="18"/>
      <c r="R2210" s="18"/>
      <c r="S2210" s="18"/>
      <c r="T2210" s="18"/>
      <c r="U2210" s="18"/>
      <c r="V2210" s="18"/>
      <c r="W2210" s="18"/>
      <c r="X2210" s="18"/>
    </row>
    <row r="2211" spans="13:24">
      <c r="M2211" s="558">
        <f t="shared" si="107"/>
        <v>2209</v>
      </c>
      <c r="N2211" s="15">
        <f t="shared" si="105"/>
        <v>0.38461328424211821</v>
      </c>
      <c r="O2211" s="165">
        <f t="shared" si="106"/>
        <v>0.38461328424211821</v>
      </c>
      <c r="P2211" s="18"/>
      <c r="Q2211" s="18"/>
      <c r="R2211" s="18"/>
      <c r="S2211" s="18"/>
      <c r="T2211" s="18"/>
      <c r="U2211" s="18"/>
      <c r="V2211" s="18"/>
      <c r="W2211" s="18"/>
      <c r="X2211" s="18"/>
    </row>
    <row r="2212" spans="13:24">
      <c r="M2212" s="558">
        <f t="shared" si="107"/>
        <v>2210</v>
      </c>
      <c r="N2212" s="15">
        <f t="shared" si="105"/>
        <v>0.38452666454880863</v>
      </c>
      <c r="O2212" s="165">
        <f t="shared" si="106"/>
        <v>0.38452666454880863</v>
      </c>
      <c r="P2212" s="18"/>
      <c r="Q2212" s="18"/>
      <c r="R2212" s="18"/>
      <c r="S2212" s="18"/>
      <c r="T2212" s="18"/>
      <c r="U2212" s="18"/>
      <c r="V2212" s="18"/>
      <c r="W2212" s="18"/>
      <c r="X2212" s="18"/>
    </row>
    <row r="2213" spans="13:24">
      <c r="M2213" s="558">
        <f t="shared" si="107"/>
        <v>2211</v>
      </c>
      <c r="N2213" s="15">
        <f t="shared" si="105"/>
        <v>0.38444008909120525</v>
      </c>
      <c r="O2213" s="165">
        <f t="shared" si="106"/>
        <v>0.38444008909120525</v>
      </c>
      <c r="P2213" s="18"/>
      <c r="Q2213" s="18"/>
      <c r="R2213" s="18"/>
      <c r="S2213" s="18"/>
      <c r="T2213" s="18"/>
      <c r="U2213" s="18"/>
      <c r="V2213" s="18"/>
      <c r="W2213" s="18"/>
      <c r="X2213" s="18"/>
    </row>
    <row r="2214" spans="13:24">
      <c r="M2214" s="558">
        <f t="shared" si="107"/>
        <v>2212</v>
      </c>
      <c r="N2214" s="15">
        <f t="shared" si="105"/>
        <v>0.38435355781379577</v>
      </c>
      <c r="O2214" s="165">
        <f t="shared" si="106"/>
        <v>0.38435355781379577</v>
      </c>
      <c r="P2214" s="18"/>
      <c r="Q2214" s="18"/>
      <c r="R2214" s="18"/>
      <c r="S2214" s="18"/>
      <c r="T2214" s="18"/>
      <c r="U2214" s="18"/>
      <c r="V2214" s="18"/>
      <c r="W2214" s="18"/>
      <c r="X2214" s="18"/>
    </row>
    <row r="2215" spans="13:24">
      <c r="M2215" s="558">
        <f t="shared" si="107"/>
        <v>2213</v>
      </c>
      <c r="N2215" s="15">
        <f t="shared" si="105"/>
        <v>0.38426707066113763</v>
      </c>
      <c r="O2215" s="165">
        <f t="shared" si="106"/>
        <v>0.38426707066113763</v>
      </c>
      <c r="P2215" s="18"/>
      <c r="Q2215" s="18"/>
      <c r="R2215" s="18"/>
      <c r="S2215" s="18"/>
      <c r="T2215" s="18"/>
      <c r="U2215" s="18"/>
      <c r="V2215" s="18"/>
      <c r="W2215" s="18"/>
      <c r="X2215" s="18"/>
    </row>
    <row r="2216" spans="13:24">
      <c r="M2216" s="558">
        <f t="shared" si="107"/>
        <v>2214</v>
      </c>
      <c r="N2216" s="15">
        <f t="shared" si="105"/>
        <v>0.3841806275778577</v>
      </c>
      <c r="O2216" s="165">
        <f t="shared" si="106"/>
        <v>0.3841806275778577</v>
      </c>
      <c r="P2216" s="18"/>
      <c r="Q2216" s="18"/>
      <c r="R2216" s="18"/>
      <c r="S2216" s="18"/>
      <c r="T2216" s="18"/>
      <c r="U2216" s="18"/>
      <c r="V2216" s="18"/>
      <c r="W2216" s="18"/>
      <c r="X2216" s="18"/>
    </row>
    <row r="2217" spans="13:24">
      <c r="M2217" s="558">
        <f t="shared" si="107"/>
        <v>2215</v>
      </c>
      <c r="N2217" s="15">
        <f t="shared" si="105"/>
        <v>0.38409422850865249</v>
      </c>
      <c r="O2217" s="165">
        <f t="shared" si="106"/>
        <v>0.38409422850865249</v>
      </c>
      <c r="P2217" s="18"/>
      <c r="Q2217" s="18"/>
      <c r="R2217" s="18"/>
      <c r="S2217" s="18"/>
      <c r="T2217" s="18"/>
      <c r="U2217" s="18"/>
      <c r="V2217" s="18"/>
      <c r="W2217" s="18"/>
      <c r="X2217" s="18"/>
    </row>
    <row r="2218" spans="13:24">
      <c r="M2218" s="558">
        <f t="shared" si="107"/>
        <v>2216</v>
      </c>
      <c r="N2218" s="15">
        <f t="shared" si="105"/>
        <v>0.38400787339828801</v>
      </c>
      <c r="O2218" s="165">
        <f t="shared" si="106"/>
        <v>0.38400787339828801</v>
      </c>
      <c r="P2218" s="18"/>
      <c r="Q2218" s="18"/>
      <c r="R2218" s="18"/>
      <c r="S2218" s="18"/>
      <c r="T2218" s="18"/>
      <c r="U2218" s="18"/>
      <c r="V2218" s="18"/>
      <c r="W2218" s="18"/>
      <c r="X2218" s="18"/>
    </row>
    <row r="2219" spans="13:24">
      <c r="M2219" s="558">
        <f t="shared" si="107"/>
        <v>2217</v>
      </c>
      <c r="N2219" s="15">
        <f t="shared" si="105"/>
        <v>0.38392156219159929</v>
      </c>
      <c r="O2219" s="165">
        <f t="shared" si="106"/>
        <v>0.38392156219159929</v>
      </c>
      <c r="P2219" s="18"/>
      <c r="Q2219" s="18"/>
      <c r="R2219" s="18"/>
      <c r="S2219" s="18"/>
      <c r="T2219" s="18"/>
      <c r="U2219" s="18"/>
      <c r="V2219" s="18"/>
      <c r="W2219" s="18"/>
      <c r="X2219" s="18"/>
    </row>
    <row r="2220" spans="13:24">
      <c r="M2220" s="558">
        <f t="shared" si="107"/>
        <v>2218</v>
      </c>
      <c r="N2220" s="15">
        <f t="shared" si="105"/>
        <v>0.38383529483349083</v>
      </c>
      <c r="O2220" s="165">
        <f t="shared" si="106"/>
        <v>0.38383529483349083</v>
      </c>
      <c r="P2220" s="18"/>
      <c r="Q2220" s="18"/>
      <c r="R2220" s="18"/>
      <c r="S2220" s="18"/>
      <c r="T2220" s="18"/>
      <c r="U2220" s="18"/>
      <c r="V2220" s="18"/>
      <c r="W2220" s="18"/>
      <c r="X2220" s="18"/>
    </row>
    <row r="2221" spans="13:24">
      <c r="M2221" s="558">
        <f t="shared" si="107"/>
        <v>2219</v>
      </c>
      <c r="N2221" s="15">
        <f t="shared" si="105"/>
        <v>0.38374907126893609</v>
      </c>
      <c r="O2221" s="165">
        <f t="shared" si="106"/>
        <v>0.38374907126893609</v>
      </c>
      <c r="P2221" s="18"/>
      <c r="Q2221" s="18"/>
      <c r="R2221" s="18"/>
      <c r="S2221" s="18"/>
      <c r="T2221" s="18"/>
      <c r="U2221" s="18"/>
      <c r="V2221" s="18"/>
      <c r="W2221" s="18"/>
      <c r="X2221" s="18"/>
    </row>
    <row r="2222" spans="13:24">
      <c r="M2222" s="558">
        <f t="shared" si="107"/>
        <v>2220</v>
      </c>
      <c r="N2222" s="15">
        <f t="shared" si="105"/>
        <v>0.38366289144297777</v>
      </c>
      <c r="O2222" s="165">
        <f t="shared" si="106"/>
        <v>0.38366289144297777</v>
      </c>
      <c r="P2222" s="18"/>
      <c r="Q2222" s="18"/>
      <c r="R2222" s="18"/>
      <c r="S2222" s="18"/>
      <c r="T2222" s="18"/>
      <c r="U2222" s="18"/>
      <c r="V2222" s="18"/>
      <c r="W2222" s="18"/>
      <c r="X2222" s="18"/>
    </row>
    <row r="2223" spans="13:24">
      <c r="M2223" s="558">
        <f t="shared" si="107"/>
        <v>2221</v>
      </c>
      <c r="N2223" s="15">
        <f t="shared" si="105"/>
        <v>0.38357675530072743</v>
      </c>
      <c r="O2223" s="165">
        <f t="shared" si="106"/>
        <v>0.38357675530072743</v>
      </c>
      <c r="P2223" s="18"/>
      <c r="Q2223" s="18"/>
      <c r="R2223" s="18"/>
      <c r="S2223" s="18"/>
      <c r="T2223" s="18"/>
      <c r="U2223" s="18"/>
      <c r="V2223" s="18"/>
      <c r="W2223" s="18"/>
      <c r="X2223" s="18"/>
    </row>
    <row r="2224" spans="13:24">
      <c r="M2224" s="558">
        <f t="shared" si="107"/>
        <v>2222</v>
      </c>
      <c r="N2224" s="15">
        <f t="shared" si="105"/>
        <v>0.38349066278736543</v>
      </c>
      <c r="O2224" s="165">
        <f t="shared" si="106"/>
        <v>0.38349066278736543</v>
      </c>
      <c r="P2224" s="18"/>
      <c r="Q2224" s="18"/>
      <c r="R2224" s="18"/>
      <c r="S2224" s="18"/>
      <c r="T2224" s="18"/>
      <c r="U2224" s="18"/>
      <c r="V2224" s="18"/>
      <c r="W2224" s="18"/>
      <c r="X2224" s="18"/>
    </row>
    <row r="2225" spans="13:24">
      <c r="M2225" s="558">
        <f t="shared" si="107"/>
        <v>2223</v>
      </c>
      <c r="N2225" s="15">
        <f t="shared" si="105"/>
        <v>0.38340461384814112</v>
      </c>
      <c r="O2225" s="165">
        <f t="shared" si="106"/>
        <v>0.38340461384814112</v>
      </c>
      <c r="P2225" s="18"/>
      <c r="Q2225" s="18"/>
      <c r="R2225" s="18"/>
      <c r="S2225" s="18"/>
      <c r="T2225" s="18"/>
      <c r="U2225" s="18"/>
      <c r="V2225" s="18"/>
      <c r="W2225" s="18"/>
      <c r="X2225" s="18"/>
    </row>
    <row r="2226" spans="13:24">
      <c r="M2226" s="558">
        <f t="shared" si="107"/>
        <v>2224</v>
      </c>
      <c r="N2226" s="15">
        <f t="shared" si="105"/>
        <v>0.38331860842837245</v>
      </c>
      <c r="O2226" s="165">
        <f t="shared" si="106"/>
        <v>0.38331860842837245</v>
      </c>
      <c r="P2226" s="18"/>
      <c r="Q2226" s="18"/>
      <c r="R2226" s="18"/>
      <c r="S2226" s="18"/>
      <c r="T2226" s="18"/>
      <c r="U2226" s="18"/>
      <c r="V2226" s="18"/>
      <c r="W2226" s="18"/>
      <c r="X2226" s="18"/>
    </row>
    <row r="2227" spans="13:24">
      <c r="M2227" s="558">
        <f t="shared" si="107"/>
        <v>2225</v>
      </c>
      <c r="N2227" s="15">
        <f t="shared" si="105"/>
        <v>0.38323264647344601</v>
      </c>
      <c r="O2227" s="165">
        <f t="shared" si="106"/>
        <v>0.38323264647344601</v>
      </c>
      <c r="P2227" s="18"/>
      <c r="Q2227" s="18"/>
      <c r="R2227" s="18"/>
      <c r="S2227" s="18"/>
      <c r="T2227" s="18"/>
      <c r="U2227" s="18"/>
      <c r="V2227" s="18"/>
      <c r="W2227" s="18"/>
      <c r="X2227" s="18"/>
    </row>
    <row r="2228" spans="13:24">
      <c r="M2228" s="558">
        <f t="shared" si="107"/>
        <v>2226</v>
      </c>
      <c r="N2228" s="15">
        <f t="shared" si="105"/>
        <v>0.38314672792881677</v>
      </c>
      <c r="O2228" s="165">
        <f t="shared" si="106"/>
        <v>0.38314672792881677</v>
      </c>
      <c r="P2228" s="18"/>
      <c r="Q2228" s="18"/>
      <c r="R2228" s="18"/>
      <c r="S2228" s="18"/>
      <c r="T2228" s="18"/>
      <c r="U2228" s="18"/>
      <c r="V2228" s="18"/>
      <c r="W2228" s="18"/>
      <c r="X2228" s="18"/>
    </row>
    <row r="2229" spans="13:24">
      <c r="M2229" s="558">
        <f t="shared" si="107"/>
        <v>2227</v>
      </c>
      <c r="N2229" s="15">
        <f t="shared" si="105"/>
        <v>0.38306085274000851</v>
      </c>
      <c r="O2229" s="165">
        <f t="shared" si="106"/>
        <v>0.38306085274000851</v>
      </c>
      <c r="P2229" s="18"/>
      <c r="Q2229" s="18"/>
      <c r="R2229" s="18"/>
      <c r="S2229" s="18"/>
      <c r="T2229" s="18"/>
      <c r="U2229" s="18"/>
      <c r="V2229" s="18"/>
      <c r="W2229" s="18"/>
      <c r="X2229" s="18"/>
    </row>
    <row r="2230" spans="13:24">
      <c r="M2230" s="558">
        <f t="shared" si="107"/>
        <v>2228</v>
      </c>
      <c r="N2230" s="15">
        <f t="shared" si="105"/>
        <v>0.38297502085261304</v>
      </c>
      <c r="O2230" s="165">
        <f t="shared" si="106"/>
        <v>0.38297502085261304</v>
      </c>
      <c r="P2230" s="18"/>
      <c r="Q2230" s="18"/>
      <c r="R2230" s="18"/>
      <c r="S2230" s="18"/>
      <c r="T2230" s="18"/>
      <c r="U2230" s="18"/>
      <c r="V2230" s="18"/>
      <c r="W2230" s="18"/>
      <c r="X2230" s="18"/>
    </row>
    <row r="2231" spans="13:24">
      <c r="M2231" s="558">
        <f t="shared" si="107"/>
        <v>2229</v>
      </c>
      <c r="N2231" s="15">
        <f t="shared" si="105"/>
        <v>0.38288923221229054</v>
      </c>
      <c r="O2231" s="165">
        <f t="shared" si="106"/>
        <v>0.38288923221229054</v>
      </c>
      <c r="P2231" s="18"/>
      <c r="Q2231" s="18"/>
      <c r="R2231" s="18"/>
      <c r="S2231" s="18"/>
      <c r="T2231" s="18"/>
      <c r="U2231" s="18"/>
      <c r="V2231" s="18"/>
      <c r="W2231" s="18"/>
      <c r="X2231" s="18"/>
    </row>
    <row r="2232" spans="13:24">
      <c r="M2232" s="558">
        <f t="shared" si="107"/>
        <v>2230</v>
      </c>
      <c r="N2232" s="15">
        <f t="shared" si="105"/>
        <v>0.38280348676476944</v>
      </c>
      <c r="O2232" s="165">
        <f t="shared" si="106"/>
        <v>0.38280348676476944</v>
      </c>
      <c r="P2232" s="18"/>
      <c r="Q2232" s="18"/>
      <c r="R2232" s="18"/>
      <c r="S2232" s="18"/>
      <c r="T2232" s="18"/>
      <c r="U2232" s="18"/>
      <c r="V2232" s="18"/>
      <c r="W2232" s="18"/>
      <c r="X2232" s="18"/>
    </row>
    <row r="2233" spans="13:24">
      <c r="M2233" s="558">
        <f t="shared" si="107"/>
        <v>2231</v>
      </c>
      <c r="N2233" s="15">
        <f t="shared" si="105"/>
        <v>0.38271778445584631</v>
      </c>
      <c r="O2233" s="165">
        <f t="shared" si="106"/>
        <v>0.38271778445584631</v>
      </c>
      <c r="P2233" s="18"/>
      <c r="Q2233" s="18"/>
      <c r="R2233" s="18"/>
      <c r="S2233" s="18"/>
      <c r="T2233" s="18"/>
      <c r="U2233" s="18"/>
      <c r="V2233" s="18"/>
      <c r="W2233" s="18"/>
      <c r="X2233" s="18"/>
    </row>
    <row r="2234" spans="13:24">
      <c r="M2234" s="558">
        <f t="shared" si="107"/>
        <v>2232</v>
      </c>
      <c r="N2234" s="15">
        <f t="shared" si="105"/>
        <v>0.38263212523138557</v>
      </c>
      <c r="O2234" s="165">
        <f t="shared" si="106"/>
        <v>0.38263212523138557</v>
      </c>
      <c r="P2234" s="18"/>
      <c r="Q2234" s="18"/>
      <c r="R2234" s="18"/>
      <c r="S2234" s="18"/>
      <c r="T2234" s="18"/>
      <c r="U2234" s="18"/>
      <c r="V2234" s="18"/>
      <c r="W2234" s="18"/>
      <c r="X2234" s="18"/>
    </row>
    <row r="2235" spans="13:24">
      <c r="M2235" s="558">
        <f t="shared" si="107"/>
        <v>2233</v>
      </c>
      <c r="N2235" s="15">
        <f t="shared" si="105"/>
        <v>0.38254650903731968</v>
      </c>
      <c r="O2235" s="165">
        <f t="shared" si="106"/>
        <v>0.38254650903731968</v>
      </c>
      <c r="P2235" s="18"/>
      <c r="Q2235" s="18"/>
      <c r="R2235" s="18"/>
      <c r="S2235" s="18"/>
      <c r="T2235" s="18"/>
      <c r="U2235" s="18"/>
      <c r="V2235" s="18"/>
      <c r="W2235" s="18"/>
      <c r="X2235" s="18"/>
    </row>
    <row r="2236" spans="13:24">
      <c r="M2236" s="558">
        <f t="shared" si="107"/>
        <v>2234</v>
      </c>
      <c r="N2236" s="15">
        <f t="shared" si="105"/>
        <v>0.38246093581964902</v>
      </c>
      <c r="O2236" s="165">
        <f t="shared" si="106"/>
        <v>0.38246093581964902</v>
      </c>
      <c r="P2236" s="18"/>
      <c r="Q2236" s="18"/>
      <c r="R2236" s="18"/>
      <c r="S2236" s="18"/>
      <c r="T2236" s="18"/>
      <c r="U2236" s="18"/>
      <c r="V2236" s="18"/>
      <c r="W2236" s="18"/>
      <c r="X2236" s="18"/>
    </row>
    <row r="2237" spans="13:24">
      <c r="M2237" s="558">
        <f t="shared" si="107"/>
        <v>2235</v>
      </c>
      <c r="N2237" s="15">
        <f t="shared" si="105"/>
        <v>0.3823754055244416</v>
      </c>
      <c r="O2237" s="165">
        <f t="shared" si="106"/>
        <v>0.3823754055244416</v>
      </c>
      <c r="P2237" s="18"/>
      <c r="Q2237" s="18"/>
      <c r="R2237" s="18"/>
      <c r="S2237" s="18"/>
      <c r="T2237" s="18"/>
      <c r="U2237" s="18"/>
      <c r="V2237" s="18"/>
      <c r="W2237" s="18"/>
      <c r="X2237" s="18"/>
    </row>
    <row r="2238" spans="13:24">
      <c r="M2238" s="558">
        <f t="shared" si="107"/>
        <v>2236</v>
      </c>
      <c r="N2238" s="15">
        <f t="shared" si="105"/>
        <v>0.38228991809783325</v>
      </c>
      <c r="O2238" s="165">
        <f t="shared" si="106"/>
        <v>0.38228991809783325</v>
      </c>
      <c r="P2238" s="18"/>
      <c r="Q2238" s="18"/>
      <c r="R2238" s="18"/>
      <c r="S2238" s="18"/>
      <c r="T2238" s="18"/>
      <c r="U2238" s="18"/>
      <c r="V2238" s="18"/>
      <c r="W2238" s="18"/>
      <c r="X2238" s="18"/>
    </row>
    <row r="2239" spans="13:24">
      <c r="M2239" s="558">
        <f t="shared" si="107"/>
        <v>2237</v>
      </c>
      <c r="N2239" s="15">
        <f t="shared" si="105"/>
        <v>0.38220447348602721</v>
      </c>
      <c r="O2239" s="165">
        <f t="shared" si="106"/>
        <v>0.38220447348602721</v>
      </c>
      <c r="P2239" s="18"/>
      <c r="Q2239" s="18"/>
      <c r="R2239" s="18"/>
      <c r="S2239" s="18"/>
      <c r="T2239" s="18"/>
      <c r="U2239" s="18"/>
      <c r="V2239" s="18"/>
      <c r="W2239" s="18"/>
      <c r="X2239" s="18"/>
    </row>
    <row r="2240" spans="13:24">
      <c r="M2240" s="558">
        <f t="shared" si="107"/>
        <v>2238</v>
      </c>
      <c r="N2240" s="15">
        <f t="shared" si="105"/>
        <v>0.38211907163529446</v>
      </c>
      <c r="O2240" s="165">
        <f t="shared" si="106"/>
        <v>0.38211907163529446</v>
      </c>
      <c r="P2240" s="18"/>
      <c r="Q2240" s="18"/>
      <c r="R2240" s="18"/>
      <c r="S2240" s="18"/>
      <c r="T2240" s="18"/>
      <c r="U2240" s="18"/>
      <c r="V2240" s="18"/>
      <c r="W2240" s="18"/>
      <c r="X2240" s="18"/>
    </row>
    <row r="2241" spans="13:24">
      <c r="M2241" s="558">
        <f t="shared" si="107"/>
        <v>2239</v>
      </c>
      <c r="N2241" s="15">
        <f t="shared" si="105"/>
        <v>0.38203371249197327</v>
      </c>
      <c r="O2241" s="165">
        <f t="shared" si="106"/>
        <v>0.38203371249197327</v>
      </c>
      <c r="P2241" s="18"/>
      <c r="Q2241" s="18"/>
      <c r="R2241" s="18"/>
      <c r="S2241" s="18"/>
      <c r="T2241" s="18"/>
      <c r="U2241" s="18"/>
      <c r="V2241" s="18"/>
      <c r="W2241" s="18"/>
      <c r="X2241" s="18"/>
    </row>
    <row r="2242" spans="13:24">
      <c r="M2242" s="558">
        <f t="shared" si="107"/>
        <v>2240</v>
      </c>
      <c r="N2242" s="15">
        <f t="shared" si="105"/>
        <v>0.38194839600246921</v>
      </c>
      <c r="O2242" s="165">
        <f t="shared" si="106"/>
        <v>0.38194839600246921</v>
      </c>
      <c r="P2242" s="18"/>
      <c r="Q2242" s="18"/>
      <c r="R2242" s="18"/>
      <c r="S2242" s="18"/>
      <c r="T2242" s="18"/>
      <c r="U2242" s="18"/>
      <c r="V2242" s="18"/>
      <c r="W2242" s="18"/>
      <c r="X2242" s="18"/>
    </row>
    <row r="2243" spans="13:24">
      <c r="M2243" s="558">
        <f t="shared" si="107"/>
        <v>2241</v>
      </c>
      <c r="N2243" s="15">
        <f t="shared" si="105"/>
        <v>0.38186312211325513</v>
      </c>
      <c r="O2243" s="165">
        <f t="shared" si="106"/>
        <v>0.38186312211325513</v>
      </c>
      <c r="P2243" s="18"/>
      <c r="Q2243" s="18"/>
      <c r="R2243" s="18"/>
      <c r="S2243" s="18"/>
      <c r="T2243" s="18"/>
      <c r="U2243" s="18"/>
      <c r="V2243" s="18"/>
      <c r="W2243" s="18"/>
      <c r="X2243" s="18"/>
    </row>
    <row r="2244" spans="13:24">
      <c r="M2244" s="558">
        <f t="shared" si="107"/>
        <v>2242</v>
      </c>
      <c r="N2244" s="15">
        <f t="shared" ref="N2244:N2307" si="108">IF(M2244&lt;$B$31+1,$B$32+$B$33/$B$31*(8760-M2244)+$B$34*IF(M2244&lt;$B$36-$B$31/(2*$B$35),1,IF(M2244&lt;$B$36+$B$31/(2*$B$35),COS(PI()/2*(M2244-($B$36-$B$31/(2*$B$35)))*$B$35/$B$31)^2,0))+$B$37*EXP((8760-M2244)/8760*$B$38)/EXP($B$38)-(8760-$B$31)*$B$33/$B$31,0)</f>
        <v>0.38177789077087126</v>
      </c>
      <c r="O2244" s="165">
        <f t="shared" ref="O2244:O2307" si="109">MIN(N2244,C$24)</f>
        <v>0.38177789077087126</v>
      </c>
      <c r="P2244" s="18"/>
      <c r="Q2244" s="18"/>
      <c r="R2244" s="18"/>
      <c r="S2244" s="18"/>
      <c r="T2244" s="18"/>
      <c r="U2244" s="18"/>
      <c r="V2244" s="18"/>
      <c r="W2244" s="18"/>
      <c r="X2244" s="18"/>
    </row>
    <row r="2245" spans="13:24">
      <c r="M2245" s="558">
        <f t="shared" ref="M2245:M2308" si="110">M2244+1</f>
        <v>2243</v>
      </c>
      <c r="N2245" s="15">
        <f t="shared" si="108"/>
        <v>0.38169270192192462</v>
      </c>
      <c r="O2245" s="165">
        <f t="shared" si="109"/>
        <v>0.38169270192192462</v>
      </c>
      <c r="P2245" s="18"/>
      <c r="Q2245" s="18"/>
      <c r="R2245" s="18"/>
      <c r="S2245" s="18"/>
      <c r="T2245" s="18"/>
      <c r="U2245" s="18"/>
      <c r="V2245" s="18"/>
      <c r="W2245" s="18"/>
      <c r="X2245" s="18"/>
    </row>
    <row r="2246" spans="13:24">
      <c r="M2246" s="558">
        <f t="shared" si="110"/>
        <v>2244</v>
      </c>
      <c r="N2246" s="15">
        <f t="shared" si="108"/>
        <v>0.38160755551308928</v>
      </c>
      <c r="O2246" s="165">
        <f t="shared" si="109"/>
        <v>0.38160755551308928</v>
      </c>
      <c r="P2246" s="18"/>
      <c r="Q2246" s="18"/>
      <c r="R2246" s="18"/>
      <c r="S2246" s="18"/>
      <c r="T2246" s="18"/>
      <c r="U2246" s="18"/>
      <c r="V2246" s="18"/>
      <c r="W2246" s="18"/>
      <c r="X2246" s="18"/>
    </row>
    <row r="2247" spans="13:24">
      <c r="M2247" s="558">
        <f t="shared" si="110"/>
        <v>2245</v>
      </c>
      <c r="N2247" s="15">
        <f t="shared" si="108"/>
        <v>0.38152245149110642</v>
      </c>
      <c r="O2247" s="165">
        <f t="shared" si="109"/>
        <v>0.38152245149110642</v>
      </c>
      <c r="P2247" s="18"/>
      <c r="Q2247" s="18"/>
      <c r="R2247" s="18"/>
      <c r="S2247" s="18"/>
      <c r="T2247" s="18"/>
      <c r="U2247" s="18"/>
      <c r="V2247" s="18"/>
      <c r="W2247" s="18"/>
      <c r="X2247" s="18"/>
    </row>
    <row r="2248" spans="13:24">
      <c r="M2248" s="558">
        <f t="shared" si="110"/>
        <v>2246</v>
      </c>
      <c r="N2248" s="15">
        <f t="shared" si="108"/>
        <v>0.38143738980278397</v>
      </c>
      <c r="O2248" s="165">
        <f t="shared" si="109"/>
        <v>0.38143738980278397</v>
      </c>
      <c r="P2248" s="18"/>
      <c r="Q2248" s="18"/>
      <c r="R2248" s="18"/>
      <c r="S2248" s="18"/>
      <c r="T2248" s="18"/>
      <c r="U2248" s="18"/>
      <c r="V2248" s="18"/>
      <c r="W2248" s="18"/>
      <c r="X2248" s="18"/>
    </row>
    <row r="2249" spans="13:24">
      <c r="M2249" s="558">
        <f t="shared" si="110"/>
        <v>2247</v>
      </c>
      <c r="N2249" s="15">
        <f t="shared" si="108"/>
        <v>0.38135237039499659</v>
      </c>
      <c r="O2249" s="165">
        <f t="shared" si="109"/>
        <v>0.38135237039499659</v>
      </c>
      <c r="P2249" s="18"/>
      <c r="Q2249" s="18"/>
      <c r="R2249" s="18"/>
      <c r="S2249" s="18"/>
      <c r="T2249" s="18"/>
      <c r="U2249" s="18"/>
      <c r="V2249" s="18"/>
      <c r="W2249" s="18"/>
      <c r="X2249" s="18"/>
    </row>
    <row r="2250" spans="13:24">
      <c r="M2250" s="558">
        <f t="shared" si="110"/>
        <v>2248</v>
      </c>
      <c r="N2250" s="15">
        <f t="shared" si="108"/>
        <v>0.38126739321468545</v>
      </c>
      <c r="O2250" s="165">
        <f t="shared" si="109"/>
        <v>0.38126739321468545</v>
      </c>
      <c r="P2250" s="18"/>
      <c r="Q2250" s="18"/>
      <c r="R2250" s="18"/>
      <c r="S2250" s="18"/>
      <c r="T2250" s="18"/>
      <c r="U2250" s="18"/>
      <c r="V2250" s="18"/>
      <c r="W2250" s="18"/>
      <c r="X2250" s="18"/>
    </row>
    <row r="2251" spans="13:24">
      <c r="M2251" s="558">
        <f t="shared" si="110"/>
        <v>2249</v>
      </c>
      <c r="N2251" s="15">
        <f t="shared" si="108"/>
        <v>0.3811824582088586</v>
      </c>
      <c r="O2251" s="165">
        <f t="shared" si="109"/>
        <v>0.3811824582088586</v>
      </c>
      <c r="P2251" s="18"/>
      <c r="Q2251" s="18"/>
      <c r="R2251" s="18"/>
      <c r="S2251" s="18"/>
      <c r="T2251" s="18"/>
      <c r="U2251" s="18"/>
      <c r="V2251" s="18"/>
      <c r="W2251" s="18"/>
      <c r="X2251" s="18"/>
    </row>
    <row r="2252" spans="13:24">
      <c r="M2252" s="558">
        <f t="shared" si="110"/>
        <v>2250</v>
      </c>
      <c r="N2252" s="15">
        <f t="shared" si="108"/>
        <v>0.38109756532459044</v>
      </c>
      <c r="O2252" s="165">
        <f t="shared" si="109"/>
        <v>0.38109756532459044</v>
      </c>
      <c r="P2252" s="18"/>
      <c r="Q2252" s="18"/>
      <c r="R2252" s="18"/>
      <c r="S2252" s="18"/>
      <c r="T2252" s="18"/>
      <c r="U2252" s="18"/>
      <c r="V2252" s="18"/>
      <c r="W2252" s="18"/>
      <c r="X2252" s="18"/>
    </row>
    <row r="2253" spans="13:24">
      <c r="M2253" s="558">
        <f t="shared" si="110"/>
        <v>2251</v>
      </c>
      <c r="N2253" s="15">
        <f t="shared" si="108"/>
        <v>0.38101271450902174</v>
      </c>
      <c r="O2253" s="165">
        <f t="shared" si="109"/>
        <v>0.38101271450902174</v>
      </c>
      <c r="P2253" s="18"/>
      <c r="Q2253" s="18"/>
      <c r="R2253" s="18"/>
      <c r="S2253" s="18"/>
      <c r="T2253" s="18"/>
      <c r="U2253" s="18"/>
      <c r="V2253" s="18"/>
      <c r="W2253" s="18"/>
      <c r="X2253" s="18"/>
    </row>
    <row r="2254" spans="13:24">
      <c r="M2254" s="558">
        <f t="shared" si="110"/>
        <v>2252</v>
      </c>
      <c r="N2254" s="15">
        <f t="shared" si="108"/>
        <v>0.38092790570935969</v>
      </c>
      <c r="O2254" s="165">
        <f t="shared" si="109"/>
        <v>0.38092790570935969</v>
      </c>
      <c r="P2254" s="18"/>
      <c r="Q2254" s="18"/>
      <c r="R2254" s="18"/>
      <c r="S2254" s="18"/>
      <c r="T2254" s="18"/>
      <c r="U2254" s="18"/>
      <c r="V2254" s="18"/>
      <c r="W2254" s="18"/>
      <c r="X2254" s="18"/>
    </row>
    <row r="2255" spans="13:24">
      <c r="M2255" s="558">
        <f t="shared" si="110"/>
        <v>2253</v>
      </c>
      <c r="N2255" s="15">
        <f t="shared" si="108"/>
        <v>0.38084313887287774</v>
      </c>
      <c r="O2255" s="165">
        <f t="shared" si="109"/>
        <v>0.38084313887287774</v>
      </c>
      <c r="P2255" s="18"/>
      <c r="Q2255" s="18"/>
      <c r="R2255" s="18"/>
      <c r="S2255" s="18"/>
      <c r="T2255" s="18"/>
      <c r="U2255" s="18"/>
      <c r="V2255" s="18"/>
      <c r="W2255" s="18"/>
      <c r="X2255" s="18"/>
    </row>
    <row r="2256" spans="13:24">
      <c r="M2256" s="558">
        <f t="shared" si="110"/>
        <v>2254</v>
      </c>
      <c r="N2256" s="15">
        <f t="shared" si="108"/>
        <v>0.3807584139469154</v>
      </c>
      <c r="O2256" s="165">
        <f t="shared" si="109"/>
        <v>0.3807584139469154</v>
      </c>
      <c r="P2256" s="18"/>
      <c r="Q2256" s="18"/>
      <c r="R2256" s="18"/>
      <c r="S2256" s="18"/>
      <c r="T2256" s="18"/>
      <c r="U2256" s="18"/>
      <c r="V2256" s="18"/>
      <c r="W2256" s="18"/>
      <c r="X2256" s="18"/>
    </row>
    <row r="2257" spans="13:24">
      <c r="M2257" s="558">
        <f t="shared" si="110"/>
        <v>2255</v>
      </c>
      <c r="N2257" s="15">
        <f t="shared" si="108"/>
        <v>0.38067373087887835</v>
      </c>
      <c r="O2257" s="165">
        <f t="shared" si="109"/>
        <v>0.38067373087887835</v>
      </c>
      <c r="P2257" s="18"/>
      <c r="Q2257" s="18"/>
      <c r="R2257" s="18"/>
      <c r="S2257" s="18"/>
      <c r="T2257" s="18"/>
      <c r="U2257" s="18"/>
      <c r="V2257" s="18"/>
      <c r="W2257" s="18"/>
      <c r="X2257" s="18"/>
    </row>
    <row r="2258" spans="13:24">
      <c r="M2258" s="558">
        <f t="shared" si="110"/>
        <v>2256</v>
      </c>
      <c r="N2258" s="15">
        <f t="shared" si="108"/>
        <v>0.38058908961623827</v>
      </c>
      <c r="O2258" s="165">
        <f t="shared" si="109"/>
        <v>0.38058908961623827</v>
      </c>
      <c r="P2258" s="18"/>
      <c r="Q2258" s="18"/>
      <c r="R2258" s="18"/>
      <c r="S2258" s="18"/>
      <c r="T2258" s="18"/>
      <c r="U2258" s="18"/>
      <c r="V2258" s="18"/>
      <c r="W2258" s="18"/>
      <c r="X2258" s="18"/>
    </row>
    <row r="2259" spans="13:24">
      <c r="M2259" s="558">
        <f t="shared" si="110"/>
        <v>2257</v>
      </c>
      <c r="N2259" s="15">
        <f t="shared" si="108"/>
        <v>0.38050449010653281</v>
      </c>
      <c r="O2259" s="165">
        <f t="shared" si="109"/>
        <v>0.38050449010653281</v>
      </c>
      <c r="P2259" s="18"/>
      <c r="Q2259" s="18"/>
      <c r="R2259" s="18"/>
      <c r="S2259" s="18"/>
      <c r="T2259" s="18"/>
      <c r="U2259" s="18"/>
      <c r="V2259" s="18"/>
      <c r="W2259" s="18"/>
      <c r="X2259" s="18"/>
    </row>
    <row r="2260" spans="13:24">
      <c r="M2260" s="558">
        <f t="shared" si="110"/>
        <v>2258</v>
      </c>
      <c r="N2260" s="15">
        <f t="shared" si="108"/>
        <v>0.38041993229736526</v>
      </c>
      <c r="O2260" s="165">
        <f t="shared" si="109"/>
        <v>0.38041993229736526</v>
      </c>
      <c r="P2260" s="18"/>
      <c r="Q2260" s="18"/>
      <c r="R2260" s="18"/>
      <c r="S2260" s="18"/>
      <c r="T2260" s="18"/>
      <c r="U2260" s="18"/>
      <c r="V2260" s="18"/>
      <c r="W2260" s="18"/>
      <c r="X2260" s="18"/>
    </row>
    <row r="2261" spans="13:24">
      <c r="M2261" s="558">
        <f t="shared" si="110"/>
        <v>2259</v>
      </c>
      <c r="N2261" s="15">
        <f t="shared" si="108"/>
        <v>0.38033541613640487</v>
      </c>
      <c r="O2261" s="165">
        <f t="shared" si="109"/>
        <v>0.38033541613640487</v>
      </c>
      <c r="P2261" s="18"/>
      <c r="Q2261" s="18"/>
      <c r="R2261" s="18"/>
      <c r="S2261" s="18"/>
      <c r="T2261" s="18"/>
      <c r="U2261" s="18"/>
      <c r="V2261" s="18"/>
      <c r="W2261" s="18"/>
      <c r="X2261" s="18"/>
    </row>
    <row r="2262" spans="13:24">
      <c r="M2262" s="558">
        <f t="shared" si="110"/>
        <v>2260</v>
      </c>
      <c r="N2262" s="15">
        <f t="shared" si="108"/>
        <v>0.38025094157138645</v>
      </c>
      <c r="O2262" s="165">
        <f t="shared" si="109"/>
        <v>0.38025094157138645</v>
      </c>
      <c r="P2262" s="18"/>
      <c r="Q2262" s="18"/>
      <c r="R2262" s="18"/>
      <c r="S2262" s="18"/>
      <c r="T2262" s="18"/>
      <c r="U2262" s="18"/>
      <c r="V2262" s="18"/>
      <c r="W2262" s="18"/>
      <c r="X2262" s="18"/>
    </row>
    <row r="2263" spans="13:24">
      <c r="M2263" s="558">
        <f t="shared" si="110"/>
        <v>2261</v>
      </c>
      <c r="N2263" s="15">
        <f t="shared" si="108"/>
        <v>0.38016650855011053</v>
      </c>
      <c r="O2263" s="165">
        <f t="shared" si="109"/>
        <v>0.38016650855011053</v>
      </c>
      <c r="P2263" s="18"/>
      <c r="Q2263" s="18"/>
      <c r="R2263" s="18"/>
      <c r="S2263" s="18"/>
      <c r="T2263" s="18"/>
      <c r="U2263" s="18"/>
      <c r="V2263" s="18"/>
      <c r="W2263" s="18"/>
      <c r="X2263" s="18"/>
    </row>
    <row r="2264" spans="13:24">
      <c r="M2264" s="558">
        <f t="shared" si="110"/>
        <v>2262</v>
      </c>
      <c r="N2264" s="15">
        <f t="shared" si="108"/>
        <v>0.38008211702044292</v>
      </c>
      <c r="O2264" s="165">
        <f t="shared" si="109"/>
        <v>0.38008211702044292</v>
      </c>
      <c r="P2264" s="18"/>
      <c r="Q2264" s="18"/>
      <c r="R2264" s="18"/>
      <c r="S2264" s="18"/>
      <c r="T2264" s="18"/>
      <c r="U2264" s="18"/>
      <c r="V2264" s="18"/>
      <c r="W2264" s="18"/>
      <c r="X2264" s="18"/>
    </row>
    <row r="2265" spans="13:24">
      <c r="M2265" s="558">
        <f t="shared" si="110"/>
        <v>2263</v>
      </c>
      <c r="N2265" s="15">
        <f t="shared" si="108"/>
        <v>0.37999776693031506</v>
      </c>
      <c r="O2265" s="165">
        <f t="shared" si="109"/>
        <v>0.37999776693031506</v>
      </c>
      <c r="P2265" s="18"/>
      <c r="Q2265" s="18"/>
      <c r="R2265" s="18"/>
      <c r="S2265" s="18"/>
      <c r="T2265" s="18"/>
      <c r="U2265" s="18"/>
      <c r="V2265" s="18"/>
      <c r="W2265" s="18"/>
      <c r="X2265" s="18"/>
    </row>
    <row r="2266" spans="13:24">
      <c r="M2266" s="558">
        <f t="shared" si="110"/>
        <v>2264</v>
      </c>
      <c r="N2266" s="15">
        <f t="shared" si="108"/>
        <v>0.3799134582277236</v>
      </c>
      <c r="O2266" s="165">
        <f t="shared" si="109"/>
        <v>0.3799134582277236</v>
      </c>
      <c r="P2266" s="18"/>
      <c r="Q2266" s="18"/>
      <c r="R2266" s="18"/>
      <c r="S2266" s="18"/>
      <c r="T2266" s="18"/>
      <c r="U2266" s="18"/>
      <c r="V2266" s="18"/>
      <c r="W2266" s="18"/>
      <c r="X2266" s="18"/>
    </row>
    <row r="2267" spans="13:24">
      <c r="M2267" s="558">
        <f t="shared" si="110"/>
        <v>2265</v>
      </c>
      <c r="N2267" s="15">
        <f t="shared" si="108"/>
        <v>0.37982919086073058</v>
      </c>
      <c r="O2267" s="165">
        <f t="shared" si="109"/>
        <v>0.37982919086073058</v>
      </c>
      <c r="P2267" s="18"/>
      <c r="Q2267" s="18"/>
      <c r="R2267" s="18"/>
      <c r="S2267" s="18"/>
      <c r="T2267" s="18"/>
      <c r="U2267" s="18"/>
      <c r="V2267" s="18"/>
      <c r="W2267" s="18"/>
      <c r="X2267" s="18"/>
    </row>
    <row r="2268" spans="13:24">
      <c r="M2268" s="558">
        <f t="shared" si="110"/>
        <v>2266</v>
      </c>
      <c r="N2268" s="15">
        <f t="shared" si="108"/>
        <v>0.37974496477746306</v>
      </c>
      <c r="O2268" s="165">
        <f t="shared" si="109"/>
        <v>0.37974496477746306</v>
      </c>
      <c r="P2268" s="18"/>
      <c r="Q2268" s="18"/>
      <c r="R2268" s="18"/>
      <c r="S2268" s="18"/>
      <c r="T2268" s="18"/>
      <c r="U2268" s="18"/>
      <c r="V2268" s="18"/>
      <c r="W2268" s="18"/>
      <c r="X2268" s="18"/>
    </row>
    <row r="2269" spans="13:24">
      <c r="M2269" s="558">
        <f t="shared" si="110"/>
        <v>2267</v>
      </c>
      <c r="N2269" s="15">
        <f t="shared" si="108"/>
        <v>0.3796607799261133</v>
      </c>
      <c r="O2269" s="165">
        <f t="shared" si="109"/>
        <v>0.3796607799261133</v>
      </c>
      <c r="P2269" s="18"/>
      <c r="Q2269" s="18"/>
      <c r="R2269" s="18"/>
      <c r="S2269" s="18"/>
      <c r="T2269" s="18"/>
      <c r="U2269" s="18"/>
      <c r="V2269" s="18"/>
      <c r="W2269" s="18"/>
      <c r="X2269" s="18"/>
    </row>
    <row r="2270" spans="13:24">
      <c r="M2270" s="558">
        <f t="shared" si="110"/>
        <v>2268</v>
      </c>
      <c r="N2270" s="15">
        <f t="shared" si="108"/>
        <v>0.37957663625493865</v>
      </c>
      <c r="O2270" s="165">
        <f t="shared" si="109"/>
        <v>0.37957663625493865</v>
      </c>
      <c r="P2270" s="18"/>
      <c r="Q2270" s="18"/>
      <c r="R2270" s="18"/>
      <c r="S2270" s="18"/>
      <c r="T2270" s="18"/>
      <c r="U2270" s="18"/>
      <c r="V2270" s="18"/>
      <c r="W2270" s="18"/>
      <c r="X2270" s="18"/>
    </row>
    <row r="2271" spans="13:24">
      <c r="M2271" s="558">
        <f t="shared" si="110"/>
        <v>2269</v>
      </c>
      <c r="N2271" s="15">
        <f t="shared" si="108"/>
        <v>0.37949253371226116</v>
      </c>
      <c r="O2271" s="165">
        <f t="shared" si="109"/>
        <v>0.37949253371226116</v>
      </c>
      <c r="P2271" s="18"/>
      <c r="Q2271" s="18"/>
      <c r="R2271" s="18"/>
      <c r="S2271" s="18"/>
      <c r="T2271" s="18"/>
      <c r="U2271" s="18"/>
      <c r="V2271" s="18"/>
      <c r="W2271" s="18"/>
      <c r="X2271" s="18"/>
    </row>
    <row r="2272" spans="13:24">
      <c r="M2272" s="558">
        <f t="shared" si="110"/>
        <v>2270</v>
      </c>
      <c r="N2272" s="15">
        <f t="shared" si="108"/>
        <v>0.37940847224646801</v>
      </c>
      <c r="O2272" s="165">
        <f t="shared" si="109"/>
        <v>0.37940847224646801</v>
      </c>
      <c r="P2272" s="18"/>
      <c r="Q2272" s="18"/>
      <c r="R2272" s="18"/>
      <c r="S2272" s="18"/>
      <c r="T2272" s="18"/>
      <c r="U2272" s="18"/>
      <c r="V2272" s="18"/>
      <c r="W2272" s="18"/>
      <c r="X2272" s="18"/>
    </row>
    <row r="2273" spans="13:24">
      <c r="M2273" s="558">
        <f t="shared" si="110"/>
        <v>2271</v>
      </c>
      <c r="N2273" s="15">
        <f t="shared" si="108"/>
        <v>0.37932445180601088</v>
      </c>
      <c r="O2273" s="165">
        <f t="shared" si="109"/>
        <v>0.37932445180601088</v>
      </c>
      <c r="P2273" s="18"/>
      <c r="Q2273" s="18"/>
      <c r="R2273" s="18"/>
      <c r="S2273" s="18"/>
      <c r="T2273" s="18"/>
      <c r="U2273" s="18"/>
      <c r="V2273" s="18"/>
      <c r="W2273" s="18"/>
      <c r="X2273" s="18"/>
    </row>
    <row r="2274" spans="13:24">
      <c r="M2274" s="558">
        <f t="shared" si="110"/>
        <v>2272</v>
      </c>
      <c r="N2274" s="15">
        <f t="shared" si="108"/>
        <v>0.37924047233940633</v>
      </c>
      <c r="O2274" s="165">
        <f t="shared" si="109"/>
        <v>0.37924047233940633</v>
      </c>
      <c r="P2274" s="18"/>
      <c r="Q2274" s="18"/>
      <c r="R2274" s="18"/>
      <c r="S2274" s="18"/>
      <c r="T2274" s="18"/>
      <c r="U2274" s="18"/>
      <c r="V2274" s="18"/>
      <c r="W2274" s="18"/>
      <c r="X2274" s="18"/>
    </row>
    <row r="2275" spans="13:24">
      <c r="M2275" s="558">
        <f t="shared" si="110"/>
        <v>2273</v>
      </c>
      <c r="N2275" s="15">
        <f t="shared" si="108"/>
        <v>0.37915653379523551</v>
      </c>
      <c r="O2275" s="165">
        <f t="shared" si="109"/>
        <v>0.37915653379523551</v>
      </c>
      <c r="P2275" s="18"/>
      <c r="Q2275" s="18"/>
      <c r="R2275" s="18"/>
      <c r="S2275" s="18"/>
      <c r="T2275" s="18"/>
      <c r="U2275" s="18"/>
      <c r="V2275" s="18"/>
      <c r="W2275" s="18"/>
      <c r="X2275" s="18"/>
    </row>
    <row r="2276" spans="13:24">
      <c r="M2276" s="558">
        <f t="shared" si="110"/>
        <v>2274</v>
      </c>
      <c r="N2276" s="15">
        <f t="shared" si="108"/>
        <v>0.37907263612214398</v>
      </c>
      <c r="O2276" s="165">
        <f t="shared" si="109"/>
        <v>0.37907263612214398</v>
      </c>
      <c r="P2276" s="18"/>
      <c r="Q2276" s="18"/>
      <c r="R2276" s="18"/>
      <c r="S2276" s="18"/>
      <c r="T2276" s="18"/>
      <c r="U2276" s="18"/>
      <c r="V2276" s="18"/>
      <c r="W2276" s="18"/>
      <c r="X2276" s="18"/>
    </row>
    <row r="2277" spans="13:24">
      <c r="M2277" s="558">
        <f t="shared" si="110"/>
        <v>2275</v>
      </c>
      <c r="N2277" s="15">
        <f t="shared" si="108"/>
        <v>0.37898877926884178</v>
      </c>
      <c r="O2277" s="165">
        <f t="shared" si="109"/>
        <v>0.37898877926884178</v>
      </c>
      <c r="P2277" s="18"/>
      <c r="Q2277" s="18"/>
      <c r="R2277" s="18"/>
      <c r="S2277" s="18"/>
      <c r="T2277" s="18"/>
      <c r="U2277" s="18"/>
      <c r="V2277" s="18"/>
      <c r="W2277" s="18"/>
      <c r="X2277" s="18"/>
    </row>
    <row r="2278" spans="13:24">
      <c r="M2278" s="558">
        <f t="shared" si="110"/>
        <v>2276</v>
      </c>
      <c r="N2278" s="15">
        <f t="shared" si="108"/>
        <v>0.37890496318410338</v>
      </c>
      <c r="O2278" s="165">
        <f t="shared" si="109"/>
        <v>0.37890496318410338</v>
      </c>
      <c r="P2278" s="18"/>
      <c r="Q2278" s="18"/>
      <c r="R2278" s="18"/>
      <c r="S2278" s="18"/>
      <c r="T2278" s="18"/>
      <c r="U2278" s="18"/>
      <c r="V2278" s="18"/>
      <c r="W2278" s="18"/>
      <c r="X2278" s="18"/>
    </row>
    <row r="2279" spans="13:24">
      <c r="M2279" s="558">
        <f t="shared" si="110"/>
        <v>2277</v>
      </c>
      <c r="N2279" s="15">
        <f t="shared" si="108"/>
        <v>0.37882118781676766</v>
      </c>
      <c r="O2279" s="165">
        <f t="shared" si="109"/>
        <v>0.37882118781676766</v>
      </c>
      <c r="P2279" s="18"/>
      <c r="Q2279" s="18"/>
      <c r="R2279" s="18"/>
      <c r="S2279" s="18"/>
      <c r="T2279" s="18"/>
      <c r="U2279" s="18"/>
      <c r="V2279" s="18"/>
      <c r="W2279" s="18"/>
      <c r="X2279" s="18"/>
    </row>
    <row r="2280" spans="13:24">
      <c r="M2280" s="558">
        <f t="shared" si="110"/>
        <v>2278</v>
      </c>
      <c r="N2280" s="15">
        <f t="shared" si="108"/>
        <v>0.37873745311573737</v>
      </c>
      <c r="O2280" s="165">
        <f t="shared" si="109"/>
        <v>0.37873745311573737</v>
      </c>
      <c r="P2280" s="18"/>
      <c r="Q2280" s="18"/>
      <c r="R2280" s="18"/>
      <c r="S2280" s="18"/>
      <c r="T2280" s="18"/>
      <c r="U2280" s="18"/>
      <c r="V2280" s="18"/>
      <c r="W2280" s="18"/>
      <c r="X2280" s="18"/>
    </row>
    <row r="2281" spans="13:24">
      <c r="M2281" s="558">
        <f t="shared" si="110"/>
        <v>2279</v>
      </c>
      <c r="N2281" s="15">
        <f t="shared" si="108"/>
        <v>0.37865375902997955</v>
      </c>
      <c r="O2281" s="165">
        <f t="shared" si="109"/>
        <v>0.37865375902997955</v>
      </c>
      <c r="P2281" s="18"/>
      <c r="Q2281" s="18"/>
      <c r="R2281" s="18"/>
      <c r="S2281" s="18"/>
      <c r="T2281" s="18"/>
      <c r="U2281" s="18"/>
      <c r="V2281" s="18"/>
      <c r="W2281" s="18"/>
      <c r="X2281" s="18"/>
    </row>
    <row r="2282" spans="13:24">
      <c r="M2282" s="558">
        <f t="shared" si="110"/>
        <v>2280</v>
      </c>
      <c r="N2282" s="15">
        <f t="shared" si="108"/>
        <v>0.37857010550852543</v>
      </c>
      <c r="O2282" s="165">
        <f t="shared" si="109"/>
        <v>0.37857010550852543</v>
      </c>
      <c r="P2282" s="18"/>
      <c r="Q2282" s="18"/>
      <c r="R2282" s="18"/>
      <c r="S2282" s="18"/>
      <c r="T2282" s="18"/>
      <c r="U2282" s="18"/>
      <c r="V2282" s="18"/>
      <c r="W2282" s="18"/>
      <c r="X2282" s="18"/>
    </row>
    <row r="2283" spans="13:24">
      <c r="M2283" s="558">
        <f t="shared" si="110"/>
        <v>2281</v>
      </c>
      <c r="N2283" s="15">
        <f t="shared" si="108"/>
        <v>0.37848649250047006</v>
      </c>
      <c r="O2283" s="165">
        <f t="shared" si="109"/>
        <v>0.37848649250047006</v>
      </c>
      <c r="P2283" s="18"/>
      <c r="Q2283" s="18"/>
      <c r="R2283" s="18"/>
      <c r="S2283" s="18"/>
      <c r="T2283" s="18"/>
      <c r="U2283" s="18"/>
      <c r="V2283" s="18"/>
      <c r="W2283" s="18"/>
      <c r="X2283" s="18"/>
    </row>
    <row r="2284" spans="13:24">
      <c r="M2284" s="558">
        <f t="shared" si="110"/>
        <v>2282</v>
      </c>
      <c r="N2284" s="15">
        <f t="shared" si="108"/>
        <v>0.37840291995497216</v>
      </c>
      <c r="O2284" s="165">
        <f t="shared" si="109"/>
        <v>0.37840291995497216</v>
      </c>
      <c r="P2284" s="18"/>
      <c r="Q2284" s="18"/>
      <c r="R2284" s="18"/>
      <c r="S2284" s="18"/>
      <c r="T2284" s="18"/>
      <c r="U2284" s="18"/>
      <c r="V2284" s="18"/>
      <c r="W2284" s="18"/>
      <c r="X2284" s="18"/>
    </row>
    <row r="2285" spans="13:24">
      <c r="M2285" s="558">
        <f t="shared" si="110"/>
        <v>2283</v>
      </c>
      <c r="N2285" s="15">
        <f t="shared" si="108"/>
        <v>0.37831938782125474</v>
      </c>
      <c r="O2285" s="165">
        <f t="shared" si="109"/>
        <v>0.37831938782125474</v>
      </c>
      <c r="P2285" s="18"/>
      <c r="Q2285" s="18"/>
      <c r="R2285" s="18"/>
      <c r="S2285" s="18"/>
      <c r="T2285" s="18"/>
      <c r="U2285" s="18"/>
      <c r="V2285" s="18"/>
      <c r="W2285" s="18"/>
      <c r="X2285" s="18"/>
    </row>
    <row r="2286" spans="13:24">
      <c r="M2286" s="558">
        <f t="shared" si="110"/>
        <v>2284</v>
      </c>
      <c r="N2286" s="15">
        <f t="shared" si="108"/>
        <v>0.37823589604860414</v>
      </c>
      <c r="O2286" s="165">
        <f t="shared" si="109"/>
        <v>0.37823589604860414</v>
      </c>
      <c r="P2286" s="18"/>
      <c r="Q2286" s="18"/>
      <c r="R2286" s="18"/>
      <c r="S2286" s="18"/>
      <c r="T2286" s="18"/>
      <c r="U2286" s="18"/>
      <c r="V2286" s="18"/>
      <c r="W2286" s="18"/>
      <c r="X2286" s="18"/>
    </row>
    <row r="2287" spans="13:24">
      <c r="M2287" s="558">
        <f t="shared" si="110"/>
        <v>2285</v>
      </c>
      <c r="N2287" s="15">
        <f t="shared" si="108"/>
        <v>0.37815244458637048</v>
      </c>
      <c r="O2287" s="165">
        <f t="shared" si="109"/>
        <v>0.37815244458637048</v>
      </c>
      <c r="P2287" s="18"/>
      <c r="Q2287" s="18"/>
      <c r="R2287" s="18"/>
      <c r="S2287" s="18"/>
      <c r="T2287" s="18"/>
      <c r="U2287" s="18"/>
      <c r="V2287" s="18"/>
      <c r="W2287" s="18"/>
      <c r="X2287" s="18"/>
    </row>
    <row r="2288" spans="13:24">
      <c r="M2288" s="558">
        <f t="shared" si="110"/>
        <v>2286</v>
      </c>
      <c r="N2288" s="15">
        <f t="shared" si="108"/>
        <v>0.37806903338396736</v>
      </c>
      <c r="O2288" s="165">
        <f t="shared" si="109"/>
        <v>0.37806903338396736</v>
      </c>
      <c r="P2288" s="18"/>
      <c r="Q2288" s="18"/>
      <c r="R2288" s="18"/>
      <c r="S2288" s="18"/>
      <c r="T2288" s="18"/>
      <c r="U2288" s="18"/>
      <c r="V2288" s="18"/>
      <c r="W2288" s="18"/>
      <c r="X2288" s="18"/>
    </row>
    <row r="2289" spans="13:24">
      <c r="M2289" s="558">
        <f t="shared" si="110"/>
        <v>2287</v>
      </c>
      <c r="N2289" s="15">
        <f t="shared" si="108"/>
        <v>0.377985662390872</v>
      </c>
      <c r="O2289" s="165">
        <f t="shared" si="109"/>
        <v>0.377985662390872</v>
      </c>
      <c r="P2289" s="18"/>
      <c r="Q2289" s="18"/>
      <c r="R2289" s="18"/>
      <c r="S2289" s="18"/>
      <c r="T2289" s="18"/>
      <c r="U2289" s="18"/>
      <c r="V2289" s="18"/>
      <c r="W2289" s="18"/>
      <c r="X2289" s="18"/>
    </row>
    <row r="2290" spans="13:24">
      <c r="M2290" s="558">
        <f t="shared" si="110"/>
        <v>2288</v>
      </c>
      <c r="N2290" s="15">
        <f t="shared" si="108"/>
        <v>0.37790233155662495</v>
      </c>
      <c r="O2290" s="165">
        <f t="shared" si="109"/>
        <v>0.37790233155662495</v>
      </c>
      <c r="P2290" s="18"/>
      <c r="Q2290" s="18"/>
      <c r="R2290" s="18"/>
      <c r="S2290" s="18"/>
      <c r="T2290" s="18"/>
      <c r="U2290" s="18"/>
      <c r="V2290" s="18"/>
      <c r="W2290" s="18"/>
      <c r="X2290" s="18"/>
    </row>
    <row r="2291" spans="13:24">
      <c r="M2291" s="558">
        <f t="shared" si="110"/>
        <v>2289</v>
      </c>
      <c r="N2291" s="15">
        <f t="shared" si="108"/>
        <v>0.37781904083083012</v>
      </c>
      <c r="O2291" s="165">
        <f t="shared" si="109"/>
        <v>0.37781904083083012</v>
      </c>
      <c r="P2291" s="18"/>
      <c r="Q2291" s="18"/>
      <c r="R2291" s="18"/>
      <c r="S2291" s="18"/>
      <c r="T2291" s="18"/>
      <c r="U2291" s="18"/>
      <c r="V2291" s="18"/>
      <c r="W2291" s="18"/>
      <c r="X2291" s="18"/>
    </row>
    <row r="2292" spans="13:24">
      <c r="M2292" s="558">
        <f t="shared" si="110"/>
        <v>2290</v>
      </c>
      <c r="N2292" s="15">
        <f t="shared" si="108"/>
        <v>0.37773579016315445</v>
      </c>
      <c r="O2292" s="165">
        <f t="shared" si="109"/>
        <v>0.37773579016315445</v>
      </c>
      <c r="P2292" s="18"/>
      <c r="Q2292" s="18"/>
      <c r="R2292" s="18"/>
      <c r="S2292" s="18"/>
      <c r="T2292" s="18"/>
      <c r="U2292" s="18"/>
      <c r="V2292" s="18"/>
      <c r="W2292" s="18"/>
      <c r="X2292" s="18"/>
    </row>
    <row r="2293" spans="13:24">
      <c r="M2293" s="558">
        <f t="shared" si="110"/>
        <v>2291</v>
      </c>
      <c r="N2293" s="15">
        <f t="shared" si="108"/>
        <v>0.37765257950332837</v>
      </c>
      <c r="O2293" s="165">
        <f t="shared" si="109"/>
        <v>0.37765257950332837</v>
      </c>
      <c r="P2293" s="18"/>
      <c r="Q2293" s="18"/>
      <c r="R2293" s="18"/>
      <c r="S2293" s="18"/>
      <c r="T2293" s="18"/>
      <c r="U2293" s="18"/>
      <c r="V2293" s="18"/>
      <c r="W2293" s="18"/>
      <c r="X2293" s="18"/>
    </row>
    <row r="2294" spans="13:24">
      <c r="M2294" s="558">
        <f t="shared" si="110"/>
        <v>2292</v>
      </c>
      <c r="N2294" s="15">
        <f t="shared" si="108"/>
        <v>0.3775694088011452</v>
      </c>
      <c r="O2294" s="165">
        <f t="shared" si="109"/>
        <v>0.3775694088011452</v>
      </c>
      <c r="P2294" s="18"/>
      <c r="Q2294" s="18"/>
      <c r="R2294" s="18"/>
      <c r="S2294" s="18"/>
      <c r="T2294" s="18"/>
      <c r="U2294" s="18"/>
      <c r="V2294" s="18"/>
      <c r="W2294" s="18"/>
      <c r="X2294" s="18"/>
    </row>
    <row r="2295" spans="13:24">
      <c r="M2295" s="558">
        <f t="shared" si="110"/>
        <v>2293</v>
      </c>
      <c r="N2295" s="15">
        <f t="shared" si="108"/>
        <v>0.37748627800646134</v>
      </c>
      <c r="O2295" s="165">
        <f t="shared" si="109"/>
        <v>0.37748627800646134</v>
      </c>
      <c r="P2295" s="18"/>
      <c r="Q2295" s="18"/>
      <c r="R2295" s="18"/>
      <c r="S2295" s="18"/>
      <c r="T2295" s="18"/>
      <c r="U2295" s="18"/>
      <c r="V2295" s="18"/>
      <c r="W2295" s="18"/>
      <c r="X2295" s="18"/>
    </row>
    <row r="2296" spans="13:24">
      <c r="M2296" s="558">
        <f t="shared" si="110"/>
        <v>2294</v>
      </c>
      <c r="N2296" s="15">
        <f t="shared" si="108"/>
        <v>0.37740318706919596</v>
      </c>
      <c r="O2296" s="165">
        <f t="shared" si="109"/>
        <v>0.37740318706919596</v>
      </c>
      <c r="P2296" s="18"/>
      <c r="Q2296" s="18"/>
      <c r="R2296" s="18"/>
      <c r="S2296" s="18"/>
      <c r="T2296" s="18"/>
      <c r="U2296" s="18"/>
      <c r="V2296" s="18"/>
      <c r="W2296" s="18"/>
      <c r="X2296" s="18"/>
    </row>
    <row r="2297" spans="13:24">
      <c r="M2297" s="558">
        <f t="shared" si="110"/>
        <v>2295</v>
      </c>
      <c r="N2297" s="15">
        <f t="shared" si="108"/>
        <v>0.37732013593933139</v>
      </c>
      <c r="O2297" s="165">
        <f t="shared" si="109"/>
        <v>0.37732013593933139</v>
      </c>
      <c r="P2297" s="18"/>
      <c r="Q2297" s="18"/>
      <c r="R2297" s="18"/>
      <c r="S2297" s="18"/>
      <c r="T2297" s="18"/>
      <c r="U2297" s="18"/>
      <c r="V2297" s="18"/>
      <c r="W2297" s="18"/>
      <c r="X2297" s="18"/>
    </row>
    <row r="2298" spans="13:24">
      <c r="M2298" s="558">
        <f t="shared" si="110"/>
        <v>2296</v>
      </c>
      <c r="N2298" s="15">
        <f t="shared" si="108"/>
        <v>0.37723712456691244</v>
      </c>
      <c r="O2298" s="165">
        <f t="shared" si="109"/>
        <v>0.37723712456691244</v>
      </c>
      <c r="P2298" s="18"/>
      <c r="Q2298" s="18"/>
      <c r="R2298" s="18"/>
      <c r="S2298" s="18"/>
      <c r="T2298" s="18"/>
      <c r="U2298" s="18"/>
      <c r="V2298" s="18"/>
      <c r="W2298" s="18"/>
      <c r="X2298" s="18"/>
    </row>
    <row r="2299" spans="13:24">
      <c r="M2299" s="558">
        <f t="shared" si="110"/>
        <v>2297</v>
      </c>
      <c r="N2299" s="15">
        <f t="shared" si="108"/>
        <v>0.37715415290204657</v>
      </c>
      <c r="O2299" s="165">
        <f t="shared" si="109"/>
        <v>0.37715415290204657</v>
      </c>
      <c r="P2299" s="18"/>
      <c r="Q2299" s="18"/>
      <c r="R2299" s="18"/>
      <c r="S2299" s="18"/>
      <c r="T2299" s="18"/>
      <c r="U2299" s="18"/>
      <c r="V2299" s="18"/>
      <c r="W2299" s="18"/>
      <c r="X2299" s="18"/>
    </row>
    <row r="2300" spans="13:24">
      <c r="M2300" s="558">
        <f t="shared" si="110"/>
        <v>2298</v>
      </c>
      <c r="N2300" s="15">
        <f t="shared" si="108"/>
        <v>0.3770712208949043</v>
      </c>
      <c r="O2300" s="165">
        <f t="shared" si="109"/>
        <v>0.3770712208949043</v>
      </c>
      <c r="P2300" s="18"/>
      <c r="Q2300" s="18"/>
      <c r="R2300" s="18"/>
      <c r="S2300" s="18"/>
      <c r="T2300" s="18"/>
      <c r="U2300" s="18"/>
      <c r="V2300" s="18"/>
      <c r="W2300" s="18"/>
      <c r="X2300" s="18"/>
    </row>
    <row r="2301" spans="13:24">
      <c r="M2301" s="558">
        <f t="shared" si="110"/>
        <v>2299</v>
      </c>
      <c r="N2301" s="15">
        <f t="shared" si="108"/>
        <v>0.37698832849571817</v>
      </c>
      <c r="O2301" s="165">
        <f t="shared" si="109"/>
        <v>0.37698832849571817</v>
      </c>
      <c r="P2301" s="18"/>
      <c r="Q2301" s="18"/>
      <c r="R2301" s="18"/>
      <c r="S2301" s="18"/>
      <c r="T2301" s="18"/>
      <c r="U2301" s="18"/>
      <c r="V2301" s="18"/>
      <c r="W2301" s="18"/>
      <c r="X2301" s="18"/>
    </row>
    <row r="2302" spans="13:24">
      <c r="M2302" s="558">
        <f t="shared" si="110"/>
        <v>2300</v>
      </c>
      <c r="N2302" s="15">
        <f t="shared" si="108"/>
        <v>0.37690547565478333</v>
      </c>
      <c r="O2302" s="165">
        <f t="shared" si="109"/>
        <v>0.37690547565478333</v>
      </c>
      <c r="P2302" s="18"/>
      <c r="Q2302" s="18"/>
      <c r="R2302" s="18"/>
      <c r="S2302" s="18"/>
      <c r="T2302" s="18"/>
      <c r="U2302" s="18"/>
      <c r="V2302" s="18"/>
      <c r="W2302" s="18"/>
      <c r="X2302" s="18"/>
    </row>
    <row r="2303" spans="13:24">
      <c r="M2303" s="558">
        <f t="shared" si="110"/>
        <v>2301</v>
      </c>
      <c r="N2303" s="15">
        <f t="shared" si="108"/>
        <v>0.37682266232245742</v>
      </c>
      <c r="O2303" s="165">
        <f t="shared" si="109"/>
        <v>0.37682266232245742</v>
      </c>
      <c r="P2303" s="18"/>
      <c r="Q2303" s="18"/>
      <c r="R2303" s="18"/>
      <c r="S2303" s="18"/>
      <c r="T2303" s="18"/>
      <c r="U2303" s="18"/>
      <c r="V2303" s="18"/>
      <c r="W2303" s="18"/>
      <c r="X2303" s="18"/>
    </row>
    <row r="2304" spans="13:24">
      <c r="M2304" s="558">
        <f t="shared" si="110"/>
        <v>2302</v>
      </c>
      <c r="N2304" s="15">
        <f t="shared" si="108"/>
        <v>0.37673988844916045</v>
      </c>
      <c r="O2304" s="165">
        <f t="shared" si="109"/>
        <v>0.37673988844916045</v>
      </c>
      <c r="P2304" s="18"/>
      <c r="Q2304" s="18"/>
      <c r="R2304" s="18"/>
      <c r="S2304" s="18"/>
      <c r="T2304" s="18"/>
      <c r="U2304" s="18"/>
      <c r="V2304" s="18"/>
      <c r="W2304" s="18"/>
      <c r="X2304" s="18"/>
    </row>
    <row r="2305" spans="13:24">
      <c r="M2305" s="558">
        <f t="shared" si="110"/>
        <v>2303</v>
      </c>
      <c r="N2305" s="15">
        <f t="shared" si="108"/>
        <v>0.37665715398537425</v>
      </c>
      <c r="O2305" s="165">
        <f t="shared" si="109"/>
        <v>0.37665715398537425</v>
      </c>
      <c r="P2305" s="18"/>
      <c r="Q2305" s="18"/>
      <c r="R2305" s="18"/>
      <c r="S2305" s="18"/>
      <c r="T2305" s="18"/>
      <c r="U2305" s="18"/>
      <c r="V2305" s="18"/>
      <c r="W2305" s="18"/>
      <c r="X2305" s="18"/>
    </row>
    <row r="2306" spans="13:24">
      <c r="M2306" s="558">
        <f t="shared" si="110"/>
        <v>2304</v>
      </c>
      <c r="N2306" s="15">
        <f t="shared" si="108"/>
        <v>0.37657445888164326</v>
      </c>
      <c r="O2306" s="165">
        <f t="shared" si="109"/>
        <v>0.37657445888164326</v>
      </c>
      <c r="P2306" s="18"/>
      <c r="Q2306" s="18"/>
      <c r="R2306" s="18"/>
      <c r="S2306" s="18"/>
      <c r="T2306" s="18"/>
      <c r="U2306" s="18"/>
      <c r="V2306" s="18"/>
      <c r="W2306" s="18"/>
      <c r="X2306" s="18"/>
    </row>
    <row r="2307" spans="13:24">
      <c r="M2307" s="558">
        <f t="shared" si="110"/>
        <v>2305</v>
      </c>
      <c r="N2307" s="15">
        <f t="shared" si="108"/>
        <v>0.37649180308857361</v>
      </c>
      <c r="O2307" s="165">
        <f t="shared" si="109"/>
        <v>0.37649180308857361</v>
      </c>
      <c r="P2307" s="18"/>
      <c r="Q2307" s="18"/>
      <c r="R2307" s="18"/>
      <c r="S2307" s="18"/>
      <c r="T2307" s="18"/>
      <c r="U2307" s="18"/>
      <c r="V2307" s="18"/>
      <c r="W2307" s="18"/>
      <c r="X2307" s="18"/>
    </row>
    <row r="2308" spans="13:24">
      <c r="M2308" s="558">
        <f t="shared" si="110"/>
        <v>2306</v>
      </c>
      <c r="N2308" s="15">
        <f t="shared" ref="N2308:N2371" si="111">IF(M2308&lt;$B$31+1,$B$32+$B$33/$B$31*(8760-M2308)+$B$34*IF(M2308&lt;$B$36-$B$31/(2*$B$35),1,IF(M2308&lt;$B$36+$B$31/(2*$B$35),COS(PI()/2*(M2308-($B$36-$B$31/(2*$B$35)))*$B$35/$B$31)^2,0))+$B$37*EXP((8760-M2308)/8760*$B$38)/EXP($B$38)-(8760-$B$31)*$B$33/$B$31,0)</f>
        <v>0.3764091865568337</v>
      </c>
      <c r="O2308" s="165">
        <f t="shared" ref="O2308:O2371" si="112">MIN(N2308,C$24)</f>
        <v>0.3764091865568337</v>
      </c>
      <c r="P2308" s="18"/>
      <c r="Q2308" s="18"/>
      <c r="R2308" s="18"/>
      <c r="S2308" s="18"/>
      <c r="T2308" s="18"/>
      <c r="U2308" s="18"/>
      <c r="V2308" s="18"/>
      <c r="W2308" s="18"/>
      <c r="X2308" s="18"/>
    </row>
    <row r="2309" spans="13:24">
      <c r="M2309" s="558">
        <f t="shared" ref="M2309:M2372" si="113">M2308+1</f>
        <v>2307</v>
      </c>
      <c r="N2309" s="15">
        <f t="shared" si="111"/>
        <v>0.37632660923715366</v>
      </c>
      <c r="O2309" s="165">
        <f t="shared" si="112"/>
        <v>0.37632660923715366</v>
      </c>
      <c r="P2309" s="18"/>
      <c r="Q2309" s="18"/>
      <c r="R2309" s="18"/>
      <c r="S2309" s="18"/>
      <c r="T2309" s="18"/>
      <c r="U2309" s="18"/>
      <c r="V2309" s="18"/>
      <c r="W2309" s="18"/>
      <c r="X2309" s="18"/>
    </row>
    <row r="2310" spans="13:24">
      <c r="M2310" s="558">
        <f t="shared" si="113"/>
        <v>2308</v>
      </c>
      <c r="N2310" s="15">
        <f t="shared" si="111"/>
        <v>0.37624407108032554</v>
      </c>
      <c r="O2310" s="165">
        <f t="shared" si="112"/>
        <v>0.37624407108032554</v>
      </c>
      <c r="P2310" s="18"/>
      <c r="Q2310" s="18"/>
      <c r="R2310" s="18"/>
      <c r="S2310" s="18"/>
      <c r="T2310" s="18"/>
      <c r="U2310" s="18"/>
      <c r="V2310" s="18"/>
      <c r="W2310" s="18"/>
      <c r="X2310" s="18"/>
    </row>
    <row r="2311" spans="13:24">
      <c r="M2311" s="558">
        <f t="shared" si="113"/>
        <v>2309</v>
      </c>
      <c r="N2311" s="15">
        <f t="shared" si="111"/>
        <v>0.37616157203720302</v>
      </c>
      <c r="O2311" s="165">
        <f t="shared" si="112"/>
        <v>0.37616157203720302</v>
      </c>
      <c r="P2311" s="18"/>
      <c r="Q2311" s="18"/>
      <c r="R2311" s="18"/>
      <c r="S2311" s="18"/>
      <c r="T2311" s="18"/>
      <c r="U2311" s="18"/>
      <c r="V2311" s="18"/>
      <c r="W2311" s="18"/>
      <c r="X2311" s="18"/>
    </row>
    <row r="2312" spans="13:24">
      <c r="M2312" s="558">
        <f t="shared" si="113"/>
        <v>2310</v>
      </c>
      <c r="N2312" s="15">
        <f t="shared" si="111"/>
        <v>0.37607911205870159</v>
      </c>
      <c r="O2312" s="165">
        <f t="shared" si="112"/>
        <v>0.37607911205870159</v>
      </c>
      <c r="P2312" s="18"/>
      <c r="Q2312" s="18"/>
      <c r="R2312" s="18"/>
      <c r="S2312" s="18"/>
      <c r="T2312" s="18"/>
      <c r="U2312" s="18"/>
      <c r="V2312" s="18"/>
      <c r="W2312" s="18"/>
      <c r="X2312" s="18"/>
    </row>
    <row r="2313" spans="13:24">
      <c r="M2313" s="558">
        <f t="shared" si="113"/>
        <v>2311</v>
      </c>
      <c r="N2313" s="15">
        <f t="shared" si="111"/>
        <v>0.37599669109579842</v>
      </c>
      <c r="O2313" s="165">
        <f t="shared" si="112"/>
        <v>0.37599669109579842</v>
      </c>
      <c r="P2313" s="18"/>
      <c r="Q2313" s="18"/>
      <c r="R2313" s="18"/>
      <c r="S2313" s="18"/>
      <c r="T2313" s="18"/>
      <c r="U2313" s="18"/>
      <c r="V2313" s="18"/>
      <c r="W2313" s="18"/>
      <c r="X2313" s="18"/>
    </row>
    <row r="2314" spans="13:24">
      <c r="M2314" s="558">
        <f t="shared" si="113"/>
        <v>2312</v>
      </c>
      <c r="N2314" s="15">
        <f t="shared" si="111"/>
        <v>0.37591430909953177</v>
      </c>
      <c r="O2314" s="165">
        <f t="shared" si="112"/>
        <v>0.37591430909953177</v>
      </c>
      <c r="P2314" s="18"/>
      <c r="Q2314" s="18"/>
      <c r="R2314" s="18"/>
      <c r="S2314" s="18"/>
      <c r="T2314" s="18"/>
      <c r="U2314" s="18"/>
      <c r="V2314" s="18"/>
      <c r="W2314" s="18"/>
      <c r="X2314" s="18"/>
    </row>
    <row r="2315" spans="13:24">
      <c r="M2315" s="558">
        <f t="shared" si="113"/>
        <v>2313</v>
      </c>
      <c r="N2315" s="15">
        <f t="shared" si="111"/>
        <v>0.37583196602100194</v>
      </c>
      <c r="O2315" s="165">
        <f t="shared" si="112"/>
        <v>0.37583196602100194</v>
      </c>
      <c r="P2315" s="18"/>
      <c r="Q2315" s="18"/>
      <c r="R2315" s="18"/>
      <c r="S2315" s="18"/>
      <c r="T2315" s="18"/>
      <c r="U2315" s="18"/>
      <c r="V2315" s="18"/>
      <c r="W2315" s="18"/>
      <c r="X2315" s="18"/>
    </row>
    <row r="2316" spans="13:24">
      <c r="M2316" s="558">
        <f t="shared" si="113"/>
        <v>2314</v>
      </c>
      <c r="N2316" s="15">
        <f t="shared" si="111"/>
        <v>0.37574966181137015</v>
      </c>
      <c r="O2316" s="165">
        <f t="shared" si="112"/>
        <v>0.37574966181137015</v>
      </c>
      <c r="P2316" s="18"/>
      <c r="Q2316" s="18"/>
      <c r="R2316" s="18"/>
      <c r="S2316" s="18"/>
      <c r="T2316" s="18"/>
      <c r="U2316" s="18"/>
      <c r="V2316" s="18"/>
      <c r="W2316" s="18"/>
      <c r="X2316" s="18"/>
    </row>
    <row r="2317" spans="13:24">
      <c r="M2317" s="558">
        <f t="shared" si="113"/>
        <v>2315</v>
      </c>
      <c r="N2317" s="15">
        <f t="shared" si="111"/>
        <v>0.37566739642185903</v>
      </c>
      <c r="O2317" s="165">
        <f t="shared" si="112"/>
        <v>0.37566739642185903</v>
      </c>
      <c r="P2317" s="18"/>
      <c r="Q2317" s="18"/>
      <c r="R2317" s="18"/>
      <c r="S2317" s="18"/>
      <c r="T2317" s="18"/>
      <c r="U2317" s="18"/>
      <c r="V2317" s="18"/>
      <c r="W2317" s="18"/>
      <c r="X2317" s="18"/>
    </row>
    <row r="2318" spans="13:24">
      <c r="M2318" s="558">
        <f t="shared" si="113"/>
        <v>2316</v>
      </c>
      <c r="N2318" s="15">
        <f t="shared" si="111"/>
        <v>0.37558516980375251</v>
      </c>
      <c r="O2318" s="165">
        <f t="shared" si="112"/>
        <v>0.37558516980375251</v>
      </c>
      <c r="P2318" s="18"/>
      <c r="Q2318" s="18"/>
      <c r="R2318" s="18"/>
      <c r="S2318" s="18"/>
      <c r="T2318" s="18"/>
      <c r="U2318" s="18"/>
      <c r="V2318" s="18"/>
      <c r="W2318" s="18"/>
      <c r="X2318" s="18"/>
    </row>
    <row r="2319" spans="13:24">
      <c r="M2319" s="558">
        <f t="shared" si="113"/>
        <v>2317</v>
      </c>
      <c r="N2319" s="15">
        <f t="shared" si="111"/>
        <v>0.37550298190839559</v>
      </c>
      <c r="O2319" s="165">
        <f t="shared" si="112"/>
        <v>0.37550298190839559</v>
      </c>
      <c r="P2319" s="18"/>
      <c r="Q2319" s="18"/>
      <c r="R2319" s="18"/>
      <c r="S2319" s="18"/>
      <c r="T2319" s="18"/>
      <c r="U2319" s="18"/>
      <c r="V2319" s="18"/>
      <c r="W2319" s="18"/>
      <c r="X2319" s="18"/>
    </row>
    <row r="2320" spans="13:24">
      <c r="M2320" s="558">
        <f t="shared" si="113"/>
        <v>2318</v>
      </c>
      <c r="N2320" s="15">
        <f t="shared" si="111"/>
        <v>0.37542083268719428</v>
      </c>
      <c r="O2320" s="165">
        <f t="shared" si="112"/>
        <v>0.37542083268719428</v>
      </c>
      <c r="P2320" s="18"/>
      <c r="Q2320" s="18"/>
      <c r="R2320" s="18"/>
      <c r="S2320" s="18"/>
      <c r="T2320" s="18"/>
      <c r="U2320" s="18"/>
      <c r="V2320" s="18"/>
      <c r="W2320" s="18"/>
      <c r="X2320" s="18"/>
    </row>
    <row r="2321" spans="13:24">
      <c r="M2321" s="558">
        <f t="shared" si="113"/>
        <v>2319</v>
      </c>
      <c r="N2321" s="15">
        <f t="shared" si="111"/>
        <v>0.37533872209161567</v>
      </c>
      <c r="O2321" s="165">
        <f t="shared" si="112"/>
        <v>0.37533872209161567</v>
      </c>
      <c r="P2321" s="18"/>
      <c r="Q2321" s="18"/>
      <c r="R2321" s="18"/>
      <c r="S2321" s="18"/>
      <c r="T2321" s="18"/>
      <c r="U2321" s="18"/>
      <c r="V2321" s="18"/>
      <c r="W2321" s="18"/>
      <c r="X2321" s="18"/>
    </row>
    <row r="2322" spans="13:24">
      <c r="M2322" s="558">
        <f t="shared" si="113"/>
        <v>2320</v>
      </c>
      <c r="N2322" s="15">
        <f t="shared" si="111"/>
        <v>0.37525665007318765</v>
      </c>
      <c r="O2322" s="165">
        <f t="shared" si="112"/>
        <v>0.37525665007318765</v>
      </c>
      <c r="P2322" s="18"/>
      <c r="Q2322" s="18"/>
      <c r="R2322" s="18"/>
      <c r="S2322" s="18"/>
      <c r="T2322" s="18"/>
      <c r="U2322" s="18"/>
      <c r="V2322" s="18"/>
      <c r="W2322" s="18"/>
      <c r="X2322" s="18"/>
    </row>
    <row r="2323" spans="13:24">
      <c r="M2323" s="558">
        <f t="shared" si="113"/>
        <v>2321</v>
      </c>
      <c r="N2323" s="15">
        <f t="shared" si="111"/>
        <v>0.37517461658349904</v>
      </c>
      <c r="O2323" s="165">
        <f t="shared" si="112"/>
        <v>0.37517461658349904</v>
      </c>
      <c r="P2323" s="18"/>
      <c r="Q2323" s="18"/>
      <c r="R2323" s="18"/>
      <c r="S2323" s="18"/>
      <c r="T2323" s="18"/>
      <c r="U2323" s="18"/>
      <c r="V2323" s="18"/>
      <c r="W2323" s="18"/>
      <c r="X2323" s="18"/>
    </row>
    <row r="2324" spans="13:24">
      <c r="M2324" s="558">
        <f t="shared" si="113"/>
        <v>2322</v>
      </c>
      <c r="N2324" s="15">
        <f t="shared" si="111"/>
        <v>0.37509262157419937</v>
      </c>
      <c r="O2324" s="165">
        <f t="shared" si="112"/>
        <v>0.37509262157419937</v>
      </c>
      <c r="P2324" s="18"/>
      <c r="Q2324" s="18"/>
      <c r="R2324" s="18"/>
      <c r="S2324" s="18"/>
      <c r="T2324" s="18"/>
      <c r="U2324" s="18"/>
      <c r="V2324" s="18"/>
      <c r="W2324" s="18"/>
      <c r="X2324" s="18"/>
    </row>
    <row r="2325" spans="13:24">
      <c r="M2325" s="558">
        <f t="shared" si="113"/>
        <v>2323</v>
      </c>
      <c r="N2325" s="15">
        <f t="shared" si="111"/>
        <v>0.37501066499699887</v>
      </c>
      <c r="O2325" s="165">
        <f t="shared" si="112"/>
        <v>0.37501066499699887</v>
      </c>
      <c r="P2325" s="18"/>
      <c r="Q2325" s="18"/>
      <c r="R2325" s="18"/>
      <c r="S2325" s="18"/>
      <c r="T2325" s="18"/>
      <c r="U2325" s="18"/>
      <c r="V2325" s="18"/>
      <c r="W2325" s="18"/>
      <c r="X2325" s="18"/>
    </row>
    <row r="2326" spans="13:24">
      <c r="M2326" s="558">
        <f t="shared" si="113"/>
        <v>2324</v>
      </c>
      <c r="N2326" s="15">
        <f t="shared" si="111"/>
        <v>0.37492874680366822</v>
      </c>
      <c r="O2326" s="165">
        <f t="shared" si="112"/>
        <v>0.37492874680366822</v>
      </c>
      <c r="P2326" s="18"/>
      <c r="Q2326" s="18"/>
      <c r="R2326" s="18"/>
      <c r="S2326" s="18"/>
      <c r="T2326" s="18"/>
      <c r="U2326" s="18"/>
      <c r="V2326" s="18"/>
      <c r="W2326" s="18"/>
      <c r="X2326" s="18"/>
    </row>
    <row r="2327" spans="13:24">
      <c r="M2327" s="558">
        <f t="shared" si="113"/>
        <v>2325</v>
      </c>
      <c r="N2327" s="15">
        <f t="shared" si="111"/>
        <v>0.37484686694603886</v>
      </c>
      <c r="O2327" s="165">
        <f t="shared" si="112"/>
        <v>0.37484686694603886</v>
      </c>
      <c r="P2327" s="18"/>
      <c r="Q2327" s="18"/>
      <c r="R2327" s="18"/>
      <c r="S2327" s="18"/>
      <c r="T2327" s="18"/>
      <c r="U2327" s="18"/>
      <c r="V2327" s="18"/>
      <c r="W2327" s="18"/>
      <c r="X2327" s="18"/>
    </row>
    <row r="2328" spans="13:24">
      <c r="M2328" s="558">
        <f t="shared" si="113"/>
        <v>2326</v>
      </c>
      <c r="N2328" s="15">
        <f t="shared" si="111"/>
        <v>0.37476502537600254</v>
      </c>
      <c r="O2328" s="165">
        <f t="shared" si="112"/>
        <v>0.37476502537600254</v>
      </c>
      <c r="P2328" s="18"/>
      <c r="Q2328" s="18"/>
      <c r="R2328" s="18"/>
      <c r="S2328" s="18"/>
      <c r="T2328" s="18"/>
      <c r="U2328" s="18"/>
      <c r="V2328" s="18"/>
      <c r="W2328" s="18"/>
      <c r="X2328" s="18"/>
    </row>
    <row r="2329" spans="13:24">
      <c r="M2329" s="558">
        <f t="shared" si="113"/>
        <v>2327</v>
      </c>
      <c r="N2329" s="15">
        <f t="shared" si="111"/>
        <v>0.37468322204551135</v>
      </c>
      <c r="O2329" s="165">
        <f t="shared" si="112"/>
        <v>0.37468322204551135</v>
      </c>
      <c r="P2329" s="18"/>
      <c r="Q2329" s="18"/>
      <c r="R2329" s="18"/>
      <c r="S2329" s="18"/>
      <c r="T2329" s="18"/>
      <c r="U2329" s="18"/>
      <c r="V2329" s="18"/>
      <c r="W2329" s="18"/>
      <c r="X2329" s="18"/>
    </row>
    <row r="2330" spans="13:24">
      <c r="M2330" s="558">
        <f t="shared" si="113"/>
        <v>2328</v>
      </c>
      <c r="N2330" s="15">
        <f t="shared" si="111"/>
        <v>0.37460145690657781</v>
      </c>
      <c r="O2330" s="165">
        <f t="shared" si="112"/>
        <v>0.37460145690657781</v>
      </c>
      <c r="P2330" s="18"/>
      <c r="Q2330" s="18"/>
      <c r="R2330" s="18"/>
      <c r="S2330" s="18"/>
      <c r="T2330" s="18"/>
      <c r="U2330" s="18"/>
      <c r="V2330" s="18"/>
      <c r="W2330" s="18"/>
      <c r="X2330" s="18"/>
    </row>
    <row r="2331" spans="13:24">
      <c r="M2331" s="558">
        <f t="shared" si="113"/>
        <v>2329</v>
      </c>
      <c r="N2331" s="15">
        <f t="shared" si="111"/>
        <v>0.37451972991127458</v>
      </c>
      <c r="O2331" s="165">
        <f t="shared" si="112"/>
        <v>0.37451972991127458</v>
      </c>
      <c r="P2331" s="18"/>
      <c r="Q2331" s="18"/>
      <c r="R2331" s="18"/>
      <c r="S2331" s="18"/>
      <c r="T2331" s="18"/>
      <c r="U2331" s="18"/>
      <c r="V2331" s="18"/>
      <c r="W2331" s="18"/>
      <c r="X2331" s="18"/>
    </row>
    <row r="2332" spans="13:24">
      <c r="M2332" s="558">
        <f t="shared" si="113"/>
        <v>2330</v>
      </c>
      <c r="N2332" s="15">
        <f t="shared" si="111"/>
        <v>0.37443804101173445</v>
      </c>
      <c r="O2332" s="165">
        <f t="shared" si="112"/>
        <v>0.37443804101173445</v>
      </c>
      <c r="P2332" s="18"/>
      <c r="Q2332" s="18"/>
      <c r="R2332" s="18"/>
      <c r="S2332" s="18"/>
      <c r="T2332" s="18"/>
      <c r="U2332" s="18"/>
      <c r="V2332" s="18"/>
      <c r="W2332" s="18"/>
      <c r="X2332" s="18"/>
    </row>
    <row r="2333" spans="13:24">
      <c r="M2333" s="558">
        <f t="shared" si="113"/>
        <v>2331</v>
      </c>
      <c r="N2333" s="15">
        <f t="shared" si="111"/>
        <v>0.37435639016015021</v>
      </c>
      <c r="O2333" s="165">
        <f t="shared" si="112"/>
        <v>0.37435639016015021</v>
      </c>
      <c r="P2333" s="18"/>
      <c r="Q2333" s="18"/>
      <c r="R2333" s="18"/>
      <c r="S2333" s="18"/>
      <c r="T2333" s="18"/>
      <c r="U2333" s="18"/>
      <c r="V2333" s="18"/>
      <c r="W2333" s="18"/>
      <c r="X2333" s="18"/>
    </row>
    <row r="2334" spans="13:24">
      <c r="M2334" s="558">
        <f t="shared" si="113"/>
        <v>2332</v>
      </c>
      <c r="N2334" s="15">
        <f t="shared" si="111"/>
        <v>0.37427477730877484</v>
      </c>
      <c r="O2334" s="165">
        <f t="shared" si="112"/>
        <v>0.37427477730877484</v>
      </c>
      <c r="P2334" s="18"/>
      <c r="Q2334" s="18"/>
      <c r="R2334" s="18"/>
      <c r="S2334" s="18"/>
      <c r="T2334" s="18"/>
      <c r="U2334" s="18"/>
      <c r="V2334" s="18"/>
      <c r="W2334" s="18"/>
      <c r="X2334" s="18"/>
    </row>
    <row r="2335" spans="13:24">
      <c r="M2335" s="558">
        <f t="shared" si="113"/>
        <v>2333</v>
      </c>
      <c r="N2335" s="15">
        <f t="shared" si="111"/>
        <v>0.3741932024099211</v>
      </c>
      <c r="O2335" s="165">
        <f t="shared" si="112"/>
        <v>0.3741932024099211</v>
      </c>
      <c r="P2335" s="18"/>
      <c r="Q2335" s="18"/>
      <c r="R2335" s="18"/>
      <c r="S2335" s="18"/>
      <c r="T2335" s="18"/>
      <c r="U2335" s="18"/>
      <c r="V2335" s="18"/>
      <c r="W2335" s="18"/>
      <c r="X2335" s="18"/>
    </row>
    <row r="2336" spans="13:24">
      <c r="M2336" s="558">
        <f t="shared" si="113"/>
        <v>2334</v>
      </c>
      <c r="N2336" s="15">
        <f t="shared" si="111"/>
        <v>0.37411166541596164</v>
      </c>
      <c r="O2336" s="165">
        <f t="shared" si="112"/>
        <v>0.37411166541596164</v>
      </c>
      <c r="P2336" s="18"/>
      <c r="Q2336" s="18"/>
      <c r="R2336" s="18"/>
      <c r="S2336" s="18"/>
      <c r="T2336" s="18"/>
      <c r="U2336" s="18"/>
      <c r="V2336" s="18"/>
      <c r="W2336" s="18"/>
      <c r="X2336" s="18"/>
    </row>
    <row r="2337" spans="13:24">
      <c r="M2337" s="558">
        <f t="shared" si="113"/>
        <v>2335</v>
      </c>
      <c r="N2337" s="15">
        <f t="shared" si="111"/>
        <v>0.37403016627932872</v>
      </c>
      <c r="O2337" s="165">
        <f t="shared" si="112"/>
        <v>0.37403016627932872</v>
      </c>
      <c r="P2337" s="18"/>
      <c r="Q2337" s="18"/>
      <c r="R2337" s="18"/>
      <c r="S2337" s="18"/>
      <c r="T2337" s="18"/>
      <c r="U2337" s="18"/>
      <c r="V2337" s="18"/>
      <c r="W2337" s="18"/>
      <c r="X2337" s="18"/>
    </row>
    <row r="2338" spans="13:24">
      <c r="M2338" s="558">
        <f t="shared" si="113"/>
        <v>2336</v>
      </c>
      <c r="N2338" s="15">
        <f t="shared" si="111"/>
        <v>0.3739487049525147</v>
      </c>
      <c r="O2338" s="165">
        <f t="shared" si="112"/>
        <v>0.3739487049525147</v>
      </c>
      <c r="P2338" s="18"/>
      <c r="Q2338" s="18"/>
      <c r="R2338" s="18"/>
      <c r="S2338" s="18"/>
      <c r="T2338" s="18"/>
      <c r="U2338" s="18"/>
      <c r="V2338" s="18"/>
      <c r="W2338" s="18"/>
      <c r="X2338" s="18"/>
    </row>
    <row r="2339" spans="13:24">
      <c r="M2339" s="558">
        <f t="shared" si="113"/>
        <v>2337</v>
      </c>
      <c r="N2339" s="15">
        <f t="shared" si="111"/>
        <v>0.37386728138807113</v>
      </c>
      <c r="O2339" s="165">
        <f t="shared" si="112"/>
        <v>0.37386728138807113</v>
      </c>
      <c r="P2339" s="18"/>
      <c r="Q2339" s="18"/>
      <c r="R2339" s="18"/>
      <c r="S2339" s="18"/>
      <c r="T2339" s="18"/>
      <c r="U2339" s="18"/>
      <c r="V2339" s="18"/>
      <c r="W2339" s="18"/>
      <c r="X2339" s="18"/>
    </row>
    <row r="2340" spans="13:24">
      <c r="M2340" s="558">
        <f t="shared" si="113"/>
        <v>2338</v>
      </c>
      <c r="N2340" s="15">
        <f t="shared" si="111"/>
        <v>0.37378589553860925</v>
      </c>
      <c r="O2340" s="165">
        <f t="shared" si="112"/>
        <v>0.37378589553860925</v>
      </c>
      <c r="P2340" s="18"/>
      <c r="Q2340" s="18"/>
      <c r="R2340" s="18"/>
      <c r="S2340" s="18"/>
      <c r="T2340" s="18"/>
      <c r="U2340" s="18"/>
      <c r="V2340" s="18"/>
      <c r="W2340" s="18"/>
      <c r="X2340" s="18"/>
    </row>
    <row r="2341" spans="13:24">
      <c r="M2341" s="558">
        <f t="shared" si="113"/>
        <v>2339</v>
      </c>
      <c r="N2341" s="15">
        <f t="shared" si="111"/>
        <v>0.37370454735679981</v>
      </c>
      <c r="O2341" s="165">
        <f t="shared" si="112"/>
        <v>0.37370454735679981</v>
      </c>
      <c r="P2341" s="18"/>
      <c r="Q2341" s="18"/>
      <c r="R2341" s="18"/>
      <c r="S2341" s="18"/>
      <c r="T2341" s="18"/>
      <c r="U2341" s="18"/>
      <c r="V2341" s="18"/>
      <c r="W2341" s="18"/>
      <c r="X2341" s="18"/>
    </row>
    <row r="2342" spans="13:24">
      <c r="M2342" s="558">
        <f t="shared" si="113"/>
        <v>2340</v>
      </c>
      <c r="N2342" s="15">
        <f t="shared" si="111"/>
        <v>0.3736232367953729</v>
      </c>
      <c r="O2342" s="165">
        <f t="shared" si="112"/>
        <v>0.3736232367953729</v>
      </c>
      <c r="P2342" s="18"/>
      <c r="Q2342" s="18"/>
      <c r="R2342" s="18"/>
      <c r="S2342" s="18"/>
      <c r="T2342" s="18"/>
      <c r="U2342" s="18"/>
      <c r="V2342" s="18"/>
      <c r="W2342" s="18"/>
      <c r="X2342" s="18"/>
    </row>
    <row r="2343" spans="13:24">
      <c r="M2343" s="558">
        <f t="shared" si="113"/>
        <v>2341</v>
      </c>
      <c r="N2343" s="15">
        <f t="shared" si="111"/>
        <v>0.37354196380711813</v>
      </c>
      <c r="O2343" s="165">
        <f t="shared" si="112"/>
        <v>0.37354196380711813</v>
      </c>
      <c r="P2343" s="18"/>
      <c r="Q2343" s="18"/>
      <c r="R2343" s="18"/>
      <c r="S2343" s="18"/>
      <c r="T2343" s="18"/>
      <c r="U2343" s="18"/>
      <c r="V2343" s="18"/>
      <c r="W2343" s="18"/>
      <c r="X2343" s="18"/>
    </row>
    <row r="2344" spans="13:24">
      <c r="M2344" s="558">
        <f t="shared" si="113"/>
        <v>2342</v>
      </c>
      <c r="N2344" s="15">
        <f t="shared" si="111"/>
        <v>0.37346072834488397</v>
      </c>
      <c r="O2344" s="165">
        <f t="shared" si="112"/>
        <v>0.37346072834488397</v>
      </c>
      <c r="P2344" s="18"/>
      <c r="Q2344" s="18"/>
      <c r="R2344" s="18"/>
      <c r="S2344" s="18"/>
      <c r="T2344" s="18"/>
      <c r="U2344" s="18"/>
      <c r="V2344" s="18"/>
      <c r="W2344" s="18"/>
      <c r="X2344" s="18"/>
    </row>
    <row r="2345" spans="13:24">
      <c r="M2345" s="558">
        <f t="shared" si="113"/>
        <v>2343</v>
      </c>
      <c r="N2345" s="15">
        <f t="shared" si="111"/>
        <v>0.37337953036157834</v>
      </c>
      <c r="O2345" s="165">
        <f t="shared" si="112"/>
        <v>0.37337953036157834</v>
      </c>
      <c r="P2345" s="18"/>
      <c r="Q2345" s="18"/>
      <c r="R2345" s="18"/>
      <c r="S2345" s="18"/>
      <c r="T2345" s="18"/>
      <c r="U2345" s="18"/>
      <c r="V2345" s="18"/>
      <c r="W2345" s="18"/>
      <c r="X2345" s="18"/>
    </row>
    <row r="2346" spans="13:24">
      <c r="M2346" s="558">
        <f t="shared" si="113"/>
        <v>2344</v>
      </c>
      <c r="N2346" s="15">
        <f t="shared" si="111"/>
        <v>0.37329836981016828</v>
      </c>
      <c r="O2346" s="165">
        <f t="shared" si="112"/>
        <v>0.37329836981016828</v>
      </c>
      <c r="P2346" s="18"/>
      <c r="Q2346" s="18"/>
      <c r="R2346" s="18"/>
      <c r="S2346" s="18"/>
      <c r="T2346" s="18"/>
      <c r="U2346" s="18"/>
      <c r="V2346" s="18"/>
      <c r="W2346" s="18"/>
      <c r="X2346" s="18"/>
    </row>
    <row r="2347" spans="13:24">
      <c r="M2347" s="558">
        <f t="shared" si="113"/>
        <v>2345</v>
      </c>
      <c r="N2347" s="15">
        <f t="shared" si="111"/>
        <v>0.37321724664367972</v>
      </c>
      <c r="O2347" s="165">
        <f t="shared" si="112"/>
        <v>0.37321724664367972</v>
      </c>
      <c r="P2347" s="18"/>
      <c r="Q2347" s="18"/>
      <c r="R2347" s="18"/>
      <c r="S2347" s="18"/>
      <c r="T2347" s="18"/>
      <c r="U2347" s="18"/>
      <c r="V2347" s="18"/>
      <c r="W2347" s="18"/>
      <c r="X2347" s="18"/>
    </row>
    <row r="2348" spans="13:24">
      <c r="M2348" s="558">
        <f t="shared" si="113"/>
        <v>2346</v>
      </c>
      <c r="N2348" s="15">
        <f t="shared" si="111"/>
        <v>0.37313616081519752</v>
      </c>
      <c r="O2348" s="165">
        <f t="shared" si="112"/>
        <v>0.37313616081519752</v>
      </c>
      <c r="P2348" s="18"/>
      <c r="Q2348" s="18"/>
      <c r="R2348" s="18"/>
      <c r="S2348" s="18"/>
      <c r="T2348" s="18"/>
      <c r="U2348" s="18"/>
      <c r="V2348" s="18"/>
      <c r="W2348" s="18"/>
      <c r="X2348" s="18"/>
    </row>
    <row r="2349" spans="13:24">
      <c r="M2349" s="558">
        <f t="shared" si="113"/>
        <v>2347</v>
      </c>
      <c r="N2349" s="15">
        <f t="shared" si="111"/>
        <v>0.37305511227786559</v>
      </c>
      <c r="O2349" s="165">
        <f t="shared" si="112"/>
        <v>0.37305511227786559</v>
      </c>
      <c r="P2349" s="18"/>
      <c r="Q2349" s="18"/>
      <c r="R2349" s="18"/>
      <c r="S2349" s="18"/>
      <c r="T2349" s="18"/>
      <c r="U2349" s="18"/>
      <c r="V2349" s="18"/>
      <c r="W2349" s="18"/>
      <c r="X2349" s="18"/>
    </row>
    <row r="2350" spans="13:24">
      <c r="M2350" s="558">
        <f t="shared" si="113"/>
        <v>2348</v>
      </c>
      <c r="N2350" s="15">
        <f t="shared" si="111"/>
        <v>0.37297410098488648</v>
      </c>
      <c r="O2350" s="165">
        <f t="shared" si="112"/>
        <v>0.37297410098488648</v>
      </c>
      <c r="P2350" s="18"/>
      <c r="Q2350" s="18"/>
      <c r="R2350" s="18"/>
      <c r="S2350" s="18"/>
      <c r="T2350" s="18"/>
      <c r="U2350" s="18"/>
      <c r="V2350" s="18"/>
      <c r="W2350" s="18"/>
      <c r="X2350" s="18"/>
    </row>
    <row r="2351" spans="13:24">
      <c r="M2351" s="558">
        <f t="shared" si="113"/>
        <v>2349</v>
      </c>
      <c r="N2351" s="15">
        <f t="shared" si="111"/>
        <v>0.37289312688952153</v>
      </c>
      <c r="O2351" s="165">
        <f t="shared" si="112"/>
        <v>0.37289312688952153</v>
      </c>
      <c r="P2351" s="18"/>
      <c r="Q2351" s="18"/>
      <c r="R2351" s="18"/>
      <c r="S2351" s="18"/>
      <c r="T2351" s="18"/>
      <c r="U2351" s="18"/>
      <c r="V2351" s="18"/>
      <c r="W2351" s="18"/>
      <c r="X2351" s="18"/>
    </row>
    <row r="2352" spans="13:24">
      <c r="M2352" s="558">
        <f t="shared" si="113"/>
        <v>2350</v>
      </c>
      <c r="N2352" s="15">
        <f t="shared" si="111"/>
        <v>0.37281218994509063</v>
      </c>
      <c r="O2352" s="165">
        <f t="shared" si="112"/>
        <v>0.37281218994509063</v>
      </c>
      <c r="P2352" s="18"/>
      <c r="Q2352" s="18"/>
      <c r="R2352" s="18"/>
      <c r="S2352" s="18"/>
      <c r="T2352" s="18"/>
      <c r="U2352" s="18"/>
      <c r="V2352" s="18"/>
      <c r="W2352" s="18"/>
      <c r="X2352" s="18"/>
    </row>
    <row r="2353" spans="13:24">
      <c r="M2353" s="558">
        <f t="shared" si="113"/>
        <v>2351</v>
      </c>
      <c r="N2353" s="15">
        <f t="shared" si="111"/>
        <v>0.37273129010497247</v>
      </c>
      <c r="O2353" s="165">
        <f t="shared" si="112"/>
        <v>0.37273129010497247</v>
      </c>
      <c r="P2353" s="18"/>
      <c r="Q2353" s="18"/>
      <c r="R2353" s="18"/>
      <c r="S2353" s="18"/>
      <c r="T2353" s="18"/>
      <c r="U2353" s="18"/>
      <c r="V2353" s="18"/>
      <c r="W2353" s="18"/>
      <c r="X2353" s="18"/>
    </row>
    <row r="2354" spans="13:24">
      <c r="M2354" s="558">
        <f t="shared" si="113"/>
        <v>2352</v>
      </c>
      <c r="N2354" s="15">
        <f t="shared" si="111"/>
        <v>0.37265042732260412</v>
      </c>
      <c r="O2354" s="165">
        <f t="shared" si="112"/>
        <v>0.37265042732260412</v>
      </c>
      <c r="P2354" s="18"/>
      <c r="Q2354" s="18"/>
      <c r="R2354" s="18"/>
      <c r="S2354" s="18"/>
      <c r="T2354" s="18"/>
      <c r="U2354" s="18"/>
      <c r="V2354" s="18"/>
      <c r="W2354" s="18"/>
      <c r="X2354" s="18"/>
    </row>
    <row r="2355" spans="13:24">
      <c r="M2355" s="558">
        <f t="shared" si="113"/>
        <v>2353</v>
      </c>
      <c r="N2355" s="15">
        <f t="shared" si="111"/>
        <v>0.37256960155148094</v>
      </c>
      <c r="O2355" s="165">
        <f t="shared" si="112"/>
        <v>0.37256960155148094</v>
      </c>
      <c r="P2355" s="18"/>
      <c r="Q2355" s="18"/>
      <c r="R2355" s="18"/>
      <c r="S2355" s="18"/>
      <c r="T2355" s="18"/>
      <c r="U2355" s="18"/>
      <c r="V2355" s="18"/>
      <c r="W2355" s="18"/>
      <c r="X2355" s="18"/>
    </row>
    <row r="2356" spans="13:24">
      <c r="M2356" s="558">
        <f t="shared" si="113"/>
        <v>2354</v>
      </c>
      <c r="N2356" s="15">
        <f t="shared" si="111"/>
        <v>0.37248881274515688</v>
      </c>
      <c r="O2356" s="165">
        <f t="shared" si="112"/>
        <v>0.37248881274515688</v>
      </c>
      <c r="P2356" s="18"/>
      <c r="Q2356" s="18"/>
      <c r="R2356" s="18"/>
      <c r="S2356" s="18"/>
      <c r="T2356" s="18"/>
      <c r="U2356" s="18"/>
      <c r="V2356" s="18"/>
      <c r="W2356" s="18"/>
      <c r="X2356" s="18"/>
    </row>
    <row r="2357" spans="13:24">
      <c r="M2357" s="558">
        <f t="shared" si="113"/>
        <v>2355</v>
      </c>
      <c r="N2357" s="15">
        <f t="shared" si="111"/>
        <v>0.37240806085724415</v>
      </c>
      <c r="O2357" s="165">
        <f t="shared" si="112"/>
        <v>0.37240806085724415</v>
      </c>
      <c r="P2357" s="18"/>
      <c r="Q2357" s="18"/>
      <c r="R2357" s="18"/>
      <c r="S2357" s="18"/>
      <c r="T2357" s="18"/>
      <c r="U2357" s="18"/>
      <c r="V2357" s="18"/>
      <c r="W2357" s="18"/>
      <c r="X2357" s="18"/>
    </row>
    <row r="2358" spans="13:24">
      <c r="M2358" s="558">
        <f t="shared" si="113"/>
        <v>2356</v>
      </c>
      <c r="N2358" s="15">
        <f t="shared" si="111"/>
        <v>0.37232734584141297</v>
      </c>
      <c r="O2358" s="165">
        <f t="shared" si="112"/>
        <v>0.37232734584141297</v>
      </c>
      <c r="P2358" s="18"/>
      <c r="Q2358" s="18"/>
      <c r="R2358" s="18"/>
      <c r="S2358" s="18"/>
      <c r="T2358" s="18"/>
      <c r="U2358" s="18"/>
      <c r="V2358" s="18"/>
      <c r="W2358" s="18"/>
      <c r="X2358" s="18"/>
    </row>
    <row r="2359" spans="13:24">
      <c r="M2359" s="558">
        <f t="shared" si="113"/>
        <v>2357</v>
      </c>
      <c r="N2359" s="15">
        <f t="shared" si="111"/>
        <v>0.37224666765139192</v>
      </c>
      <c r="O2359" s="165">
        <f t="shared" si="112"/>
        <v>0.37224666765139192</v>
      </c>
      <c r="P2359" s="18"/>
      <c r="Q2359" s="18"/>
      <c r="R2359" s="18"/>
      <c r="S2359" s="18"/>
      <c r="T2359" s="18"/>
      <c r="U2359" s="18"/>
      <c r="V2359" s="18"/>
      <c r="W2359" s="18"/>
      <c r="X2359" s="18"/>
    </row>
    <row r="2360" spans="13:24">
      <c r="M2360" s="558">
        <f t="shared" si="113"/>
        <v>2358</v>
      </c>
      <c r="N2360" s="15">
        <f t="shared" si="111"/>
        <v>0.37216602624096762</v>
      </c>
      <c r="O2360" s="165">
        <f t="shared" si="112"/>
        <v>0.37216602624096762</v>
      </c>
      <c r="P2360" s="18"/>
      <c r="Q2360" s="18"/>
      <c r="R2360" s="18"/>
      <c r="S2360" s="18"/>
      <c r="T2360" s="18"/>
      <c r="U2360" s="18"/>
      <c r="V2360" s="18"/>
      <c r="W2360" s="18"/>
      <c r="X2360" s="18"/>
    </row>
    <row r="2361" spans="13:24">
      <c r="M2361" s="558">
        <f t="shared" si="113"/>
        <v>2359</v>
      </c>
      <c r="N2361" s="15">
        <f t="shared" si="111"/>
        <v>0.3720854215639845</v>
      </c>
      <c r="O2361" s="165">
        <f t="shared" si="112"/>
        <v>0.3720854215639845</v>
      </c>
      <c r="P2361" s="18"/>
      <c r="Q2361" s="18"/>
      <c r="R2361" s="18"/>
      <c r="S2361" s="18"/>
      <c r="T2361" s="18"/>
      <c r="U2361" s="18"/>
      <c r="V2361" s="18"/>
      <c r="W2361" s="18"/>
      <c r="X2361" s="18"/>
    </row>
    <row r="2362" spans="13:24">
      <c r="M2362" s="558">
        <f t="shared" si="113"/>
        <v>2360</v>
      </c>
      <c r="N2362" s="15">
        <f t="shared" si="111"/>
        <v>0.37200485357434515</v>
      </c>
      <c r="O2362" s="165">
        <f t="shared" si="112"/>
        <v>0.37200485357434515</v>
      </c>
      <c r="P2362" s="18"/>
      <c r="Q2362" s="18"/>
      <c r="R2362" s="18"/>
      <c r="S2362" s="18"/>
      <c r="T2362" s="18"/>
      <c r="U2362" s="18"/>
      <c r="V2362" s="18"/>
      <c r="W2362" s="18"/>
      <c r="X2362" s="18"/>
    </row>
    <row r="2363" spans="13:24">
      <c r="M2363" s="558">
        <f t="shared" si="113"/>
        <v>2361</v>
      </c>
      <c r="N2363" s="15">
        <f t="shared" si="111"/>
        <v>0.3719243222260098</v>
      </c>
      <c r="O2363" s="165">
        <f t="shared" si="112"/>
        <v>0.3719243222260098</v>
      </c>
      <c r="P2363" s="18"/>
      <c r="Q2363" s="18"/>
      <c r="R2363" s="18"/>
      <c r="S2363" s="18"/>
      <c r="T2363" s="18"/>
      <c r="U2363" s="18"/>
      <c r="V2363" s="18"/>
      <c r="W2363" s="18"/>
      <c r="X2363" s="18"/>
    </row>
    <row r="2364" spans="13:24">
      <c r="M2364" s="558">
        <f t="shared" si="113"/>
        <v>2362</v>
      </c>
      <c r="N2364" s="15">
        <f t="shared" si="111"/>
        <v>0.37184382747299666</v>
      </c>
      <c r="O2364" s="165">
        <f t="shared" si="112"/>
        <v>0.37184382747299666</v>
      </c>
      <c r="P2364" s="18"/>
      <c r="Q2364" s="18"/>
      <c r="R2364" s="18"/>
      <c r="S2364" s="18"/>
      <c r="T2364" s="18"/>
      <c r="U2364" s="18"/>
      <c r="V2364" s="18"/>
      <c r="W2364" s="18"/>
      <c r="X2364" s="18"/>
    </row>
    <row r="2365" spans="13:24">
      <c r="M2365" s="558">
        <f t="shared" si="113"/>
        <v>2363</v>
      </c>
      <c r="N2365" s="15">
        <f t="shared" si="111"/>
        <v>0.37176336926938147</v>
      </c>
      <c r="O2365" s="165">
        <f t="shared" si="112"/>
        <v>0.37176336926938147</v>
      </c>
      <c r="P2365" s="18"/>
      <c r="Q2365" s="18"/>
      <c r="R2365" s="18"/>
      <c r="S2365" s="18"/>
      <c r="T2365" s="18"/>
      <c r="U2365" s="18"/>
      <c r="V2365" s="18"/>
      <c r="W2365" s="18"/>
      <c r="X2365" s="18"/>
    </row>
    <row r="2366" spans="13:24">
      <c r="M2366" s="558">
        <f t="shared" si="113"/>
        <v>2364</v>
      </c>
      <c r="N2366" s="15">
        <f t="shared" si="111"/>
        <v>0.37168294756929776</v>
      </c>
      <c r="O2366" s="165">
        <f t="shared" si="112"/>
        <v>0.37168294756929776</v>
      </c>
      <c r="P2366" s="18"/>
      <c r="Q2366" s="18"/>
      <c r="R2366" s="18"/>
      <c r="S2366" s="18"/>
      <c r="T2366" s="18"/>
      <c r="U2366" s="18"/>
      <c r="V2366" s="18"/>
      <c r="W2366" s="18"/>
      <c r="X2366" s="18"/>
    </row>
    <row r="2367" spans="13:24">
      <c r="M2367" s="558">
        <f t="shared" si="113"/>
        <v>2365</v>
      </c>
      <c r="N2367" s="15">
        <f t="shared" si="111"/>
        <v>0.37160256232693634</v>
      </c>
      <c r="O2367" s="165">
        <f t="shared" si="112"/>
        <v>0.37160256232693634</v>
      </c>
      <c r="P2367" s="18"/>
      <c r="Q2367" s="18"/>
      <c r="R2367" s="18"/>
      <c r="S2367" s="18"/>
      <c r="T2367" s="18"/>
      <c r="U2367" s="18"/>
      <c r="V2367" s="18"/>
      <c r="W2367" s="18"/>
      <c r="X2367" s="18"/>
    </row>
    <row r="2368" spans="13:24">
      <c r="M2368" s="558">
        <f t="shared" si="113"/>
        <v>2366</v>
      </c>
      <c r="N2368" s="15">
        <f t="shared" si="111"/>
        <v>0.37152221349654591</v>
      </c>
      <c r="O2368" s="165">
        <f t="shared" si="112"/>
        <v>0.37152221349654591</v>
      </c>
      <c r="P2368" s="18"/>
      <c r="Q2368" s="18"/>
      <c r="R2368" s="18"/>
      <c r="S2368" s="18"/>
      <c r="T2368" s="18"/>
      <c r="U2368" s="18"/>
      <c r="V2368" s="18"/>
      <c r="W2368" s="18"/>
      <c r="X2368" s="18"/>
    </row>
    <row r="2369" spans="13:24">
      <c r="M2369" s="558">
        <f t="shared" si="113"/>
        <v>2367</v>
      </c>
      <c r="N2369" s="15">
        <f t="shared" si="111"/>
        <v>0.3714419010324323</v>
      </c>
      <c r="O2369" s="165">
        <f t="shared" si="112"/>
        <v>0.3714419010324323</v>
      </c>
      <c r="P2369" s="18"/>
      <c r="Q2369" s="18"/>
      <c r="R2369" s="18"/>
      <c r="S2369" s="18"/>
      <c r="T2369" s="18"/>
      <c r="U2369" s="18"/>
      <c r="V2369" s="18"/>
      <c r="W2369" s="18"/>
      <c r="X2369" s="18"/>
    </row>
    <row r="2370" spans="13:24">
      <c r="M2370" s="558">
        <f t="shared" si="113"/>
        <v>2368</v>
      </c>
      <c r="N2370" s="15">
        <f t="shared" si="111"/>
        <v>0.37136162488895869</v>
      </c>
      <c r="O2370" s="165">
        <f t="shared" si="112"/>
        <v>0.37136162488895869</v>
      </c>
      <c r="P2370" s="18"/>
      <c r="Q2370" s="18"/>
      <c r="R2370" s="18"/>
      <c r="S2370" s="18"/>
      <c r="T2370" s="18"/>
      <c r="U2370" s="18"/>
      <c r="V2370" s="18"/>
      <c r="W2370" s="18"/>
      <c r="X2370" s="18"/>
    </row>
    <row r="2371" spans="13:24">
      <c r="M2371" s="558">
        <f t="shared" si="113"/>
        <v>2369</v>
      </c>
      <c r="N2371" s="15">
        <f t="shared" si="111"/>
        <v>0.37128138502054558</v>
      </c>
      <c r="O2371" s="165">
        <f t="shared" si="112"/>
        <v>0.37128138502054558</v>
      </c>
      <c r="P2371" s="18"/>
      <c r="Q2371" s="18"/>
      <c r="R2371" s="18"/>
      <c r="S2371" s="18"/>
      <c r="T2371" s="18"/>
      <c r="U2371" s="18"/>
      <c r="V2371" s="18"/>
      <c r="W2371" s="18"/>
      <c r="X2371" s="18"/>
    </row>
    <row r="2372" spans="13:24">
      <c r="M2372" s="558">
        <f t="shared" si="113"/>
        <v>2370</v>
      </c>
      <c r="N2372" s="15">
        <f t="shared" ref="N2372:N2435" si="114">IF(M2372&lt;$B$31+1,$B$32+$B$33/$B$31*(8760-M2372)+$B$34*IF(M2372&lt;$B$36-$B$31/(2*$B$35),1,IF(M2372&lt;$B$36+$B$31/(2*$B$35),COS(PI()/2*(M2372-($B$36-$B$31/(2*$B$35)))*$B$35/$B$31)^2,0))+$B$37*EXP((8760-M2372)/8760*$B$38)/EXP($B$38)-(8760-$B$31)*$B$33/$B$31,0)</f>
        <v>0.3712011813816708</v>
      </c>
      <c r="O2372" s="165">
        <f t="shared" ref="O2372:O2435" si="115">MIN(N2372,C$24)</f>
        <v>0.3712011813816708</v>
      </c>
      <c r="P2372" s="18"/>
      <c r="Q2372" s="18"/>
      <c r="R2372" s="18"/>
      <c r="S2372" s="18"/>
      <c r="T2372" s="18"/>
      <c r="U2372" s="18"/>
      <c r="V2372" s="18"/>
      <c r="W2372" s="18"/>
      <c r="X2372" s="18"/>
    </row>
    <row r="2373" spans="13:24">
      <c r="M2373" s="558">
        <f t="shared" ref="M2373:M2436" si="116">M2372+1</f>
        <v>2371</v>
      </c>
      <c r="N2373" s="15">
        <f t="shared" si="114"/>
        <v>0.37112101392686914</v>
      </c>
      <c r="O2373" s="165">
        <f t="shared" si="115"/>
        <v>0.37112101392686914</v>
      </c>
      <c r="P2373" s="18"/>
      <c r="Q2373" s="18"/>
      <c r="R2373" s="18"/>
      <c r="S2373" s="18"/>
      <c r="T2373" s="18"/>
      <c r="U2373" s="18"/>
      <c r="V2373" s="18"/>
      <c r="W2373" s="18"/>
      <c r="X2373" s="18"/>
    </row>
    <row r="2374" spans="13:24">
      <c r="M2374" s="558">
        <f t="shared" si="116"/>
        <v>2372</v>
      </c>
      <c r="N2374" s="15">
        <f t="shared" si="114"/>
        <v>0.37104088261073243</v>
      </c>
      <c r="O2374" s="165">
        <f t="shared" si="115"/>
        <v>0.37104088261073243</v>
      </c>
      <c r="P2374" s="18"/>
      <c r="Q2374" s="18"/>
      <c r="R2374" s="18"/>
      <c r="S2374" s="18"/>
      <c r="T2374" s="18"/>
      <c r="U2374" s="18"/>
      <c r="V2374" s="18"/>
      <c r="W2374" s="18"/>
      <c r="X2374" s="18"/>
    </row>
    <row r="2375" spans="13:24">
      <c r="M2375" s="558">
        <f t="shared" si="116"/>
        <v>2373</v>
      </c>
      <c r="N2375" s="15">
        <f t="shared" si="114"/>
        <v>0.37096078738790961</v>
      </c>
      <c r="O2375" s="165">
        <f t="shared" si="115"/>
        <v>0.37096078738790961</v>
      </c>
      <c r="P2375" s="18"/>
      <c r="Q2375" s="18"/>
      <c r="R2375" s="18"/>
      <c r="S2375" s="18"/>
      <c r="T2375" s="18"/>
      <c r="U2375" s="18"/>
      <c r="V2375" s="18"/>
      <c r="W2375" s="18"/>
      <c r="X2375" s="18"/>
    </row>
    <row r="2376" spans="13:24">
      <c r="M2376" s="558">
        <f t="shared" si="116"/>
        <v>2374</v>
      </c>
      <c r="N2376" s="15">
        <f t="shared" si="114"/>
        <v>0.37088072821310647</v>
      </c>
      <c r="O2376" s="165">
        <f t="shared" si="115"/>
        <v>0.37088072821310647</v>
      </c>
      <c r="P2376" s="18"/>
      <c r="Q2376" s="18"/>
      <c r="R2376" s="18"/>
      <c r="S2376" s="18"/>
      <c r="T2376" s="18"/>
      <c r="U2376" s="18"/>
      <c r="V2376" s="18"/>
      <c r="W2376" s="18"/>
      <c r="X2376" s="18"/>
    </row>
    <row r="2377" spans="13:24">
      <c r="M2377" s="558">
        <f t="shared" si="116"/>
        <v>2375</v>
      </c>
      <c r="N2377" s="15">
        <f t="shared" si="114"/>
        <v>0.37080070504108564</v>
      </c>
      <c r="O2377" s="165">
        <f t="shared" si="115"/>
        <v>0.37080070504108564</v>
      </c>
      <c r="P2377" s="18"/>
      <c r="Q2377" s="18"/>
      <c r="R2377" s="18"/>
      <c r="S2377" s="18"/>
      <c r="T2377" s="18"/>
      <c r="U2377" s="18"/>
      <c r="V2377" s="18"/>
      <c r="W2377" s="18"/>
      <c r="X2377" s="18"/>
    </row>
    <row r="2378" spans="13:24">
      <c r="M2378" s="558">
        <f t="shared" si="116"/>
        <v>2376</v>
      </c>
      <c r="N2378" s="15">
        <f t="shared" si="114"/>
        <v>0.37072071782666649</v>
      </c>
      <c r="O2378" s="165">
        <f t="shared" si="115"/>
        <v>0.37072071782666649</v>
      </c>
      <c r="P2378" s="18"/>
      <c r="Q2378" s="18"/>
      <c r="R2378" s="18"/>
      <c r="S2378" s="18"/>
      <c r="T2378" s="18"/>
      <c r="U2378" s="18"/>
      <c r="V2378" s="18"/>
      <c r="W2378" s="18"/>
      <c r="X2378" s="18"/>
    </row>
    <row r="2379" spans="13:24">
      <c r="M2379" s="558">
        <f t="shared" si="116"/>
        <v>2377</v>
      </c>
      <c r="N2379" s="15">
        <f t="shared" si="114"/>
        <v>0.37064076652472516</v>
      </c>
      <c r="O2379" s="165">
        <f t="shared" si="115"/>
        <v>0.37064076652472516</v>
      </c>
      <c r="P2379" s="18"/>
      <c r="Q2379" s="18"/>
      <c r="R2379" s="18"/>
      <c r="S2379" s="18"/>
      <c r="T2379" s="18"/>
      <c r="U2379" s="18"/>
      <c r="V2379" s="18"/>
      <c r="W2379" s="18"/>
      <c r="X2379" s="18"/>
    </row>
    <row r="2380" spans="13:24">
      <c r="M2380" s="558">
        <f t="shared" si="116"/>
        <v>2378</v>
      </c>
      <c r="N2380" s="15">
        <f t="shared" si="114"/>
        <v>0.37056085109019432</v>
      </c>
      <c r="O2380" s="165">
        <f t="shared" si="115"/>
        <v>0.37056085109019432</v>
      </c>
      <c r="P2380" s="18"/>
      <c r="Q2380" s="18"/>
      <c r="R2380" s="18"/>
      <c r="S2380" s="18"/>
      <c r="T2380" s="18"/>
      <c r="U2380" s="18"/>
      <c r="V2380" s="18"/>
      <c r="W2380" s="18"/>
      <c r="X2380" s="18"/>
    </row>
    <row r="2381" spans="13:24">
      <c r="M2381" s="558">
        <f t="shared" si="116"/>
        <v>2379</v>
      </c>
      <c r="N2381" s="15">
        <f t="shared" si="114"/>
        <v>0.37048097147806336</v>
      </c>
      <c r="O2381" s="165">
        <f t="shared" si="115"/>
        <v>0.37048097147806336</v>
      </c>
      <c r="P2381" s="18"/>
      <c r="Q2381" s="18"/>
      <c r="R2381" s="18"/>
      <c r="S2381" s="18"/>
      <c r="T2381" s="18"/>
      <c r="U2381" s="18"/>
      <c r="V2381" s="18"/>
      <c r="W2381" s="18"/>
      <c r="X2381" s="18"/>
    </row>
    <row r="2382" spans="13:24">
      <c r="M2382" s="558">
        <f t="shared" si="116"/>
        <v>2380</v>
      </c>
      <c r="N2382" s="15">
        <f t="shared" si="114"/>
        <v>0.37040112764337785</v>
      </c>
      <c r="O2382" s="165">
        <f t="shared" si="115"/>
        <v>0.37040112764337785</v>
      </c>
      <c r="P2382" s="18"/>
      <c r="Q2382" s="18"/>
      <c r="R2382" s="18"/>
      <c r="S2382" s="18"/>
      <c r="T2382" s="18"/>
      <c r="U2382" s="18"/>
      <c r="V2382" s="18"/>
      <c r="W2382" s="18"/>
      <c r="X2382" s="18"/>
    </row>
    <row r="2383" spans="13:24">
      <c r="M2383" s="558">
        <f t="shared" si="116"/>
        <v>2381</v>
      </c>
      <c r="N2383" s="15">
        <f t="shared" si="114"/>
        <v>0.37032131954124015</v>
      </c>
      <c r="O2383" s="165">
        <f t="shared" si="115"/>
        <v>0.37032131954124015</v>
      </c>
      <c r="P2383" s="18"/>
      <c r="Q2383" s="18"/>
      <c r="R2383" s="18"/>
      <c r="S2383" s="18"/>
      <c r="T2383" s="18"/>
      <c r="U2383" s="18"/>
      <c r="V2383" s="18"/>
      <c r="W2383" s="18"/>
      <c r="X2383" s="18"/>
    </row>
    <row r="2384" spans="13:24">
      <c r="M2384" s="558">
        <f t="shared" si="116"/>
        <v>2382</v>
      </c>
      <c r="N2384" s="15">
        <f t="shared" si="114"/>
        <v>0.37024154712680873</v>
      </c>
      <c r="O2384" s="165">
        <f t="shared" si="115"/>
        <v>0.37024154712680873</v>
      </c>
      <c r="P2384" s="18"/>
      <c r="Q2384" s="18"/>
      <c r="R2384" s="18"/>
      <c r="S2384" s="18"/>
      <c r="T2384" s="18"/>
      <c r="U2384" s="18"/>
      <c r="V2384" s="18"/>
      <c r="W2384" s="18"/>
      <c r="X2384" s="18"/>
    </row>
    <row r="2385" spans="13:24">
      <c r="M2385" s="558">
        <f t="shared" si="116"/>
        <v>2383</v>
      </c>
      <c r="N2385" s="15">
        <f t="shared" si="114"/>
        <v>0.37016181035529833</v>
      </c>
      <c r="O2385" s="165">
        <f t="shared" si="115"/>
        <v>0.37016181035529833</v>
      </c>
      <c r="P2385" s="18"/>
      <c r="Q2385" s="18"/>
      <c r="R2385" s="18"/>
      <c r="S2385" s="18"/>
      <c r="T2385" s="18"/>
      <c r="U2385" s="18"/>
      <c r="V2385" s="18"/>
      <c r="W2385" s="18"/>
      <c r="X2385" s="18"/>
    </row>
    <row r="2386" spans="13:24">
      <c r="M2386" s="558">
        <f t="shared" si="116"/>
        <v>2384</v>
      </c>
      <c r="N2386" s="15">
        <f t="shared" si="114"/>
        <v>0.37008210918197998</v>
      </c>
      <c r="O2386" s="165">
        <f t="shared" si="115"/>
        <v>0.37008210918197998</v>
      </c>
      <c r="P2386" s="18"/>
      <c r="Q2386" s="18"/>
      <c r="R2386" s="18"/>
      <c r="S2386" s="18"/>
      <c r="T2386" s="18"/>
      <c r="U2386" s="18"/>
      <c r="V2386" s="18"/>
      <c r="W2386" s="18"/>
      <c r="X2386" s="18"/>
    </row>
    <row r="2387" spans="13:24">
      <c r="M2387" s="558">
        <f t="shared" si="116"/>
        <v>2385</v>
      </c>
      <c r="N2387" s="15">
        <f t="shared" si="114"/>
        <v>0.37000244356218087</v>
      </c>
      <c r="O2387" s="165">
        <f t="shared" si="115"/>
        <v>0.37000244356218087</v>
      </c>
      <c r="P2387" s="18"/>
      <c r="Q2387" s="18"/>
      <c r="R2387" s="18"/>
      <c r="S2387" s="18"/>
      <c r="T2387" s="18"/>
      <c r="U2387" s="18"/>
      <c r="V2387" s="18"/>
      <c r="W2387" s="18"/>
      <c r="X2387" s="18"/>
    </row>
    <row r="2388" spans="13:24">
      <c r="M2388" s="558">
        <f t="shared" si="116"/>
        <v>2386</v>
      </c>
      <c r="N2388" s="15">
        <f t="shared" si="114"/>
        <v>0.36992281345128414</v>
      </c>
      <c r="O2388" s="165">
        <f t="shared" si="115"/>
        <v>0.36992281345128414</v>
      </c>
      <c r="P2388" s="18"/>
      <c r="Q2388" s="18"/>
      <c r="R2388" s="18"/>
      <c r="S2388" s="18"/>
      <c r="T2388" s="18"/>
      <c r="U2388" s="18"/>
      <c r="V2388" s="18"/>
      <c r="W2388" s="18"/>
      <c r="X2388" s="18"/>
    </row>
    <row r="2389" spans="13:24">
      <c r="M2389" s="558">
        <f t="shared" si="116"/>
        <v>2387</v>
      </c>
      <c r="N2389" s="15">
        <f t="shared" si="114"/>
        <v>0.36984321880472887</v>
      </c>
      <c r="O2389" s="165">
        <f t="shared" si="115"/>
        <v>0.36984321880472887</v>
      </c>
      <c r="P2389" s="18"/>
      <c r="Q2389" s="18"/>
      <c r="R2389" s="18"/>
      <c r="S2389" s="18"/>
      <c r="T2389" s="18"/>
      <c r="U2389" s="18"/>
      <c r="V2389" s="18"/>
      <c r="W2389" s="18"/>
      <c r="X2389" s="18"/>
    </row>
    <row r="2390" spans="13:24">
      <c r="M2390" s="558">
        <f t="shared" si="116"/>
        <v>2388</v>
      </c>
      <c r="N2390" s="15">
        <f t="shared" si="114"/>
        <v>0.36976365957801033</v>
      </c>
      <c r="O2390" s="165">
        <f t="shared" si="115"/>
        <v>0.36976365957801033</v>
      </c>
      <c r="P2390" s="18"/>
      <c r="Q2390" s="18"/>
      <c r="R2390" s="18"/>
      <c r="S2390" s="18"/>
      <c r="T2390" s="18"/>
      <c r="U2390" s="18"/>
      <c r="V2390" s="18"/>
      <c r="W2390" s="18"/>
      <c r="X2390" s="18"/>
    </row>
    <row r="2391" spans="13:24">
      <c r="M2391" s="558">
        <f t="shared" si="116"/>
        <v>2389</v>
      </c>
      <c r="N2391" s="15">
        <f t="shared" si="114"/>
        <v>0.36968413572667941</v>
      </c>
      <c r="O2391" s="165">
        <f t="shared" si="115"/>
        <v>0.36968413572667941</v>
      </c>
      <c r="P2391" s="18"/>
      <c r="Q2391" s="18"/>
      <c r="R2391" s="18"/>
      <c r="S2391" s="18"/>
      <c r="T2391" s="18"/>
      <c r="U2391" s="18"/>
      <c r="V2391" s="18"/>
      <c r="W2391" s="18"/>
      <c r="X2391" s="18"/>
    </row>
    <row r="2392" spans="13:24">
      <c r="M2392" s="558">
        <f t="shared" si="116"/>
        <v>2390</v>
      </c>
      <c r="N2392" s="15">
        <f t="shared" si="114"/>
        <v>0.36960464720634278</v>
      </c>
      <c r="O2392" s="165">
        <f t="shared" si="115"/>
        <v>0.36960464720634278</v>
      </c>
      <c r="P2392" s="18"/>
      <c r="Q2392" s="18"/>
      <c r="R2392" s="18"/>
      <c r="S2392" s="18"/>
      <c r="T2392" s="18"/>
      <c r="U2392" s="18"/>
      <c r="V2392" s="18"/>
      <c r="W2392" s="18"/>
      <c r="X2392" s="18"/>
    </row>
    <row r="2393" spans="13:24">
      <c r="M2393" s="558">
        <f t="shared" si="116"/>
        <v>2391</v>
      </c>
      <c r="N2393" s="15">
        <f t="shared" si="114"/>
        <v>0.36952519397266292</v>
      </c>
      <c r="O2393" s="165">
        <f t="shared" si="115"/>
        <v>0.36952519397266292</v>
      </c>
      <c r="P2393" s="18"/>
      <c r="Q2393" s="18"/>
      <c r="R2393" s="18"/>
      <c r="S2393" s="18"/>
      <c r="T2393" s="18"/>
      <c r="U2393" s="18"/>
      <c r="V2393" s="18"/>
      <c r="W2393" s="18"/>
      <c r="X2393" s="18"/>
    </row>
    <row r="2394" spans="13:24">
      <c r="M2394" s="558">
        <f t="shared" si="116"/>
        <v>2392</v>
      </c>
      <c r="N2394" s="15">
        <f t="shared" si="114"/>
        <v>0.36944577598135797</v>
      </c>
      <c r="O2394" s="165">
        <f t="shared" si="115"/>
        <v>0.36944577598135797</v>
      </c>
      <c r="P2394" s="18"/>
      <c r="Q2394" s="18"/>
      <c r="R2394" s="18"/>
      <c r="S2394" s="18"/>
      <c r="T2394" s="18"/>
      <c r="U2394" s="18"/>
      <c r="V2394" s="18"/>
      <c r="W2394" s="18"/>
      <c r="X2394" s="18"/>
    </row>
    <row r="2395" spans="13:24">
      <c r="M2395" s="558">
        <f t="shared" si="116"/>
        <v>2393</v>
      </c>
      <c r="N2395" s="15">
        <f t="shared" si="114"/>
        <v>0.36936639318820147</v>
      </c>
      <c r="O2395" s="165">
        <f t="shared" si="115"/>
        <v>0.36936639318820147</v>
      </c>
      <c r="P2395" s="18"/>
      <c r="Q2395" s="18"/>
      <c r="R2395" s="18"/>
      <c r="S2395" s="18"/>
      <c r="T2395" s="18"/>
      <c r="U2395" s="18"/>
      <c r="V2395" s="18"/>
      <c r="W2395" s="18"/>
      <c r="X2395" s="18"/>
    </row>
    <row r="2396" spans="13:24">
      <c r="M2396" s="558">
        <f t="shared" si="116"/>
        <v>2394</v>
      </c>
      <c r="N2396" s="15">
        <f t="shared" si="114"/>
        <v>0.36928704554902264</v>
      </c>
      <c r="O2396" s="165">
        <f t="shared" si="115"/>
        <v>0.36928704554902264</v>
      </c>
      <c r="P2396" s="18"/>
      <c r="Q2396" s="18"/>
      <c r="R2396" s="18"/>
      <c r="S2396" s="18"/>
      <c r="T2396" s="18"/>
      <c r="U2396" s="18"/>
      <c r="V2396" s="18"/>
      <c r="W2396" s="18"/>
      <c r="X2396" s="18"/>
    </row>
    <row r="2397" spans="13:24">
      <c r="M2397" s="558">
        <f t="shared" si="116"/>
        <v>2395</v>
      </c>
      <c r="N2397" s="15">
        <f t="shared" si="114"/>
        <v>0.369207733019706</v>
      </c>
      <c r="O2397" s="165">
        <f t="shared" si="115"/>
        <v>0.369207733019706</v>
      </c>
      <c r="P2397" s="18"/>
      <c r="Q2397" s="18"/>
      <c r="R2397" s="18"/>
      <c r="S2397" s="18"/>
      <c r="T2397" s="18"/>
      <c r="U2397" s="18"/>
      <c r="V2397" s="18"/>
      <c r="W2397" s="18"/>
      <c r="X2397" s="18"/>
    </row>
    <row r="2398" spans="13:24">
      <c r="M2398" s="558">
        <f t="shared" si="116"/>
        <v>2396</v>
      </c>
      <c r="N2398" s="15">
        <f t="shared" si="114"/>
        <v>0.36912845555619156</v>
      </c>
      <c r="O2398" s="165">
        <f t="shared" si="115"/>
        <v>0.36912845555619156</v>
      </c>
      <c r="P2398" s="18"/>
      <c r="Q2398" s="18"/>
      <c r="R2398" s="18"/>
      <c r="S2398" s="18"/>
      <c r="T2398" s="18"/>
      <c r="U2398" s="18"/>
      <c r="V2398" s="18"/>
      <c r="W2398" s="18"/>
      <c r="X2398" s="18"/>
    </row>
    <row r="2399" spans="13:24">
      <c r="M2399" s="558">
        <f t="shared" si="116"/>
        <v>2397</v>
      </c>
      <c r="N2399" s="15">
        <f t="shared" si="114"/>
        <v>0.36904921311447458</v>
      </c>
      <c r="O2399" s="165">
        <f t="shared" si="115"/>
        <v>0.36904921311447458</v>
      </c>
      <c r="P2399" s="18"/>
      <c r="Q2399" s="18"/>
      <c r="R2399" s="18"/>
      <c r="S2399" s="18"/>
      <c r="T2399" s="18"/>
      <c r="U2399" s="18"/>
      <c r="V2399" s="18"/>
      <c r="W2399" s="18"/>
      <c r="X2399" s="18"/>
    </row>
    <row r="2400" spans="13:24">
      <c r="M2400" s="558">
        <f t="shared" si="116"/>
        <v>2398</v>
      </c>
      <c r="N2400" s="15">
        <f t="shared" si="114"/>
        <v>0.36897000565060545</v>
      </c>
      <c r="O2400" s="165">
        <f t="shared" si="115"/>
        <v>0.36897000565060545</v>
      </c>
      <c r="P2400" s="18"/>
      <c r="Q2400" s="18"/>
      <c r="R2400" s="18"/>
      <c r="S2400" s="18"/>
      <c r="T2400" s="18"/>
      <c r="U2400" s="18"/>
      <c r="V2400" s="18"/>
      <c r="W2400" s="18"/>
      <c r="X2400" s="18"/>
    </row>
    <row r="2401" spans="13:24">
      <c r="M2401" s="558">
        <f t="shared" si="116"/>
        <v>2399</v>
      </c>
      <c r="N2401" s="15">
        <f t="shared" si="114"/>
        <v>0.36889083312068971</v>
      </c>
      <c r="O2401" s="165">
        <f t="shared" si="115"/>
        <v>0.36889083312068971</v>
      </c>
      <c r="P2401" s="18"/>
      <c r="Q2401" s="18"/>
      <c r="R2401" s="18"/>
      <c r="S2401" s="18"/>
      <c r="T2401" s="18"/>
      <c r="U2401" s="18"/>
      <c r="V2401" s="18"/>
      <c r="W2401" s="18"/>
      <c r="X2401" s="18"/>
    </row>
    <row r="2402" spans="13:24">
      <c r="M2402" s="558">
        <f t="shared" si="116"/>
        <v>2400</v>
      </c>
      <c r="N2402" s="15">
        <f t="shared" si="114"/>
        <v>0.36881169548088821</v>
      </c>
      <c r="O2402" s="165">
        <f t="shared" si="115"/>
        <v>0.36881169548088821</v>
      </c>
      <c r="P2402" s="18"/>
      <c r="Q2402" s="18"/>
      <c r="R2402" s="18"/>
      <c r="S2402" s="18"/>
      <c r="T2402" s="18"/>
      <c r="U2402" s="18"/>
      <c r="V2402" s="18"/>
      <c r="W2402" s="18"/>
      <c r="X2402" s="18"/>
    </row>
    <row r="2403" spans="13:24">
      <c r="M2403" s="558">
        <f t="shared" si="116"/>
        <v>2401</v>
      </c>
      <c r="N2403" s="15">
        <f t="shared" si="114"/>
        <v>0.36873259268741659</v>
      </c>
      <c r="O2403" s="165">
        <f t="shared" si="115"/>
        <v>0.36873259268741659</v>
      </c>
      <c r="P2403" s="18"/>
      <c r="Q2403" s="18"/>
      <c r="R2403" s="18"/>
      <c r="S2403" s="18"/>
      <c r="T2403" s="18"/>
      <c r="U2403" s="18"/>
      <c r="V2403" s="18"/>
      <c r="W2403" s="18"/>
      <c r="X2403" s="18"/>
    </row>
    <row r="2404" spans="13:24">
      <c r="M2404" s="558">
        <f t="shared" si="116"/>
        <v>2402</v>
      </c>
      <c r="N2404" s="15">
        <f t="shared" si="114"/>
        <v>0.3686535246965455</v>
      </c>
      <c r="O2404" s="165">
        <f t="shared" si="115"/>
        <v>0.3686535246965455</v>
      </c>
      <c r="P2404" s="18"/>
      <c r="Q2404" s="18"/>
      <c r="R2404" s="18"/>
      <c r="S2404" s="18"/>
      <c r="T2404" s="18"/>
      <c r="U2404" s="18"/>
      <c r="V2404" s="18"/>
      <c r="W2404" s="18"/>
      <c r="X2404" s="18"/>
    </row>
    <row r="2405" spans="13:24">
      <c r="M2405" s="558">
        <f t="shared" si="116"/>
        <v>2403</v>
      </c>
      <c r="N2405" s="15">
        <f t="shared" si="114"/>
        <v>0.36857449146460042</v>
      </c>
      <c r="O2405" s="165">
        <f t="shared" si="115"/>
        <v>0.36857449146460042</v>
      </c>
      <c r="P2405" s="18"/>
      <c r="Q2405" s="18"/>
      <c r="R2405" s="18"/>
      <c r="S2405" s="18"/>
      <c r="T2405" s="18"/>
      <c r="U2405" s="18"/>
      <c r="V2405" s="18"/>
      <c r="W2405" s="18"/>
      <c r="X2405" s="18"/>
    </row>
    <row r="2406" spans="13:24">
      <c r="M2406" s="558">
        <f t="shared" si="116"/>
        <v>2404</v>
      </c>
      <c r="N2406" s="15">
        <f t="shared" si="114"/>
        <v>0.3684954929479618</v>
      </c>
      <c r="O2406" s="165">
        <f t="shared" si="115"/>
        <v>0.3684954929479618</v>
      </c>
      <c r="P2406" s="18"/>
      <c r="Q2406" s="18"/>
      <c r="R2406" s="18"/>
      <c r="S2406" s="18"/>
      <c r="T2406" s="18"/>
      <c r="U2406" s="18"/>
      <c r="V2406" s="18"/>
      <c r="W2406" s="18"/>
      <c r="X2406" s="18"/>
    </row>
    <row r="2407" spans="13:24">
      <c r="M2407" s="558">
        <f t="shared" si="116"/>
        <v>2405</v>
      </c>
      <c r="N2407" s="15">
        <f t="shared" si="114"/>
        <v>0.36841652910306472</v>
      </c>
      <c r="O2407" s="165">
        <f t="shared" si="115"/>
        <v>0.36841652910306472</v>
      </c>
      <c r="P2407" s="18"/>
      <c r="Q2407" s="18"/>
      <c r="R2407" s="18"/>
      <c r="S2407" s="18"/>
      <c r="T2407" s="18"/>
      <c r="U2407" s="18"/>
      <c r="V2407" s="18"/>
      <c r="W2407" s="18"/>
      <c r="X2407" s="18"/>
    </row>
    <row r="2408" spans="13:24">
      <c r="M2408" s="558">
        <f t="shared" si="116"/>
        <v>2406</v>
      </c>
      <c r="N2408" s="15">
        <f t="shared" si="114"/>
        <v>0.36833759988639875</v>
      </c>
      <c r="O2408" s="165">
        <f t="shared" si="115"/>
        <v>0.36833759988639875</v>
      </c>
      <c r="P2408" s="18"/>
      <c r="Q2408" s="18"/>
      <c r="R2408" s="18"/>
      <c r="S2408" s="18"/>
      <c r="T2408" s="18"/>
      <c r="U2408" s="18"/>
      <c r="V2408" s="18"/>
      <c r="W2408" s="18"/>
      <c r="X2408" s="18"/>
    </row>
    <row r="2409" spans="13:24">
      <c r="M2409" s="558">
        <f t="shared" si="116"/>
        <v>2407</v>
      </c>
      <c r="N2409" s="15">
        <f t="shared" si="114"/>
        <v>0.36825870525450843</v>
      </c>
      <c r="O2409" s="165">
        <f t="shared" si="115"/>
        <v>0.36825870525450843</v>
      </c>
      <c r="P2409" s="18"/>
      <c r="Q2409" s="18"/>
      <c r="R2409" s="18"/>
      <c r="S2409" s="18"/>
      <c r="T2409" s="18"/>
      <c r="U2409" s="18"/>
      <c r="V2409" s="18"/>
      <c r="W2409" s="18"/>
      <c r="X2409" s="18"/>
    </row>
    <row r="2410" spans="13:24">
      <c r="M2410" s="558">
        <f t="shared" si="116"/>
        <v>2408</v>
      </c>
      <c r="N2410" s="15">
        <f t="shared" si="114"/>
        <v>0.3681798451639926</v>
      </c>
      <c r="O2410" s="165">
        <f t="shared" si="115"/>
        <v>0.3681798451639926</v>
      </c>
      <c r="P2410" s="18"/>
      <c r="Q2410" s="18"/>
      <c r="R2410" s="18"/>
      <c r="S2410" s="18"/>
      <c r="T2410" s="18"/>
      <c r="U2410" s="18"/>
      <c r="V2410" s="18"/>
      <c r="W2410" s="18"/>
      <c r="X2410" s="18"/>
    </row>
    <row r="2411" spans="13:24">
      <c r="M2411" s="558">
        <f t="shared" si="116"/>
        <v>2409</v>
      </c>
      <c r="N2411" s="15">
        <f t="shared" si="114"/>
        <v>0.36810101957150454</v>
      </c>
      <c r="O2411" s="165">
        <f t="shared" si="115"/>
        <v>0.36810101957150454</v>
      </c>
      <c r="P2411" s="18"/>
      <c r="Q2411" s="18"/>
      <c r="R2411" s="18"/>
      <c r="S2411" s="18"/>
      <c r="T2411" s="18"/>
      <c r="U2411" s="18"/>
      <c r="V2411" s="18"/>
      <c r="W2411" s="18"/>
      <c r="X2411" s="18"/>
    </row>
    <row r="2412" spans="13:24">
      <c r="M2412" s="558">
        <f t="shared" si="116"/>
        <v>2410</v>
      </c>
      <c r="N2412" s="15">
        <f t="shared" si="114"/>
        <v>0.36802222843375204</v>
      </c>
      <c r="O2412" s="165">
        <f t="shared" si="115"/>
        <v>0.36802222843375204</v>
      </c>
      <c r="P2412" s="18"/>
      <c r="Q2412" s="18"/>
      <c r="R2412" s="18"/>
      <c r="S2412" s="18"/>
      <c r="T2412" s="18"/>
      <c r="U2412" s="18"/>
      <c r="V2412" s="18"/>
      <c r="W2412" s="18"/>
      <c r="X2412" s="18"/>
    </row>
    <row r="2413" spans="13:24">
      <c r="M2413" s="558">
        <f t="shared" si="116"/>
        <v>2411</v>
      </c>
      <c r="N2413" s="15">
        <f t="shared" si="114"/>
        <v>0.36794347170749719</v>
      </c>
      <c r="O2413" s="165">
        <f t="shared" si="115"/>
        <v>0.36794347170749719</v>
      </c>
      <c r="P2413" s="18"/>
      <c r="Q2413" s="18"/>
      <c r="R2413" s="18"/>
      <c r="S2413" s="18"/>
      <c r="T2413" s="18"/>
      <c r="U2413" s="18"/>
      <c r="V2413" s="18"/>
      <c r="W2413" s="18"/>
      <c r="X2413" s="18"/>
    </row>
    <row r="2414" spans="13:24">
      <c r="M2414" s="558">
        <f t="shared" si="116"/>
        <v>2412</v>
      </c>
      <c r="N2414" s="15">
        <f t="shared" si="114"/>
        <v>0.36786474934955626</v>
      </c>
      <c r="O2414" s="165">
        <f t="shared" si="115"/>
        <v>0.36786474934955626</v>
      </c>
      <c r="P2414" s="18"/>
      <c r="Q2414" s="18"/>
      <c r="R2414" s="18"/>
      <c r="S2414" s="18"/>
      <c r="T2414" s="18"/>
      <c r="U2414" s="18"/>
      <c r="V2414" s="18"/>
      <c r="W2414" s="18"/>
      <c r="X2414" s="18"/>
    </row>
    <row r="2415" spans="13:24">
      <c r="M2415" s="558">
        <f t="shared" si="116"/>
        <v>2413</v>
      </c>
      <c r="N2415" s="15">
        <f t="shared" si="114"/>
        <v>0.36778606131679992</v>
      </c>
      <c r="O2415" s="165">
        <f t="shared" si="115"/>
        <v>0.36778606131679992</v>
      </c>
      <c r="P2415" s="18"/>
      <c r="Q2415" s="18"/>
      <c r="R2415" s="18"/>
      <c r="S2415" s="18"/>
      <c r="T2415" s="18"/>
      <c r="U2415" s="18"/>
      <c r="V2415" s="18"/>
      <c r="W2415" s="18"/>
      <c r="X2415" s="18"/>
    </row>
    <row r="2416" spans="13:24">
      <c r="M2416" s="558">
        <f t="shared" si="116"/>
        <v>2414</v>
      </c>
      <c r="N2416" s="15">
        <f t="shared" si="114"/>
        <v>0.36770740756615261</v>
      </c>
      <c r="O2416" s="165">
        <f t="shared" si="115"/>
        <v>0.36770740756615261</v>
      </c>
      <c r="P2416" s="18"/>
      <c r="Q2416" s="18"/>
      <c r="R2416" s="18"/>
      <c r="S2416" s="18"/>
      <c r="T2416" s="18"/>
      <c r="U2416" s="18"/>
      <c r="V2416" s="18"/>
      <c r="W2416" s="18"/>
      <c r="X2416" s="18"/>
    </row>
    <row r="2417" spans="13:24">
      <c r="M2417" s="558">
        <f t="shared" si="116"/>
        <v>2415</v>
      </c>
      <c r="N2417" s="15">
        <f t="shared" si="114"/>
        <v>0.36762878805459326</v>
      </c>
      <c r="O2417" s="165">
        <f t="shared" si="115"/>
        <v>0.36762878805459326</v>
      </c>
      <c r="P2417" s="18"/>
      <c r="Q2417" s="18"/>
      <c r="R2417" s="18"/>
      <c r="S2417" s="18"/>
      <c r="T2417" s="18"/>
      <c r="U2417" s="18"/>
      <c r="V2417" s="18"/>
      <c r="W2417" s="18"/>
      <c r="X2417" s="18"/>
    </row>
    <row r="2418" spans="13:24">
      <c r="M2418" s="558">
        <f t="shared" si="116"/>
        <v>2416</v>
      </c>
      <c r="N2418" s="15">
        <f t="shared" si="114"/>
        <v>0.3675502027391544</v>
      </c>
      <c r="O2418" s="165">
        <f t="shared" si="115"/>
        <v>0.3675502027391544</v>
      </c>
      <c r="P2418" s="18"/>
      <c r="Q2418" s="18"/>
      <c r="R2418" s="18"/>
      <c r="S2418" s="18"/>
      <c r="T2418" s="18"/>
      <c r="U2418" s="18"/>
      <c r="V2418" s="18"/>
      <c r="W2418" s="18"/>
      <c r="X2418" s="18"/>
    </row>
    <row r="2419" spans="13:24">
      <c r="M2419" s="558">
        <f t="shared" si="116"/>
        <v>2417</v>
      </c>
      <c r="N2419" s="15">
        <f t="shared" si="114"/>
        <v>0.36747165157692274</v>
      </c>
      <c r="O2419" s="165">
        <f t="shared" si="115"/>
        <v>0.36747165157692274</v>
      </c>
      <c r="P2419" s="18"/>
      <c r="Q2419" s="18"/>
      <c r="R2419" s="18"/>
      <c r="S2419" s="18"/>
      <c r="T2419" s="18"/>
      <c r="U2419" s="18"/>
      <c r="V2419" s="18"/>
      <c r="W2419" s="18"/>
      <c r="X2419" s="18"/>
    </row>
    <row r="2420" spans="13:24">
      <c r="M2420" s="558">
        <f t="shared" si="116"/>
        <v>2418</v>
      </c>
      <c r="N2420" s="15">
        <f t="shared" si="114"/>
        <v>0.36739313452503863</v>
      </c>
      <c r="O2420" s="165">
        <f t="shared" si="115"/>
        <v>0.36739313452503863</v>
      </c>
      <c r="P2420" s="18"/>
      <c r="Q2420" s="18"/>
      <c r="R2420" s="18"/>
      <c r="S2420" s="18"/>
      <c r="T2420" s="18"/>
      <c r="U2420" s="18"/>
      <c r="V2420" s="18"/>
      <c r="W2420" s="18"/>
      <c r="X2420" s="18"/>
    </row>
    <row r="2421" spans="13:24">
      <c r="M2421" s="558">
        <f t="shared" si="116"/>
        <v>2419</v>
      </c>
      <c r="N2421" s="15">
        <f t="shared" si="114"/>
        <v>0.36731465154069648</v>
      </c>
      <c r="O2421" s="165">
        <f t="shared" si="115"/>
        <v>0.36731465154069648</v>
      </c>
      <c r="P2421" s="18"/>
      <c r="Q2421" s="18"/>
      <c r="R2421" s="18"/>
      <c r="S2421" s="18"/>
      <c r="T2421" s="18"/>
      <c r="U2421" s="18"/>
      <c r="V2421" s="18"/>
      <c r="W2421" s="18"/>
      <c r="X2421" s="18"/>
    </row>
    <row r="2422" spans="13:24">
      <c r="M2422" s="558">
        <f t="shared" si="116"/>
        <v>2420</v>
      </c>
      <c r="N2422" s="15">
        <f t="shared" si="114"/>
        <v>0.3672362025811442</v>
      </c>
      <c r="O2422" s="165">
        <f t="shared" si="115"/>
        <v>0.3672362025811442</v>
      </c>
      <c r="P2422" s="18"/>
      <c r="Q2422" s="18"/>
      <c r="R2422" s="18"/>
      <c r="S2422" s="18"/>
      <c r="T2422" s="18"/>
      <c r="U2422" s="18"/>
      <c r="V2422" s="18"/>
      <c r="W2422" s="18"/>
      <c r="X2422" s="18"/>
    </row>
    <row r="2423" spans="13:24">
      <c r="M2423" s="558">
        <f t="shared" si="116"/>
        <v>2421</v>
      </c>
      <c r="N2423" s="15">
        <f t="shared" si="114"/>
        <v>0.36715778760368328</v>
      </c>
      <c r="O2423" s="165">
        <f t="shared" si="115"/>
        <v>0.36715778760368328</v>
      </c>
      <c r="P2423" s="18"/>
      <c r="Q2423" s="18"/>
      <c r="R2423" s="18"/>
      <c r="S2423" s="18"/>
      <c r="T2423" s="18"/>
      <c r="U2423" s="18"/>
      <c r="V2423" s="18"/>
      <c r="W2423" s="18"/>
      <c r="X2423" s="18"/>
    </row>
    <row r="2424" spans="13:24">
      <c r="M2424" s="558">
        <f t="shared" si="116"/>
        <v>2422</v>
      </c>
      <c r="N2424" s="15">
        <f t="shared" si="114"/>
        <v>0.36707940656566912</v>
      </c>
      <c r="O2424" s="165">
        <f t="shared" si="115"/>
        <v>0.36707940656566912</v>
      </c>
      <c r="P2424" s="18"/>
      <c r="Q2424" s="18"/>
      <c r="R2424" s="18"/>
      <c r="S2424" s="18"/>
      <c r="T2424" s="18"/>
      <c r="U2424" s="18"/>
      <c r="V2424" s="18"/>
      <c r="W2424" s="18"/>
      <c r="X2424" s="18"/>
    </row>
    <row r="2425" spans="13:24">
      <c r="M2425" s="558">
        <f t="shared" si="116"/>
        <v>2423</v>
      </c>
      <c r="N2425" s="15">
        <f t="shared" si="114"/>
        <v>0.36700105942451033</v>
      </c>
      <c r="O2425" s="165">
        <f t="shared" si="115"/>
        <v>0.36700105942451033</v>
      </c>
      <c r="P2425" s="18"/>
      <c r="Q2425" s="18"/>
      <c r="R2425" s="18"/>
      <c r="S2425" s="18"/>
      <c r="T2425" s="18"/>
      <c r="U2425" s="18"/>
      <c r="V2425" s="18"/>
      <c r="W2425" s="18"/>
      <c r="X2425" s="18"/>
    </row>
    <row r="2426" spans="13:24">
      <c r="M2426" s="558">
        <f t="shared" si="116"/>
        <v>2424</v>
      </c>
      <c r="N2426" s="15">
        <f t="shared" si="114"/>
        <v>0.36692274613766918</v>
      </c>
      <c r="O2426" s="165">
        <f t="shared" si="115"/>
        <v>0.36692274613766918</v>
      </c>
      <c r="P2426" s="18"/>
      <c r="Q2426" s="18"/>
      <c r="R2426" s="18"/>
      <c r="S2426" s="18"/>
      <c r="T2426" s="18"/>
      <c r="U2426" s="18"/>
      <c r="V2426" s="18"/>
      <c r="W2426" s="18"/>
      <c r="X2426" s="18"/>
    </row>
    <row r="2427" spans="13:24">
      <c r="M2427" s="558">
        <f t="shared" si="116"/>
        <v>2425</v>
      </c>
      <c r="N2427" s="15">
        <f t="shared" si="114"/>
        <v>0.36684446666266102</v>
      </c>
      <c r="O2427" s="165">
        <f t="shared" si="115"/>
        <v>0.36684446666266102</v>
      </c>
      <c r="P2427" s="18"/>
      <c r="Q2427" s="18"/>
      <c r="R2427" s="18"/>
      <c r="S2427" s="18"/>
      <c r="T2427" s="18"/>
      <c r="U2427" s="18"/>
      <c r="V2427" s="18"/>
      <c r="W2427" s="18"/>
      <c r="X2427" s="18"/>
    </row>
    <row r="2428" spans="13:24">
      <c r="M2428" s="558">
        <f t="shared" si="116"/>
        <v>2426</v>
      </c>
      <c r="N2428" s="15">
        <f t="shared" si="114"/>
        <v>0.36676622095705491</v>
      </c>
      <c r="O2428" s="165">
        <f t="shared" si="115"/>
        <v>0.36676622095705491</v>
      </c>
      <c r="P2428" s="18"/>
      <c r="Q2428" s="18"/>
      <c r="R2428" s="18"/>
      <c r="S2428" s="18"/>
      <c r="T2428" s="18"/>
      <c r="U2428" s="18"/>
      <c r="V2428" s="18"/>
      <c r="W2428" s="18"/>
      <c r="X2428" s="18"/>
    </row>
    <row r="2429" spans="13:24">
      <c r="M2429" s="558">
        <f t="shared" si="116"/>
        <v>2427</v>
      </c>
      <c r="N2429" s="15">
        <f t="shared" si="114"/>
        <v>0.36668800897847292</v>
      </c>
      <c r="O2429" s="165">
        <f t="shared" si="115"/>
        <v>0.36668800897847292</v>
      </c>
      <c r="P2429" s="18"/>
      <c r="Q2429" s="18"/>
      <c r="R2429" s="18"/>
      <c r="S2429" s="18"/>
      <c r="T2429" s="18"/>
      <c r="U2429" s="18"/>
      <c r="V2429" s="18"/>
      <c r="W2429" s="18"/>
      <c r="X2429" s="18"/>
    </row>
    <row r="2430" spans="13:24">
      <c r="M2430" s="558">
        <f t="shared" si="116"/>
        <v>2428</v>
      </c>
      <c r="N2430" s="15">
        <f t="shared" si="114"/>
        <v>0.3666098306845903</v>
      </c>
      <c r="O2430" s="165">
        <f t="shared" si="115"/>
        <v>0.3666098306845903</v>
      </c>
      <c r="P2430" s="18"/>
      <c r="Q2430" s="18"/>
      <c r="R2430" s="18"/>
      <c r="S2430" s="18"/>
      <c r="T2430" s="18"/>
      <c r="U2430" s="18"/>
      <c r="V2430" s="18"/>
      <c r="W2430" s="18"/>
      <c r="X2430" s="18"/>
    </row>
    <row r="2431" spans="13:24">
      <c r="M2431" s="558">
        <f t="shared" si="116"/>
        <v>2429</v>
      </c>
      <c r="N2431" s="15">
        <f t="shared" si="114"/>
        <v>0.36653168603313541</v>
      </c>
      <c r="O2431" s="165">
        <f t="shared" si="115"/>
        <v>0.36653168603313541</v>
      </c>
      <c r="P2431" s="18"/>
      <c r="Q2431" s="18"/>
      <c r="R2431" s="18"/>
      <c r="S2431" s="18"/>
      <c r="T2431" s="18"/>
      <c r="U2431" s="18"/>
      <c r="V2431" s="18"/>
      <c r="W2431" s="18"/>
      <c r="X2431" s="18"/>
    </row>
    <row r="2432" spans="13:24">
      <c r="M2432" s="558">
        <f t="shared" si="116"/>
        <v>2430</v>
      </c>
      <c r="N2432" s="15">
        <f t="shared" si="114"/>
        <v>0.3664535749818898</v>
      </c>
      <c r="O2432" s="165">
        <f t="shared" si="115"/>
        <v>0.3664535749818898</v>
      </c>
      <c r="P2432" s="18"/>
      <c r="Q2432" s="18"/>
      <c r="R2432" s="18"/>
      <c r="S2432" s="18"/>
      <c r="T2432" s="18"/>
      <c r="U2432" s="18"/>
      <c r="V2432" s="18"/>
      <c r="W2432" s="18"/>
      <c r="X2432" s="18"/>
    </row>
    <row r="2433" spans="13:24">
      <c r="M2433" s="558">
        <f t="shared" si="116"/>
        <v>2431</v>
      </c>
      <c r="N2433" s="15">
        <f t="shared" si="114"/>
        <v>0.36637549748868792</v>
      </c>
      <c r="O2433" s="165">
        <f t="shared" si="115"/>
        <v>0.36637549748868792</v>
      </c>
      <c r="P2433" s="18"/>
      <c r="Q2433" s="18"/>
      <c r="R2433" s="18"/>
      <c r="S2433" s="18"/>
      <c r="T2433" s="18"/>
      <c r="U2433" s="18"/>
      <c r="V2433" s="18"/>
      <c r="W2433" s="18"/>
      <c r="X2433" s="18"/>
    </row>
    <row r="2434" spans="13:24">
      <c r="M2434" s="558">
        <f t="shared" si="116"/>
        <v>2432</v>
      </c>
      <c r="N2434" s="15">
        <f t="shared" si="114"/>
        <v>0.36629745351141707</v>
      </c>
      <c r="O2434" s="165">
        <f t="shared" si="115"/>
        <v>0.36629745351141707</v>
      </c>
      <c r="P2434" s="18"/>
      <c r="Q2434" s="18"/>
      <c r="R2434" s="18"/>
      <c r="S2434" s="18"/>
      <c r="T2434" s="18"/>
      <c r="U2434" s="18"/>
      <c r="V2434" s="18"/>
      <c r="W2434" s="18"/>
      <c r="X2434" s="18"/>
    </row>
    <row r="2435" spans="13:24">
      <c r="M2435" s="558">
        <f t="shared" si="116"/>
        <v>2433</v>
      </c>
      <c r="N2435" s="15">
        <f t="shared" si="114"/>
        <v>0.3662194430080174</v>
      </c>
      <c r="O2435" s="165">
        <f t="shared" si="115"/>
        <v>0.3662194430080174</v>
      </c>
      <c r="P2435" s="18"/>
      <c r="Q2435" s="18"/>
      <c r="R2435" s="18"/>
      <c r="S2435" s="18"/>
      <c r="T2435" s="18"/>
      <c r="U2435" s="18"/>
      <c r="V2435" s="18"/>
      <c r="W2435" s="18"/>
      <c r="X2435" s="18"/>
    </row>
    <row r="2436" spans="13:24">
      <c r="M2436" s="558">
        <f t="shared" si="116"/>
        <v>2434</v>
      </c>
      <c r="N2436" s="15">
        <f t="shared" ref="N2436:N2499" si="117">IF(M2436&lt;$B$31+1,$B$32+$B$33/$B$31*(8760-M2436)+$B$34*IF(M2436&lt;$B$36-$B$31/(2*$B$35),1,IF(M2436&lt;$B$36+$B$31/(2*$B$35),COS(PI()/2*(M2436-($B$36-$B$31/(2*$B$35)))*$B$35/$B$31)^2,0))+$B$37*EXP((8760-M2436)/8760*$B$38)/EXP($B$38)-(8760-$B$31)*$B$33/$B$31,0)</f>
        <v>0.366141465936482</v>
      </c>
      <c r="O2436" s="165">
        <f t="shared" ref="O2436:O2499" si="118">MIN(N2436,C$24)</f>
        <v>0.366141465936482</v>
      </c>
      <c r="P2436" s="18"/>
      <c r="Q2436" s="18"/>
      <c r="R2436" s="18"/>
      <c r="S2436" s="18"/>
      <c r="T2436" s="18"/>
      <c r="U2436" s="18"/>
      <c r="V2436" s="18"/>
      <c r="W2436" s="18"/>
      <c r="X2436" s="18"/>
    </row>
    <row r="2437" spans="13:24">
      <c r="M2437" s="558">
        <f t="shared" ref="M2437:M2500" si="119">M2436+1</f>
        <v>2435</v>
      </c>
      <c r="N2437" s="15">
        <f t="shared" si="117"/>
        <v>0.3660635222548565</v>
      </c>
      <c r="O2437" s="165">
        <f t="shared" si="118"/>
        <v>0.3660635222548565</v>
      </c>
      <c r="P2437" s="18"/>
      <c r="Q2437" s="18"/>
      <c r="R2437" s="18"/>
      <c r="S2437" s="18"/>
      <c r="T2437" s="18"/>
      <c r="U2437" s="18"/>
      <c r="V2437" s="18"/>
      <c r="W2437" s="18"/>
      <c r="X2437" s="18"/>
    </row>
    <row r="2438" spans="13:24">
      <c r="M2438" s="558">
        <f t="shared" si="119"/>
        <v>2436</v>
      </c>
      <c r="N2438" s="15">
        <f t="shared" si="117"/>
        <v>0.36598561192123918</v>
      </c>
      <c r="O2438" s="165">
        <f t="shared" si="118"/>
        <v>0.36598561192123918</v>
      </c>
      <c r="P2438" s="18"/>
      <c r="Q2438" s="18"/>
      <c r="R2438" s="18"/>
      <c r="S2438" s="18"/>
      <c r="T2438" s="18"/>
      <c r="U2438" s="18"/>
      <c r="V2438" s="18"/>
      <c r="W2438" s="18"/>
      <c r="X2438" s="18"/>
    </row>
    <row r="2439" spans="13:24">
      <c r="M2439" s="558">
        <f t="shared" si="119"/>
        <v>2437</v>
      </c>
      <c r="N2439" s="15">
        <f t="shared" si="117"/>
        <v>0.36590773489378114</v>
      </c>
      <c r="O2439" s="165">
        <f t="shared" si="118"/>
        <v>0.36590773489378114</v>
      </c>
      <c r="P2439" s="18"/>
      <c r="Q2439" s="18"/>
      <c r="R2439" s="18"/>
      <c r="S2439" s="18"/>
      <c r="T2439" s="18"/>
      <c r="U2439" s="18"/>
      <c r="V2439" s="18"/>
      <c r="W2439" s="18"/>
      <c r="X2439" s="18"/>
    </row>
    <row r="2440" spans="13:24">
      <c r="M2440" s="558">
        <f t="shared" si="119"/>
        <v>2438</v>
      </c>
      <c r="N2440" s="15">
        <f t="shared" si="117"/>
        <v>0.3658298911306857</v>
      </c>
      <c r="O2440" s="165">
        <f t="shared" si="118"/>
        <v>0.3658298911306857</v>
      </c>
      <c r="P2440" s="18"/>
      <c r="Q2440" s="18"/>
      <c r="R2440" s="18"/>
      <c r="S2440" s="18"/>
      <c r="T2440" s="18"/>
      <c r="U2440" s="18"/>
      <c r="V2440" s="18"/>
      <c r="W2440" s="18"/>
      <c r="X2440" s="18"/>
    </row>
    <row r="2441" spans="13:24">
      <c r="M2441" s="558">
        <f t="shared" si="119"/>
        <v>2439</v>
      </c>
      <c r="N2441" s="15">
        <f t="shared" si="117"/>
        <v>0.36575208059020881</v>
      </c>
      <c r="O2441" s="165">
        <f t="shared" si="118"/>
        <v>0.36575208059020881</v>
      </c>
      <c r="P2441" s="18"/>
      <c r="Q2441" s="18"/>
      <c r="R2441" s="18"/>
      <c r="S2441" s="18"/>
      <c r="T2441" s="18"/>
      <c r="U2441" s="18"/>
      <c r="V2441" s="18"/>
      <c r="W2441" s="18"/>
      <c r="X2441" s="18"/>
    </row>
    <row r="2442" spans="13:24">
      <c r="M2442" s="558">
        <f t="shared" si="119"/>
        <v>2440</v>
      </c>
      <c r="N2442" s="15">
        <f t="shared" si="117"/>
        <v>0.36567430323065858</v>
      </c>
      <c r="O2442" s="165">
        <f t="shared" si="118"/>
        <v>0.36567430323065858</v>
      </c>
      <c r="P2442" s="18"/>
      <c r="Q2442" s="18"/>
      <c r="R2442" s="18"/>
      <c r="S2442" s="18"/>
      <c r="T2442" s="18"/>
      <c r="U2442" s="18"/>
      <c r="V2442" s="18"/>
      <c r="W2442" s="18"/>
      <c r="X2442" s="18"/>
    </row>
    <row r="2443" spans="13:24">
      <c r="M2443" s="558">
        <f t="shared" si="119"/>
        <v>2441</v>
      </c>
      <c r="N2443" s="15">
        <f t="shared" si="117"/>
        <v>0.36559655901039589</v>
      </c>
      <c r="O2443" s="165">
        <f t="shared" si="118"/>
        <v>0.36559655901039589</v>
      </c>
      <c r="P2443" s="18"/>
      <c r="Q2443" s="18"/>
      <c r="R2443" s="18"/>
      <c r="S2443" s="18"/>
      <c r="T2443" s="18"/>
      <c r="U2443" s="18"/>
      <c r="V2443" s="18"/>
      <c r="W2443" s="18"/>
      <c r="X2443" s="18"/>
    </row>
    <row r="2444" spans="13:24">
      <c r="M2444" s="558">
        <f t="shared" si="119"/>
        <v>2442</v>
      </c>
      <c r="N2444" s="15">
        <f t="shared" si="117"/>
        <v>0.36551884788783345</v>
      </c>
      <c r="O2444" s="165">
        <f t="shared" si="118"/>
        <v>0.36551884788783345</v>
      </c>
      <c r="P2444" s="18"/>
      <c r="Q2444" s="18"/>
      <c r="R2444" s="18"/>
      <c r="S2444" s="18"/>
      <c r="T2444" s="18"/>
      <c r="U2444" s="18"/>
      <c r="V2444" s="18"/>
      <c r="W2444" s="18"/>
      <c r="X2444" s="18"/>
    </row>
    <row r="2445" spans="13:24">
      <c r="M2445" s="558">
        <f t="shared" si="119"/>
        <v>2443</v>
      </c>
      <c r="N2445" s="15">
        <f t="shared" si="117"/>
        <v>0.36544116982143632</v>
      </c>
      <c r="O2445" s="165">
        <f t="shared" si="118"/>
        <v>0.36544116982143632</v>
      </c>
      <c r="P2445" s="18"/>
      <c r="Q2445" s="18"/>
      <c r="R2445" s="18"/>
      <c r="S2445" s="18"/>
      <c r="T2445" s="18"/>
      <c r="U2445" s="18"/>
      <c r="V2445" s="18"/>
      <c r="W2445" s="18"/>
      <c r="X2445" s="18"/>
    </row>
    <row r="2446" spans="13:24">
      <c r="M2446" s="558">
        <f t="shared" si="119"/>
        <v>2444</v>
      </c>
      <c r="N2446" s="15">
        <f t="shared" si="117"/>
        <v>0.36536352476972161</v>
      </c>
      <c r="O2446" s="165">
        <f t="shared" si="118"/>
        <v>0.36536352476972161</v>
      </c>
      <c r="P2446" s="18"/>
      <c r="Q2446" s="18"/>
      <c r="R2446" s="18"/>
      <c r="S2446" s="18"/>
      <c r="T2446" s="18"/>
      <c r="U2446" s="18"/>
      <c r="V2446" s="18"/>
      <c r="W2446" s="18"/>
      <c r="X2446" s="18"/>
    </row>
    <row r="2447" spans="13:24">
      <c r="M2447" s="558">
        <f t="shared" si="119"/>
        <v>2445</v>
      </c>
      <c r="N2447" s="15">
        <f t="shared" si="117"/>
        <v>0.36528591269125865</v>
      </c>
      <c r="O2447" s="165">
        <f t="shared" si="118"/>
        <v>0.36528591269125865</v>
      </c>
      <c r="P2447" s="18"/>
      <c r="Q2447" s="18"/>
      <c r="R2447" s="18"/>
      <c r="S2447" s="18"/>
      <c r="T2447" s="18"/>
      <c r="U2447" s="18"/>
      <c r="V2447" s="18"/>
      <c r="W2447" s="18"/>
      <c r="X2447" s="18"/>
    </row>
    <row r="2448" spans="13:24">
      <c r="M2448" s="558">
        <f t="shared" si="119"/>
        <v>2446</v>
      </c>
      <c r="N2448" s="15">
        <f t="shared" si="117"/>
        <v>0.36520833354466858</v>
      </c>
      <c r="O2448" s="165">
        <f t="shared" si="118"/>
        <v>0.36520833354466858</v>
      </c>
      <c r="P2448" s="18"/>
      <c r="Q2448" s="18"/>
      <c r="R2448" s="18"/>
      <c r="S2448" s="18"/>
      <c r="T2448" s="18"/>
      <c r="U2448" s="18"/>
      <c r="V2448" s="18"/>
      <c r="W2448" s="18"/>
      <c r="X2448" s="18"/>
    </row>
    <row r="2449" spans="13:24">
      <c r="M2449" s="558">
        <f t="shared" si="119"/>
        <v>2447</v>
      </c>
      <c r="N2449" s="15">
        <f t="shared" si="117"/>
        <v>0.36513078728862458</v>
      </c>
      <c r="O2449" s="165">
        <f t="shared" si="118"/>
        <v>0.36513078728862458</v>
      </c>
      <c r="P2449" s="18"/>
      <c r="Q2449" s="18"/>
      <c r="R2449" s="18"/>
      <c r="S2449" s="18"/>
      <c r="T2449" s="18"/>
      <c r="U2449" s="18"/>
      <c r="V2449" s="18"/>
      <c r="W2449" s="18"/>
      <c r="X2449" s="18"/>
    </row>
    <row r="2450" spans="13:24">
      <c r="M2450" s="558">
        <f t="shared" si="119"/>
        <v>2448</v>
      </c>
      <c r="N2450" s="15">
        <f t="shared" si="117"/>
        <v>0.3650532738818516</v>
      </c>
      <c r="O2450" s="165">
        <f t="shared" si="118"/>
        <v>0.3650532738818516</v>
      </c>
      <c r="P2450" s="18"/>
      <c r="Q2450" s="18"/>
      <c r="R2450" s="18"/>
      <c r="S2450" s="18"/>
      <c r="T2450" s="18"/>
      <c r="U2450" s="18"/>
      <c r="V2450" s="18"/>
      <c r="W2450" s="18"/>
      <c r="X2450" s="18"/>
    </row>
    <row r="2451" spans="13:24">
      <c r="M2451" s="558">
        <f t="shared" si="119"/>
        <v>2449</v>
      </c>
      <c r="N2451" s="15">
        <f t="shared" si="117"/>
        <v>0.36497579328312657</v>
      </c>
      <c r="O2451" s="165">
        <f t="shared" si="118"/>
        <v>0.36497579328312657</v>
      </c>
      <c r="P2451" s="18"/>
      <c r="Q2451" s="18"/>
      <c r="R2451" s="18"/>
      <c r="S2451" s="18"/>
      <c r="T2451" s="18"/>
      <c r="U2451" s="18"/>
      <c r="V2451" s="18"/>
      <c r="W2451" s="18"/>
      <c r="X2451" s="18"/>
    </row>
    <row r="2452" spans="13:24">
      <c r="M2452" s="558">
        <f t="shared" si="119"/>
        <v>2450</v>
      </c>
      <c r="N2452" s="15">
        <f t="shared" si="117"/>
        <v>0.36489834545127786</v>
      </c>
      <c r="O2452" s="165">
        <f t="shared" si="118"/>
        <v>0.36489834545127786</v>
      </c>
      <c r="P2452" s="18"/>
      <c r="Q2452" s="18"/>
      <c r="R2452" s="18"/>
      <c r="S2452" s="18"/>
      <c r="T2452" s="18"/>
      <c r="U2452" s="18"/>
      <c r="V2452" s="18"/>
      <c r="W2452" s="18"/>
      <c r="X2452" s="18"/>
    </row>
    <row r="2453" spans="13:24">
      <c r="M2453" s="558">
        <f t="shared" si="119"/>
        <v>2451</v>
      </c>
      <c r="N2453" s="15">
        <f t="shared" si="117"/>
        <v>0.36482093034518576</v>
      </c>
      <c r="O2453" s="165">
        <f t="shared" si="118"/>
        <v>0.36482093034518576</v>
      </c>
      <c r="P2453" s="18"/>
      <c r="Q2453" s="18"/>
      <c r="R2453" s="18"/>
      <c r="S2453" s="18"/>
      <c r="T2453" s="18"/>
      <c r="U2453" s="18"/>
      <c r="V2453" s="18"/>
      <c r="W2453" s="18"/>
      <c r="X2453" s="18"/>
    </row>
    <row r="2454" spans="13:24">
      <c r="M2454" s="558">
        <f t="shared" si="119"/>
        <v>2452</v>
      </c>
      <c r="N2454" s="15">
        <f t="shared" si="117"/>
        <v>0.36474354792378211</v>
      </c>
      <c r="O2454" s="165">
        <f t="shared" si="118"/>
        <v>0.36474354792378211</v>
      </c>
      <c r="P2454" s="18"/>
      <c r="Q2454" s="18"/>
      <c r="R2454" s="18"/>
      <c r="S2454" s="18"/>
      <c r="T2454" s="18"/>
      <c r="U2454" s="18"/>
      <c r="V2454" s="18"/>
      <c r="W2454" s="18"/>
      <c r="X2454" s="18"/>
    </row>
    <row r="2455" spans="13:24">
      <c r="M2455" s="558">
        <f t="shared" si="119"/>
        <v>2453</v>
      </c>
      <c r="N2455" s="15">
        <f t="shared" si="117"/>
        <v>0.36466619814605022</v>
      </c>
      <c r="O2455" s="165">
        <f t="shared" si="118"/>
        <v>0.36466619814605022</v>
      </c>
      <c r="P2455" s="18"/>
      <c r="Q2455" s="18"/>
      <c r="R2455" s="18"/>
      <c r="S2455" s="18"/>
      <c r="T2455" s="18"/>
      <c r="U2455" s="18"/>
      <c r="V2455" s="18"/>
      <c r="W2455" s="18"/>
      <c r="X2455" s="18"/>
    </row>
    <row r="2456" spans="13:24">
      <c r="M2456" s="558">
        <f t="shared" si="119"/>
        <v>2454</v>
      </c>
      <c r="N2456" s="15">
        <f t="shared" si="117"/>
        <v>0.36458888097102488</v>
      </c>
      <c r="O2456" s="165">
        <f t="shared" si="118"/>
        <v>0.36458888097102488</v>
      </c>
      <c r="P2456" s="18"/>
      <c r="Q2456" s="18"/>
      <c r="R2456" s="18"/>
      <c r="S2456" s="18"/>
      <c r="T2456" s="18"/>
      <c r="U2456" s="18"/>
      <c r="V2456" s="18"/>
      <c r="W2456" s="18"/>
      <c r="X2456" s="18"/>
    </row>
    <row r="2457" spans="13:24">
      <c r="M2457" s="558">
        <f t="shared" si="119"/>
        <v>2455</v>
      </c>
      <c r="N2457" s="15">
        <f t="shared" si="117"/>
        <v>0.36451159635779229</v>
      </c>
      <c r="O2457" s="165">
        <f t="shared" si="118"/>
        <v>0.36451159635779229</v>
      </c>
      <c r="P2457" s="18"/>
      <c r="Q2457" s="18"/>
      <c r="R2457" s="18"/>
      <c r="S2457" s="18"/>
      <c r="T2457" s="18"/>
      <c r="U2457" s="18"/>
      <c r="V2457" s="18"/>
      <c r="W2457" s="18"/>
      <c r="X2457" s="18"/>
    </row>
    <row r="2458" spans="13:24">
      <c r="M2458" s="558">
        <f t="shared" si="119"/>
        <v>2456</v>
      </c>
      <c r="N2458" s="15">
        <f t="shared" si="117"/>
        <v>0.3644343442654901</v>
      </c>
      <c r="O2458" s="165">
        <f t="shared" si="118"/>
        <v>0.3644343442654901</v>
      </c>
      <c r="P2458" s="18"/>
      <c r="Q2458" s="18"/>
      <c r="R2458" s="18"/>
      <c r="S2458" s="18"/>
      <c r="T2458" s="18"/>
      <c r="U2458" s="18"/>
      <c r="V2458" s="18"/>
      <c r="W2458" s="18"/>
      <c r="X2458" s="18"/>
    </row>
    <row r="2459" spans="13:24">
      <c r="M2459" s="558">
        <f t="shared" si="119"/>
        <v>2457</v>
      </c>
      <c r="N2459" s="15">
        <f t="shared" si="117"/>
        <v>0.36435712465330705</v>
      </c>
      <c r="O2459" s="165">
        <f t="shared" si="118"/>
        <v>0.36435712465330705</v>
      </c>
      <c r="P2459" s="18"/>
      <c r="Q2459" s="18"/>
      <c r="R2459" s="18"/>
      <c r="S2459" s="18"/>
      <c r="T2459" s="18"/>
      <c r="U2459" s="18"/>
      <c r="V2459" s="18"/>
      <c r="W2459" s="18"/>
      <c r="X2459" s="18"/>
    </row>
    <row r="2460" spans="13:24">
      <c r="M2460" s="558">
        <f t="shared" si="119"/>
        <v>2458</v>
      </c>
      <c r="N2460" s="15">
        <f t="shared" si="117"/>
        <v>0.36427993748048332</v>
      </c>
      <c r="O2460" s="165">
        <f t="shared" si="118"/>
        <v>0.36427993748048332</v>
      </c>
      <c r="P2460" s="18"/>
      <c r="Q2460" s="18"/>
      <c r="R2460" s="18"/>
      <c r="S2460" s="18"/>
      <c r="T2460" s="18"/>
      <c r="U2460" s="18"/>
      <c r="V2460" s="18"/>
      <c r="W2460" s="18"/>
      <c r="X2460" s="18"/>
    </row>
    <row r="2461" spans="13:24">
      <c r="M2461" s="558">
        <f t="shared" si="119"/>
        <v>2459</v>
      </c>
      <c r="N2461" s="15">
        <f t="shared" si="117"/>
        <v>0.36420278270630996</v>
      </c>
      <c r="O2461" s="165">
        <f t="shared" si="118"/>
        <v>0.36420278270630996</v>
      </c>
      <c r="P2461" s="18"/>
      <c r="Q2461" s="18"/>
      <c r="R2461" s="18"/>
      <c r="S2461" s="18"/>
      <c r="T2461" s="18"/>
      <c r="U2461" s="18"/>
      <c r="V2461" s="18"/>
      <c r="W2461" s="18"/>
      <c r="X2461" s="18"/>
    </row>
    <row r="2462" spans="13:24">
      <c r="M2462" s="558">
        <f t="shared" si="119"/>
        <v>2460</v>
      </c>
      <c r="N2462" s="15">
        <f t="shared" si="117"/>
        <v>0.36412566029012944</v>
      </c>
      <c r="O2462" s="165">
        <f t="shared" si="118"/>
        <v>0.36412566029012944</v>
      </c>
      <c r="P2462" s="18"/>
      <c r="Q2462" s="18"/>
      <c r="R2462" s="18"/>
      <c r="S2462" s="18"/>
      <c r="T2462" s="18"/>
      <c r="U2462" s="18"/>
      <c r="V2462" s="18"/>
      <c r="W2462" s="18"/>
      <c r="X2462" s="18"/>
    </row>
    <row r="2463" spans="13:24">
      <c r="M2463" s="558">
        <f t="shared" si="119"/>
        <v>2461</v>
      </c>
      <c r="N2463" s="15">
        <f t="shared" si="117"/>
        <v>0.36404857019133496</v>
      </c>
      <c r="O2463" s="165">
        <f t="shared" si="118"/>
        <v>0.36404857019133496</v>
      </c>
      <c r="P2463" s="18"/>
      <c r="Q2463" s="18"/>
      <c r="R2463" s="18"/>
      <c r="S2463" s="18"/>
      <c r="T2463" s="18"/>
      <c r="U2463" s="18"/>
      <c r="V2463" s="18"/>
      <c r="W2463" s="18"/>
      <c r="X2463" s="18"/>
    </row>
    <row r="2464" spans="13:24">
      <c r="M2464" s="558">
        <f t="shared" si="119"/>
        <v>2462</v>
      </c>
      <c r="N2464" s="15">
        <f t="shared" si="117"/>
        <v>0.36397151236937086</v>
      </c>
      <c r="O2464" s="165">
        <f t="shared" si="118"/>
        <v>0.36397151236937086</v>
      </c>
      <c r="P2464" s="18"/>
      <c r="Q2464" s="18"/>
      <c r="R2464" s="18"/>
      <c r="S2464" s="18"/>
      <c r="T2464" s="18"/>
      <c r="U2464" s="18"/>
      <c r="V2464" s="18"/>
      <c r="W2464" s="18"/>
      <c r="X2464" s="18"/>
    </row>
    <row r="2465" spans="13:24">
      <c r="M2465" s="558">
        <f t="shared" si="119"/>
        <v>2463</v>
      </c>
      <c r="N2465" s="15">
        <f t="shared" si="117"/>
        <v>0.36389448678373221</v>
      </c>
      <c r="O2465" s="165">
        <f t="shared" si="118"/>
        <v>0.36389448678373221</v>
      </c>
      <c r="P2465" s="18"/>
      <c r="Q2465" s="18"/>
      <c r="R2465" s="18"/>
      <c r="S2465" s="18"/>
      <c r="T2465" s="18"/>
      <c r="U2465" s="18"/>
      <c r="V2465" s="18"/>
      <c r="W2465" s="18"/>
      <c r="X2465" s="18"/>
    </row>
    <row r="2466" spans="13:24">
      <c r="M2466" s="558">
        <f t="shared" si="119"/>
        <v>2464</v>
      </c>
      <c r="N2466" s="15">
        <f t="shared" si="117"/>
        <v>0.36381749339396513</v>
      </c>
      <c r="O2466" s="165">
        <f t="shared" si="118"/>
        <v>0.36381749339396513</v>
      </c>
      <c r="P2466" s="18"/>
      <c r="Q2466" s="18"/>
      <c r="R2466" s="18"/>
      <c r="S2466" s="18"/>
      <c r="T2466" s="18"/>
      <c r="U2466" s="18"/>
      <c r="V2466" s="18"/>
      <c r="W2466" s="18"/>
      <c r="X2466" s="18"/>
    </row>
    <row r="2467" spans="13:24">
      <c r="M2467" s="558">
        <f t="shared" si="119"/>
        <v>2465</v>
      </c>
      <c r="N2467" s="15">
        <f t="shared" si="117"/>
        <v>0.36374053215966634</v>
      </c>
      <c r="O2467" s="165">
        <f t="shared" si="118"/>
        <v>0.36374053215966634</v>
      </c>
      <c r="P2467" s="18"/>
      <c r="Q2467" s="18"/>
      <c r="R2467" s="18"/>
      <c r="S2467" s="18"/>
      <c r="T2467" s="18"/>
      <c r="U2467" s="18"/>
      <c r="V2467" s="18"/>
      <c r="W2467" s="18"/>
      <c r="X2467" s="18"/>
    </row>
    <row r="2468" spans="13:24">
      <c r="M2468" s="558">
        <f t="shared" si="119"/>
        <v>2466</v>
      </c>
      <c r="N2468" s="15">
        <f t="shared" si="117"/>
        <v>0.36366360304048323</v>
      </c>
      <c r="O2468" s="165">
        <f t="shared" si="118"/>
        <v>0.36366360304048323</v>
      </c>
      <c r="P2468" s="18"/>
      <c r="Q2468" s="18"/>
      <c r="R2468" s="18"/>
      <c r="S2468" s="18"/>
      <c r="T2468" s="18"/>
      <c r="U2468" s="18"/>
      <c r="V2468" s="18"/>
      <c r="W2468" s="18"/>
      <c r="X2468" s="18"/>
    </row>
    <row r="2469" spans="13:24">
      <c r="M2469" s="558">
        <f t="shared" si="119"/>
        <v>2467</v>
      </c>
      <c r="N2469" s="15">
        <f t="shared" si="117"/>
        <v>0.36358670599611409</v>
      </c>
      <c r="O2469" s="165">
        <f t="shared" si="118"/>
        <v>0.36358670599611409</v>
      </c>
      <c r="P2469" s="18"/>
      <c r="Q2469" s="18"/>
      <c r="R2469" s="18"/>
      <c r="S2469" s="18"/>
      <c r="T2469" s="18"/>
      <c r="U2469" s="18"/>
      <c r="V2469" s="18"/>
      <c r="W2469" s="18"/>
      <c r="X2469" s="18"/>
    </row>
    <row r="2470" spans="13:24">
      <c r="M2470" s="558">
        <f t="shared" si="119"/>
        <v>2468</v>
      </c>
      <c r="N2470" s="15">
        <f t="shared" si="117"/>
        <v>0.36350984098630745</v>
      </c>
      <c r="O2470" s="165">
        <f t="shared" si="118"/>
        <v>0.36350984098630745</v>
      </c>
      <c r="P2470" s="18"/>
      <c r="Q2470" s="18"/>
      <c r="R2470" s="18"/>
      <c r="S2470" s="18"/>
      <c r="T2470" s="18"/>
      <c r="U2470" s="18"/>
      <c r="V2470" s="18"/>
      <c r="W2470" s="18"/>
      <c r="X2470" s="18"/>
    </row>
    <row r="2471" spans="13:24">
      <c r="M2471" s="558">
        <f t="shared" si="119"/>
        <v>2469</v>
      </c>
      <c r="N2471" s="15">
        <f t="shared" si="117"/>
        <v>0.36343300797086259</v>
      </c>
      <c r="O2471" s="165">
        <f t="shared" si="118"/>
        <v>0.36343300797086259</v>
      </c>
      <c r="P2471" s="18"/>
      <c r="Q2471" s="18"/>
      <c r="R2471" s="18"/>
      <c r="S2471" s="18"/>
      <c r="T2471" s="18"/>
      <c r="U2471" s="18"/>
      <c r="V2471" s="18"/>
      <c r="W2471" s="18"/>
      <c r="X2471" s="18"/>
    </row>
    <row r="2472" spans="13:24">
      <c r="M2472" s="558">
        <f t="shared" si="119"/>
        <v>2470</v>
      </c>
      <c r="N2472" s="15">
        <f t="shared" si="117"/>
        <v>0.36335620690962905</v>
      </c>
      <c r="O2472" s="165">
        <f t="shared" si="118"/>
        <v>0.36335620690962905</v>
      </c>
      <c r="P2472" s="18"/>
      <c r="Q2472" s="18"/>
      <c r="R2472" s="18"/>
      <c r="S2472" s="18"/>
      <c r="T2472" s="18"/>
      <c r="U2472" s="18"/>
      <c r="V2472" s="18"/>
      <c r="W2472" s="18"/>
      <c r="X2472" s="18"/>
    </row>
    <row r="2473" spans="13:24">
      <c r="M2473" s="558">
        <f t="shared" si="119"/>
        <v>2471</v>
      </c>
      <c r="N2473" s="15">
        <f t="shared" si="117"/>
        <v>0.36327943776250704</v>
      </c>
      <c r="O2473" s="165">
        <f t="shared" si="118"/>
        <v>0.36327943776250704</v>
      </c>
      <c r="P2473" s="18"/>
      <c r="Q2473" s="18"/>
      <c r="R2473" s="18"/>
      <c r="S2473" s="18"/>
      <c r="T2473" s="18"/>
      <c r="U2473" s="18"/>
      <c r="V2473" s="18"/>
      <c r="W2473" s="18"/>
      <c r="X2473" s="18"/>
    </row>
    <row r="2474" spans="13:24">
      <c r="M2474" s="558">
        <f t="shared" si="119"/>
        <v>2472</v>
      </c>
      <c r="N2474" s="15">
        <f t="shared" si="117"/>
        <v>0.36320270048944681</v>
      </c>
      <c r="O2474" s="165">
        <f t="shared" si="118"/>
        <v>0.36320270048944681</v>
      </c>
      <c r="P2474" s="18"/>
      <c r="Q2474" s="18"/>
      <c r="R2474" s="18"/>
      <c r="S2474" s="18"/>
      <c r="T2474" s="18"/>
      <c r="U2474" s="18"/>
      <c r="V2474" s="18"/>
      <c r="W2474" s="18"/>
      <c r="X2474" s="18"/>
    </row>
    <row r="2475" spans="13:24">
      <c r="M2475" s="558">
        <f t="shared" si="119"/>
        <v>2473</v>
      </c>
      <c r="N2475" s="15">
        <f t="shared" si="117"/>
        <v>0.3631259950504489</v>
      </c>
      <c r="O2475" s="165">
        <f t="shared" si="118"/>
        <v>0.3631259950504489</v>
      </c>
      <c r="P2475" s="18"/>
      <c r="Q2475" s="18"/>
      <c r="R2475" s="18"/>
      <c r="S2475" s="18"/>
      <c r="T2475" s="18"/>
      <c r="U2475" s="18"/>
      <c r="V2475" s="18"/>
      <c r="W2475" s="18"/>
      <c r="X2475" s="18"/>
    </row>
    <row r="2476" spans="13:24">
      <c r="M2476" s="558">
        <f t="shared" si="119"/>
        <v>2474</v>
      </c>
      <c r="N2476" s="15">
        <f t="shared" si="117"/>
        <v>0.36304932140556417</v>
      </c>
      <c r="O2476" s="165">
        <f t="shared" si="118"/>
        <v>0.36304932140556417</v>
      </c>
      <c r="P2476" s="18"/>
      <c r="Q2476" s="18"/>
      <c r="R2476" s="18"/>
      <c r="S2476" s="18"/>
      <c r="T2476" s="18"/>
      <c r="U2476" s="18"/>
      <c r="V2476" s="18"/>
      <c r="W2476" s="18"/>
      <c r="X2476" s="18"/>
    </row>
    <row r="2477" spans="13:24">
      <c r="M2477" s="558">
        <f t="shared" si="119"/>
        <v>2475</v>
      </c>
      <c r="N2477" s="15">
        <f t="shared" si="117"/>
        <v>0.36297267951489359</v>
      </c>
      <c r="O2477" s="165">
        <f t="shared" si="118"/>
        <v>0.36297267951489359</v>
      </c>
      <c r="P2477" s="18"/>
      <c r="Q2477" s="18"/>
      <c r="R2477" s="18"/>
      <c r="S2477" s="18"/>
      <c r="T2477" s="18"/>
      <c r="U2477" s="18"/>
      <c r="V2477" s="18"/>
      <c r="W2477" s="18"/>
      <c r="X2477" s="18"/>
    </row>
    <row r="2478" spans="13:24">
      <c r="M2478" s="558">
        <f t="shared" si="119"/>
        <v>2476</v>
      </c>
      <c r="N2478" s="15">
        <f t="shared" si="117"/>
        <v>0.3628960693385882</v>
      </c>
      <c r="O2478" s="165">
        <f t="shared" si="118"/>
        <v>0.3628960693385882</v>
      </c>
      <c r="P2478" s="18"/>
      <c r="Q2478" s="18"/>
      <c r="R2478" s="18"/>
      <c r="S2478" s="18"/>
      <c r="T2478" s="18"/>
      <c r="U2478" s="18"/>
      <c r="V2478" s="18"/>
      <c r="W2478" s="18"/>
      <c r="X2478" s="18"/>
    </row>
    <row r="2479" spans="13:24">
      <c r="M2479" s="558">
        <f t="shared" si="119"/>
        <v>2477</v>
      </c>
      <c r="N2479" s="15">
        <f t="shared" si="117"/>
        <v>0.36281949083684895</v>
      </c>
      <c r="O2479" s="165">
        <f t="shared" si="118"/>
        <v>0.36281949083684895</v>
      </c>
      <c r="P2479" s="18"/>
      <c r="Q2479" s="18"/>
      <c r="R2479" s="18"/>
      <c r="S2479" s="18"/>
      <c r="T2479" s="18"/>
      <c r="U2479" s="18"/>
      <c r="V2479" s="18"/>
      <c r="W2479" s="18"/>
      <c r="X2479" s="18"/>
    </row>
    <row r="2480" spans="13:24">
      <c r="M2480" s="558">
        <f t="shared" si="119"/>
        <v>2478</v>
      </c>
      <c r="N2480" s="15">
        <f t="shared" si="117"/>
        <v>0.36274294396992679</v>
      </c>
      <c r="O2480" s="165">
        <f t="shared" si="118"/>
        <v>0.36274294396992679</v>
      </c>
      <c r="P2480" s="18"/>
      <c r="Q2480" s="18"/>
      <c r="R2480" s="18"/>
      <c r="S2480" s="18"/>
      <c r="T2480" s="18"/>
      <c r="U2480" s="18"/>
      <c r="V2480" s="18"/>
      <c r="W2480" s="18"/>
      <c r="X2480" s="18"/>
    </row>
    <row r="2481" spans="13:24">
      <c r="M2481" s="558">
        <f t="shared" si="119"/>
        <v>2479</v>
      </c>
      <c r="N2481" s="15">
        <f t="shared" si="117"/>
        <v>0.36266642869812266</v>
      </c>
      <c r="O2481" s="165">
        <f t="shared" si="118"/>
        <v>0.36266642869812266</v>
      </c>
      <c r="P2481" s="18"/>
      <c r="Q2481" s="18"/>
      <c r="R2481" s="18"/>
      <c r="S2481" s="18"/>
      <c r="T2481" s="18"/>
      <c r="U2481" s="18"/>
      <c r="V2481" s="18"/>
      <c r="W2481" s="18"/>
      <c r="X2481" s="18"/>
    </row>
    <row r="2482" spans="13:24">
      <c r="M2482" s="558">
        <f t="shared" si="119"/>
        <v>2480</v>
      </c>
      <c r="N2482" s="15">
        <f t="shared" si="117"/>
        <v>0.3625899449817872</v>
      </c>
      <c r="O2482" s="165">
        <f t="shared" si="118"/>
        <v>0.3625899449817872</v>
      </c>
      <c r="P2482" s="18"/>
      <c r="Q2482" s="18"/>
      <c r="R2482" s="18"/>
      <c r="S2482" s="18"/>
      <c r="T2482" s="18"/>
      <c r="U2482" s="18"/>
      <c r="V2482" s="18"/>
      <c r="W2482" s="18"/>
      <c r="X2482" s="18"/>
    </row>
    <row r="2483" spans="13:24">
      <c r="M2483" s="558">
        <f t="shared" si="119"/>
        <v>2481</v>
      </c>
      <c r="N2483" s="15">
        <f t="shared" si="117"/>
        <v>0.36251349278132072</v>
      </c>
      <c r="O2483" s="165">
        <f t="shared" si="118"/>
        <v>0.36251349278132072</v>
      </c>
      <c r="P2483" s="18"/>
      <c r="Q2483" s="18"/>
      <c r="R2483" s="18"/>
      <c r="S2483" s="18"/>
      <c r="T2483" s="18"/>
      <c r="U2483" s="18"/>
      <c r="V2483" s="18"/>
      <c r="W2483" s="18"/>
      <c r="X2483" s="18"/>
    </row>
    <row r="2484" spans="13:24">
      <c r="M2484" s="558">
        <f t="shared" si="119"/>
        <v>2482</v>
      </c>
      <c r="N2484" s="15">
        <f t="shared" si="117"/>
        <v>0.36243707205717351</v>
      </c>
      <c r="O2484" s="165">
        <f t="shared" si="118"/>
        <v>0.36243707205717351</v>
      </c>
      <c r="P2484" s="18"/>
      <c r="Q2484" s="18"/>
      <c r="R2484" s="18"/>
      <c r="S2484" s="18"/>
      <c r="T2484" s="18"/>
      <c r="U2484" s="18"/>
      <c r="V2484" s="18"/>
      <c r="W2484" s="18"/>
      <c r="X2484" s="18"/>
    </row>
    <row r="2485" spans="13:24">
      <c r="M2485" s="558">
        <f t="shared" si="119"/>
        <v>2483</v>
      </c>
      <c r="N2485" s="15">
        <f t="shared" si="117"/>
        <v>0.36236068276984518</v>
      </c>
      <c r="O2485" s="165">
        <f t="shared" si="118"/>
        <v>0.36236068276984518</v>
      </c>
      <c r="P2485" s="18"/>
      <c r="Q2485" s="18"/>
      <c r="R2485" s="18"/>
      <c r="S2485" s="18"/>
      <c r="T2485" s="18"/>
      <c r="U2485" s="18"/>
      <c r="V2485" s="18"/>
      <c r="W2485" s="18"/>
      <c r="X2485" s="18"/>
    </row>
    <row r="2486" spans="13:24">
      <c r="M2486" s="558">
        <f t="shared" si="119"/>
        <v>2484</v>
      </c>
      <c r="N2486" s="15">
        <f t="shared" si="117"/>
        <v>0.3622843248798851</v>
      </c>
      <c r="O2486" s="165">
        <f t="shared" si="118"/>
        <v>0.3622843248798851</v>
      </c>
      <c r="P2486" s="18"/>
      <c r="Q2486" s="18"/>
      <c r="R2486" s="18"/>
      <c r="S2486" s="18"/>
      <c r="T2486" s="18"/>
      <c r="U2486" s="18"/>
      <c r="V2486" s="18"/>
      <c r="W2486" s="18"/>
      <c r="X2486" s="18"/>
    </row>
    <row r="2487" spans="13:24">
      <c r="M2487" s="558">
        <f t="shared" si="119"/>
        <v>2485</v>
      </c>
      <c r="N2487" s="15">
        <f t="shared" si="117"/>
        <v>0.36220799834789202</v>
      </c>
      <c r="O2487" s="165">
        <f t="shared" si="118"/>
        <v>0.36220799834789202</v>
      </c>
      <c r="P2487" s="18"/>
      <c r="Q2487" s="18"/>
      <c r="R2487" s="18"/>
      <c r="S2487" s="18"/>
      <c r="T2487" s="18"/>
      <c r="U2487" s="18"/>
      <c r="V2487" s="18"/>
      <c r="W2487" s="18"/>
      <c r="X2487" s="18"/>
    </row>
    <row r="2488" spans="13:24">
      <c r="M2488" s="558">
        <f t="shared" si="119"/>
        <v>2486</v>
      </c>
      <c r="N2488" s="15">
        <f t="shared" si="117"/>
        <v>0.36213170313451437</v>
      </c>
      <c r="O2488" s="165">
        <f t="shared" si="118"/>
        <v>0.36213170313451437</v>
      </c>
      <c r="P2488" s="18"/>
      <c r="Q2488" s="18"/>
      <c r="R2488" s="18"/>
      <c r="S2488" s="18"/>
      <c r="T2488" s="18"/>
      <c r="U2488" s="18"/>
      <c r="V2488" s="18"/>
      <c r="W2488" s="18"/>
      <c r="X2488" s="18"/>
    </row>
    <row r="2489" spans="13:24">
      <c r="M2489" s="558">
        <f t="shared" si="119"/>
        <v>2487</v>
      </c>
      <c r="N2489" s="15">
        <f t="shared" si="117"/>
        <v>0.36205543920044969</v>
      </c>
      <c r="O2489" s="165">
        <f t="shared" si="118"/>
        <v>0.36205543920044969</v>
      </c>
      <c r="P2489" s="18"/>
      <c r="Q2489" s="18"/>
      <c r="R2489" s="18"/>
      <c r="S2489" s="18"/>
      <c r="T2489" s="18"/>
      <c r="U2489" s="18"/>
      <c r="V2489" s="18"/>
      <c r="W2489" s="18"/>
      <c r="X2489" s="18"/>
    </row>
    <row r="2490" spans="13:24">
      <c r="M2490" s="558">
        <f t="shared" si="119"/>
        <v>2488</v>
      </c>
      <c r="N2490" s="15">
        <f t="shared" si="117"/>
        <v>0.36197920650644494</v>
      </c>
      <c r="O2490" s="165">
        <f t="shared" si="118"/>
        <v>0.36197920650644494</v>
      </c>
      <c r="P2490" s="18"/>
      <c r="Q2490" s="18"/>
      <c r="R2490" s="18"/>
      <c r="S2490" s="18"/>
      <c r="T2490" s="18"/>
      <c r="U2490" s="18"/>
      <c r="V2490" s="18"/>
      <c r="W2490" s="18"/>
      <c r="X2490" s="18"/>
    </row>
    <row r="2491" spans="13:24">
      <c r="M2491" s="558">
        <f t="shared" si="119"/>
        <v>2489</v>
      </c>
      <c r="N2491" s="15">
        <f t="shared" si="117"/>
        <v>0.36190300501329636</v>
      </c>
      <c r="O2491" s="165">
        <f t="shared" si="118"/>
        <v>0.36190300501329636</v>
      </c>
      <c r="P2491" s="18"/>
      <c r="Q2491" s="18"/>
      <c r="R2491" s="18"/>
      <c r="S2491" s="18"/>
      <c r="T2491" s="18"/>
      <c r="U2491" s="18"/>
      <c r="V2491" s="18"/>
      <c r="W2491" s="18"/>
      <c r="X2491" s="18"/>
    </row>
    <row r="2492" spans="13:24">
      <c r="M2492" s="558">
        <f t="shared" si="119"/>
        <v>2490</v>
      </c>
      <c r="N2492" s="15">
        <f t="shared" si="117"/>
        <v>0.36182683468184945</v>
      </c>
      <c r="O2492" s="165">
        <f t="shared" si="118"/>
        <v>0.36182683468184945</v>
      </c>
      <c r="P2492" s="18"/>
      <c r="Q2492" s="18"/>
      <c r="R2492" s="18"/>
      <c r="S2492" s="18"/>
      <c r="T2492" s="18"/>
      <c r="U2492" s="18"/>
      <c r="V2492" s="18"/>
      <c r="W2492" s="18"/>
      <c r="X2492" s="18"/>
    </row>
    <row r="2493" spans="13:24">
      <c r="M2493" s="558">
        <f t="shared" si="119"/>
        <v>2491</v>
      </c>
      <c r="N2493" s="15">
        <f t="shared" si="117"/>
        <v>0.36175069547299876</v>
      </c>
      <c r="O2493" s="165">
        <f t="shared" si="118"/>
        <v>0.36175069547299876</v>
      </c>
      <c r="P2493" s="18"/>
      <c r="Q2493" s="18"/>
      <c r="R2493" s="18"/>
      <c r="S2493" s="18"/>
      <c r="T2493" s="18"/>
      <c r="U2493" s="18"/>
      <c r="V2493" s="18"/>
      <c r="W2493" s="18"/>
      <c r="X2493" s="18"/>
    </row>
    <row r="2494" spans="13:24">
      <c r="M2494" s="558">
        <f t="shared" si="119"/>
        <v>2492</v>
      </c>
      <c r="N2494" s="15">
        <f t="shared" si="117"/>
        <v>0.36167458734768787</v>
      </c>
      <c r="O2494" s="165">
        <f t="shared" si="118"/>
        <v>0.36167458734768787</v>
      </c>
      <c r="P2494" s="18"/>
      <c r="Q2494" s="18"/>
      <c r="R2494" s="18"/>
      <c r="S2494" s="18"/>
      <c r="T2494" s="18"/>
      <c r="U2494" s="18"/>
      <c r="V2494" s="18"/>
      <c r="W2494" s="18"/>
      <c r="X2494" s="18"/>
    </row>
    <row r="2495" spans="13:24">
      <c r="M2495" s="558">
        <f t="shared" si="119"/>
        <v>2493</v>
      </c>
      <c r="N2495" s="15">
        <f t="shared" si="117"/>
        <v>0.36159851026690948</v>
      </c>
      <c r="O2495" s="165">
        <f t="shared" si="118"/>
        <v>0.36159851026690948</v>
      </c>
      <c r="P2495" s="18"/>
      <c r="Q2495" s="18"/>
      <c r="R2495" s="18"/>
      <c r="S2495" s="18"/>
      <c r="T2495" s="18"/>
      <c r="U2495" s="18"/>
      <c r="V2495" s="18"/>
      <c r="W2495" s="18"/>
      <c r="X2495" s="18"/>
    </row>
    <row r="2496" spans="13:24">
      <c r="M2496" s="558">
        <f t="shared" si="119"/>
        <v>2494</v>
      </c>
      <c r="N2496" s="15">
        <f t="shared" si="117"/>
        <v>0.36152246419170514</v>
      </c>
      <c r="O2496" s="165">
        <f t="shared" si="118"/>
        <v>0.36152246419170514</v>
      </c>
      <c r="P2496" s="18"/>
      <c r="Q2496" s="18"/>
      <c r="R2496" s="18"/>
      <c r="S2496" s="18"/>
      <c r="T2496" s="18"/>
      <c r="U2496" s="18"/>
      <c r="V2496" s="18"/>
      <c r="W2496" s="18"/>
      <c r="X2496" s="18"/>
    </row>
    <row r="2497" spans="13:24">
      <c r="M2497" s="558">
        <f t="shared" si="119"/>
        <v>2495</v>
      </c>
      <c r="N2497" s="15">
        <f t="shared" si="117"/>
        <v>0.36144644908316548</v>
      </c>
      <c r="O2497" s="165">
        <f t="shared" si="118"/>
        <v>0.36144644908316548</v>
      </c>
      <c r="P2497" s="18"/>
      <c r="Q2497" s="18"/>
      <c r="R2497" s="18"/>
      <c r="S2497" s="18"/>
      <c r="T2497" s="18"/>
      <c r="U2497" s="18"/>
      <c r="V2497" s="18"/>
      <c r="W2497" s="18"/>
      <c r="X2497" s="18"/>
    </row>
    <row r="2498" spans="13:24">
      <c r="M2498" s="558">
        <f t="shared" si="119"/>
        <v>2496</v>
      </c>
      <c r="N2498" s="15">
        <f t="shared" si="117"/>
        <v>0.36137046490242963</v>
      </c>
      <c r="O2498" s="165">
        <f t="shared" si="118"/>
        <v>0.36137046490242963</v>
      </c>
      <c r="P2498" s="18"/>
      <c r="Q2498" s="18"/>
      <c r="R2498" s="18"/>
      <c r="S2498" s="18"/>
      <c r="T2498" s="18"/>
      <c r="U2498" s="18"/>
      <c r="V2498" s="18"/>
      <c r="W2498" s="18"/>
      <c r="X2498" s="18"/>
    </row>
    <row r="2499" spans="13:24">
      <c r="M2499" s="558">
        <f t="shared" si="119"/>
        <v>2497</v>
      </c>
      <c r="N2499" s="15">
        <f t="shared" si="117"/>
        <v>0.36129451161068582</v>
      </c>
      <c r="O2499" s="165">
        <f t="shared" si="118"/>
        <v>0.36129451161068582</v>
      </c>
      <c r="P2499" s="18"/>
      <c r="Q2499" s="18"/>
      <c r="R2499" s="18"/>
      <c r="S2499" s="18"/>
      <c r="T2499" s="18"/>
      <c r="U2499" s="18"/>
      <c r="V2499" s="18"/>
      <c r="W2499" s="18"/>
      <c r="X2499" s="18"/>
    </row>
    <row r="2500" spans="13:24">
      <c r="M2500" s="558">
        <f t="shared" si="119"/>
        <v>2498</v>
      </c>
      <c r="N2500" s="15">
        <f t="shared" ref="N2500:N2563" si="120">IF(M2500&lt;$B$31+1,$B$32+$B$33/$B$31*(8760-M2500)+$B$34*IF(M2500&lt;$B$36-$B$31/(2*$B$35),1,IF(M2500&lt;$B$36+$B$31/(2*$B$35),COS(PI()/2*(M2500-($B$36-$B$31/(2*$B$35)))*$B$35/$B$31)^2,0))+$B$37*EXP((8760-M2500)/8760*$B$38)/EXP($B$38)-(8760-$B$31)*$B$33/$B$31,0)</f>
        <v>0.36121858916917088</v>
      </c>
      <c r="O2500" s="165">
        <f t="shared" ref="O2500:O2563" si="121">MIN(N2500,C$24)</f>
        <v>0.36121858916917088</v>
      </c>
      <c r="P2500" s="18"/>
      <c r="Q2500" s="18"/>
      <c r="R2500" s="18"/>
      <c r="S2500" s="18"/>
      <c r="T2500" s="18"/>
      <c r="U2500" s="18"/>
      <c r="V2500" s="18"/>
      <c r="W2500" s="18"/>
      <c r="X2500" s="18"/>
    </row>
    <row r="2501" spans="13:24">
      <c r="M2501" s="558">
        <f t="shared" ref="M2501:M2564" si="122">M2500+1</f>
        <v>2499</v>
      </c>
      <c r="N2501" s="15">
        <f t="shared" si="120"/>
        <v>0.36114269753917011</v>
      </c>
      <c r="O2501" s="165">
        <f t="shared" si="121"/>
        <v>0.36114269753917011</v>
      </c>
      <c r="P2501" s="18"/>
      <c r="Q2501" s="18"/>
      <c r="R2501" s="18"/>
      <c r="S2501" s="18"/>
      <c r="T2501" s="18"/>
      <c r="U2501" s="18"/>
      <c r="V2501" s="18"/>
      <c r="W2501" s="18"/>
      <c r="X2501" s="18"/>
    </row>
    <row r="2502" spans="13:24">
      <c r="M2502" s="558">
        <f t="shared" si="122"/>
        <v>2500</v>
      </c>
      <c r="N2502" s="15">
        <f t="shared" si="120"/>
        <v>0.36106683668201756</v>
      </c>
      <c r="O2502" s="165">
        <f t="shared" si="121"/>
        <v>0.36106683668201756</v>
      </c>
      <c r="P2502" s="18"/>
      <c r="Q2502" s="18"/>
      <c r="R2502" s="18"/>
      <c r="S2502" s="18"/>
      <c r="T2502" s="18"/>
      <c r="U2502" s="18"/>
      <c r="V2502" s="18"/>
      <c r="W2502" s="18"/>
      <c r="X2502" s="18"/>
    </row>
    <row r="2503" spans="13:24">
      <c r="M2503" s="558">
        <f t="shared" si="122"/>
        <v>2501</v>
      </c>
      <c r="N2503" s="15">
        <f t="shared" si="120"/>
        <v>0.36099100655909588</v>
      </c>
      <c r="O2503" s="165">
        <f t="shared" si="121"/>
        <v>0.36099100655909588</v>
      </c>
      <c r="P2503" s="18"/>
      <c r="Q2503" s="18"/>
      <c r="R2503" s="18"/>
      <c r="S2503" s="18"/>
      <c r="T2503" s="18"/>
      <c r="U2503" s="18"/>
      <c r="V2503" s="18"/>
      <c r="W2503" s="18"/>
      <c r="X2503" s="18"/>
    </row>
    <row r="2504" spans="13:24">
      <c r="M2504" s="558">
        <f t="shared" si="122"/>
        <v>2502</v>
      </c>
      <c r="N2504" s="15">
        <f t="shared" si="120"/>
        <v>0.36091520713183606</v>
      </c>
      <c r="O2504" s="165">
        <f t="shared" si="121"/>
        <v>0.36091520713183606</v>
      </c>
      <c r="P2504" s="18"/>
      <c r="Q2504" s="18"/>
      <c r="R2504" s="18"/>
      <c r="S2504" s="18"/>
      <c r="T2504" s="18"/>
      <c r="U2504" s="18"/>
      <c r="V2504" s="18"/>
      <c r="W2504" s="18"/>
      <c r="X2504" s="18"/>
    </row>
    <row r="2505" spans="13:24">
      <c r="M2505" s="558">
        <f t="shared" si="122"/>
        <v>2503</v>
      </c>
      <c r="N2505" s="15">
        <f t="shared" si="120"/>
        <v>0.36083943836171739</v>
      </c>
      <c r="O2505" s="165">
        <f t="shared" si="121"/>
        <v>0.36083943836171739</v>
      </c>
      <c r="P2505" s="18"/>
      <c r="Q2505" s="18"/>
      <c r="R2505" s="18"/>
      <c r="S2505" s="18"/>
      <c r="T2505" s="18"/>
      <c r="U2505" s="18"/>
      <c r="V2505" s="18"/>
      <c r="W2505" s="18"/>
      <c r="X2505" s="18"/>
    </row>
    <row r="2506" spans="13:24">
      <c r="M2506" s="558">
        <f t="shared" si="122"/>
        <v>2504</v>
      </c>
      <c r="N2506" s="15">
        <f t="shared" si="120"/>
        <v>0.36076370021026766</v>
      </c>
      <c r="O2506" s="165">
        <f t="shared" si="121"/>
        <v>0.36076370021026766</v>
      </c>
      <c r="P2506" s="18"/>
      <c r="Q2506" s="18"/>
      <c r="R2506" s="18"/>
      <c r="S2506" s="18"/>
      <c r="T2506" s="18"/>
      <c r="U2506" s="18"/>
      <c r="V2506" s="18"/>
      <c r="W2506" s="18"/>
      <c r="X2506" s="18"/>
    </row>
    <row r="2507" spans="13:24">
      <c r="M2507" s="558">
        <f t="shared" si="122"/>
        <v>2505</v>
      </c>
      <c r="N2507" s="15">
        <f t="shared" si="120"/>
        <v>0.36068799263906304</v>
      </c>
      <c r="O2507" s="165">
        <f t="shared" si="121"/>
        <v>0.36068799263906304</v>
      </c>
      <c r="P2507" s="18"/>
      <c r="Q2507" s="18"/>
      <c r="R2507" s="18"/>
      <c r="S2507" s="18"/>
      <c r="T2507" s="18"/>
      <c r="U2507" s="18"/>
      <c r="V2507" s="18"/>
      <c r="W2507" s="18"/>
      <c r="X2507" s="18"/>
    </row>
    <row r="2508" spans="13:24">
      <c r="M2508" s="558">
        <f t="shared" si="122"/>
        <v>2506</v>
      </c>
      <c r="N2508" s="15">
        <f t="shared" si="120"/>
        <v>0.36061231560972762</v>
      </c>
      <c r="O2508" s="165">
        <f t="shared" si="121"/>
        <v>0.36061231560972762</v>
      </c>
      <c r="P2508" s="18"/>
      <c r="Q2508" s="18"/>
      <c r="R2508" s="18"/>
      <c r="S2508" s="18"/>
      <c r="T2508" s="18"/>
      <c r="U2508" s="18"/>
      <c r="V2508" s="18"/>
      <c r="W2508" s="18"/>
      <c r="X2508" s="18"/>
    </row>
    <row r="2509" spans="13:24">
      <c r="M2509" s="558">
        <f t="shared" si="122"/>
        <v>2507</v>
      </c>
      <c r="N2509" s="15">
        <f t="shared" si="120"/>
        <v>0.36053666908393389</v>
      </c>
      <c r="O2509" s="165">
        <f t="shared" si="121"/>
        <v>0.36053666908393389</v>
      </c>
      <c r="P2509" s="18"/>
      <c r="Q2509" s="18"/>
      <c r="R2509" s="18"/>
      <c r="S2509" s="18"/>
      <c r="T2509" s="18"/>
      <c r="U2509" s="18"/>
      <c r="V2509" s="18"/>
      <c r="W2509" s="18"/>
      <c r="X2509" s="18"/>
    </row>
    <row r="2510" spans="13:24">
      <c r="M2510" s="558">
        <f t="shared" si="122"/>
        <v>2508</v>
      </c>
      <c r="N2510" s="15">
        <f t="shared" si="120"/>
        <v>0.36046105302340226</v>
      </c>
      <c r="O2510" s="165">
        <f t="shared" si="121"/>
        <v>0.36046105302340226</v>
      </c>
      <c r="P2510" s="18"/>
      <c r="Q2510" s="18"/>
      <c r="R2510" s="18"/>
      <c r="S2510" s="18"/>
      <c r="T2510" s="18"/>
      <c r="U2510" s="18"/>
      <c r="V2510" s="18"/>
      <c r="W2510" s="18"/>
      <c r="X2510" s="18"/>
    </row>
    <row r="2511" spans="13:24">
      <c r="M2511" s="558">
        <f t="shared" si="122"/>
        <v>2509</v>
      </c>
      <c r="N2511" s="15">
        <f t="shared" si="120"/>
        <v>0.36038546738990135</v>
      </c>
      <c r="O2511" s="165">
        <f t="shared" si="121"/>
        <v>0.36038546738990135</v>
      </c>
      <c r="P2511" s="18"/>
      <c r="Q2511" s="18"/>
      <c r="R2511" s="18"/>
      <c r="S2511" s="18"/>
      <c r="T2511" s="18"/>
      <c r="U2511" s="18"/>
      <c r="V2511" s="18"/>
      <c r="W2511" s="18"/>
      <c r="X2511" s="18"/>
    </row>
    <row r="2512" spans="13:24">
      <c r="M2512" s="558">
        <f t="shared" si="122"/>
        <v>2510</v>
      </c>
      <c r="N2512" s="15">
        <f t="shared" si="120"/>
        <v>0.36030991214524771</v>
      </c>
      <c r="O2512" s="165">
        <f t="shared" si="121"/>
        <v>0.36030991214524771</v>
      </c>
      <c r="P2512" s="18"/>
      <c r="Q2512" s="18"/>
      <c r="R2512" s="18"/>
      <c r="S2512" s="18"/>
      <c r="T2512" s="18"/>
      <c r="U2512" s="18"/>
      <c r="V2512" s="18"/>
      <c r="W2512" s="18"/>
      <c r="X2512" s="18"/>
    </row>
    <row r="2513" spans="13:24">
      <c r="M2513" s="558">
        <f t="shared" si="122"/>
        <v>2511</v>
      </c>
      <c r="N2513" s="15">
        <f t="shared" si="120"/>
        <v>0.36023438725130569</v>
      </c>
      <c r="O2513" s="165">
        <f t="shared" si="121"/>
        <v>0.36023438725130569</v>
      </c>
      <c r="P2513" s="18"/>
      <c r="Q2513" s="18"/>
      <c r="R2513" s="18"/>
      <c r="S2513" s="18"/>
      <c r="T2513" s="18"/>
      <c r="U2513" s="18"/>
      <c r="V2513" s="18"/>
      <c r="W2513" s="18"/>
      <c r="X2513" s="18"/>
    </row>
    <row r="2514" spans="13:24">
      <c r="M2514" s="558">
        <f t="shared" si="122"/>
        <v>2512</v>
      </c>
      <c r="N2514" s="15">
        <f t="shared" si="120"/>
        <v>0.36015889266998768</v>
      </c>
      <c r="O2514" s="165">
        <f t="shared" si="121"/>
        <v>0.36015889266998768</v>
      </c>
      <c r="P2514" s="18"/>
      <c r="Q2514" s="18"/>
      <c r="R2514" s="18"/>
      <c r="S2514" s="18"/>
      <c r="T2514" s="18"/>
      <c r="U2514" s="18"/>
      <c r="V2514" s="18"/>
      <c r="W2514" s="18"/>
      <c r="X2514" s="18"/>
    </row>
    <row r="2515" spans="13:24">
      <c r="M2515" s="558">
        <f t="shared" si="122"/>
        <v>2513</v>
      </c>
      <c r="N2515" s="15">
        <f t="shared" si="120"/>
        <v>0.36008342836325374</v>
      </c>
      <c r="O2515" s="165">
        <f t="shared" si="121"/>
        <v>0.36008342836325374</v>
      </c>
      <c r="P2515" s="18"/>
      <c r="Q2515" s="18"/>
      <c r="R2515" s="18"/>
      <c r="S2515" s="18"/>
      <c r="T2515" s="18"/>
      <c r="U2515" s="18"/>
      <c r="V2515" s="18"/>
      <c r="W2515" s="18"/>
      <c r="X2515" s="18"/>
    </row>
    <row r="2516" spans="13:24">
      <c r="M2516" s="558">
        <f t="shared" si="122"/>
        <v>2514</v>
      </c>
      <c r="N2516" s="15">
        <f t="shared" si="120"/>
        <v>0.36000799429311164</v>
      </c>
      <c r="O2516" s="165">
        <f t="shared" si="121"/>
        <v>0.36000799429311164</v>
      </c>
      <c r="P2516" s="18"/>
      <c r="Q2516" s="18"/>
      <c r="R2516" s="18"/>
      <c r="S2516" s="18"/>
      <c r="T2516" s="18"/>
      <c r="U2516" s="18"/>
      <c r="V2516" s="18"/>
      <c r="W2516" s="18"/>
      <c r="X2516" s="18"/>
    </row>
    <row r="2517" spans="13:24">
      <c r="M2517" s="558">
        <f t="shared" si="122"/>
        <v>2515</v>
      </c>
      <c r="N2517" s="15">
        <f t="shared" si="120"/>
        <v>0.3599325904216169</v>
      </c>
      <c r="O2517" s="165">
        <f t="shared" si="121"/>
        <v>0.3599325904216169</v>
      </c>
      <c r="P2517" s="18"/>
      <c r="Q2517" s="18"/>
      <c r="R2517" s="18"/>
      <c r="S2517" s="18"/>
      <c r="T2517" s="18"/>
      <c r="U2517" s="18"/>
      <c r="V2517" s="18"/>
      <c r="W2517" s="18"/>
      <c r="X2517" s="18"/>
    </row>
    <row r="2518" spans="13:24">
      <c r="M2518" s="558">
        <f t="shared" si="122"/>
        <v>2516</v>
      </c>
      <c r="N2518" s="15">
        <f t="shared" si="120"/>
        <v>0.35985721671087267</v>
      </c>
      <c r="O2518" s="165">
        <f t="shared" si="121"/>
        <v>0.35985721671087267</v>
      </c>
      <c r="P2518" s="18"/>
      <c r="Q2518" s="18"/>
      <c r="R2518" s="18"/>
      <c r="S2518" s="18"/>
      <c r="T2518" s="18"/>
      <c r="U2518" s="18"/>
      <c r="V2518" s="18"/>
      <c r="W2518" s="18"/>
      <c r="X2518" s="18"/>
    </row>
    <row r="2519" spans="13:24">
      <c r="M2519" s="558">
        <f t="shared" si="122"/>
        <v>2517</v>
      </c>
      <c r="N2519" s="15">
        <f t="shared" si="120"/>
        <v>0.35978187312302967</v>
      </c>
      <c r="O2519" s="165">
        <f t="shared" si="121"/>
        <v>0.35978187312302967</v>
      </c>
      <c r="P2519" s="18"/>
      <c r="Q2519" s="18"/>
      <c r="R2519" s="18"/>
      <c r="S2519" s="18"/>
      <c r="T2519" s="18"/>
      <c r="U2519" s="18"/>
      <c r="V2519" s="18"/>
      <c r="W2519" s="18"/>
      <c r="X2519" s="18"/>
    </row>
    <row r="2520" spans="13:24">
      <c r="M2520" s="558">
        <f t="shared" si="122"/>
        <v>2518</v>
      </c>
      <c r="N2520" s="15">
        <f t="shared" si="120"/>
        <v>0.35970655962028608</v>
      </c>
      <c r="O2520" s="165">
        <f t="shared" si="121"/>
        <v>0.35970655962028608</v>
      </c>
      <c r="P2520" s="18"/>
      <c r="Q2520" s="18"/>
      <c r="R2520" s="18"/>
      <c r="S2520" s="18"/>
      <c r="T2520" s="18"/>
      <c r="U2520" s="18"/>
      <c r="V2520" s="18"/>
      <c r="W2520" s="18"/>
      <c r="X2520" s="18"/>
    </row>
    <row r="2521" spans="13:24">
      <c r="M2521" s="558">
        <f t="shared" si="122"/>
        <v>2519</v>
      </c>
      <c r="N2521" s="15">
        <f t="shared" si="120"/>
        <v>0.35963127616488733</v>
      </c>
      <c r="O2521" s="165">
        <f t="shared" si="121"/>
        <v>0.35963127616488733</v>
      </c>
      <c r="P2521" s="18"/>
      <c r="Q2521" s="18"/>
      <c r="R2521" s="18"/>
      <c r="S2521" s="18"/>
      <c r="T2521" s="18"/>
      <c r="U2521" s="18"/>
      <c r="V2521" s="18"/>
      <c r="W2521" s="18"/>
      <c r="X2521" s="18"/>
    </row>
    <row r="2522" spans="13:24">
      <c r="M2522" s="558">
        <f t="shared" si="122"/>
        <v>2520</v>
      </c>
      <c r="N2522" s="15">
        <f t="shared" si="120"/>
        <v>0.35955602271912668</v>
      </c>
      <c r="O2522" s="165">
        <f t="shared" si="121"/>
        <v>0.35955602271912668</v>
      </c>
      <c r="P2522" s="18"/>
      <c r="Q2522" s="18"/>
      <c r="R2522" s="18"/>
      <c r="S2522" s="18"/>
      <c r="T2522" s="18"/>
      <c r="U2522" s="18"/>
      <c r="V2522" s="18"/>
      <c r="W2522" s="18"/>
      <c r="X2522" s="18"/>
    </row>
    <row r="2523" spans="13:24">
      <c r="M2523" s="558">
        <f t="shared" si="122"/>
        <v>2521</v>
      </c>
      <c r="N2523" s="15">
        <f t="shared" si="120"/>
        <v>0.35948079924534426</v>
      </c>
      <c r="O2523" s="165">
        <f t="shared" si="121"/>
        <v>0.35948079924534426</v>
      </c>
      <c r="P2523" s="18"/>
      <c r="Q2523" s="18"/>
      <c r="R2523" s="18"/>
      <c r="S2523" s="18"/>
      <c r="T2523" s="18"/>
      <c r="U2523" s="18"/>
      <c r="V2523" s="18"/>
      <c r="W2523" s="18"/>
      <c r="X2523" s="18"/>
    </row>
    <row r="2524" spans="13:24">
      <c r="M2524" s="558">
        <f t="shared" si="122"/>
        <v>2522</v>
      </c>
      <c r="N2524" s="15">
        <f t="shared" si="120"/>
        <v>0.35940560570592778</v>
      </c>
      <c r="O2524" s="165">
        <f t="shared" si="121"/>
        <v>0.35940560570592778</v>
      </c>
      <c r="P2524" s="18"/>
      <c r="Q2524" s="18"/>
      <c r="R2524" s="18"/>
      <c r="S2524" s="18"/>
      <c r="T2524" s="18"/>
      <c r="U2524" s="18"/>
      <c r="V2524" s="18"/>
      <c r="W2524" s="18"/>
      <c r="X2524" s="18"/>
    </row>
    <row r="2525" spans="13:24">
      <c r="M2525" s="558">
        <f t="shared" si="122"/>
        <v>2523</v>
      </c>
      <c r="N2525" s="15">
        <f t="shared" si="120"/>
        <v>0.35933044206331183</v>
      </c>
      <c r="O2525" s="165">
        <f t="shared" si="121"/>
        <v>0.35933044206331183</v>
      </c>
      <c r="P2525" s="18"/>
      <c r="Q2525" s="18"/>
      <c r="R2525" s="18"/>
      <c r="S2525" s="18"/>
      <c r="T2525" s="18"/>
      <c r="U2525" s="18"/>
      <c r="V2525" s="18"/>
      <c r="W2525" s="18"/>
      <c r="X2525" s="18"/>
    </row>
    <row r="2526" spans="13:24">
      <c r="M2526" s="558">
        <f t="shared" si="122"/>
        <v>2524</v>
      </c>
      <c r="N2526" s="15">
        <f t="shared" si="120"/>
        <v>0.35925530827997854</v>
      </c>
      <c r="O2526" s="165">
        <f t="shared" si="121"/>
        <v>0.35925530827997854</v>
      </c>
      <c r="P2526" s="18"/>
      <c r="Q2526" s="18"/>
      <c r="R2526" s="18"/>
      <c r="S2526" s="18"/>
      <c r="T2526" s="18"/>
      <c r="U2526" s="18"/>
      <c r="V2526" s="18"/>
      <c r="W2526" s="18"/>
      <c r="X2526" s="18"/>
    </row>
    <row r="2527" spans="13:24">
      <c r="M2527" s="558">
        <f t="shared" si="122"/>
        <v>2525</v>
      </c>
      <c r="N2527" s="15">
        <f t="shared" si="120"/>
        <v>0.35918020431845676</v>
      </c>
      <c r="O2527" s="165">
        <f t="shared" si="121"/>
        <v>0.35918020431845676</v>
      </c>
      <c r="P2527" s="18"/>
      <c r="Q2527" s="18"/>
      <c r="R2527" s="18"/>
      <c r="S2527" s="18"/>
      <c r="T2527" s="18"/>
      <c r="U2527" s="18"/>
      <c r="V2527" s="18"/>
      <c r="W2527" s="18"/>
      <c r="X2527" s="18"/>
    </row>
    <row r="2528" spans="13:24">
      <c r="M2528" s="558">
        <f t="shared" si="122"/>
        <v>2526</v>
      </c>
      <c r="N2528" s="15">
        <f t="shared" si="120"/>
        <v>0.3591051301413225</v>
      </c>
      <c r="O2528" s="165">
        <f t="shared" si="121"/>
        <v>0.3591051301413225</v>
      </c>
      <c r="P2528" s="18"/>
      <c r="Q2528" s="18"/>
      <c r="R2528" s="18"/>
      <c r="S2528" s="18"/>
      <c r="T2528" s="18"/>
      <c r="U2528" s="18"/>
      <c r="V2528" s="18"/>
      <c r="W2528" s="18"/>
      <c r="X2528" s="18"/>
    </row>
    <row r="2529" spans="13:24">
      <c r="M2529" s="558">
        <f t="shared" si="122"/>
        <v>2527</v>
      </c>
      <c r="N2529" s="15">
        <f t="shared" si="120"/>
        <v>0.35903008571119888</v>
      </c>
      <c r="O2529" s="165">
        <f t="shared" si="121"/>
        <v>0.35903008571119888</v>
      </c>
      <c r="P2529" s="18"/>
      <c r="Q2529" s="18"/>
      <c r="R2529" s="18"/>
      <c r="S2529" s="18"/>
      <c r="T2529" s="18"/>
      <c r="U2529" s="18"/>
      <c r="V2529" s="18"/>
      <c r="W2529" s="18"/>
      <c r="X2529" s="18"/>
    </row>
    <row r="2530" spans="13:24">
      <c r="M2530" s="558">
        <f t="shared" si="122"/>
        <v>2528</v>
      </c>
      <c r="N2530" s="15">
        <f t="shared" si="120"/>
        <v>0.35895507099075574</v>
      </c>
      <c r="O2530" s="165">
        <f t="shared" si="121"/>
        <v>0.35895507099075574</v>
      </c>
      <c r="P2530" s="18"/>
      <c r="Q2530" s="18"/>
      <c r="R2530" s="18"/>
      <c r="S2530" s="18"/>
      <c r="T2530" s="18"/>
      <c r="U2530" s="18"/>
      <c r="V2530" s="18"/>
      <c r="W2530" s="18"/>
      <c r="X2530" s="18"/>
    </row>
    <row r="2531" spans="13:24">
      <c r="M2531" s="558">
        <f t="shared" si="122"/>
        <v>2529</v>
      </c>
      <c r="N2531" s="15">
        <f t="shared" si="120"/>
        <v>0.3588800859427097</v>
      </c>
      <c r="O2531" s="165">
        <f t="shared" si="121"/>
        <v>0.3588800859427097</v>
      </c>
      <c r="P2531" s="18"/>
      <c r="Q2531" s="18"/>
      <c r="R2531" s="18"/>
      <c r="S2531" s="18"/>
      <c r="T2531" s="18"/>
      <c r="U2531" s="18"/>
      <c r="V2531" s="18"/>
      <c r="W2531" s="18"/>
      <c r="X2531" s="18"/>
    </row>
    <row r="2532" spans="13:24">
      <c r="M2532" s="558">
        <f t="shared" si="122"/>
        <v>2530</v>
      </c>
      <c r="N2532" s="15">
        <f t="shared" si="120"/>
        <v>0.35880513052982438</v>
      </c>
      <c r="O2532" s="165">
        <f t="shared" si="121"/>
        <v>0.35880513052982438</v>
      </c>
      <c r="P2532" s="18"/>
      <c r="Q2532" s="18"/>
      <c r="R2532" s="18"/>
      <c r="S2532" s="18"/>
      <c r="T2532" s="18"/>
      <c r="U2532" s="18"/>
      <c r="V2532" s="18"/>
      <c r="W2532" s="18"/>
      <c r="X2532" s="18"/>
    </row>
    <row r="2533" spans="13:24">
      <c r="M2533" s="558">
        <f t="shared" si="122"/>
        <v>2531</v>
      </c>
      <c r="N2533" s="15">
        <f t="shared" si="120"/>
        <v>0.35873020471491013</v>
      </c>
      <c r="O2533" s="165">
        <f t="shared" si="121"/>
        <v>0.35873020471491013</v>
      </c>
      <c r="P2533" s="18"/>
      <c r="Q2533" s="18"/>
      <c r="R2533" s="18"/>
      <c r="S2533" s="18"/>
      <c r="T2533" s="18"/>
      <c r="U2533" s="18"/>
      <c r="V2533" s="18"/>
      <c r="W2533" s="18"/>
      <c r="X2533" s="18"/>
    </row>
    <row r="2534" spans="13:24">
      <c r="M2534" s="558">
        <f t="shared" si="122"/>
        <v>2532</v>
      </c>
      <c r="N2534" s="15">
        <f t="shared" si="120"/>
        <v>0.35865530846082366</v>
      </c>
      <c r="O2534" s="165">
        <f t="shared" si="121"/>
        <v>0.35865530846082366</v>
      </c>
      <c r="P2534" s="18"/>
      <c r="Q2534" s="18"/>
      <c r="R2534" s="18"/>
      <c r="S2534" s="18"/>
      <c r="T2534" s="18"/>
      <c r="U2534" s="18"/>
      <c r="V2534" s="18"/>
      <c r="W2534" s="18"/>
      <c r="X2534" s="18"/>
    </row>
    <row r="2535" spans="13:24">
      <c r="M2535" s="558">
        <f t="shared" si="122"/>
        <v>2533</v>
      </c>
      <c r="N2535" s="15">
        <f t="shared" si="120"/>
        <v>0.35858044173046871</v>
      </c>
      <c r="O2535" s="165">
        <f t="shared" si="121"/>
        <v>0.35858044173046871</v>
      </c>
      <c r="P2535" s="18"/>
      <c r="Q2535" s="18"/>
      <c r="R2535" s="18"/>
      <c r="S2535" s="18"/>
      <c r="T2535" s="18"/>
      <c r="U2535" s="18"/>
      <c r="V2535" s="18"/>
      <c r="W2535" s="18"/>
      <c r="X2535" s="18"/>
    </row>
    <row r="2536" spans="13:24">
      <c r="M2536" s="558">
        <f t="shared" si="122"/>
        <v>2534</v>
      </c>
      <c r="N2536" s="15">
        <f t="shared" si="120"/>
        <v>0.35850560448679519</v>
      </c>
      <c r="O2536" s="165">
        <f t="shared" si="121"/>
        <v>0.35850560448679519</v>
      </c>
      <c r="P2536" s="18"/>
      <c r="Q2536" s="18"/>
      <c r="R2536" s="18"/>
      <c r="S2536" s="18"/>
      <c r="T2536" s="18"/>
      <c r="U2536" s="18"/>
      <c r="V2536" s="18"/>
      <c r="W2536" s="18"/>
      <c r="X2536" s="18"/>
    </row>
    <row r="2537" spans="13:24">
      <c r="M2537" s="558">
        <f t="shared" si="122"/>
        <v>2535</v>
      </c>
      <c r="N2537" s="15">
        <f t="shared" si="120"/>
        <v>0.35843079669279981</v>
      </c>
      <c r="O2537" s="165">
        <f t="shared" si="121"/>
        <v>0.35843079669279981</v>
      </c>
      <c r="P2537" s="18"/>
      <c r="Q2537" s="18"/>
      <c r="R2537" s="18"/>
      <c r="S2537" s="18"/>
      <c r="T2537" s="18"/>
      <c r="U2537" s="18"/>
      <c r="V2537" s="18"/>
      <c r="W2537" s="18"/>
      <c r="X2537" s="18"/>
    </row>
    <row r="2538" spans="13:24">
      <c r="M2538" s="558">
        <f t="shared" si="122"/>
        <v>2536</v>
      </c>
      <c r="N2538" s="15">
        <f t="shared" si="120"/>
        <v>0.35835601831152553</v>
      </c>
      <c r="O2538" s="165">
        <f t="shared" si="121"/>
        <v>0.35835601831152553</v>
      </c>
      <c r="P2538" s="18"/>
      <c r="Q2538" s="18"/>
      <c r="R2538" s="18"/>
      <c r="S2538" s="18"/>
      <c r="T2538" s="18"/>
      <c r="U2538" s="18"/>
      <c r="V2538" s="18"/>
      <c r="W2538" s="18"/>
      <c r="X2538" s="18"/>
    </row>
    <row r="2539" spans="13:24">
      <c r="M2539" s="558">
        <f t="shared" si="122"/>
        <v>2537</v>
      </c>
      <c r="N2539" s="15">
        <f t="shared" si="120"/>
        <v>0.3582812693060618</v>
      </c>
      <c r="O2539" s="165">
        <f t="shared" si="121"/>
        <v>0.3582812693060618</v>
      </c>
      <c r="P2539" s="18"/>
      <c r="Q2539" s="18"/>
      <c r="R2539" s="18"/>
      <c r="S2539" s="18"/>
      <c r="T2539" s="18"/>
      <c r="U2539" s="18"/>
      <c r="V2539" s="18"/>
      <c r="W2539" s="18"/>
      <c r="X2539" s="18"/>
    </row>
    <row r="2540" spans="13:24">
      <c r="M2540" s="558">
        <f t="shared" si="122"/>
        <v>2538</v>
      </c>
      <c r="N2540" s="15">
        <f t="shared" si="120"/>
        <v>0.35820654963954424</v>
      </c>
      <c r="O2540" s="165">
        <f t="shared" si="121"/>
        <v>0.35820654963954424</v>
      </c>
      <c r="P2540" s="18"/>
      <c r="Q2540" s="18"/>
      <c r="R2540" s="18"/>
      <c r="S2540" s="18"/>
      <c r="T2540" s="18"/>
      <c r="U2540" s="18"/>
      <c r="V2540" s="18"/>
      <c r="W2540" s="18"/>
      <c r="X2540" s="18"/>
    </row>
    <row r="2541" spans="13:24">
      <c r="M2541" s="558">
        <f t="shared" si="122"/>
        <v>2539</v>
      </c>
      <c r="N2541" s="15">
        <f t="shared" si="120"/>
        <v>0.35813185927515495</v>
      </c>
      <c r="O2541" s="165">
        <f t="shared" si="121"/>
        <v>0.35813185927515495</v>
      </c>
      <c r="P2541" s="18"/>
      <c r="Q2541" s="18"/>
      <c r="R2541" s="18"/>
      <c r="S2541" s="18"/>
      <c r="T2541" s="18"/>
      <c r="U2541" s="18"/>
      <c r="V2541" s="18"/>
      <c r="W2541" s="18"/>
      <c r="X2541" s="18"/>
    </row>
    <row r="2542" spans="13:24">
      <c r="M2542" s="558">
        <f t="shared" si="122"/>
        <v>2540</v>
      </c>
      <c r="N2542" s="15">
        <f t="shared" si="120"/>
        <v>0.35805719817612203</v>
      </c>
      <c r="O2542" s="165">
        <f t="shared" si="121"/>
        <v>0.35805719817612203</v>
      </c>
      <c r="P2542" s="18"/>
      <c r="Q2542" s="18"/>
      <c r="R2542" s="18"/>
      <c r="S2542" s="18"/>
      <c r="T2542" s="18"/>
      <c r="U2542" s="18"/>
      <c r="V2542" s="18"/>
      <c r="W2542" s="18"/>
      <c r="X2542" s="18"/>
    </row>
    <row r="2543" spans="13:24">
      <c r="M2543" s="558">
        <f t="shared" si="122"/>
        <v>2541</v>
      </c>
      <c r="N2543" s="15">
        <f t="shared" si="120"/>
        <v>0.35798256630571973</v>
      </c>
      <c r="O2543" s="165">
        <f t="shared" si="121"/>
        <v>0.35798256630571973</v>
      </c>
      <c r="P2543" s="18"/>
      <c r="Q2543" s="18"/>
      <c r="R2543" s="18"/>
      <c r="S2543" s="18"/>
      <c r="T2543" s="18"/>
      <c r="U2543" s="18"/>
      <c r="V2543" s="18"/>
      <c r="W2543" s="18"/>
      <c r="X2543" s="18"/>
    </row>
    <row r="2544" spans="13:24">
      <c r="M2544" s="558">
        <f t="shared" si="122"/>
        <v>2542</v>
      </c>
      <c r="N2544" s="15">
        <f t="shared" si="120"/>
        <v>0.35790796362726873</v>
      </c>
      <c r="O2544" s="165">
        <f t="shared" si="121"/>
        <v>0.35790796362726873</v>
      </c>
      <c r="P2544" s="18"/>
      <c r="Q2544" s="18"/>
      <c r="R2544" s="18"/>
      <c r="S2544" s="18"/>
      <c r="T2544" s="18"/>
      <c r="U2544" s="18"/>
      <c r="V2544" s="18"/>
      <c r="W2544" s="18"/>
      <c r="X2544" s="18"/>
    </row>
    <row r="2545" spans="13:24">
      <c r="M2545" s="558">
        <f t="shared" si="122"/>
        <v>2543</v>
      </c>
      <c r="N2545" s="15">
        <f t="shared" si="120"/>
        <v>0.35783339010413523</v>
      </c>
      <c r="O2545" s="165">
        <f t="shared" si="121"/>
        <v>0.35783339010413523</v>
      </c>
      <c r="P2545" s="18"/>
      <c r="Q2545" s="18"/>
      <c r="R2545" s="18"/>
      <c r="S2545" s="18"/>
      <c r="T2545" s="18"/>
      <c r="U2545" s="18"/>
      <c r="V2545" s="18"/>
      <c r="W2545" s="18"/>
      <c r="X2545" s="18"/>
    </row>
    <row r="2546" spans="13:24">
      <c r="M2546" s="558">
        <f t="shared" si="122"/>
        <v>2544</v>
      </c>
      <c r="N2546" s="15">
        <f t="shared" si="120"/>
        <v>0.35775884569973176</v>
      </c>
      <c r="O2546" s="165">
        <f t="shared" si="121"/>
        <v>0.35775884569973176</v>
      </c>
      <c r="P2546" s="18"/>
      <c r="Q2546" s="18"/>
      <c r="R2546" s="18"/>
      <c r="S2546" s="18"/>
      <c r="T2546" s="18"/>
      <c r="U2546" s="18"/>
      <c r="V2546" s="18"/>
      <c r="W2546" s="18"/>
      <c r="X2546" s="18"/>
    </row>
    <row r="2547" spans="13:24">
      <c r="M2547" s="558">
        <f t="shared" si="122"/>
        <v>2545</v>
      </c>
      <c r="N2547" s="15">
        <f t="shared" si="120"/>
        <v>0.35768433037751651</v>
      </c>
      <c r="O2547" s="165">
        <f t="shared" si="121"/>
        <v>0.35768433037751651</v>
      </c>
      <c r="P2547" s="18"/>
      <c r="Q2547" s="18"/>
      <c r="R2547" s="18"/>
      <c r="S2547" s="18"/>
      <c r="T2547" s="18"/>
      <c r="U2547" s="18"/>
      <c r="V2547" s="18"/>
      <c r="W2547" s="18"/>
      <c r="X2547" s="18"/>
    </row>
    <row r="2548" spans="13:24">
      <c r="M2548" s="558">
        <f t="shared" si="122"/>
        <v>2546</v>
      </c>
      <c r="N2548" s="15">
        <f t="shared" si="120"/>
        <v>0.35760984410099389</v>
      </c>
      <c r="O2548" s="165">
        <f t="shared" si="121"/>
        <v>0.35760984410099389</v>
      </c>
      <c r="P2548" s="18"/>
      <c r="Q2548" s="18"/>
      <c r="R2548" s="18"/>
      <c r="S2548" s="18"/>
      <c r="T2548" s="18"/>
      <c r="U2548" s="18"/>
      <c r="V2548" s="18"/>
      <c r="W2548" s="18"/>
      <c r="X2548" s="18"/>
    </row>
    <row r="2549" spans="13:24">
      <c r="M2549" s="558">
        <f t="shared" si="122"/>
        <v>2547</v>
      </c>
      <c r="N2549" s="15">
        <f t="shared" si="120"/>
        <v>0.35753538683371378</v>
      </c>
      <c r="O2549" s="165">
        <f t="shared" si="121"/>
        <v>0.35753538683371378</v>
      </c>
      <c r="P2549" s="18"/>
      <c r="Q2549" s="18"/>
      <c r="R2549" s="18"/>
      <c r="S2549" s="18"/>
      <c r="T2549" s="18"/>
      <c r="U2549" s="18"/>
      <c r="V2549" s="18"/>
      <c r="W2549" s="18"/>
      <c r="X2549" s="18"/>
    </row>
    <row r="2550" spans="13:24">
      <c r="M2550" s="558">
        <f t="shared" si="122"/>
        <v>2548</v>
      </c>
      <c r="N2550" s="15">
        <f t="shared" si="120"/>
        <v>0.3574609585392719</v>
      </c>
      <c r="O2550" s="165">
        <f t="shared" si="121"/>
        <v>0.3574609585392719</v>
      </c>
      <c r="P2550" s="18"/>
      <c r="Q2550" s="18"/>
      <c r="R2550" s="18"/>
      <c r="S2550" s="18"/>
      <c r="T2550" s="18"/>
      <c r="U2550" s="18"/>
      <c r="V2550" s="18"/>
      <c r="W2550" s="18"/>
      <c r="X2550" s="18"/>
    </row>
    <row r="2551" spans="13:24">
      <c r="M2551" s="558">
        <f t="shared" si="122"/>
        <v>2549</v>
      </c>
      <c r="N2551" s="15">
        <f t="shared" si="120"/>
        <v>0.35738655918130963</v>
      </c>
      <c r="O2551" s="165">
        <f t="shared" si="121"/>
        <v>0.35738655918130963</v>
      </c>
      <c r="P2551" s="18"/>
      <c r="Q2551" s="18"/>
      <c r="R2551" s="18"/>
      <c r="S2551" s="18"/>
      <c r="T2551" s="18"/>
      <c r="U2551" s="18"/>
      <c r="V2551" s="18"/>
      <c r="W2551" s="18"/>
      <c r="X2551" s="18"/>
    </row>
    <row r="2552" spans="13:24">
      <c r="M2552" s="558">
        <f t="shared" si="122"/>
        <v>2550</v>
      </c>
      <c r="N2552" s="15">
        <f t="shared" si="120"/>
        <v>0.35731218872351406</v>
      </c>
      <c r="O2552" s="165">
        <f t="shared" si="121"/>
        <v>0.35731218872351406</v>
      </c>
      <c r="P2552" s="18"/>
      <c r="Q2552" s="18"/>
      <c r="R2552" s="18"/>
      <c r="S2552" s="18"/>
      <c r="T2552" s="18"/>
      <c r="U2552" s="18"/>
      <c r="V2552" s="18"/>
      <c r="W2552" s="18"/>
      <c r="X2552" s="18"/>
    </row>
    <row r="2553" spans="13:24">
      <c r="M2553" s="558">
        <f t="shared" si="122"/>
        <v>2551</v>
      </c>
      <c r="N2553" s="15">
        <f t="shared" si="120"/>
        <v>0.35723784712961787</v>
      </c>
      <c r="O2553" s="165">
        <f t="shared" si="121"/>
        <v>0.35723784712961787</v>
      </c>
      <c r="P2553" s="18"/>
      <c r="Q2553" s="18"/>
      <c r="R2553" s="18"/>
      <c r="S2553" s="18"/>
      <c r="T2553" s="18"/>
      <c r="U2553" s="18"/>
      <c r="V2553" s="18"/>
      <c r="W2553" s="18"/>
      <c r="X2553" s="18"/>
    </row>
    <row r="2554" spans="13:24">
      <c r="M2554" s="558">
        <f t="shared" si="122"/>
        <v>2552</v>
      </c>
      <c r="N2554" s="15">
        <f t="shared" si="120"/>
        <v>0.35716353436339909</v>
      </c>
      <c r="O2554" s="165">
        <f t="shared" si="121"/>
        <v>0.35716353436339909</v>
      </c>
      <c r="P2554" s="18"/>
      <c r="Q2554" s="18"/>
      <c r="R2554" s="18"/>
      <c r="S2554" s="18"/>
      <c r="T2554" s="18"/>
      <c r="U2554" s="18"/>
      <c r="V2554" s="18"/>
      <c r="W2554" s="18"/>
      <c r="X2554" s="18"/>
    </row>
    <row r="2555" spans="13:24">
      <c r="M2555" s="558">
        <f t="shared" si="122"/>
        <v>2553</v>
      </c>
      <c r="N2555" s="15">
        <f t="shared" si="120"/>
        <v>0.35708925038868122</v>
      </c>
      <c r="O2555" s="165">
        <f t="shared" si="121"/>
        <v>0.35708925038868122</v>
      </c>
      <c r="P2555" s="18"/>
      <c r="Q2555" s="18"/>
      <c r="R2555" s="18"/>
      <c r="S2555" s="18"/>
      <c r="T2555" s="18"/>
      <c r="U2555" s="18"/>
      <c r="V2555" s="18"/>
      <c r="W2555" s="18"/>
      <c r="X2555" s="18"/>
    </row>
    <row r="2556" spans="13:24">
      <c r="M2556" s="558">
        <f t="shared" si="122"/>
        <v>2554</v>
      </c>
      <c r="N2556" s="15">
        <f t="shared" si="120"/>
        <v>0.35701499516933344</v>
      </c>
      <c r="O2556" s="165">
        <f t="shared" si="121"/>
        <v>0.35701499516933344</v>
      </c>
      <c r="P2556" s="18"/>
      <c r="Q2556" s="18"/>
      <c r="R2556" s="18"/>
      <c r="S2556" s="18"/>
      <c r="T2556" s="18"/>
      <c r="U2556" s="18"/>
      <c r="V2556" s="18"/>
      <c r="W2556" s="18"/>
      <c r="X2556" s="18"/>
    </row>
    <row r="2557" spans="13:24">
      <c r="M2557" s="558">
        <f t="shared" si="122"/>
        <v>2555</v>
      </c>
      <c r="N2557" s="15">
        <f t="shared" si="120"/>
        <v>0.35694076866926994</v>
      </c>
      <c r="O2557" s="165">
        <f t="shared" si="121"/>
        <v>0.35694076866926994</v>
      </c>
      <c r="P2557" s="18"/>
      <c r="Q2557" s="18"/>
      <c r="R2557" s="18"/>
      <c r="S2557" s="18"/>
      <c r="T2557" s="18"/>
      <c r="U2557" s="18"/>
      <c r="V2557" s="18"/>
      <c r="W2557" s="18"/>
      <c r="X2557" s="18"/>
    </row>
    <row r="2558" spans="13:24">
      <c r="M2558" s="558">
        <f t="shared" si="122"/>
        <v>2556</v>
      </c>
      <c r="N2558" s="15">
        <f t="shared" si="120"/>
        <v>0.35686657085245033</v>
      </c>
      <c r="O2558" s="165">
        <f t="shared" si="121"/>
        <v>0.35686657085245033</v>
      </c>
      <c r="P2558" s="18"/>
      <c r="Q2558" s="18"/>
      <c r="R2558" s="18"/>
      <c r="S2558" s="18"/>
      <c r="T2558" s="18"/>
      <c r="U2558" s="18"/>
      <c r="V2558" s="18"/>
      <c r="W2558" s="18"/>
      <c r="X2558" s="18"/>
    </row>
    <row r="2559" spans="13:24">
      <c r="M2559" s="558">
        <f t="shared" si="122"/>
        <v>2557</v>
      </c>
      <c r="N2559" s="15">
        <f t="shared" si="120"/>
        <v>0.35679240168287951</v>
      </c>
      <c r="O2559" s="165">
        <f t="shared" si="121"/>
        <v>0.35679240168287951</v>
      </c>
      <c r="P2559" s="18"/>
      <c r="Q2559" s="18"/>
      <c r="R2559" s="18"/>
      <c r="S2559" s="18"/>
      <c r="T2559" s="18"/>
      <c r="U2559" s="18"/>
      <c r="V2559" s="18"/>
      <c r="W2559" s="18"/>
      <c r="X2559" s="18"/>
    </row>
    <row r="2560" spans="13:24">
      <c r="M2560" s="558">
        <f t="shared" si="122"/>
        <v>2558</v>
      </c>
      <c r="N2560" s="15">
        <f t="shared" si="120"/>
        <v>0.35671826112460742</v>
      </c>
      <c r="O2560" s="165">
        <f t="shared" si="121"/>
        <v>0.35671826112460742</v>
      </c>
      <c r="P2560" s="18"/>
      <c r="Q2560" s="18"/>
      <c r="R2560" s="18"/>
      <c r="S2560" s="18"/>
      <c r="T2560" s="18"/>
      <c r="U2560" s="18"/>
      <c r="V2560" s="18"/>
      <c r="W2560" s="18"/>
      <c r="X2560" s="18"/>
    </row>
    <row r="2561" spans="13:24">
      <c r="M2561" s="558">
        <f t="shared" si="122"/>
        <v>2559</v>
      </c>
      <c r="N2561" s="15">
        <f t="shared" si="120"/>
        <v>0.35664414914172921</v>
      </c>
      <c r="O2561" s="165">
        <f t="shared" si="121"/>
        <v>0.35664414914172921</v>
      </c>
      <c r="P2561" s="18"/>
      <c r="Q2561" s="18"/>
      <c r="R2561" s="18"/>
      <c r="S2561" s="18"/>
      <c r="T2561" s="18"/>
      <c r="U2561" s="18"/>
      <c r="V2561" s="18"/>
      <c r="W2561" s="18"/>
      <c r="X2561" s="18"/>
    </row>
    <row r="2562" spans="13:24">
      <c r="M2562" s="558">
        <f t="shared" si="122"/>
        <v>2560</v>
      </c>
      <c r="N2562" s="15">
        <f t="shared" si="120"/>
        <v>0.35657006569838501</v>
      </c>
      <c r="O2562" s="165">
        <f t="shared" si="121"/>
        <v>0.35657006569838501</v>
      </c>
      <c r="P2562" s="18"/>
      <c r="Q2562" s="18"/>
      <c r="R2562" s="18"/>
      <c r="S2562" s="18"/>
      <c r="T2562" s="18"/>
      <c r="U2562" s="18"/>
      <c r="V2562" s="18"/>
      <c r="W2562" s="18"/>
      <c r="X2562" s="18"/>
    </row>
    <row r="2563" spans="13:24">
      <c r="M2563" s="558">
        <f t="shared" si="122"/>
        <v>2561</v>
      </c>
      <c r="N2563" s="15">
        <f t="shared" si="120"/>
        <v>0.35649601075876003</v>
      </c>
      <c r="O2563" s="165">
        <f t="shared" si="121"/>
        <v>0.35649601075876003</v>
      </c>
      <c r="P2563" s="18"/>
      <c r="Q2563" s="18"/>
      <c r="R2563" s="18"/>
      <c r="S2563" s="18"/>
      <c r="T2563" s="18"/>
      <c r="U2563" s="18"/>
      <c r="V2563" s="18"/>
      <c r="W2563" s="18"/>
      <c r="X2563" s="18"/>
    </row>
    <row r="2564" spans="13:24">
      <c r="M2564" s="558">
        <f t="shared" si="122"/>
        <v>2562</v>
      </c>
      <c r="N2564" s="15">
        <f t="shared" ref="N2564:N2627" si="123">IF(M2564&lt;$B$31+1,$B$32+$B$33/$B$31*(8760-M2564)+$B$34*IF(M2564&lt;$B$36-$B$31/(2*$B$35),1,IF(M2564&lt;$B$36+$B$31/(2*$B$35),COS(PI()/2*(M2564-($B$36-$B$31/(2*$B$35)))*$B$35/$B$31)^2,0))+$B$37*EXP((8760-M2564)/8760*$B$38)/EXP($B$38)-(8760-$B$31)*$B$33/$B$31,0)</f>
        <v>0.35642198428708444</v>
      </c>
      <c r="O2564" s="165">
        <f t="shared" ref="O2564:O2627" si="124">MIN(N2564,C$24)</f>
        <v>0.35642198428708444</v>
      </c>
      <c r="P2564" s="18"/>
      <c r="Q2564" s="18"/>
      <c r="R2564" s="18"/>
      <c r="S2564" s="18"/>
      <c r="T2564" s="18"/>
      <c r="U2564" s="18"/>
      <c r="V2564" s="18"/>
      <c r="W2564" s="18"/>
      <c r="X2564" s="18"/>
    </row>
    <row r="2565" spans="13:24">
      <c r="M2565" s="558">
        <f t="shared" ref="M2565:M2628" si="125">M2564+1</f>
        <v>2563</v>
      </c>
      <c r="N2565" s="15">
        <f t="shared" si="123"/>
        <v>0.3563479862476332</v>
      </c>
      <c r="O2565" s="165">
        <f t="shared" si="124"/>
        <v>0.3563479862476332</v>
      </c>
      <c r="P2565" s="18"/>
      <c r="Q2565" s="18"/>
      <c r="R2565" s="18"/>
      <c r="S2565" s="18"/>
      <c r="T2565" s="18"/>
      <c r="U2565" s="18"/>
      <c r="V2565" s="18"/>
      <c r="W2565" s="18"/>
      <c r="X2565" s="18"/>
    </row>
    <row r="2566" spans="13:24">
      <c r="M2566" s="558">
        <f t="shared" si="125"/>
        <v>2564</v>
      </c>
      <c r="N2566" s="15">
        <f t="shared" si="123"/>
        <v>0.35627401660472607</v>
      </c>
      <c r="O2566" s="165">
        <f t="shared" si="124"/>
        <v>0.35627401660472607</v>
      </c>
      <c r="P2566" s="18"/>
      <c r="Q2566" s="18"/>
      <c r="R2566" s="18"/>
      <c r="S2566" s="18"/>
      <c r="T2566" s="18"/>
      <c r="U2566" s="18"/>
      <c r="V2566" s="18"/>
      <c r="W2566" s="18"/>
      <c r="X2566" s="18"/>
    </row>
    <row r="2567" spans="13:24">
      <c r="M2567" s="558">
        <f t="shared" si="125"/>
        <v>2565</v>
      </c>
      <c r="N2567" s="15">
        <f t="shared" si="123"/>
        <v>0.35620007532272785</v>
      </c>
      <c r="O2567" s="165">
        <f t="shared" si="124"/>
        <v>0.35620007532272785</v>
      </c>
      <c r="P2567" s="18"/>
      <c r="Q2567" s="18"/>
      <c r="R2567" s="18"/>
      <c r="S2567" s="18"/>
      <c r="T2567" s="18"/>
      <c r="U2567" s="18"/>
      <c r="V2567" s="18"/>
      <c r="W2567" s="18"/>
      <c r="X2567" s="18"/>
    </row>
    <row r="2568" spans="13:24">
      <c r="M2568" s="558">
        <f t="shared" si="125"/>
        <v>2566</v>
      </c>
      <c r="N2568" s="15">
        <f t="shared" si="123"/>
        <v>0.35612616236604777</v>
      </c>
      <c r="O2568" s="165">
        <f t="shared" si="124"/>
        <v>0.35612616236604777</v>
      </c>
      <c r="P2568" s="18"/>
      <c r="Q2568" s="18"/>
      <c r="R2568" s="18"/>
      <c r="S2568" s="18"/>
      <c r="T2568" s="18"/>
      <c r="U2568" s="18"/>
      <c r="V2568" s="18"/>
      <c r="W2568" s="18"/>
      <c r="X2568" s="18"/>
    </row>
    <row r="2569" spans="13:24">
      <c r="M2569" s="558">
        <f t="shared" si="125"/>
        <v>2567</v>
      </c>
      <c r="N2569" s="15">
        <f t="shared" si="123"/>
        <v>0.35605227769913983</v>
      </c>
      <c r="O2569" s="165">
        <f t="shared" si="124"/>
        <v>0.35605227769913983</v>
      </c>
      <c r="P2569" s="18"/>
      <c r="Q2569" s="18"/>
      <c r="R2569" s="18"/>
      <c r="S2569" s="18"/>
      <c r="T2569" s="18"/>
      <c r="U2569" s="18"/>
      <c r="V2569" s="18"/>
      <c r="W2569" s="18"/>
      <c r="X2569" s="18"/>
    </row>
    <row r="2570" spans="13:24">
      <c r="M2570" s="558">
        <f t="shared" si="125"/>
        <v>2568</v>
      </c>
      <c r="N2570" s="15">
        <f t="shared" si="123"/>
        <v>0.35597842128650253</v>
      </c>
      <c r="O2570" s="165">
        <f t="shared" si="124"/>
        <v>0.35597842128650253</v>
      </c>
      <c r="P2570" s="18"/>
      <c r="Q2570" s="18"/>
      <c r="R2570" s="18"/>
      <c r="S2570" s="18"/>
      <c r="T2570" s="18"/>
      <c r="U2570" s="18"/>
      <c r="V2570" s="18"/>
      <c r="W2570" s="18"/>
      <c r="X2570" s="18"/>
    </row>
    <row r="2571" spans="13:24">
      <c r="M2571" s="558">
        <f t="shared" si="125"/>
        <v>2569</v>
      </c>
      <c r="N2571" s="15">
        <f t="shared" si="123"/>
        <v>0.3559045930926793</v>
      </c>
      <c r="O2571" s="165">
        <f t="shared" si="124"/>
        <v>0.3559045930926793</v>
      </c>
      <c r="P2571" s="18"/>
      <c r="Q2571" s="18"/>
      <c r="R2571" s="18"/>
      <c r="S2571" s="18"/>
      <c r="T2571" s="18"/>
      <c r="U2571" s="18"/>
      <c r="V2571" s="18"/>
      <c r="W2571" s="18"/>
      <c r="X2571" s="18"/>
    </row>
    <row r="2572" spans="13:24">
      <c r="M2572" s="558">
        <f t="shared" si="125"/>
        <v>2570</v>
      </c>
      <c r="N2572" s="15">
        <f t="shared" si="123"/>
        <v>0.35583079308225757</v>
      </c>
      <c r="O2572" s="165">
        <f t="shared" si="124"/>
        <v>0.35583079308225757</v>
      </c>
      <c r="P2572" s="18"/>
      <c r="Q2572" s="18"/>
      <c r="R2572" s="18"/>
      <c r="S2572" s="18"/>
      <c r="T2572" s="18"/>
      <c r="U2572" s="18"/>
      <c r="V2572" s="18"/>
      <c r="W2572" s="18"/>
      <c r="X2572" s="18"/>
    </row>
    <row r="2573" spans="13:24">
      <c r="M2573" s="558">
        <f t="shared" si="125"/>
        <v>2571</v>
      </c>
      <c r="N2573" s="15">
        <f t="shared" si="123"/>
        <v>0.35575702121986946</v>
      </c>
      <c r="O2573" s="165">
        <f t="shared" si="124"/>
        <v>0.35575702121986946</v>
      </c>
      <c r="P2573" s="18"/>
      <c r="Q2573" s="18"/>
      <c r="R2573" s="18"/>
      <c r="S2573" s="18"/>
      <c r="T2573" s="18"/>
      <c r="U2573" s="18"/>
      <c r="V2573" s="18"/>
      <c r="W2573" s="18"/>
      <c r="X2573" s="18"/>
    </row>
    <row r="2574" spans="13:24">
      <c r="M2574" s="558">
        <f t="shared" si="125"/>
        <v>2572</v>
      </c>
      <c r="N2574" s="15">
        <f t="shared" si="123"/>
        <v>0.35568327747019157</v>
      </c>
      <c r="O2574" s="165">
        <f t="shared" si="124"/>
        <v>0.35568327747019157</v>
      </c>
      <c r="P2574" s="18"/>
      <c r="Q2574" s="18"/>
      <c r="R2574" s="18"/>
      <c r="S2574" s="18"/>
      <c r="T2574" s="18"/>
      <c r="U2574" s="18"/>
      <c r="V2574" s="18"/>
      <c r="W2574" s="18"/>
      <c r="X2574" s="18"/>
    </row>
    <row r="2575" spans="13:24">
      <c r="M2575" s="558">
        <f t="shared" si="125"/>
        <v>2573</v>
      </c>
      <c r="N2575" s="15">
        <f t="shared" si="123"/>
        <v>0.35560956179794462</v>
      </c>
      <c r="O2575" s="165">
        <f t="shared" si="124"/>
        <v>0.35560956179794462</v>
      </c>
      <c r="P2575" s="18"/>
      <c r="Q2575" s="18"/>
      <c r="R2575" s="18"/>
      <c r="S2575" s="18"/>
      <c r="T2575" s="18"/>
      <c r="U2575" s="18"/>
      <c r="V2575" s="18"/>
      <c r="W2575" s="18"/>
      <c r="X2575" s="18"/>
    </row>
    <row r="2576" spans="13:24">
      <c r="M2576" s="558">
        <f t="shared" si="125"/>
        <v>2574</v>
      </c>
      <c r="N2576" s="15">
        <f t="shared" si="123"/>
        <v>0.35553587416789367</v>
      </c>
      <c r="O2576" s="165">
        <f t="shared" si="124"/>
        <v>0.35553587416789367</v>
      </c>
      <c r="P2576" s="18"/>
      <c r="Q2576" s="18"/>
      <c r="R2576" s="18"/>
      <c r="S2576" s="18"/>
      <c r="T2576" s="18"/>
      <c r="U2576" s="18"/>
      <c r="V2576" s="18"/>
      <c r="W2576" s="18"/>
      <c r="X2576" s="18"/>
    </row>
    <row r="2577" spans="13:24">
      <c r="M2577" s="558">
        <f t="shared" si="125"/>
        <v>2575</v>
      </c>
      <c r="N2577" s="15">
        <f t="shared" si="123"/>
        <v>0.35546221454484805</v>
      </c>
      <c r="O2577" s="165">
        <f t="shared" si="124"/>
        <v>0.35546221454484805</v>
      </c>
      <c r="P2577" s="18"/>
      <c r="Q2577" s="18"/>
      <c r="R2577" s="18"/>
      <c r="S2577" s="18"/>
      <c r="T2577" s="18"/>
      <c r="U2577" s="18"/>
      <c r="V2577" s="18"/>
      <c r="W2577" s="18"/>
      <c r="X2577" s="18"/>
    </row>
    <row r="2578" spans="13:24">
      <c r="M2578" s="558">
        <f t="shared" si="125"/>
        <v>2576</v>
      </c>
      <c r="N2578" s="15">
        <f t="shared" si="123"/>
        <v>0.35538858289366126</v>
      </c>
      <c r="O2578" s="165">
        <f t="shared" si="124"/>
        <v>0.35538858289366126</v>
      </c>
      <c r="P2578" s="18"/>
      <c r="Q2578" s="18"/>
      <c r="R2578" s="18"/>
      <c r="S2578" s="18"/>
      <c r="T2578" s="18"/>
      <c r="U2578" s="18"/>
      <c r="V2578" s="18"/>
      <c r="W2578" s="18"/>
      <c r="X2578" s="18"/>
    </row>
    <row r="2579" spans="13:24">
      <c r="M2579" s="558">
        <f t="shared" si="125"/>
        <v>2577</v>
      </c>
      <c r="N2579" s="15">
        <f t="shared" si="123"/>
        <v>0.35531497917923077</v>
      </c>
      <c r="O2579" s="165">
        <f t="shared" si="124"/>
        <v>0.35531497917923077</v>
      </c>
      <c r="P2579" s="18"/>
      <c r="Q2579" s="18"/>
      <c r="R2579" s="18"/>
      <c r="S2579" s="18"/>
      <c r="T2579" s="18"/>
      <c r="U2579" s="18"/>
      <c r="V2579" s="18"/>
      <c r="W2579" s="18"/>
      <c r="X2579" s="18"/>
    </row>
    <row r="2580" spans="13:24">
      <c r="M2580" s="558">
        <f t="shared" si="125"/>
        <v>2578</v>
      </c>
      <c r="N2580" s="15">
        <f t="shared" si="123"/>
        <v>0.35524140336649829</v>
      </c>
      <c r="O2580" s="165">
        <f t="shared" si="124"/>
        <v>0.35524140336649829</v>
      </c>
      <c r="P2580" s="18"/>
      <c r="Q2580" s="18"/>
      <c r="R2580" s="18"/>
      <c r="S2580" s="18"/>
      <c r="T2580" s="18"/>
      <c r="U2580" s="18"/>
      <c r="V2580" s="18"/>
      <c r="W2580" s="18"/>
      <c r="X2580" s="18"/>
    </row>
    <row r="2581" spans="13:24">
      <c r="M2581" s="558">
        <f t="shared" si="125"/>
        <v>2579</v>
      </c>
      <c r="N2581" s="15">
        <f t="shared" si="123"/>
        <v>0.35516785542044932</v>
      </c>
      <c r="O2581" s="165">
        <f t="shared" si="124"/>
        <v>0.35516785542044932</v>
      </c>
      <c r="P2581" s="18"/>
      <c r="Q2581" s="18"/>
      <c r="R2581" s="18"/>
      <c r="S2581" s="18"/>
      <c r="T2581" s="18"/>
      <c r="U2581" s="18"/>
      <c r="V2581" s="18"/>
      <c r="W2581" s="18"/>
      <c r="X2581" s="18"/>
    </row>
    <row r="2582" spans="13:24">
      <c r="M2582" s="558">
        <f t="shared" si="125"/>
        <v>2580</v>
      </c>
      <c r="N2582" s="15">
        <f t="shared" si="123"/>
        <v>0.35509433530611345</v>
      </c>
      <c r="O2582" s="165">
        <f t="shared" si="124"/>
        <v>0.35509433530611345</v>
      </c>
      <c r="P2582" s="18"/>
      <c r="Q2582" s="18"/>
      <c r="R2582" s="18"/>
      <c r="S2582" s="18"/>
      <c r="T2582" s="18"/>
      <c r="U2582" s="18"/>
      <c r="V2582" s="18"/>
      <c r="W2582" s="18"/>
      <c r="X2582" s="18"/>
    </row>
    <row r="2583" spans="13:24">
      <c r="M2583" s="558">
        <f t="shared" si="125"/>
        <v>2581</v>
      </c>
      <c r="N2583" s="15">
        <f t="shared" si="123"/>
        <v>0.35502084298856418</v>
      </c>
      <c r="O2583" s="165">
        <f t="shared" si="124"/>
        <v>0.35502084298856418</v>
      </c>
      <c r="P2583" s="18"/>
      <c r="Q2583" s="18"/>
      <c r="R2583" s="18"/>
      <c r="S2583" s="18"/>
      <c r="T2583" s="18"/>
      <c r="U2583" s="18"/>
      <c r="V2583" s="18"/>
      <c r="W2583" s="18"/>
      <c r="X2583" s="18"/>
    </row>
    <row r="2584" spans="13:24">
      <c r="M2584" s="558">
        <f t="shared" si="125"/>
        <v>2582</v>
      </c>
      <c r="N2584" s="15">
        <f t="shared" si="123"/>
        <v>0.35494737843291879</v>
      </c>
      <c r="O2584" s="165">
        <f t="shared" si="124"/>
        <v>0.35494737843291879</v>
      </c>
      <c r="P2584" s="18"/>
      <c r="Q2584" s="18"/>
      <c r="R2584" s="18"/>
      <c r="S2584" s="18"/>
      <c r="T2584" s="18"/>
      <c r="U2584" s="18"/>
      <c r="V2584" s="18"/>
      <c r="W2584" s="18"/>
      <c r="X2584" s="18"/>
    </row>
    <row r="2585" spans="13:24">
      <c r="M2585" s="558">
        <f t="shared" si="125"/>
        <v>2583</v>
      </c>
      <c r="N2585" s="15">
        <f t="shared" si="123"/>
        <v>0.35487394160433811</v>
      </c>
      <c r="O2585" s="165">
        <f t="shared" si="124"/>
        <v>0.35487394160433811</v>
      </c>
      <c r="P2585" s="18"/>
      <c r="Q2585" s="18"/>
      <c r="R2585" s="18"/>
      <c r="S2585" s="18"/>
      <c r="T2585" s="18"/>
      <c r="U2585" s="18"/>
      <c r="V2585" s="18"/>
      <c r="W2585" s="18"/>
      <c r="X2585" s="18"/>
    </row>
    <row r="2586" spans="13:24">
      <c r="M2586" s="558">
        <f t="shared" si="125"/>
        <v>2584</v>
      </c>
      <c r="N2586" s="15">
        <f t="shared" si="123"/>
        <v>0.35480053246802717</v>
      </c>
      <c r="O2586" s="165">
        <f t="shared" si="124"/>
        <v>0.35480053246802717</v>
      </c>
      <c r="P2586" s="18"/>
      <c r="Q2586" s="18"/>
      <c r="R2586" s="18"/>
      <c r="S2586" s="18"/>
      <c r="T2586" s="18"/>
      <c r="U2586" s="18"/>
      <c r="V2586" s="18"/>
      <c r="W2586" s="18"/>
      <c r="X2586" s="18"/>
    </row>
    <row r="2587" spans="13:24">
      <c r="M2587" s="558">
        <f t="shared" si="125"/>
        <v>2585</v>
      </c>
      <c r="N2587" s="15">
        <f t="shared" si="123"/>
        <v>0.35472715098923424</v>
      </c>
      <c r="O2587" s="165">
        <f t="shared" si="124"/>
        <v>0.35472715098923424</v>
      </c>
      <c r="P2587" s="18"/>
      <c r="Q2587" s="18"/>
      <c r="R2587" s="18"/>
      <c r="S2587" s="18"/>
      <c r="T2587" s="18"/>
      <c r="U2587" s="18"/>
      <c r="V2587" s="18"/>
      <c r="W2587" s="18"/>
      <c r="X2587" s="18"/>
    </row>
    <row r="2588" spans="13:24">
      <c r="M2588" s="558">
        <f t="shared" si="125"/>
        <v>2586</v>
      </c>
      <c r="N2588" s="15">
        <f t="shared" si="123"/>
        <v>0.35465379713325135</v>
      </c>
      <c r="O2588" s="165">
        <f t="shared" si="124"/>
        <v>0.35465379713325135</v>
      </c>
      <c r="P2588" s="18"/>
      <c r="Q2588" s="18"/>
      <c r="R2588" s="18"/>
      <c r="S2588" s="18"/>
      <c r="T2588" s="18"/>
      <c r="U2588" s="18"/>
      <c r="V2588" s="18"/>
      <c r="W2588" s="18"/>
      <c r="X2588" s="18"/>
    </row>
    <row r="2589" spans="13:24">
      <c r="M2589" s="558">
        <f t="shared" si="125"/>
        <v>2587</v>
      </c>
      <c r="N2589" s="15">
        <f t="shared" si="123"/>
        <v>0.35458047086541417</v>
      </c>
      <c r="O2589" s="165">
        <f t="shared" si="124"/>
        <v>0.35458047086541417</v>
      </c>
      <c r="P2589" s="18"/>
      <c r="Q2589" s="18"/>
      <c r="R2589" s="18"/>
      <c r="S2589" s="18"/>
      <c r="T2589" s="18"/>
      <c r="U2589" s="18"/>
      <c r="V2589" s="18"/>
      <c r="W2589" s="18"/>
      <c r="X2589" s="18"/>
    </row>
    <row r="2590" spans="13:24">
      <c r="M2590" s="558">
        <f t="shared" si="125"/>
        <v>2588</v>
      </c>
      <c r="N2590" s="15">
        <f t="shared" si="123"/>
        <v>0.35450717215110178</v>
      </c>
      <c r="O2590" s="165">
        <f t="shared" si="124"/>
        <v>0.35450717215110178</v>
      </c>
      <c r="P2590" s="18"/>
      <c r="Q2590" s="18"/>
      <c r="R2590" s="18"/>
      <c r="S2590" s="18"/>
      <c r="T2590" s="18"/>
      <c r="U2590" s="18"/>
      <c r="V2590" s="18"/>
      <c r="W2590" s="18"/>
      <c r="X2590" s="18"/>
    </row>
    <row r="2591" spans="13:24">
      <c r="M2591" s="558">
        <f t="shared" si="125"/>
        <v>2589</v>
      </c>
      <c r="N2591" s="15">
        <f t="shared" si="123"/>
        <v>0.35443390095573668</v>
      </c>
      <c r="O2591" s="165">
        <f t="shared" si="124"/>
        <v>0.35443390095573668</v>
      </c>
      <c r="P2591" s="18"/>
      <c r="Q2591" s="18"/>
      <c r="R2591" s="18"/>
      <c r="S2591" s="18"/>
      <c r="T2591" s="18"/>
      <c r="U2591" s="18"/>
      <c r="V2591" s="18"/>
      <c r="W2591" s="18"/>
      <c r="X2591" s="18"/>
    </row>
    <row r="2592" spans="13:24">
      <c r="M2592" s="558">
        <f t="shared" si="125"/>
        <v>2590</v>
      </c>
      <c r="N2592" s="15">
        <f t="shared" si="123"/>
        <v>0.35436065724478483</v>
      </c>
      <c r="O2592" s="165">
        <f t="shared" si="124"/>
        <v>0.35436065724478483</v>
      </c>
      <c r="P2592" s="18"/>
      <c r="Q2592" s="18"/>
      <c r="R2592" s="18"/>
      <c r="S2592" s="18"/>
      <c r="T2592" s="18"/>
      <c r="U2592" s="18"/>
      <c r="V2592" s="18"/>
      <c r="W2592" s="18"/>
      <c r="X2592" s="18"/>
    </row>
    <row r="2593" spans="13:24">
      <c r="M2593" s="558">
        <f t="shared" si="125"/>
        <v>2591</v>
      </c>
      <c r="N2593" s="15">
        <f t="shared" si="123"/>
        <v>0.35428744098375547</v>
      </c>
      <c r="O2593" s="165">
        <f t="shared" si="124"/>
        <v>0.35428744098375547</v>
      </c>
      <c r="P2593" s="18"/>
      <c r="Q2593" s="18"/>
      <c r="R2593" s="18"/>
      <c r="S2593" s="18"/>
      <c r="T2593" s="18"/>
      <c r="U2593" s="18"/>
      <c r="V2593" s="18"/>
      <c r="W2593" s="18"/>
      <c r="X2593" s="18"/>
    </row>
    <row r="2594" spans="13:24">
      <c r="M2594" s="558">
        <f t="shared" si="125"/>
        <v>2592</v>
      </c>
      <c r="N2594" s="15">
        <f t="shared" si="123"/>
        <v>0.35421425213820118</v>
      </c>
      <c r="O2594" s="165">
        <f t="shared" si="124"/>
        <v>0.35421425213820118</v>
      </c>
      <c r="P2594" s="18"/>
      <c r="Q2594" s="18"/>
      <c r="R2594" s="18"/>
      <c r="S2594" s="18"/>
      <c r="T2594" s="18"/>
      <c r="U2594" s="18"/>
      <c r="V2594" s="18"/>
      <c r="W2594" s="18"/>
      <c r="X2594" s="18"/>
    </row>
    <row r="2595" spans="13:24">
      <c r="M2595" s="558">
        <f t="shared" si="125"/>
        <v>2593</v>
      </c>
      <c r="N2595" s="15">
        <f t="shared" si="123"/>
        <v>0.35414109067371774</v>
      </c>
      <c r="O2595" s="165">
        <f t="shared" si="124"/>
        <v>0.35414109067371774</v>
      </c>
      <c r="P2595" s="18"/>
      <c r="Q2595" s="18"/>
      <c r="R2595" s="18"/>
      <c r="S2595" s="18"/>
      <c r="T2595" s="18"/>
      <c r="U2595" s="18"/>
      <c r="V2595" s="18"/>
      <c r="W2595" s="18"/>
      <c r="X2595" s="18"/>
    </row>
    <row r="2596" spans="13:24">
      <c r="M2596" s="558">
        <f t="shared" si="125"/>
        <v>2594</v>
      </c>
      <c r="N2596" s="15">
        <f t="shared" si="123"/>
        <v>0.35406795655594403</v>
      </c>
      <c r="O2596" s="165">
        <f t="shared" si="124"/>
        <v>0.35406795655594403</v>
      </c>
      <c r="P2596" s="18"/>
      <c r="Q2596" s="18"/>
      <c r="R2596" s="18"/>
      <c r="S2596" s="18"/>
      <c r="T2596" s="18"/>
      <c r="U2596" s="18"/>
      <c r="V2596" s="18"/>
      <c r="W2596" s="18"/>
      <c r="X2596" s="18"/>
    </row>
    <row r="2597" spans="13:24">
      <c r="M2597" s="558">
        <f t="shared" si="125"/>
        <v>2595</v>
      </c>
      <c r="N2597" s="15">
        <f t="shared" si="123"/>
        <v>0.35399484975056222</v>
      </c>
      <c r="O2597" s="165">
        <f t="shared" si="124"/>
        <v>0.35399484975056222</v>
      </c>
      <c r="P2597" s="18"/>
      <c r="Q2597" s="18"/>
      <c r="R2597" s="18"/>
      <c r="S2597" s="18"/>
      <c r="T2597" s="18"/>
      <c r="U2597" s="18"/>
      <c r="V2597" s="18"/>
      <c r="W2597" s="18"/>
      <c r="X2597" s="18"/>
    </row>
    <row r="2598" spans="13:24">
      <c r="M2598" s="558">
        <f t="shared" si="125"/>
        <v>2596</v>
      </c>
      <c r="N2598" s="15">
        <f t="shared" si="123"/>
        <v>0.35392177022329746</v>
      </c>
      <c r="O2598" s="165">
        <f t="shared" si="124"/>
        <v>0.35392177022329746</v>
      </c>
      <c r="P2598" s="18"/>
      <c r="Q2598" s="18"/>
      <c r="R2598" s="18"/>
      <c r="S2598" s="18"/>
      <c r="T2598" s="18"/>
      <c r="U2598" s="18"/>
      <c r="V2598" s="18"/>
      <c r="W2598" s="18"/>
      <c r="X2598" s="18"/>
    </row>
    <row r="2599" spans="13:24">
      <c r="M2599" s="558">
        <f t="shared" si="125"/>
        <v>2597</v>
      </c>
      <c r="N2599" s="15">
        <f t="shared" si="123"/>
        <v>0.35384871793991785</v>
      </c>
      <c r="O2599" s="165">
        <f t="shared" si="124"/>
        <v>0.35384871793991785</v>
      </c>
      <c r="P2599" s="18"/>
      <c r="Q2599" s="18"/>
      <c r="R2599" s="18"/>
      <c r="S2599" s="18"/>
      <c r="T2599" s="18"/>
      <c r="U2599" s="18"/>
      <c r="V2599" s="18"/>
      <c r="W2599" s="18"/>
      <c r="X2599" s="18"/>
    </row>
    <row r="2600" spans="13:24">
      <c r="M2600" s="558">
        <f t="shared" si="125"/>
        <v>2598</v>
      </c>
      <c r="N2600" s="15">
        <f t="shared" si="123"/>
        <v>0.35377569286623445</v>
      </c>
      <c r="O2600" s="165">
        <f t="shared" si="124"/>
        <v>0.35377569286623445</v>
      </c>
      <c r="P2600" s="18"/>
      <c r="Q2600" s="18"/>
      <c r="R2600" s="18"/>
      <c r="S2600" s="18"/>
      <c r="T2600" s="18"/>
      <c r="U2600" s="18"/>
      <c r="V2600" s="18"/>
      <c r="W2600" s="18"/>
      <c r="X2600" s="18"/>
    </row>
    <row r="2601" spans="13:24">
      <c r="M2601" s="558">
        <f t="shared" si="125"/>
        <v>2599</v>
      </c>
      <c r="N2601" s="15">
        <f t="shared" si="123"/>
        <v>0.35370269496810136</v>
      </c>
      <c r="O2601" s="165">
        <f t="shared" si="124"/>
        <v>0.35370269496810136</v>
      </c>
      <c r="P2601" s="18"/>
      <c r="Q2601" s="18"/>
      <c r="R2601" s="18"/>
      <c r="S2601" s="18"/>
      <c r="T2601" s="18"/>
      <c r="U2601" s="18"/>
      <c r="V2601" s="18"/>
      <c r="W2601" s="18"/>
      <c r="X2601" s="18"/>
    </row>
    <row r="2602" spans="13:24">
      <c r="M2602" s="558">
        <f t="shared" si="125"/>
        <v>2600</v>
      </c>
      <c r="N2602" s="15">
        <f t="shared" si="123"/>
        <v>0.35362972421141547</v>
      </c>
      <c r="O2602" s="165">
        <f t="shared" si="124"/>
        <v>0.35362972421141547</v>
      </c>
      <c r="P2602" s="18"/>
      <c r="Q2602" s="18"/>
      <c r="R2602" s="18"/>
      <c r="S2602" s="18"/>
      <c r="T2602" s="18"/>
      <c r="U2602" s="18"/>
      <c r="V2602" s="18"/>
      <c r="W2602" s="18"/>
      <c r="X2602" s="18"/>
    </row>
    <row r="2603" spans="13:24">
      <c r="M2603" s="558">
        <f t="shared" si="125"/>
        <v>2601</v>
      </c>
      <c r="N2603" s="15">
        <f t="shared" si="123"/>
        <v>0.35355678056211637</v>
      </c>
      <c r="O2603" s="165">
        <f t="shared" si="124"/>
        <v>0.35355678056211637</v>
      </c>
      <c r="P2603" s="18"/>
      <c r="Q2603" s="18"/>
      <c r="R2603" s="18"/>
      <c r="S2603" s="18"/>
      <c r="T2603" s="18"/>
      <c r="U2603" s="18"/>
      <c r="V2603" s="18"/>
      <c r="W2603" s="18"/>
      <c r="X2603" s="18"/>
    </row>
    <row r="2604" spans="13:24">
      <c r="M2604" s="558">
        <f t="shared" si="125"/>
        <v>2602</v>
      </c>
      <c r="N2604" s="15">
        <f t="shared" si="123"/>
        <v>0.35348386398618653</v>
      </c>
      <c r="O2604" s="165">
        <f t="shared" si="124"/>
        <v>0.35348386398618653</v>
      </c>
      <c r="P2604" s="18"/>
      <c r="Q2604" s="18"/>
      <c r="R2604" s="18"/>
      <c r="S2604" s="18"/>
      <c r="T2604" s="18"/>
      <c r="U2604" s="18"/>
      <c r="V2604" s="18"/>
      <c r="W2604" s="18"/>
      <c r="X2604" s="18"/>
    </row>
    <row r="2605" spans="13:24">
      <c r="M2605" s="558">
        <f t="shared" si="125"/>
        <v>2603</v>
      </c>
      <c r="N2605" s="15">
        <f t="shared" si="123"/>
        <v>0.35341097444965103</v>
      </c>
      <c r="O2605" s="165">
        <f t="shared" si="124"/>
        <v>0.35341097444965103</v>
      </c>
      <c r="P2605" s="18"/>
      <c r="Q2605" s="18"/>
      <c r="R2605" s="18"/>
      <c r="S2605" s="18"/>
      <c r="T2605" s="18"/>
      <c r="U2605" s="18"/>
      <c r="V2605" s="18"/>
      <c r="W2605" s="18"/>
      <c r="X2605" s="18"/>
    </row>
    <row r="2606" spans="13:24">
      <c r="M2606" s="558">
        <f t="shared" si="125"/>
        <v>2604</v>
      </c>
      <c r="N2606" s="15">
        <f t="shared" si="123"/>
        <v>0.35333811191857756</v>
      </c>
      <c r="O2606" s="165">
        <f t="shared" si="124"/>
        <v>0.35333811191857756</v>
      </c>
      <c r="P2606" s="18"/>
      <c r="Q2606" s="18"/>
      <c r="R2606" s="18"/>
      <c r="S2606" s="18"/>
      <c r="T2606" s="18"/>
      <c r="U2606" s="18"/>
      <c r="V2606" s="18"/>
      <c r="W2606" s="18"/>
      <c r="X2606" s="18"/>
    </row>
    <row r="2607" spans="13:24">
      <c r="M2607" s="558">
        <f t="shared" si="125"/>
        <v>2605</v>
      </c>
      <c r="N2607" s="15">
        <f t="shared" si="123"/>
        <v>0.35326527635907645</v>
      </c>
      <c r="O2607" s="165">
        <f t="shared" si="124"/>
        <v>0.35326527635907645</v>
      </c>
      <c r="P2607" s="18"/>
      <c r="Q2607" s="18"/>
      <c r="R2607" s="18"/>
      <c r="S2607" s="18"/>
      <c r="T2607" s="18"/>
      <c r="U2607" s="18"/>
      <c r="V2607" s="18"/>
      <c r="W2607" s="18"/>
      <c r="X2607" s="18"/>
    </row>
    <row r="2608" spans="13:24">
      <c r="M2608" s="558">
        <f t="shared" si="125"/>
        <v>2606</v>
      </c>
      <c r="N2608" s="15">
        <f t="shared" si="123"/>
        <v>0.35319246773730056</v>
      </c>
      <c r="O2608" s="165">
        <f t="shared" si="124"/>
        <v>0.35319246773730056</v>
      </c>
      <c r="P2608" s="18"/>
      <c r="Q2608" s="18"/>
      <c r="R2608" s="18"/>
      <c r="S2608" s="18"/>
      <c r="T2608" s="18"/>
      <c r="U2608" s="18"/>
      <c r="V2608" s="18"/>
      <c r="W2608" s="18"/>
      <c r="X2608" s="18"/>
    </row>
    <row r="2609" spans="13:24">
      <c r="M2609" s="558">
        <f t="shared" si="125"/>
        <v>2607</v>
      </c>
      <c r="N2609" s="15">
        <f t="shared" si="123"/>
        <v>0.35311968601944521</v>
      </c>
      <c r="O2609" s="165">
        <f t="shared" si="124"/>
        <v>0.35311968601944521</v>
      </c>
      <c r="P2609" s="18"/>
      <c r="Q2609" s="18"/>
      <c r="R2609" s="18"/>
      <c r="S2609" s="18"/>
      <c r="T2609" s="18"/>
      <c r="U2609" s="18"/>
      <c r="V2609" s="18"/>
      <c r="W2609" s="18"/>
      <c r="X2609" s="18"/>
    </row>
    <row r="2610" spans="13:24">
      <c r="M2610" s="558">
        <f t="shared" si="125"/>
        <v>2608</v>
      </c>
      <c r="N2610" s="15">
        <f t="shared" si="123"/>
        <v>0.35304693117174818</v>
      </c>
      <c r="O2610" s="165">
        <f t="shared" si="124"/>
        <v>0.35304693117174818</v>
      </c>
      <c r="P2610" s="18"/>
      <c r="Q2610" s="18"/>
      <c r="R2610" s="18"/>
      <c r="S2610" s="18"/>
      <c r="T2610" s="18"/>
      <c r="U2610" s="18"/>
      <c r="V2610" s="18"/>
      <c r="W2610" s="18"/>
      <c r="X2610" s="18"/>
    </row>
    <row r="2611" spans="13:24">
      <c r="M2611" s="558">
        <f t="shared" si="125"/>
        <v>2609</v>
      </c>
      <c r="N2611" s="15">
        <f t="shared" si="123"/>
        <v>0.35297420316048944</v>
      </c>
      <c r="O2611" s="165">
        <f t="shared" si="124"/>
        <v>0.35297420316048944</v>
      </c>
      <c r="P2611" s="18"/>
      <c r="Q2611" s="18"/>
      <c r="R2611" s="18"/>
      <c r="S2611" s="18"/>
      <c r="T2611" s="18"/>
      <c r="U2611" s="18"/>
      <c r="V2611" s="18"/>
      <c r="W2611" s="18"/>
      <c r="X2611" s="18"/>
    </row>
    <row r="2612" spans="13:24">
      <c r="M2612" s="558">
        <f t="shared" si="125"/>
        <v>2610</v>
      </c>
      <c r="N2612" s="15">
        <f t="shared" si="123"/>
        <v>0.35290150195199155</v>
      </c>
      <c r="O2612" s="165">
        <f t="shared" si="124"/>
        <v>0.35290150195199155</v>
      </c>
      <c r="P2612" s="18"/>
      <c r="Q2612" s="18"/>
      <c r="R2612" s="18"/>
      <c r="S2612" s="18"/>
      <c r="T2612" s="18"/>
      <c r="U2612" s="18"/>
      <c r="V2612" s="18"/>
      <c r="W2612" s="18"/>
      <c r="X2612" s="18"/>
    </row>
    <row r="2613" spans="13:24">
      <c r="M2613" s="558">
        <f t="shared" si="125"/>
        <v>2611</v>
      </c>
      <c r="N2613" s="15">
        <f t="shared" si="123"/>
        <v>0.35282882751261913</v>
      </c>
      <c r="O2613" s="165">
        <f t="shared" si="124"/>
        <v>0.35282882751261913</v>
      </c>
      <c r="P2613" s="18"/>
      <c r="Q2613" s="18"/>
      <c r="R2613" s="18"/>
      <c r="S2613" s="18"/>
      <c r="T2613" s="18"/>
      <c r="U2613" s="18"/>
      <c r="V2613" s="18"/>
      <c r="W2613" s="18"/>
      <c r="X2613" s="18"/>
    </row>
    <row r="2614" spans="13:24">
      <c r="M2614" s="558">
        <f t="shared" si="125"/>
        <v>2612</v>
      </c>
      <c r="N2614" s="15">
        <f t="shared" si="123"/>
        <v>0.35275617980877916</v>
      </c>
      <c r="O2614" s="165">
        <f t="shared" si="124"/>
        <v>0.35275617980877916</v>
      </c>
      <c r="P2614" s="18"/>
      <c r="Q2614" s="18"/>
      <c r="R2614" s="18"/>
      <c r="S2614" s="18"/>
      <c r="T2614" s="18"/>
      <c r="U2614" s="18"/>
      <c r="V2614" s="18"/>
      <c r="W2614" s="18"/>
      <c r="X2614" s="18"/>
    </row>
    <row r="2615" spans="13:24">
      <c r="M2615" s="558">
        <f t="shared" si="125"/>
        <v>2613</v>
      </c>
      <c r="N2615" s="15">
        <f t="shared" si="123"/>
        <v>0.35268355880692054</v>
      </c>
      <c r="O2615" s="165">
        <f t="shared" si="124"/>
        <v>0.35268355880692054</v>
      </c>
      <c r="P2615" s="18"/>
      <c r="Q2615" s="18"/>
      <c r="R2615" s="18"/>
      <c r="S2615" s="18"/>
      <c r="T2615" s="18"/>
      <c r="U2615" s="18"/>
      <c r="V2615" s="18"/>
      <c r="W2615" s="18"/>
      <c r="X2615" s="18"/>
    </row>
    <row r="2616" spans="13:24">
      <c r="M2616" s="558">
        <f t="shared" si="125"/>
        <v>2614</v>
      </c>
      <c r="N2616" s="15">
        <f t="shared" si="123"/>
        <v>0.35261096447353457</v>
      </c>
      <c r="O2616" s="165">
        <f t="shared" si="124"/>
        <v>0.35261096447353457</v>
      </c>
      <c r="P2616" s="18"/>
      <c r="Q2616" s="18"/>
      <c r="R2616" s="18"/>
      <c r="S2616" s="18"/>
      <c r="T2616" s="18"/>
      <c r="U2616" s="18"/>
      <c r="V2616" s="18"/>
      <c r="W2616" s="18"/>
      <c r="X2616" s="18"/>
    </row>
    <row r="2617" spans="13:24">
      <c r="M2617" s="558">
        <f t="shared" si="125"/>
        <v>2615</v>
      </c>
      <c r="N2617" s="15">
        <f t="shared" si="123"/>
        <v>0.35253839677515442</v>
      </c>
      <c r="O2617" s="165">
        <f t="shared" si="124"/>
        <v>0.35253839677515442</v>
      </c>
      <c r="P2617" s="18"/>
      <c r="Q2617" s="18"/>
      <c r="R2617" s="18"/>
      <c r="S2617" s="18"/>
      <c r="T2617" s="18"/>
      <c r="U2617" s="18"/>
      <c r="V2617" s="18"/>
      <c r="W2617" s="18"/>
      <c r="X2617" s="18"/>
    </row>
    <row r="2618" spans="13:24">
      <c r="M2618" s="558">
        <f t="shared" si="125"/>
        <v>2616</v>
      </c>
      <c r="N2618" s="15">
        <f t="shared" si="123"/>
        <v>0.35246585567835526</v>
      </c>
      <c r="O2618" s="165">
        <f t="shared" si="124"/>
        <v>0.35246585567835526</v>
      </c>
      <c r="P2618" s="18"/>
      <c r="Q2618" s="18"/>
      <c r="R2618" s="18"/>
      <c r="S2618" s="18"/>
      <c r="T2618" s="18"/>
      <c r="U2618" s="18"/>
      <c r="V2618" s="18"/>
      <c r="W2618" s="18"/>
      <c r="X2618" s="18"/>
    </row>
    <row r="2619" spans="13:24">
      <c r="M2619" s="558">
        <f t="shared" si="125"/>
        <v>2617</v>
      </c>
      <c r="N2619" s="15">
        <f t="shared" si="123"/>
        <v>0.35239334114975429</v>
      </c>
      <c r="O2619" s="165">
        <f t="shared" si="124"/>
        <v>0.35239334114975429</v>
      </c>
      <c r="P2619" s="18"/>
      <c r="Q2619" s="18"/>
      <c r="R2619" s="18"/>
      <c r="S2619" s="18"/>
      <c r="T2619" s="18"/>
      <c r="U2619" s="18"/>
      <c r="V2619" s="18"/>
      <c r="W2619" s="18"/>
      <c r="X2619" s="18"/>
    </row>
    <row r="2620" spans="13:24">
      <c r="M2620" s="558">
        <f t="shared" si="125"/>
        <v>2618</v>
      </c>
      <c r="N2620" s="15">
        <f t="shared" si="123"/>
        <v>0.35232085315601058</v>
      </c>
      <c r="O2620" s="165">
        <f t="shared" si="124"/>
        <v>0.35232085315601058</v>
      </c>
      <c r="P2620" s="18"/>
      <c r="Q2620" s="18"/>
      <c r="R2620" s="18"/>
      <c r="S2620" s="18"/>
      <c r="T2620" s="18"/>
      <c r="U2620" s="18"/>
      <c r="V2620" s="18"/>
      <c r="W2620" s="18"/>
      <c r="X2620" s="18"/>
    </row>
    <row r="2621" spans="13:24">
      <c r="M2621" s="558">
        <f t="shared" si="125"/>
        <v>2619</v>
      </c>
      <c r="N2621" s="15">
        <f t="shared" si="123"/>
        <v>0.35224839166382493</v>
      </c>
      <c r="O2621" s="165">
        <f t="shared" si="124"/>
        <v>0.35224839166382493</v>
      </c>
      <c r="P2621" s="18"/>
      <c r="Q2621" s="18"/>
      <c r="R2621" s="18"/>
      <c r="S2621" s="18"/>
      <c r="T2621" s="18"/>
      <c r="U2621" s="18"/>
      <c r="V2621" s="18"/>
      <c r="W2621" s="18"/>
      <c r="X2621" s="18"/>
    </row>
    <row r="2622" spans="13:24">
      <c r="M2622" s="558">
        <f t="shared" si="125"/>
        <v>2620</v>
      </c>
      <c r="N2622" s="15">
        <f t="shared" si="123"/>
        <v>0.35217595663994</v>
      </c>
      <c r="O2622" s="165">
        <f t="shared" si="124"/>
        <v>0.35217595663994</v>
      </c>
      <c r="P2622" s="18"/>
      <c r="Q2622" s="18"/>
      <c r="R2622" s="18"/>
      <c r="S2622" s="18"/>
      <c r="T2622" s="18"/>
      <c r="U2622" s="18"/>
      <c r="V2622" s="18"/>
      <c r="W2622" s="18"/>
      <c r="X2622" s="18"/>
    </row>
    <row r="2623" spans="13:24">
      <c r="M2623" s="558">
        <f t="shared" si="125"/>
        <v>2621</v>
      </c>
      <c r="N2623" s="15">
        <f t="shared" si="123"/>
        <v>0.3521035480511403</v>
      </c>
      <c r="O2623" s="165">
        <f t="shared" si="124"/>
        <v>0.3521035480511403</v>
      </c>
      <c r="P2623" s="18"/>
      <c r="Q2623" s="18"/>
      <c r="R2623" s="18"/>
      <c r="S2623" s="18"/>
      <c r="T2623" s="18"/>
      <c r="U2623" s="18"/>
      <c r="V2623" s="18"/>
      <c r="W2623" s="18"/>
      <c r="X2623" s="18"/>
    </row>
    <row r="2624" spans="13:24">
      <c r="M2624" s="558">
        <f t="shared" si="125"/>
        <v>2622</v>
      </c>
      <c r="N2624" s="15">
        <f t="shared" si="123"/>
        <v>0.35203116586425193</v>
      </c>
      <c r="O2624" s="165">
        <f t="shared" si="124"/>
        <v>0.35203116586425193</v>
      </c>
      <c r="P2624" s="18"/>
      <c r="Q2624" s="18"/>
      <c r="R2624" s="18"/>
      <c r="S2624" s="18"/>
      <c r="T2624" s="18"/>
      <c r="U2624" s="18"/>
      <c r="V2624" s="18"/>
      <c r="W2624" s="18"/>
      <c r="X2624" s="18"/>
    </row>
    <row r="2625" spans="13:24">
      <c r="M2625" s="558">
        <f t="shared" si="125"/>
        <v>2623</v>
      </c>
      <c r="N2625" s="15">
        <f t="shared" si="123"/>
        <v>0.35195881004614249</v>
      </c>
      <c r="O2625" s="165">
        <f t="shared" si="124"/>
        <v>0.35195881004614249</v>
      </c>
      <c r="P2625" s="18"/>
      <c r="Q2625" s="18"/>
      <c r="R2625" s="18"/>
      <c r="S2625" s="18"/>
      <c r="T2625" s="18"/>
      <c r="U2625" s="18"/>
      <c r="V2625" s="18"/>
      <c r="W2625" s="18"/>
      <c r="X2625" s="18"/>
    </row>
    <row r="2626" spans="13:24">
      <c r="M2626" s="558">
        <f t="shared" si="125"/>
        <v>2624</v>
      </c>
      <c r="N2626" s="15">
        <f t="shared" si="123"/>
        <v>0.35188648056372129</v>
      </c>
      <c r="O2626" s="165">
        <f t="shared" si="124"/>
        <v>0.35188648056372129</v>
      </c>
      <c r="P2626" s="18"/>
      <c r="Q2626" s="18"/>
      <c r="R2626" s="18"/>
      <c r="S2626" s="18"/>
      <c r="T2626" s="18"/>
      <c r="U2626" s="18"/>
      <c r="V2626" s="18"/>
      <c r="W2626" s="18"/>
      <c r="X2626" s="18"/>
    </row>
    <row r="2627" spans="13:24">
      <c r="M2627" s="558">
        <f t="shared" si="125"/>
        <v>2625</v>
      </c>
      <c r="N2627" s="15">
        <f t="shared" si="123"/>
        <v>0.35181417738393927</v>
      </c>
      <c r="O2627" s="165">
        <f t="shared" si="124"/>
        <v>0.35181417738393927</v>
      </c>
      <c r="P2627" s="18"/>
      <c r="Q2627" s="18"/>
      <c r="R2627" s="18"/>
      <c r="S2627" s="18"/>
      <c r="T2627" s="18"/>
      <c r="U2627" s="18"/>
      <c r="V2627" s="18"/>
      <c r="W2627" s="18"/>
      <c r="X2627" s="18"/>
    </row>
    <row r="2628" spans="13:24">
      <c r="M2628" s="558">
        <f t="shared" si="125"/>
        <v>2626</v>
      </c>
      <c r="N2628" s="15">
        <f t="shared" ref="N2628:N2691" si="126">IF(M2628&lt;$B$31+1,$B$32+$B$33/$B$31*(8760-M2628)+$B$34*IF(M2628&lt;$B$36-$B$31/(2*$B$35),1,IF(M2628&lt;$B$36+$B$31/(2*$B$35),COS(PI()/2*(M2628-($B$36-$B$31/(2*$B$35)))*$B$35/$B$31)^2,0))+$B$37*EXP((8760-M2628)/8760*$B$38)/EXP($B$38)-(8760-$B$31)*$B$33/$B$31,0)</f>
        <v>0.35174190047378873</v>
      </c>
      <c r="O2628" s="165">
        <f t="shared" ref="O2628:O2691" si="127">MIN(N2628,C$24)</f>
        <v>0.35174190047378873</v>
      </c>
      <c r="P2628" s="18"/>
      <c r="Q2628" s="18"/>
      <c r="R2628" s="18"/>
      <c r="S2628" s="18"/>
      <c r="T2628" s="18"/>
      <c r="U2628" s="18"/>
      <c r="V2628" s="18"/>
      <c r="W2628" s="18"/>
      <c r="X2628" s="18"/>
    </row>
    <row r="2629" spans="13:24">
      <c r="M2629" s="558">
        <f t="shared" ref="M2629:M2692" si="128">M2628+1</f>
        <v>2627</v>
      </c>
      <c r="N2629" s="15">
        <f t="shared" si="126"/>
        <v>0.3516696498003033</v>
      </c>
      <c r="O2629" s="165">
        <f t="shared" si="127"/>
        <v>0.3516696498003033</v>
      </c>
      <c r="P2629" s="18"/>
      <c r="Q2629" s="18"/>
      <c r="R2629" s="18"/>
      <c r="S2629" s="18"/>
      <c r="T2629" s="18"/>
      <c r="U2629" s="18"/>
      <c r="V2629" s="18"/>
      <c r="W2629" s="18"/>
      <c r="X2629" s="18"/>
    </row>
    <row r="2630" spans="13:24">
      <c r="M2630" s="558">
        <f t="shared" si="128"/>
        <v>2628</v>
      </c>
      <c r="N2630" s="15">
        <f t="shared" si="126"/>
        <v>0.35159742533055799</v>
      </c>
      <c r="O2630" s="165">
        <f t="shared" si="127"/>
        <v>0.35159742533055799</v>
      </c>
      <c r="P2630" s="18"/>
      <c r="Q2630" s="18"/>
      <c r="R2630" s="18"/>
      <c r="S2630" s="18"/>
      <c r="T2630" s="18"/>
      <c r="U2630" s="18"/>
      <c r="V2630" s="18"/>
      <c r="W2630" s="18"/>
      <c r="X2630" s="18"/>
    </row>
    <row r="2631" spans="13:24">
      <c r="M2631" s="558">
        <f t="shared" si="128"/>
        <v>2629</v>
      </c>
      <c r="N2631" s="15">
        <f t="shared" si="126"/>
        <v>0.35152522703166944</v>
      </c>
      <c r="O2631" s="165">
        <f t="shared" si="127"/>
        <v>0.35152522703166944</v>
      </c>
      <c r="P2631" s="18"/>
      <c r="Q2631" s="18"/>
      <c r="R2631" s="18"/>
      <c r="S2631" s="18"/>
      <c r="T2631" s="18"/>
      <c r="U2631" s="18"/>
      <c r="V2631" s="18"/>
      <c r="W2631" s="18"/>
      <c r="X2631" s="18"/>
    </row>
    <row r="2632" spans="13:24">
      <c r="M2632" s="558">
        <f t="shared" si="128"/>
        <v>2630</v>
      </c>
      <c r="N2632" s="15">
        <f t="shared" si="126"/>
        <v>0.3514530548707952</v>
      </c>
      <c r="O2632" s="165">
        <f t="shared" si="127"/>
        <v>0.3514530548707952</v>
      </c>
      <c r="P2632" s="18"/>
      <c r="Q2632" s="18"/>
      <c r="R2632" s="18"/>
      <c r="S2632" s="18"/>
      <c r="T2632" s="18"/>
      <c r="U2632" s="18"/>
      <c r="V2632" s="18"/>
      <c r="W2632" s="18"/>
      <c r="X2632" s="18"/>
    </row>
    <row r="2633" spans="13:24">
      <c r="M2633" s="558">
        <f t="shared" si="128"/>
        <v>2631</v>
      </c>
      <c r="N2633" s="15">
        <f t="shared" si="126"/>
        <v>0.35138090881513423</v>
      </c>
      <c r="O2633" s="165">
        <f t="shared" si="127"/>
        <v>0.35138090881513423</v>
      </c>
      <c r="P2633" s="18"/>
      <c r="Q2633" s="18"/>
      <c r="R2633" s="18"/>
      <c r="S2633" s="18"/>
      <c r="T2633" s="18"/>
      <c r="U2633" s="18"/>
      <c r="V2633" s="18"/>
      <c r="W2633" s="18"/>
      <c r="X2633" s="18"/>
    </row>
    <row r="2634" spans="13:24">
      <c r="M2634" s="558">
        <f t="shared" si="128"/>
        <v>2632</v>
      </c>
      <c r="N2634" s="15">
        <f t="shared" si="126"/>
        <v>0.3513087888319264</v>
      </c>
      <c r="O2634" s="165">
        <f t="shared" si="127"/>
        <v>0.3513087888319264</v>
      </c>
      <c r="P2634" s="18"/>
      <c r="Q2634" s="18"/>
      <c r="R2634" s="18"/>
      <c r="S2634" s="18"/>
      <c r="T2634" s="18"/>
      <c r="U2634" s="18"/>
      <c r="V2634" s="18"/>
      <c r="W2634" s="18"/>
      <c r="X2634" s="18"/>
    </row>
    <row r="2635" spans="13:24">
      <c r="M2635" s="558">
        <f t="shared" si="128"/>
        <v>2633</v>
      </c>
      <c r="N2635" s="15">
        <f t="shared" si="126"/>
        <v>0.35123669488845305</v>
      </c>
      <c r="O2635" s="165">
        <f t="shared" si="127"/>
        <v>0.35123669488845305</v>
      </c>
      <c r="P2635" s="18"/>
      <c r="Q2635" s="18"/>
      <c r="R2635" s="18"/>
      <c r="S2635" s="18"/>
      <c r="T2635" s="18"/>
      <c r="U2635" s="18"/>
      <c r="V2635" s="18"/>
      <c r="W2635" s="18"/>
      <c r="X2635" s="18"/>
    </row>
    <row r="2636" spans="13:24">
      <c r="M2636" s="558">
        <f t="shared" si="128"/>
        <v>2634</v>
      </c>
      <c r="N2636" s="15">
        <f t="shared" si="126"/>
        <v>0.35116462695203637</v>
      </c>
      <c r="O2636" s="165">
        <f t="shared" si="127"/>
        <v>0.35116462695203637</v>
      </c>
      <c r="P2636" s="18"/>
      <c r="Q2636" s="18"/>
      <c r="R2636" s="18"/>
      <c r="S2636" s="18"/>
      <c r="T2636" s="18"/>
      <c r="U2636" s="18"/>
      <c r="V2636" s="18"/>
      <c r="W2636" s="18"/>
      <c r="X2636" s="18"/>
    </row>
    <row r="2637" spans="13:24">
      <c r="M2637" s="558">
        <f t="shared" si="128"/>
        <v>2635</v>
      </c>
      <c r="N2637" s="15">
        <f t="shared" si="126"/>
        <v>0.35109258499003954</v>
      </c>
      <c r="O2637" s="165">
        <f t="shared" si="127"/>
        <v>0.35109258499003954</v>
      </c>
      <c r="P2637" s="18"/>
      <c r="Q2637" s="18"/>
      <c r="R2637" s="18"/>
      <c r="S2637" s="18"/>
      <c r="T2637" s="18"/>
      <c r="U2637" s="18"/>
      <c r="V2637" s="18"/>
      <c r="W2637" s="18"/>
      <c r="X2637" s="18"/>
    </row>
    <row r="2638" spans="13:24">
      <c r="M2638" s="558">
        <f t="shared" si="128"/>
        <v>2636</v>
      </c>
      <c r="N2638" s="15">
        <f t="shared" si="126"/>
        <v>0.35102056896986683</v>
      </c>
      <c r="O2638" s="165">
        <f t="shared" si="127"/>
        <v>0.35102056896986683</v>
      </c>
      <c r="P2638" s="18"/>
      <c r="Q2638" s="18"/>
      <c r="R2638" s="18"/>
      <c r="S2638" s="18"/>
      <c r="T2638" s="18"/>
      <c r="U2638" s="18"/>
      <c r="V2638" s="18"/>
      <c r="W2638" s="18"/>
      <c r="X2638" s="18"/>
    </row>
    <row r="2639" spans="13:24">
      <c r="M2639" s="558">
        <f t="shared" si="128"/>
        <v>2637</v>
      </c>
      <c r="N2639" s="15">
        <f t="shared" si="126"/>
        <v>0.3509485788589633</v>
      </c>
      <c r="O2639" s="165">
        <f t="shared" si="127"/>
        <v>0.3509485788589633</v>
      </c>
      <c r="P2639" s="18"/>
      <c r="Q2639" s="18"/>
      <c r="R2639" s="18"/>
      <c r="S2639" s="18"/>
      <c r="T2639" s="18"/>
      <c r="U2639" s="18"/>
      <c r="V2639" s="18"/>
      <c r="W2639" s="18"/>
      <c r="X2639" s="18"/>
    </row>
    <row r="2640" spans="13:24">
      <c r="M2640" s="558">
        <f t="shared" si="128"/>
        <v>2638</v>
      </c>
      <c r="N2640" s="15">
        <f t="shared" si="126"/>
        <v>0.3508766146248149</v>
      </c>
      <c r="O2640" s="165">
        <f t="shared" si="127"/>
        <v>0.3508766146248149</v>
      </c>
      <c r="P2640" s="18"/>
      <c r="Q2640" s="18"/>
      <c r="R2640" s="18"/>
      <c r="S2640" s="18"/>
      <c r="T2640" s="18"/>
      <c r="U2640" s="18"/>
      <c r="V2640" s="18"/>
      <c r="W2640" s="18"/>
      <c r="X2640" s="18"/>
    </row>
    <row r="2641" spans="13:24">
      <c r="M2641" s="558">
        <f t="shared" si="128"/>
        <v>2639</v>
      </c>
      <c r="N2641" s="15">
        <f t="shared" si="126"/>
        <v>0.35080467623494827</v>
      </c>
      <c r="O2641" s="165">
        <f t="shared" si="127"/>
        <v>0.35080467623494827</v>
      </c>
      <c r="P2641" s="18"/>
      <c r="Q2641" s="18"/>
      <c r="R2641" s="18"/>
      <c r="S2641" s="18"/>
      <c r="T2641" s="18"/>
      <c r="U2641" s="18"/>
      <c r="V2641" s="18"/>
      <c r="W2641" s="18"/>
      <c r="X2641" s="18"/>
    </row>
    <row r="2642" spans="13:24">
      <c r="M2642" s="558">
        <f t="shared" si="128"/>
        <v>2640</v>
      </c>
      <c r="N2642" s="15">
        <f t="shared" si="126"/>
        <v>0.35073276365693112</v>
      </c>
      <c r="O2642" s="165">
        <f t="shared" si="127"/>
        <v>0.35073276365693112</v>
      </c>
      <c r="P2642" s="18"/>
      <c r="Q2642" s="18"/>
      <c r="R2642" s="18"/>
      <c r="S2642" s="18"/>
      <c r="T2642" s="18"/>
      <c r="U2642" s="18"/>
      <c r="V2642" s="18"/>
      <c r="W2642" s="18"/>
      <c r="X2642" s="18"/>
    </row>
    <row r="2643" spans="13:24">
      <c r="M2643" s="558">
        <f t="shared" si="128"/>
        <v>2641</v>
      </c>
      <c r="N2643" s="15">
        <f t="shared" si="126"/>
        <v>0.3506608768583715</v>
      </c>
      <c r="O2643" s="165">
        <f t="shared" si="127"/>
        <v>0.3506608768583715</v>
      </c>
      <c r="P2643" s="18"/>
      <c r="Q2643" s="18"/>
      <c r="R2643" s="18"/>
      <c r="S2643" s="18"/>
      <c r="T2643" s="18"/>
      <c r="U2643" s="18"/>
      <c r="V2643" s="18"/>
      <c r="W2643" s="18"/>
      <c r="X2643" s="18"/>
    </row>
    <row r="2644" spans="13:24">
      <c r="M2644" s="558">
        <f t="shared" si="128"/>
        <v>2642</v>
      </c>
      <c r="N2644" s="15">
        <f t="shared" si="126"/>
        <v>0.35058901580691831</v>
      </c>
      <c r="O2644" s="165">
        <f t="shared" si="127"/>
        <v>0.35058901580691831</v>
      </c>
      <c r="P2644" s="18"/>
      <c r="Q2644" s="18"/>
      <c r="R2644" s="18"/>
      <c r="S2644" s="18"/>
      <c r="T2644" s="18"/>
      <c r="U2644" s="18"/>
      <c r="V2644" s="18"/>
      <c r="W2644" s="18"/>
      <c r="X2644" s="18"/>
    </row>
    <row r="2645" spans="13:24">
      <c r="M2645" s="558">
        <f t="shared" si="128"/>
        <v>2643</v>
      </c>
      <c r="N2645" s="15">
        <f t="shared" si="126"/>
        <v>0.35051718047026098</v>
      </c>
      <c r="O2645" s="165">
        <f t="shared" si="127"/>
        <v>0.35051718047026098</v>
      </c>
      <c r="P2645" s="18"/>
      <c r="Q2645" s="18"/>
      <c r="R2645" s="18"/>
      <c r="S2645" s="18"/>
      <c r="T2645" s="18"/>
      <c r="U2645" s="18"/>
      <c r="V2645" s="18"/>
      <c r="W2645" s="18"/>
      <c r="X2645" s="18"/>
    </row>
    <row r="2646" spans="13:24">
      <c r="M2646" s="558">
        <f t="shared" si="128"/>
        <v>2644</v>
      </c>
      <c r="N2646" s="15">
        <f t="shared" si="126"/>
        <v>0.35044537081612953</v>
      </c>
      <c r="O2646" s="165">
        <f t="shared" si="127"/>
        <v>0.35044537081612953</v>
      </c>
      <c r="P2646" s="18"/>
      <c r="Q2646" s="18"/>
      <c r="R2646" s="18"/>
      <c r="S2646" s="18"/>
      <c r="T2646" s="18"/>
      <c r="U2646" s="18"/>
      <c r="V2646" s="18"/>
      <c r="W2646" s="18"/>
      <c r="X2646" s="18"/>
    </row>
    <row r="2647" spans="13:24">
      <c r="M2647" s="558">
        <f t="shared" si="128"/>
        <v>2645</v>
      </c>
      <c r="N2647" s="15">
        <f t="shared" si="126"/>
        <v>0.35037358681229447</v>
      </c>
      <c r="O2647" s="165">
        <f t="shared" si="127"/>
        <v>0.35037358681229447</v>
      </c>
      <c r="P2647" s="18"/>
      <c r="Q2647" s="18"/>
      <c r="R2647" s="18"/>
      <c r="S2647" s="18"/>
      <c r="T2647" s="18"/>
      <c r="U2647" s="18"/>
      <c r="V2647" s="18"/>
      <c r="W2647" s="18"/>
      <c r="X2647" s="18"/>
    </row>
    <row r="2648" spans="13:24">
      <c r="M2648" s="558">
        <f t="shared" si="128"/>
        <v>2646</v>
      </c>
      <c r="N2648" s="15">
        <f t="shared" si="126"/>
        <v>0.35030182842656671</v>
      </c>
      <c r="O2648" s="165">
        <f t="shared" si="127"/>
        <v>0.35030182842656671</v>
      </c>
      <c r="P2648" s="18"/>
      <c r="Q2648" s="18"/>
      <c r="R2648" s="18"/>
      <c r="S2648" s="18"/>
      <c r="T2648" s="18"/>
      <c r="U2648" s="18"/>
      <c r="V2648" s="18"/>
      <c r="W2648" s="18"/>
      <c r="X2648" s="18"/>
    </row>
    <row r="2649" spans="13:24">
      <c r="M2649" s="558">
        <f t="shared" si="128"/>
        <v>2647</v>
      </c>
      <c r="N2649" s="15">
        <f t="shared" si="126"/>
        <v>0.35023009562679752</v>
      </c>
      <c r="O2649" s="165">
        <f t="shared" si="127"/>
        <v>0.35023009562679752</v>
      </c>
      <c r="P2649" s="18"/>
      <c r="Q2649" s="18"/>
      <c r="R2649" s="18"/>
      <c r="S2649" s="18"/>
      <c r="T2649" s="18"/>
      <c r="U2649" s="18"/>
      <c r="V2649" s="18"/>
      <c r="W2649" s="18"/>
      <c r="X2649" s="18"/>
    </row>
    <row r="2650" spans="13:24">
      <c r="M2650" s="558">
        <f t="shared" si="128"/>
        <v>2648</v>
      </c>
      <c r="N2650" s="15">
        <f t="shared" si="126"/>
        <v>0.3501583883808787</v>
      </c>
      <c r="O2650" s="165">
        <f t="shared" si="127"/>
        <v>0.3501583883808787</v>
      </c>
      <c r="P2650" s="18"/>
      <c r="Q2650" s="18"/>
      <c r="R2650" s="18"/>
      <c r="S2650" s="18"/>
      <c r="T2650" s="18"/>
      <c r="U2650" s="18"/>
      <c r="V2650" s="18"/>
      <c r="W2650" s="18"/>
      <c r="X2650" s="18"/>
    </row>
    <row r="2651" spans="13:24">
      <c r="M2651" s="558">
        <f t="shared" si="128"/>
        <v>2649</v>
      </c>
      <c r="N2651" s="15">
        <f t="shared" si="126"/>
        <v>0.35008670665674219</v>
      </c>
      <c r="O2651" s="165">
        <f t="shared" si="127"/>
        <v>0.35008670665674219</v>
      </c>
      <c r="P2651" s="18"/>
      <c r="Q2651" s="18"/>
      <c r="R2651" s="18"/>
      <c r="S2651" s="18"/>
      <c r="T2651" s="18"/>
      <c r="U2651" s="18"/>
      <c r="V2651" s="18"/>
      <c r="W2651" s="18"/>
      <c r="X2651" s="18"/>
    </row>
    <row r="2652" spans="13:24">
      <c r="M2652" s="558">
        <f t="shared" si="128"/>
        <v>2650</v>
      </c>
      <c r="N2652" s="15">
        <f t="shared" si="126"/>
        <v>0.35001505042236009</v>
      </c>
      <c r="O2652" s="165">
        <f t="shared" si="127"/>
        <v>0.35001505042236009</v>
      </c>
      <c r="P2652" s="18"/>
      <c r="Q2652" s="18"/>
      <c r="R2652" s="18"/>
      <c r="S2652" s="18"/>
      <c r="T2652" s="18"/>
      <c r="U2652" s="18"/>
      <c r="V2652" s="18"/>
      <c r="W2652" s="18"/>
      <c r="X2652" s="18"/>
    </row>
    <row r="2653" spans="13:24">
      <c r="M2653" s="558">
        <f t="shared" si="128"/>
        <v>2651</v>
      </c>
      <c r="N2653" s="15">
        <f t="shared" si="126"/>
        <v>0.34994341964574494</v>
      </c>
      <c r="O2653" s="165">
        <f t="shared" si="127"/>
        <v>0.34994341964574494</v>
      </c>
      <c r="P2653" s="18"/>
      <c r="Q2653" s="18"/>
      <c r="R2653" s="18"/>
      <c r="S2653" s="18"/>
      <c r="T2653" s="18"/>
      <c r="U2653" s="18"/>
      <c r="V2653" s="18"/>
      <c r="W2653" s="18"/>
      <c r="X2653" s="18"/>
    </row>
    <row r="2654" spans="13:24">
      <c r="M2654" s="558">
        <f t="shared" si="128"/>
        <v>2652</v>
      </c>
      <c r="N2654" s="15">
        <f t="shared" si="126"/>
        <v>0.34987181429494923</v>
      </c>
      <c r="O2654" s="165">
        <f t="shared" si="127"/>
        <v>0.34987181429494923</v>
      </c>
      <c r="P2654" s="18"/>
      <c r="Q2654" s="18"/>
      <c r="R2654" s="18"/>
      <c r="S2654" s="18"/>
      <c r="T2654" s="18"/>
      <c r="U2654" s="18"/>
      <c r="V2654" s="18"/>
      <c r="W2654" s="18"/>
      <c r="X2654" s="18"/>
    </row>
    <row r="2655" spans="13:24">
      <c r="M2655" s="558">
        <f t="shared" si="128"/>
        <v>2653</v>
      </c>
      <c r="N2655" s="15">
        <f t="shared" si="126"/>
        <v>0.34980023433806562</v>
      </c>
      <c r="O2655" s="165">
        <f t="shared" si="127"/>
        <v>0.34980023433806562</v>
      </c>
      <c r="P2655" s="18"/>
      <c r="Q2655" s="18"/>
      <c r="R2655" s="18"/>
      <c r="S2655" s="18"/>
      <c r="T2655" s="18"/>
      <c r="U2655" s="18"/>
      <c r="V2655" s="18"/>
      <c r="W2655" s="18"/>
      <c r="X2655" s="18"/>
    </row>
    <row r="2656" spans="13:24">
      <c r="M2656" s="558">
        <f t="shared" si="128"/>
        <v>2654</v>
      </c>
      <c r="N2656" s="15">
        <f t="shared" si="126"/>
        <v>0.34972867974322669</v>
      </c>
      <c r="O2656" s="165">
        <f t="shared" si="127"/>
        <v>0.34972867974322669</v>
      </c>
      <c r="P2656" s="18"/>
      <c r="Q2656" s="18"/>
      <c r="R2656" s="18"/>
      <c r="S2656" s="18"/>
      <c r="T2656" s="18"/>
      <c r="U2656" s="18"/>
      <c r="V2656" s="18"/>
      <c r="W2656" s="18"/>
      <c r="X2656" s="18"/>
    </row>
    <row r="2657" spans="13:24">
      <c r="M2657" s="558">
        <f t="shared" si="128"/>
        <v>2655</v>
      </c>
      <c r="N2657" s="15">
        <f t="shared" si="126"/>
        <v>0.34965715047860524</v>
      </c>
      <c r="O2657" s="165">
        <f t="shared" si="127"/>
        <v>0.34965715047860524</v>
      </c>
      <c r="P2657" s="18"/>
      <c r="Q2657" s="18"/>
      <c r="R2657" s="18"/>
      <c r="S2657" s="18"/>
      <c r="T2657" s="18"/>
      <c r="U2657" s="18"/>
      <c r="V2657" s="18"/>
      <c r="W2657" s="18"/>
      <c r="X2657" s="18"/>
    </row>
    <row r="2658" spans="13:24">
      <c r="M2658" s="558">
        <f t="shared" si="128"/>
        <v>2656</v>
      </c>
      <c r="N2658" s="15">
        <f t="shared" si="126"/>
        <v>0.34958564651241386</v>
      </c>
      <c r="O2658" s="165">
        <f t="shared" si="127"/>
        <v>0.34958564651241386</v>
      </c>
      <c r="P2658" s="18"/>
      <c r="Q2658" s="18"/>
      <c r="R2658" s="18"/>
      <c r="S2658" s="18"/>
      <c r="T2658" s="18"/>
      <c r="U2658" s="18"/>
      <c r="V2658" s="18"/>
      <c r="W2658" s="18"/>
      <c r="X2658" s="18"/>
    </row>
    <row r="2659" spans="13:24">
      <c r="M2659" s="558">
        <f t="shared" si="128"/>
        <v>2657</v>
      </c>
      <c r="N2659" s="15">
        <f t="shared" si="126"/>
        <v>0.34951416781290506</v>
      </c>
      <c r="O2659" s="165">
        <f t="shared" si="127"/>
        <v>0.34951416781290506</v>
      </c>
      <c r="P2659" s="18"/>
      <c r="Q2659" s="18"/>
      <c r="R2659" s="18"/>
      <c r="S2659" s="18"/>
      <c r="T2659" s="18"/>
      <c r="U2659" s="18"/>
      <c r="V2659" s="18"/>
      <c r="W2659" s="18"/>
      <c r="X2659" s="18"/>
    </row>
    <row r="2660" spans="13:24">
      <c r="M2660" s="558">
        <f t="shared" si="128"/>
        <v>2658</v>
      </c>
      <c r="N2660" s="15">
        <f t="shared" si="126"/>
        <v>0.3494427143483711</v>
      </c>
      <c r="O2660" s="165">
        <f t="shared" si="127"/>
        <v>0.3494427143483711</v>
      </c>
      <c r="P2660" s="18"/>
      <c r="Q2660" s="18"/>
      <c r="R2660" s="18"/>
      <c r="S2660" s="18"/>
      <c r="T2660" s="18"/>
      <c r="U2660" s="18"/>
      <c r="V2660" s="18"/>
      <c r="W2660" s="18"/>
      <c r="X2660" s="18"/>
    </row>
    <row r="2661" spans="13:24">
      <c r="M2661" s="558">
        <f t="shared" si="128"/>
        <v>2659</v>
      </c>
      <c r="N2661" s="15">
        <f t="shared" si="126"/>
        <v>0.34937128608714418</v>
      </c>
      <c r="O2661" s="165">
        <f t="shared" si="127"/>
        <v>0.34937128608714418</v>
      </c>
      <c r="P2661" s="18"/>
      <c r="Q2661" s="18"/>
      <c r="R2661" s="18"/>
      <c r="S2661" s="18"/>
      <c r="T2661" s="18"/>
      <c r="U2661" s="18"/>
      <c r="V2661" s="18"/>
      <c r="W2661" s="18"/>
      <c r="X2661" s="18"/>
    </row>
    <row r="2662" spans="13:24">
      <c r="M2662" s="558">
        <f t="shared" si="128"/>
        <v>2660</v>
      </c>
      <c r="N2662" s="15">
        <f t="shared" si="126"/>
        <v>0.34929988299759612</v>
      </c>
      <c r="O2662" s="165">
        <f t="shared" si="127"/>
        <v>0.34929988299759612</v>
      </c>
      <c r="P2662" s="18"/>
      <c r="Q2662" s="18"/>
      <c r="R2662" s="18"/>
      <c r="S2662" s="18"/>
      <c r="T2662" s="18"/>
      <c r="U2662" s="18"/>
      <c r="V2662" s="18"/>
      <c r="W2662" s="18"/>
      <c r="X2662" s="18"/>
    </row>
    <row r="2663" spans="13:24">
      <c r="M2663" s="558">
        <f t="shared" si="128"/>
        <v>2661</v>
      </c>
      <c r="N2663" s="15">
        <f t="shared" si="126"/>
        <v>0.34922850504813857</v>
      </c>
      <c r="O2663" s="165">
        <f t="shared" si="127"/>
        <v>0.34922850504813857</v>
      </c>
      <c r="P2663" s="18"/>
      <c r="Q2663" s="18"/>
      <c r="R2663" s="18"/>
      <c r="S2663" s="18"/>
      <c r="T2663" s="18"/>
      <c r="U2663" s="18"/>
      <c r="V2663" s="18"/>
      <c r="W2663" s="18"/>
      <c r="X2663" s="18"/>
    </row>
    <row r="2664" spans="13:24">
      <c r="M2664" s="558">
        <f t="shared" si="128"/>
        <v>2662</v>
      </c>
      <c r="N2664" s="15">
        <f t="shared" si="126"/>
        <v>0.34915715220722265</v>
      </c>
      <c r="O2664" s="165">
        <f t="shared" si="127"/>
        <v>0.34915715220722265</v>
      </c>
      <c r="P2664" s="18"/>
      <c r="Q2664" s="18"/>
      <c r="R2664" s="18"/>
      <c r="S2664" s="18"/>
      <c r="T2664" s="18"/>
      <c r="U2664" s="18"/>
      <c r="V2664" s="18"/>
      <c r="W2664" s="18"/>
      <c r="X2664" s="18"/>
    </row>
    <row r="2665" spans="13:24">
      <c r="M2665" s="558">
        <f t="shared" si="128"/>
        <v>2663</v>
      </c>
      <c r="N2665" s="15">
        <f t="shared" si="126"/>
        <v>0.34908582444333924</v>
      </c>
      <c r="O2665" s="165">
        <f t="shared" si="127"/>
        <v>0.34908582444333924</v>
      </c>
      <c r="P2665" s="18"/>
      <c r="Q2665" s="18"/>
      <c r="R2665" s="18"/>
      <c r="S2665" s="18"/>
      <c r="T2665" s="18"/>
      <c r="U2665" s="18"/>
      <c r="V2665" s="18"/>
      <c r="W2665" s="18"/>
      <c r="X2665" s="18"/>
    </row>
    <row r="2666" spans="13:24">
      <c r="M2666" s="558">
        <f t="shared" si="128"/>
        <v>2664</v>
      </c>
      <c r="N2666" s="15">
        <f t="shared" si="126"/>
        <v>0.34901452172501857</v>
      </c>
      <c r="O2666" s="165">
        <f t="shared" si="127"/>
        <v>0.34901452172501857</v>
      </c>
      <c r="P2666" s="18"/>
      <c r="Q2666" s="18"/>
      <c r="R2666" s="18"/>
      <c r="S2666" s="18"/>
      <c r="T2666" s="18"/>
      <c r="U2666" s="18"/>
      <c r="V2666" s="18"/>
      <c r="W2666" s="18"/>
      <c r="X2666" s="18"/>
    </row>
    <row r="2667" spans="13:24">
      <c r="M2667" s="558">
        <f t="shared" si="128"/>
        <v>2665</v>
      </c>
      <c r="N2667" s="15">
        <f t="shared" si="126"/>
        <v>0.34894324402083055</v>
      </c>
      <c r="O2667" s="165">
        <f t="shared" si="127"/>
        <v>0.34894324402083055</v>
      </c>
      <c r="P2667" s="18"/>
      <c r="Q2667" s="18"/>
      <c r="R2667" s="18"/>
      <c r="S2667" s="18"/>
      <c r="T2667" s="18"/>
      <c r="U2667" s="18"/>
      <c r="V2667" s="18"/>
      <c r="W2667" s="18"/>
      <c r="X2667" s="18"/>
    </row>
    <row r="2668" spans="13:24">
      <c r="M2668" s="558">
        <f t="shared" si="128"/>
        <v>2666</v>
      </c>
      <c r="N2668" s="15">
        <f t="shared" si="126"/>
        <v>0.34887199129938445</v>
      </c>
      <c r="O2668" s="165">
        <f t="shared" si="127"/>
        <v>0.34887199129938445</v>
      </c>
      <c r="P2668" s="18"/>
      <c r="Q2668" s="18"/>
      <c r="R2668" s="18"/>
      <c r="S2668" s="18"/>
      <c r="T2668" s="18"/>
      <c r="U2668" s="18"/>
      <c r="V2668" s="18"/>
      <c r="W2668" s="18"/>
      <c r="X2668" s="18"/>
    </row>
    <row r="2669" spans="13:24">
      <c r="M2669" s="558">
        <f t="shared" si="128"/>
        <v>2667</v>
      </c>
      <c r="N2669" s="15">
        <f t="shared" si="126"/>
        <v>0.34880076352932893</v>
      </c>
      <c r="O2669" s="165">
        <f t="shared" si="127"/>
        <v>0.34880076352932893</v>
      </c>
      <c r="P2669" s="18"/>
      <c r="Q2669" s="18"/>
      <c r="R2669" s="18"/>
      <c r="S2669" s="18"/>
      <c r="T2669" s="18"/>
      <c r="U2669" s="18"/>
      <c r="V2669" s="18"/>
      <c r="W2669" s="18"/>
      <c r="X2669" s="18"/>
    </row>
    <row r="2670" spans="13:24">
      <c r="M2670" s="558">
        <f t="shared" si="128"/>
        <v>2668</v>
      </c>
      <c r="N2670" s="15">
        <f t="shared" si="126"/>
        <v>0.34872956067935201</v>
      </c>
      <c r="O2670" s="165">
        <f t="shared" si="127"/>
        <v>0.34872956067935201</v>
      </c>
      <c r="P2670" s="18"/>
      <c r="Q2670" s="18"/>
      <c r="R2670" s="18"/>
      <c r="S2670" s="18"/>
      <c r="T2670" s="18"/>
      <c r="U2670" s="18"/>
      <c r="V2670" s="18"/>
      <c r="W2670" s="18"/>
      <c r="X2670" s="18"/>
    </row>
    <row r="2671" spans="13:24">
      <c r="M2671" s="558">
        <f t="shared" si="128"/>
        <v>2669</v>
      </c>
      <c r="N2671" s="15">
        <f t="shared" si="126"/>
        <v>0.34865838271818089</v>
      </c>
      <c r="O2671" s="165">
        <f t="shared" si="127"/>
        <v>0.34865838271818089</v>
      </c>
      <c r="P2671" s="18"/>
      <c r="Q2671" s="18"/>
      <c r="R2671" s="18"/>
      <c r="S2671" s="18"/>
      <c r="T2671" s="18"/>
      <c r="U2671" s="18"/>
      <c r="V2671" s="18"/>
      <c r="W2671" s="18"/>
      <c r="X2671" s="18"/>
    </row>
    <row r="2672" spans="13:24">
      <c r="M2672" s="558">
        <f t="shared" si="128"/>
        <v>2670</v>
      </c>
      <c r="N2672" s="15">
        <f t="shared" si="126"/>
        <v>0.34858722961458227</v>
      </c>
      <c r="O2672" s="165">
        <f t="shared" si="127"/>
        <v>0.34858722961458227</v>
      </c>
      <c r="P2672" s="18"/>
      <c r="Q2672" s="18"/>
      <c r="R2672" s="18"/>
      <c r="S2672" s="18"/>
      <c r="T2672" s="18"/>
      <c r="U2672" s="18"/>
      <c r="V2672" s="18"/>
      <c r="W2672" s="18"/>
      <c r="X2672" s="18"/>
    </row>
    <row r="2673" spans="13:24">
      <c r="M2673" s="558">
        <f t="shared" si="128"/>
        <v>2671</v>
      </c>
      <c r="N2673" s="15">
        <f t="shared" si="126"/>
        <v>0.34851610133736177</v>
      </c>
      <c r="O2673" s="165">
        <f t="shared" si="127"/>
        <v>0.34851610133736177</v>
      </c>
      <c r="P2673" s="18"/>
      <c r="Q2673" s="18"/>
      <c r="R2673" s="18"/>
      <c r="S2673" s="18"/>
      <c r="T2673" s="18"/>
      <c r="U2673" s="18"/>
      <c r="V2673" s="18"/>
      <c r="W2673" s="18"/>
      <c r="X2673" s="18"/>
    </row>
    <row r="2674" spans="13:24">
      <c r="M2674" s="558">
        <f t="shared" si="128"/>
        <v>2672</v>
      </c>
      <c r="N2674" s="15">
        <f t="shared" si="126"/>
        <v>0.34844499785536437</v>
      </c>
      <c r="O2674" s="165">
        <f t="shared" si="127"/>
        <v>0.34844499785536437</v>
      </c>
      <c r="P2674" s="18"/>
      <c r="Q2674" s="18"/>
      <c r="R2674" s="18"/>
      <c r="S2674" s="18"/>
      <c r="T2674" s="18"/>
      <c r="U2674" s="18"/>
      <c r="V2674" s="18"/>
      <c r="W2674" s="18"/>
      <c r="X2674" s="18"/>
    </row>
    <row r="2675" spans="13:24">
      <c r="M2675" s="558">
        <f t="shared" si="128"/>
        <v>2673</v>
      </c>
      <c r="N2675" s="15">
        <f t="shared" si="126"/>
        <v>0.34837391913747395</v>
      </c>
      <c r="O2675" s="165">
        <f t="shared" si="127"/>
        <v>0.34837391913747395</v>
      </c>
      <c r="P2675" s="18"/>
      <c r="Q2675" s="18"/>
      <c r="R2675" s="18"/>
      <c r="S2675" s="18"/>
      <c r="T2675" s="18"/>
      <c r="U2675" s="18"/>
      <c r="V2675" s="18"/>
      <c r="W2675" s="18"/>
      <c r="X2675" s="18"/>
    </row>
    <row r="2676" spans="13:24">
      <c r="M2676" s="558">
        <f t="shared" si="128"/>
        <v>2674</v>
      </c>
      <c r="N2676" s="15">
        <f t="shared" si="126"/>
        <v>0.34830286515261372</v>
      </c>
      <c r="O2676" s="165">
        <f t="shared" si="127"/>
        <v>0.34830286515261372</v>
      </c>
      <c r="P2676" s="18"/>
      <c r="Q2676" s="18"/>
      <c r="R2676" s="18"/>
      <c r="S2676" s="18"/>
      <c r="T2676" s="18"/>
      <c r="U2676" s="18"/>
      <c r="V2676" s="18"/>
      <c r="W2676" s="18"/>
      <c r="X2676" s="18"/>
    </row>
    <row r="2677" spans="13:24">
      <c r="M2677" s="558">
        <f t="shared" si="128"/>
        <v>2675</v>
      </c>
      <c r="N2677" s="15">
        <f t="shared" si="126"/>
        <v>0.34823183586974554</v>
      </c>
      <c r="O2677" s="165">
        <f t="shared" si="127"/>
        <v>0.34823183586974554</v>
      </c>
      <c r="P2677" s="18"/>
      <c r="Q2677" s="18"/>
      <c r="R2677" s="18"/>
      <c r="S2677" s="18"/>
      <c r="T2677" s="18"/>
      <c r="U2677" s="18"/>
      <c r="V2677" s="18"/>
      <c r="W2677" s="18"/>
      <c r="X2677" s="18"/>
    </row>
    <row r="2678" spans="13:24">
      <c r="M2678" s="558">
        <f t="shared" si="128"/>
        <v>2676</v>
      </c>
      <c r="N2678" s="15">
        <f t="shared" si="126"/>
        <v>0.34816083125787045</v>
      </c>
      <c r="O2678" s="165">
        <f t="shared" si="127"/>
        <v>0.34816083125787045</v>
      </c>
      <c r="P2678" s="18"/>
      <c r="Q2678" s="18"/>
      <c r="R2678" s="18"/>
      <c r="S2678" s="18"/>
      <c r="T2678" s="18"/>
      <c r="U2678" s="18"/>
      <c r="V2678" s="18"/>
      <c r="W2678" s="18"/>
      <c r="X2678" s="18"/>
    </row>
    <row r="2679" spans="13:24">
      <c r="M2679" s="558">
        <f t="shared" si="128"/>
        <v>2677</v>
      </c>
      <c r="N2679" s="15">
        <f t="shared" si="126"/>
        <v>0.34808985128602832</v>
      </c>
      <c r="O2679" s="165">
        <f t="shared" si="127"/>
        <v>0.34808985128602832</v>
      </c>
      <c r="P2679" s="18"/>
      <c r="Q2679" s="18"/>
      <c r="R2679" s="18"/>
      <c r="S2679" s="18"/>
      <c r="T2679" s="18"/>
      <c r="U2679" s="18"/>
      <c r="V2679" s="18"/>
      <c r="W2679" s="18"/>
      <c r="X2679" s="18"/>
    </row>
    <row r="2680" spans="13:24">
      <c r="M2680" s="558">
        <f t="shared" si="128"/>
        <v>2678</v>
      </c>
      <c r="N2680" s="15">
        <f t="shared" si="126"/>
        <v>0.34801889592329799</v>
      </c>
      <c r="O2680" s="165">
        <f t="shared" si="127"/>
        <v>0.34801889592329799</v>
      </c>
      <c r="P2680" s="18"/>
      <c r="Q2680" s="18"/>
      <c r="R2680" s="18"/>
      <c r="S2680" s="18"/>
      <c r="T2680" s="18"/>
      <c r="U2680" s="18"/>
      <c r="V2680" s="18"/>
      <c r="W2680" s="18"/>
      <c r="X2680" s="18"/>
    </row>
    <row r="2681" spans="13:24">
      <c r="M2681" s="558">
        <f t="shared" si="128"/>
        <v>2679</v>
      </c>
      <c r="N2681" s="15">
        <f t="shared" si="126"/>
        <v>0.34794796513879689</v>
      </c>
      <c r="O2681" s="165">
        <f t="shared" si="127"/>
        <v>0.34794796513879689</v>
      </c>
      <c r="P2681" s="18"/>
      <c r="Q2681" s="18"/>
      <c r="R2681" s="18"/>
      <c r="S2681" s="18"/>
      <c r="T2681" s="18"/>
      <c r="U2681" s="18"/>
      <c r="V2681" s="18"/>
      <c r="W2681" s="18"/>
      <c r="X2681" s="18"/>
    </row>
    <row r="2682" spans="13:24">
      <c r="M2682" s="558">
        <f t="shared" si="128"/>
        <v>2680</v>
      </c>
      <c r="N2682" s="15">
        <f t="shared" si="126"/>
        <v>0.3478770589016813</v>
      </c>
      <c r="O2682" s="165">
        <f t="shared" si="127"/>
        <v>0.3478770589016813</v>
      </c>
      <c r="P2682" s="18"/>
      <c r="Q2682" s="18"/>
      <c r="R2682" s="18"/>
      <c r="S2682" s="18"/>
      <c r="T2682" s="18"/>
      <c r="U2682" s="18"/>
      <c r="V2682" s="18"/>
      <c r="W2682" s="18"/>
      <c r="X2682" s="18"/>
    </row>
    <row r="2683" spans="13:24">
      <c r="M2683" s="558">
        <f t="shared" si="128"/>
        <v>2681</v>
      </c>
      <c r="N2683" s="15">
        <f t="shared" si="126"/>
        <v>0.34780617718114631</v>
      </c>
      <c r="O2683" s="165">
        <f t="shared" si="127"/>
        <v>0.34780617718114631</v>
      </c>
      <c r="P2683" s="18"/>
      <c r="Q2683" s="18"/>
      <c r="R2683" s="18"/>
      <c r="S2683" s="18"/>
      <c r="T2683" s="18"/>
      <c r="U2683" s="18"/>
      <c r="V2683" s="18"/>
      <c r="W2683" s="18"/>
      <c r="X2683" s="18"/>
    </row>
    <row r="2684" spans="13:24">
      <c r="M2684" s="558">
        <f t="shared" si="128"/>
        <v>2682</v>
      </c>
      <c r="N2684" s="15">
        <f t="shared" si="126"/>
        <v>0.34773531994642554</v>
      </c>
      <c r="O2684" s="165">
        <f t="shared" si="127"/>
        <v>0.34773531994642554</v>
      </c>
      <c r="P2684" s="18"/>
      <c r="Q2684" s="18"/>
      <c r="R2684" s="18"/>
      <c r="S2684" s="18"/>
      <c r="T2684" s="18"/>
      <c r="U2684" s="18"/>
      <c r="V2684" s="18"/>
      <c r="W2684" s="18"/>
      <c r="X2684" s="18"/>
    </row>
    <row r="2685" spans="13:24">
      <c r="M2685" s="558">
        <f t="shared" si="128"/>
        <v>2683</v>
      </c>
      <c r="N2685" s="15">
        <f t="shared" si="126"/>
        <v>0.34766448716679127</v>
      </c>
      <c r="O2685" s="165">
        <f t="shared" si="127"/>
        <v>0.34766448716679127</v>
      </c>
      <c r="P2685" s="18"/>
      <c r="Q2685" s="18"/>
      <c r="R2685" s="18"/>
      <c r="S2685" s="18"/>
      <c r="T2685" s="18"/>
      <c r="U2685" s="18"/>
      <c r="V2685" s="18"/>
      <c r="W2685" s="18"/>
      <c r="X2685" s="18"/>
    </row>
    <row r="2686" spans="13:24">
      <c r="M2686" s="558">
        <f t="shared" si="128"/>
        <v>2684</v>
      </c>
      <c r="N2686" s="15">
        <f t="shared" si="126"/>
        <v>0.34759367881155429</v>
      </c>
      <c r="O2686" s="165">
        <f t="shared" si="127"/>
        <v>0.34759367881155429</v>
      </c>
      <c r="P2686" s="18"/>
      <c r="Q2686" s="18"/>
      <c r="R2686" s="18"/>
      <c r="S2686" s="18"/>
      <c r="T2686" s="18"/>
      <c r="U2686" s="18"/>
      <c r="V2686" s="18"/>
      <c r="W2686" s="18"/>
      <c r="X2686" s="18"/>
    </row>
    <row r="2687" spans="13:24">
      <c r="M2687" s="558">
        <f t="shared" si="128"/>
        <v>2685</v>
      </c>
      <c r="N2687" s="15">
        <f t="shared" si="126"/>
        <v>0.34752289485006405</v>
      </c>
      <c r="O2687" s="165">
        <f t="shared" si="127"/>
        <v>0.34752289485006405</v>
      </c>
      <c r="P2687" s="18"/>
      <c r="Q2687" s="18"/>
      <c r="R2687" s="18"/>
      <c r="S2687" s="18"/>
      <c r="T2687" s="18"/>
      <c r="U2687" s="18"/>
      <c r="V2687" s="18"/>
      <c r="W2687" s="18"/>
      <c r="X2687" s="18"/>
    </row>
    <row r="2688" spans="13:24">
      <c r="M2688" s="558">
        <f t="shared" si="128"/>
        <v>2686</v>
      </c>
      <c r="N2688" s="15">
        <f t="shared" si="126"/>
        <v>0.34745213525170821</v>
      </c>
      <c r="O2688" s="165">
        <f t="shared" si="127"/>
        <v>0.34745213525170821</v>
      </c>
      <c r="P2688" s="18"/>
      <c r="Q2688" s="18"/>
      <c r="R2688" s="18"/>
      <c r="S2688" s="18"/>
      <c r="T2688" s="18"/>
      <c r="U2688" s="18"/>
      <c r="V2688" s="18"/>
      <c r="W2688" s="18"/>
      <c r="X2688" s="18"/>
    </row>
    <row r="2689" spans="13:24">
      <c r="M2689" s="558">
        <f t="shared" si="128"/>
        <v>2687</v>
      </c>
      <c r="N2689" s="15">
        <f t="shared" si="126"/>
        <v>0.34738139998591311</v>
      </c>
      <c r="O2689" s="165">
        <f t="shared" si="127"/>
        <v>0.34738139998591311</v>
      </c>
      <c r="P2689" s="18"/>
      <c r="Q2689" s="18"/>
      <c r="R2689" s="18"/>
      <c r="S2689" s="18"/>
      <c r="T2689" s="18"/>
      <c r="U2689" s="18"/>
      <c r="V2689" s="18"/>
      <c r="W2689" s="18"/>
      <c r="X2689" s="18"/>
    </row>
    <row r="2690" spans="13:24">
      <c r="M2690" s="558">
        <f t="shared" si="128"/>
        <v>2688</v>
      </c>
      <c r="N2690" s="15">
        <f t="shared" si="126"/>
        <v>0.34731068902214318</v>
      </c>
      <c r="O2690" s="165">
        <f t="shared" si="127"/>
        <v>0.34731068902214318</v>
      </c>
      <c r="P2690" s="18"/>
      <c r="Q2690" s="18"/>
      <c r="R2690" s="18"/>
      <c r="S2690" s="18"/>
      <c r="T2690" s="18"/>
      <c r="U2690" s="18"/>
      <c r="V2690" s="18"/>
      <c r="W2690" s="18"/>
      <c r="X2690" s="18"/>
    </row>
    <row r="2691" spans="13:24">
      <c r="M2691" s="558">
        <f t="shared" si="128"/>
        <v>2689</v>
      </c>
      <c r="N2691" s="15">
        <f t="shared" si="126"/>
        <v>0.34724000232990154</v>
      </c>
      <c r="O2691" s="165">
        <f t="shared" si="127"/>
        <v>0.34724000232990154</v>
      </c>
      <c r="P2691" s="18"/>
      <c r="Q2691" s="18"/>
      <c r="R2691" s="18"/>
      <c r="S2691" s="18"/>
      <c r="T2691" s="18"/>
      <c r="U2691" s="18"/>
      <c r="V2691" s="18"/>
      <c r="W2691" s="18"/>
      <c r="X2691" s="18"/>
    </row>
    <row r="2692" spans="13:24">
      <c r="M2692" s="558">
        <f t="shared" si="128"/>
        <v>2690</v>
      </c>
      <c r="N2692" s="15">
        <f t="shared" ref="N2692:N2755" si="129">IF(M2692&lt;$B$31+1,$B$32+$B$33/$B$31*(8760-M2692)+$B$34*IF(M2692&lt;$B$36-$B$31/(2*$B$35),1,IF(M2692&lt;$B$36+$B$31/(2*$B$35),COS(PI()/2*(M2692-($B$36-$B$31/(2*$B$35)))*$B$35/$B$31)^2,0))+$B$37*EXP((8760-M2692)/8760*$B$38)/EXP($B$38)-(8760-$B$31)*$B$33/$B$31,0)</f>
        <v>0.34716933987872928</v>
      </c>
      <c r="O2692" s="165">
        <f t="shared" ref="O2692:O2755" si="130">MIN(N2692,C$24)</f>
        <v>0.34716933987872928</v>
      </c>
      <c r="P2692" s="18"/>
      <c r="Q2692" s="18"/>
      <c r="R2692" s="18"/>
      <c r="S2692" s="18"/>
      <c r="T2692" s="18"/>
      <c r="U2692" s="18"/>
      <c r="V2692" s="18"/>
      <c r="W2692" s="18"/>
      <c r="X2692" s="18"/>
    </row>
    <row r="2693" spans="13:24">
      <c r="M2693" s="558">
        <f t="shared" ref="M2693:M2756" si="131">M2692+1</f>
        <v>2691</v>
      </c>
      <c r="N2693" s="15">
        <f t="shared" si="129"/>
        <v>0.34709870163820578</v>
      </c>
      <c r="O2693" s="165">
        <f t="shared" si="130"/>
        <v>0.34709870163820578</v>
      </c>
      <c r="P2693" s="18"/>
      <c r="Q2693" s="18"/>
      <c r="R2693" s="18"/>
      <c r="S2693" s="18"/>
      <c r="T2693" s="18"/>
      <c r="U2693" s="18"/>
      <c r="V2693" s="18"/>
      <c r="W2693" s="18"/>
      <c r="X2693" s="18"/>
    </row>
    <row r="2694" spans="13:24">
      <c r="M2694" s="558">
        <f t="shared" si="131"/>
        <v>2692</v>
      </c>
      <c r="N2694" s="15">
        <f t="shared" si="129"/>
        <v>0.34702808757794862</v>
      </c>
      <c r="O2694" s="165">
        <f t="shared" si="130"/>
        <v>0.34702808757794862</v>
      </c>
      <c r="P2694" s="18"/>
      <c r="Q2694" s="18"/>
      <c r="R2694" s="18"/>
      <c r="S2694" s="18"/>
      <c r="T2694" s="18"/>
      <c r="U2694" s="18"/>
      <c r="V2694" s="18"/>
      <c r="W2694" s="18"/>
      <c r="X2694" s="18"/>
    </row>
    <row r="2695" spans="13:24">
      <c r="M2695" s="558">
        <f t="shared" si="131"/>
        <v>2693</v>
      </c>
      <c r="N2695" s="15">
        <f t="shared" si="129"/>
        <v>0.34695749766761352</v>
      </c>
      <c r="O2695" s="165">
        <f t="shared" si="130"/>
        <v>0.34695749766761352</v>
      </c>
      <c r="P2695" s="18"/>
      <c r="Q2695" s="18"/>
      <c r="R2695" s="18"/>
      <c r="S2695" s="18"/>
      <c r="T2695" s="18"/>
      <c r="U2695" s="18"/>
      <c r="V2695" s="18"/>
      <c r="W2695" s="18"/>
      <c r="X2695" s="18"/>
    </row>
    <row r="2696" spans="13:24">
      <c r="M2696" s="558">
        <f t="shared" si="131"/>
        <v>2694</v>
      </c>
      <c r="N2696" s="15">
        <f t="shared" si="129"/>
        <v>0.34688693187689434</v>
      </c>
      <c r="O2696" s="165">
        <f t="shared" si="130"/>
        <v>0.34688693187689434</v>
      </c>
      <c r="P2696" s="18"/>
      <c r="Q2696" s="18"/>
      <c r="R2696" s="18"/>
      <c r="S2696" s="18"/>
      <c r="T2696" s="18"/>
      <c r="U2696" s="18"/>
      <c r="V2696" s="18"/>
      <c r="W2696" s="18"/>
      <c r="X2696" s="18"/>
    </row>
    <row r="2697" spans="13:24">
      <c r="M2697" s="558">
        <f t="shared" si="131"/>
        <v>2695</v>
      </c>
      <c r="N2697" s="15">
        <f t="shared" si="129"/>
        <v>0.34681639017552274</v>
      </c>
      <c r="O2697" s="165">
        <f t="shared" si="130"/>
        <v>0.34681639017552274</v>
      </c>
      <c r="P2697" s="18"/>
      <c r="Q2697" s="18"/>
      <c r="R2697" s="18"/>
      <c r="S2697" s="18"/>
      <c r="T2697" s="18"/>
      <c r="U2697" s="18"/>
      <c r="V2697" s="18"/>
      <c r="W2697" s="18"/>
      <c r="X2697" s="18"/>
    </row>
    <row r="2698" spans="13:24">
      <c r="M2698" s="558">
        <f t="shared" si="131"/>
        <v>2696</v>
      </c>
      <c r="N2698" s="15">
        <f t="shared" si="129"/>
        <v>0.34674587253326866</v>
      </c>
      <c r="O2698" s="165">
        <f t="shared" si="130"/>
        <v>0.34674587253326866</v>
      </c>
      <c r="P2698" s="18"/>
      <c r="Q2698" s="18"/>
      <c r="R2698" s="18"/>
      <c r="S2698" s="18"/>
      <c r="T2698" s="18"/>
      <c r="U2698" s="18"/>
      <c r="V2698" s="18"/>
      <c r="W2698" s="18"/>
      <c r="X2698" s="18"/>
    </row>
    <row r="2699" spans="13:24">
      <c r="M2699" s="558">
        <f t="shared" si="131"/>
        <v>2697</v>
      </c>
      <c r="N2699" s="15">
        <f t="shared" si="129"/>
        <v>0.34667537891993983</v>
      </c>
      <c r="O2699" s="165">
        <f t="shared" si="130"/>
        <v>0.34667537891993983</v>
      </c>
      <c r="P2699" s="18"/>
      <c r="Q2699" s="18"/>
      <c r="R2699" s="18"/>
      <c r="S2699" s="18"/>
      <c r="T2699" s="18"/>
      <c r="U2699" s="18"/>
      <c r="V2699" s="18"/>
      <c r="W2699" s="18"/>
      <c r="X2699" s="18"/>
    </row>
    <row r="2700" spans="13:24">
      <c r="M2700" s="558">
        <f t="shared" si="131"/>
        <v>2698</v>
      </c>
      <c r="N2700" s="15">
        <f t="shared" si="129"/>
        <v>0.34660490930538185</v>
      </c>
      <c r="O2700" s="165">
        <f t="shared" si="130"/>
        <v>0.34660490930538185</v>
      </c>
      <c r="P2700" s="18"/>
      <c r="Q2700" s="18"/>
      <c r="R2700" s="18"/>
      <c r="S2700" s="18"/>
      <c r="T2700" s="18"/>
      <c r="U2700" s="18"/>
      <c r="V2700" s="18"/>
      <c r="W2700" s="18"/>
      <c r="X2700" s="18"/>
    </row>
    <row r="2701" spans="13:24">
      <c r="M2701" s="558">
        <f t="shared" si="131"/>
        <v>2699</v>
      </c>
      <c r="N2701" s="15">
        <f t="shared" si="129"/>
        <v>0.3465344636594781</v>
      </c>
      <c r="O2701" s="165">
        <f t="shared" si="130"/>
        <v>0.3465344636594781</v>
      </c>
      <c r="P2701" s="18"/>
      <c r="Q2701" s="18"/>
      <c r="R2701" s="18"/>
      <c r="S2701" s="18"/>
      <c r="T2701" s="18"/>
      <c r="U2701" s="18"/>
      <c r="V2701" s="18"/>
      <c r="W2701" s="18"/>
      <c r="X2701" s="18"/>
    </row>
    <row r="2702" spans="13:24">
      <c r="M2702" s="558">
        <f t="shared" si="131"/>
        <v>2700</v>
      </c>
      <c r="N2702" s="15">
        <f t="shared" si="129"/>
        <v>0.34646404195214997</v>
      </c>
      <c r="O2702" s="165">
        <f t="shared" si="130"/>
        <v>0.34646404195214997</v>
      </c>
      <c r="P2702" s="18"/>
      <c r="Q2702" s="18"/>
      <c r="R2702" s="18"/>
      <c r="S2702" s="18"/>
      <c r="T2702" s="18"/>
      <c r="U2702" s="18"/>
      <c r="V2702" s="18"/>
      <c r="W2702" s="18"/>
      <c r="X2702" s="18"/>
    </row>
    <row r="2703" spans="13:24">
      <c r="M2703" s="558">
        <f t="shared" si="131"/>
        <v>2701</v>
      </c>
      <c r="N2703" s="15">
        <f t="shared" si="129"/>
        <v>0.34639364415335649</v>
      </c>
      <c r="O2703" s="165">
        <f t="shared" si="130"/>
        <v>0.34639364415335649</v>
      </c>
      <c r="P2703" s="18"/>
      <c r="Q2703" s="18"/>
      <c r="R2703" s="18"/>
      <c r="S2703" s="18"/>
      <c r="T2703" s="18"/>
      <c r="U2703" s="18"/>
      <c r="V2703" s="18"/>
      <c r="W2703" s="18"/>
      <c r="X2703" s="18"/>
    </row>
    <row r="2704" spans="13:24">
      <c r="M2704" s="558">
        <f t="shared" si="131"/>
        <v>2702</v>
      </c>
      <c r="N2704" s="15">
        <f t="shared" si="129"/>
        <v>0.34632327023309428</v>
      </c>
      <c r="O2704" s="165">
        <f t="shared" si="130"/>
        <v>0.34632327023309428</v>
      </c>
      <c r="P2704" s="18"/>
      <c r="Q2704" s="18"/>
      <c r="R2704" s="18"/>
      <c r="S2704" s="18"/>
      <c r="T2704" s="18"/>
      <c r="U2704" s="18"/>
      <c r="V2704" s="18"/>
      <c r="W2704" s="18"/>
      <c r="X2704" s="18"/>
    </row>
    <row r="2705" spans="13:24">
      <c r="M2705" s="558">
        <f t="shared" si="131"/>
        <v>2703</v>
      </c>
      <c r="N2705" s="15">
        <f t="shared" si="129"/>
        <v>0.34625292016139764</v>
      </c>
      <c r="O2705" s="165">
        <f t="shared" si="130"/>
        <v>0.34625292016139764</v>
      </c>
      <c r="P2705" s="18"/>
      <c r="Q2705" s="18"/>
      <c r="R2705" s="18"/>
      <c r="S2705" s="18"/>
      <c r="T2705" s="18"/>
      <c r="U2705" s="18"/>
      <c r="V2705" s="18"/>
      <c r="W2705" s="18"/>
      <c r="X2705" s="18"/>
    </row>
    <row r="2706" spans="13:24">
      <c r="M2706" s="558">
        <f t="shared" si="131"/>
        <v>2704</v>
      </c>
      <c r="N2706" s="15">
        <f t="shared" si="129"/>
        <v>0.34618259390833872</v>
      </c>
      <c r="O2706" s="165">
        <f t="shared" si="130"/>
        <v>0.34618259390833872</v>
      </c>
      <c r="P2706" s="18"/>
      <c r="Q2706" s="18"/>
      <c r="R2706" s="18"/>
      <c r="S2706" s="18"/>
      <c r="T2706" s="18"/>
      <c r="U2706" s="18"/>
      <c r="V2706" s="18"/>
      <c r="W2706" s="18"/>
      <c r="X2706" s="18"/>
    </row>
    <row r="2707" spans="13:24">
      <c r="M2707" s="558">
        <f t="shared" si="131"/>
        <v>2705</v>
      </c>
      <c r="N2707" s="15">
        <f t="shared" si="129"/>
        <v>0.34611229144402694</v>
      </c>
      <c r="O2707" s="165">
        <f t="shared" si="130"/>
        <v>0.34611229144402694</v>
      </c>
      <c r="P2707" s="18"/>
      <c r="Q2707" s="18"/>
      <c r="R2707" s="18"/>
      <c r="S2707" s="18"/>
      <c r="T2707" s="18"/>
      <c r="U2707" s="18"/>
      <c r="V2707" s="18"/>
      <c r="W2707" s="18"/>
      <c r="X2707" s="18"/>
    </row>
    <row r="2708" spans="13:24">
      <c r="M2708" s="558">
        <f t="shared" si="131"/>
        <v>2706</v>
      </c>
      <c r="N2708" s="15">
        <f t="shared" si="129"/>
        <v>0.34604201273860935</v>
      </c>
      <c r="O2708" s="165">
        <f t="shared" si="130"/>
        <v>0.34604201273860935</v>
      </c>
      <c r="P2708" s="18"/>
      <c r="Q2708" s="18"/>
      <c r="R2708" s="18"/>
      <c r="S2708" s="18"/>
      <c r="T2708" s="18"/>
      <c r="U2708" s="18"/>
      <c r="V2708" s="18"/>
      <c r="W2708" s="18"/>
      <c r="X2708" s="18"/>
    </row>
    <row r="2709" spans="13:24">
      <c r="M2709" s="558">
        <f t="shared" si="131"/>
        <v>2707</v>
      </c>
      <c r="N2709" s="15">
        <f t="shared" si="129"/>
        <v>0.34597175776227035</v>
      </c>
      <c r="O2709" s="165">
        <f t="shared" si="130"/>
        <v>0.34597175776227035</v>
      </c>
      <c r="P2709" s="18"/>
      <c r="Q2709" s="18"/>
      <c r="R2709" s="18"/>
      <c r="S2709" s="18"/>
      <c r="T2709" s="18"/>
      <c r="U2709" s="18"/>
      <c r="V2709" s="18"/>
      <c r="W2709" s="18"/>
      <c r="X2709" s="18"/>
    </row>
    <row r="2710" spans="13:24">
      <c r="M2710" s="558">
        <f t="shared" si="131"/>
        <v>2708</v>
      </c>
      <c r="N2710" s="15">
        <f t="shared" si="129"/>
        <v>0.34590152648523198</v>
      </c>
      <c r="O2710" s="165">
        <f t="shared" si="130"/>
        <v>0.34590152648523198</v>
      </c>
      <c r="P2710" s="18"/>
      <c r="Q2710" s="18"/>
      <c r="R2710" s="18"/>
      <c r="S2710" s="18"/>
      <c r="T2710" s="18"/>
      <c r="U2710" s="18"/>
      <c r="V2710" s="18"/>
      <c r="W2710" s="18"/>
      <c r="X2710" s="18"/>
    </row>
    <row r="2711" spans="13:24">
      <c r="M2711" s="558">
        <f t="shared" si="131"/>
        <v>2709</v>
      </c>
      <c r="N2711" s="15">
        <f t="shared" si="129"/>
        <v>0.34583131887775354</v>
      </c>
      <c r="O2711" s="165">
        <f t="shared" si="130"/>
        <v>0.34583131887775354</v>
      </c>
      <c r="P2711" s="18"/>
      <c r="Q2711" s="18"/>
      <c r="R2711" s="18"/>
      <c r="S2711" s="18"/>
      <c r="T2711" s="18"/>
      <c r="U2711" s="18"/>
      <c r="V2711" s="18"/>
      <c r="W2711" s="18"/>
      <c r="X2711" s="18"/>
    </row>
    <row r="2712" spans="13:24">
      <c r="M2712" s="558">
        <f t="shared" si="131"/>
        <v>2710</v>
      </c>
      <c r="N2712" s="15">
        <f t="shared" si="129"/>
        <v>0.34576113491013144</v>
      </c>
      <c r="O2712" s="165">
        <f t="shared" si="130"/>
        <v>0.34576113491013144</v>
      </c>
      <c r="P2712" s="18"/>
      <c r="Q2712" s="18"/>
      <c r="R2712" s="18"/>
      <c r="S2712" s="18"/>
      <c r="T2712" s="18"/>
      <c r="U2712" s="18"/>
      <c r="V2712" s="18"/>
      <c r="W2712" s="18"/>
      <c r="X2712" s="18"/>
    </row>
    <row r="2713" spans="13:24">
      <c r="M2713" s="558">
        <f t="shared" si="131"/>
        <v>2711</v>
      </c>
      <c r="N2713" s="15">
        <f t="shared" si="129"/>
        <v>0.34569097455269981</v>
      </c>
      <c r="O2713" s="165">
        <f t="shared" si="130"/>
        <v>0.34569097455269981</v>
      </c>
      <c r="P2713" s="18"/>
      <c r="Q2713" s="18"/>
      <c r="R2713" s="18"/>
      <c r="S2713" s="18"/>
      <c r="T2713" s="18"/>
      <c r="U2713" s="18"/>
      <c r="V2713" s="18"/>
      <c r="W2713" s="18"/>
      <c r="X2713" s="18"/>
    </row>
    <row r="2714" spans="13:24">
      <c r="M2714" s="558">
        <f t="shared" si="131"/>
        <v>2712</v>
      </c>
      <c r="N2714" s="15">
        <f t="shared" si="129"/>
        <v>0.34562083777582964</v>
      </c>
      <c r="O2714" s="165">
        <f t="shared" si="130"/>
        <v>0.34562083777582964</v>
      </c>
      <c r="P2714" s="18"/>
      <c r="Q2714" s="18"/>
      <c r="R2714" s="18"/>
      <c r="S2714" s="18"/>
      <c r="T2714" s="18"/>
      <c r="U2714" s="18"/>
      <c r="V2714" s="18"/>
      <c r="W2714" s="18"/>
      <c r="X2714" s="18"/>
    </row>
    <row r="2715" spans="13:24">
      <c r="M2715" s="558">
        <f t="shared" si="131"/>
        <v>2713</v>
      </c>
      <c r="N2715" s="15">
        <f t="shared" si="129"/>
        <v>0.34555072454992919</v>
      </c>
      <c r="O2715" s="165">
        <f t="shared" si="130"/>
        <v>0.34555072454992919</v>
      </c>
      <c r="P2715" s="18"/>
      <c r="Q2715" s="18"/>
      <c r="R2715" s="18"/>
      <c r="S2715" s="18"/>
      <c r="T2715" s="18"/>
      <c r="U2715" s="18"/>
      <c r="V2715" s="18"/>
      <c r="W2715" s="18"/>
      <c r="X2715" s="18"/>
    </row>
    <row r="2716" spans="13:24">
      <c r="M2716" s="558">
        <f t="shared" si="131"/>
        <v>2714</v>
      </c>
      <c r="N2716" s="15">
        <f t="shared" si="129"/>
        <v>0.34548063484544383</v>
      </c>
      <c r="O2716" s="165">
        <f t="shared" si="130"/>
        <v>0.34548063484544383</v>
      </c>
      <c r="P2716" s="18"/>
      <c r="Q2716" s="18"/>
      <c r="R2716" s="18"/>
      <c r="S2716" s="18"/>
      <c r="T2716" s="18"/>
      <c r="U2716" s="18"/>
      <c r="V2716" s="18"/>
      <c r="W2716" s="18"/>
      <c r="X2716" s="18"/>
    </row>
    <row r="2717" spans="13:24">
      <c r="M2717" s="558">
        <f t="shared" si="131"/>
        <v>2715</v>
      </c>
      <c r="N2717" s="15">
        <f t="shared" si="129"/>
        <v>0.34541056863285624</v>
      </c>
      <c r="O2717" s="165">
        <f t="shared" si="130"/>
        <v>0.34541056863285624</v>
      </c>
      <c r="P2717" s="18"/>
      <c r="Q2717" s="18"/>
      <c r="R2717" s="18"/>
      <c r="S2717" s="18"/>
      <c r="T2717" s="18"/>
      <c r="U2717" s="18"/>
      <c r="V2717" s="18"/>
      <c r="W2717" s="18"/>
      <c r="X2717" s="18"/>
    </row>
    <row r="2718" spans="13:24">
      <c r="M2718" s="558">
        <f t="shared" si="131"/>
        <v>2716</v>
      </c>
      <c r="N2718" s="15">
        <f t="shared" si="129"/>
        <v>0.34534052588268588</v>
      </c>
      <c r="O2718" s="165">
        <f t="shared" si="130"/>
        <v>0.34534052588268588</v>
      </c>
      <c r="P2718" s="18"/>
      <c r="Q2718" s="18"/>
      <c r="R2718" s="18"/>
      <c r="S2718" s="18"/>
      <c r="T2718" s="18"/>
      <c r="U2718" s="18"/>
      <c r="V2718" s="18"/>
      <c r="W2718" s="18"/>
      <c r="X2718" s="18"/>
    </row>
    <row r="2719" spans="13:24">
      <c r="M2719" s="558">
        <f t="shared" si="131"/>
        <v>2717</v>
      </c>
      <c r="N2719" s="15">
        <f t="shared" si="129"/>
        <v>0.3452705065654893</v>
      </c>
      <c r="O2719" s="165">
        <f t="shared" si="130"/>
        <v>0.3452705065654893</v>
      </c>
      <c r="P2719" s="18"/>
      <c r="Q2719" s="18"/>
      <c r="R2719" s="18"/>
      <c r="S2719" s="18"/>
      <c r="T2719" s="18"/>
      <c r="U2719" s="18"/>
      <c r="V2719" s="18"/>
      <c r="W2719" s="18"/>
      <c r="X2719" s="18"/>
    </row>
    <row r="2720" spans="13:24">
      <c r="M2720" s="558">
        <f t="shared" si="131"/>
        <v>2718</v>
      </c>
      <c r="N2720" s="15">
        <f t="shared" si="129"/>
        <v>0.34520051065185997</v>
      </c>
      <c r="O2720" s="165">
        <f t="shared" si="130"/>
        <v>0.34520051065185997</v>
      </c>
      <c r="P2720" s="18"/>
      <c r="Q2720" s="18"/>
      <c r="R2720" s="18"/>
      <c r="S2720" s="18"/>
      <c r="T2720" s="18"/>
      <c r="U2720" s="18"/>
      <c r="V2720" s="18"/>
      <c r="W2720" s="18"/>
      <c r="X2720" s="18"/>
    </row>
    <row r="2721" spans="13:24">
      <c r="M2721" s="558">
        <f t="shared" si="131"/>
        <v>2719</v>
      </c>
      <c r="N2721" s="15">
        <f t="shared" si="129"/>
        <v>0.34513053811242839</v>
      </c>
      <c r="O2721" s="165">
        <f t="shared" si="130"/>
        <v>0.34513053811242839</v>
      </c>
      <c r="P2721" s="18"/>
      <c r="Q2721" s="18"/>
      <c r="R2721" s="18"/>
      <c r="S2721" s="18"/>
      <c r="T2721" s="18"/>
      <c r="U2721" s="18"/>
      <c r="V2721" s="18"/>
      <c r="W2721" s="18"/>
      <c r="X2721" s="18"/>
    </row>
    <row r="2722" spans="13:24">
      <c r="M2722" s="558">
        <f t="shared" si="131"/>
        <v>2720</v>
      </c>
      <c r="N2722" s="15">
        <f t="shared" si="129"/>
        <v>0.34506058891786173</v>
      </c>
      <c r="O2722" s="165">
        <f t="shared" si="130"/>
        <v>0.34506058891786173</v>
      </c>
      <c r="P2722" s="18"/>
      <c r="Q2722" s="18"/>
      <c r="R2722" s="18"/>
      <c r="S2722" s="18"/>
      <c r="T2722" s="18"/>
      <c r="U2722" s="18"/>
      <c r="V2722" s="18"/>
      <c r="W2722" s="18"/>
      <c r="X2722" s="18"/>
    </row>
    <row r="2723" spans="13:24">
      <c r="M2723" s="558">
        <f t="shared" si="131"/>
        <v>2721</v>
      </c>
      <c r="N2723" s="15">
        <f t="shared" si="129"/>
        <v>0.34499066303886416</v>
      </c>
      <c r="O2723" s="165">
        <f t="shared" si="130"/>
        <v>0.34499066303886416</v>
      </c>
      <c r="P2723" s="18"/>
      <c r="Q2723" s="18"/>
      <c r="R2723" s="18"/>
      <c r="S2723" s="18"/>
      <c r="T2723" s="18"/>
      <c r="U2723" s="18"/>
      <c r="V2723" s="18"/>
      <c r="W2723" s="18"/>
      <c r="X2723" s="18"/>
    </row>
    <row r="2724" spans="13:24">
      <c r="M2724" s="558">
        <f t="shared" si="131"/>
        <v>2722</v>
      </c>
      <c r="N2724" s="15">
        <f t="shared" si="129"/>
        <v>0.34492076044617631</v>
      </c>
      <c r="O2724" s="165">
        <f t="shared" si="130"/>
        <v>0.34492076044617631</v>
      </c>
      <c r="P2724" s="18"/>
      <c r="Q2724" s="18"/>
      <c r="R2724" s="18"/>
      <c r="S2724" s="18"/>
      <c r="T2724" s="18"/>
      <c r="U2724" s="18"/>
      <c r="V2724" s="18"/>
      <c r="W2724" s="18"/>
      <c r="X2724" s="18"/>
    </row>
    <row r="2725" spans="13:24">
      <c r="M2725" s="558">
        <f t="shared" si="131"/>
        <v>2723</v>
      </c>
      <c r="N2725" s="15">
        <f t="shared" si="129"/>
        <v>0.34485088111057594</v>
      </c>
      <c r="O2725" s="165">
        <f t="shared" si="130"/>
        <v>0.34485088111057594</v>
      </c>
      <c r="P2725" s="18"/>
      <c r="Q2725" s="18"/>
      <c r="R2725" s="18"/>
      <c r="S2725" s="18"/>
      <c r="T2725" s="18"/>
      <c r="U2725" s="18"/>
      <c r="V2725" s="18"/>
      <c r="W2725" s="18"/>
      <c r="X2725" s="18"/>
    </row>
    <row r="2726" spans="13:24">
      <c r="M2726" s="558">
        <f t="shared" si="131"/>
        <v>2724</v>
      </c>
      <c r="N2726" s="15">
        <f t="shared" si="129"/>
        <v>0.34478102500287722</v>
      </c>
      <c r="O2726" s="165">
        <f t="shared" si="130"/>
        <v>0.34478102500287722</v>
      </c>
      <c r="P2726" s="18"/>
      <c r="Q2726" s="18"/>
      <c r="R2726" s="18"/>
      <c r="S2726" s="18"/>
      <c r="T2726" s="18"/>
      <c r="U2726" s="18"/>
      <c r="V2726" s="18"/>
      <c r="W2726" s="18"/>
      <c r="X2726" s="18"/>
    </row>
    <row r="2727" spans="13:24">
      <c r="M2727" s="558">
        <f t="shared" si="131"/>
        <v>2725</v>
      </c>
      <c r="N2727" s="15">
        <f t="shared" si="129"/>
        <v>0.34471119209393092</v>
      </c>
      <c r="O2727" s="165">
        <f t="shared" si="130"/>
        <v>0.34471119209393092</v>
      </c>
      <c r="P2727" s="18"/>
      <c r="Q2727" s="18"/>
      <c r="R2727" s="18"/>
      <c r="S2727" s="18"/>
      <c r="T2727" s="18"/>
      <c r="U2727" s="18"/>
      <c r="V2727" s="18"/>
      <c r="W2727" s="18"/>
      <c r="X2727" s="18"/>
    </row>
    <row r="2728" spans="13:24">
      <c r="M2728" s="558">
        <f t="shared" si="131"/>
        <v>2726</v>
      </c>
      <c r="N2728" s="15">
        <f t="shared" si="129"/>
        <v>0.34464138235462455</v>
      </c>
      <c r="O2728" s="165">
        <f t="shared" si="130"/>
        <v>0.34464138235462455</v>
      </c>
      <c r="P2728" s="18"/>
      <c r="Q2728" s="18"/>
      <c r="R2728" s="18"/>
      <c r="S2728" s="18"/>
      <c r="T2728" s="18"/>
      <c r="U2728" s="18"/>
      <c r="V2728" s="18"/>
      <c r="W2728" s="18"/>
      <c r="X2728" s="18"/>
    </row>
    <row r="2729" spans="13:24">
      <c r="M2729" s="558">
        <f t="shared" si="131"/>
        <v>2727</v>
      </c>
      <c r="N2729" s="15">
        <f t="shared" si="129"/>
        <v>0.34457159575588209</v>
      </c>
      <c r="O2729" s="165">
        <f t="shared" si="130"/>
        <v>0.34457159575588209</v>
      </c>
      <c r="P2729" s="18"/>
      <c r="Q2729" s="18"/>
      <c r="R2729" s="18"/>
      <c r="S2729" s="18"/>
      <c r="T2729" s="18"/>
      <c r="U2729" s="18"/>
      <c r="V2729" s="18"/>
      <c r="W2729" s="18"/>
      <c r="X2729" s="18"/>
    </row>
    <row r="2730" spans="13:24">
      <c r="M2730" s="558">
        <f t="shared" si="131"/>
        <v>2728</v>
      </c>
      <c r="N2730" s="15">
        <f t="shared" si="129"/>
        <v>0.34450183226866393</v>
      </c>
      <c r="O2730" s="165">
        <f t="shared" si="130"/>
        <v>0.34450183226866393</v>
      </c>
      <c r="P2730" s="18"/>
      <c r="Q2730" s="18"/>
      <c r="R2730" s="18"/>
      <c r="S2730" s="18"/>
      <c r="T2730" s="18"/>
      <c r="U2730" s="18"/>
      <c r="V2730" s="18"/>
      <c r="W2730" s="18"/>
      <c r="X2730" s="18"/>
    </row>
    <row r="2731" spans="13:24">
      <c r="M2731" s="558">
        <f t="shared" si="131"/>
        <v>2729</v>
      </c>
      <c r="N2731" s="15">
        <f t="shared" si="129"/>
        <v>0.34443209186396695</v>
      </c>
      <c r="O2731" s="165">
        <f t="shared" si="130"/>
        <v>0.34443209186396695</v>
      </c>
      <c r="P2731" s="18"/>
      <c r="Q2731" s="18"/>
      <c r="R2731" s="18"/>
      <c r="S2731" s="18"/>
      <c r="T2731" s="18"/>
      <c r="U2731" s="18"/>
      <c r="V2731" s="18"/>
      <c r="W2731" s="18"/>
      <c r="X2731" s="18"/>
    </row>
    <row r="2732" spans="13:24">
      <c r="M2732" s="558">
        <f t="shared" si="131"/>
        <v>2730</v>
      </c>
      <c r="N2732" s="15">
        <f t="shared" si="129"/>
        <v>0.34436237451282448</v>
      </c>
      <c r="O2732" s="165">
        <f t="shared" si="130"/>
        <v>0.34436237451282448</v>
      </c>
      <c r="P2732" s="18"/>
      <c r="Q2732" s="18"/>
      <c r="R2732" s="18"/>
      <c r="S2732" s="18"/>
      <c r="T2732" s="18"/>
      <c r="U2732" s="18"/>
      <c r="V2732" s="18"/>
      <c r="W2732" s="18"/>
      <c r="X2732" s="18"/>
    </row>
    <row r="2733" spans="13:24">
      <c r="M2733" s="558">
        <f t="shared" si="131"/>
        <v>2731</v>
      </c>
      <c r="N2733" s="15">
        <f t="shared" si="129"/>
        <v>0.34429268018630615</v>
      </c>
      <c r="O2733" s="165">
        <f t="shared" si="130"/>
        <v>0.34429268018630615</v>
      </c>
      <c r="P2733" s="18"/>
      <c r="Q2733" s="18"/>
      <c r="R2733" s="18"/>
      <c r="S2733" s="18"/>
      <c r="T2733" s="18"/>
      <c r="U2733" s="18"/>
      <c r="V2733" s="18"/>
      <c r="W2733" s="18"/>
      <c r="X2733" s="18"/>
    </row>
    <row r="2734" spans="13:24">
      <c r="M2734" s="558">
        <f t="shared" si="131"/>
        <v>2732</v>
      </c>
      <c r="N2734" s="15">
        <f t="shared" si="129"/>
        <v>0.34422300885551793</v>
      </c>
      <c r="O2734" s="165">
        <f t="shared" si="130"/>
        <v>0.34422300885551793</v>
      </c>
      <c r="P2734" s="18"/>
      <c r="Q2734" s="18"/>
      <c r="R2734" s="18"/>
      <c r="S2734" s="18"/>
      <c r="T2734" s="18"/>
      <c r="U2734" s="18"/>
      <c r="V2734" s="18"/>
      <c r="W2734" s="18"/>
      <c r="X2734" s="18"/>
    </row>
    <row r="2735" spans="13:24">
      <c r="M2735" s="558">
        <f t="shared" si="131"/>
        <v>2733</v>
      </c>
      <c r="N2735" s="15">
        <f t="shared" si="129"/>
        <v>0.34415336049160195</v>
      </c>
      <c r="O2735" s="165">
        <f t="shared" si="130"/>
        <v>0.34415336049160195</v>
      </c>
      <c r="P2735" s="18"/>
      <c r="Q2735" s="18"/>
      <c r="R2735" s="18"/>
      <c r="S2735" s="18"/>
      <c r="T2735" s="18"/>
      <c r="U2735" s="18"/>
      <c r="V2735" s="18"/>
      <c r="W2735" s="18"/>
      <c r="X2735" s="18"/>
    </row>
    <row r="2736" spans="13:24">
      <c r="M2736" s="558">
        <f t="shared" si="131"/>
        <v>2734</v>
      </c>
      <c r="N2736" s="15">
        <f t="shared" si="129"/>
        <v>0.34408373506573675</v>
      </c>
      <c r="O2736" s="165">
        <f t="shared" si="130"/>
        <v>0.34408373506573675</v>
      </c>
      <c r="P2736" s="18"/>
      <c r="Q2736" s="18"/>
      <c r="R2736" s="18"/>
      <c r="S2736" s="18"/>
      <c r="T2736" s="18"/>
      <c r="U2736" s="18"/>
      <c r="V2736" s="18"/>
      <c r="W2736" s="18"/>
      <c r="X2736" s="18"/>
    </row>
    <row r="2737" spans="13:24">
      <c r="M2737" s="558">
        <f t="shared" si="131"/>
        <v>2735</v>
      </c>
      <c r="N2737" s="15">
        <f t="shared" si="129"/>
        <v>0.34401413254913682</v>
      </c>
      <c r="O2737" s="165">
        <f t="shared" si="130"/>
        <v>0.34401413254913682</v>
      </c>
      <c r="P2737" s="18"/>
      <c r="Q2737" s="18"/>
      <c r="R2737" s="18"/>
      <c r="S2737" s="18"/>
      <c r="T2737" s="18"/>
      <c r="U2737" s="18"/>
      <c r="V2737" s="18"/>
      <c r="W2737" s="18"/>
      <c r="X2737" s="18"/>
    </row>
    <row r="2738" spans="13:24">
      <c r="M2738" s="558">
        <f t="shared" si="131"/>
        <v>2736</v>
      </c>
      <c r="N2738" s="15">
        <f t="shared" si="129"/>
        <v>0.34394455291305293</v>
      </c>
      <c r="O2738" s="165">
        <f t="shared" si="130"/>
        <v>0.34394455291305293</v>
      </c>
      <c r="P2738" s="18"/>
      <c r="Q2738" s="18"/>
      <c r="R2738" s="18"/>
      <c r="S2738" s="18"/>
      <c r="T2738" s="18"/>
      <c r="U2738" s="18"/>
      <c r="V2738" s="18"/>
      <c r="W2738" s="18"/>
      <c r="X2738" s="18"/>
    </row>
    <row r="2739" spans="13:24">
      <c r="M2739" s="558">
        <f t="shared" si="131"/>
        <v>2737</v>
      </c>
      <c r="N2739" s="15">
        <f t="shared" si="129"/>
        <v>0.34387499612877176</v>
      </c>
      <c r="O2739" s="165">
        <f t="shared" si="130"/>
        <v>0.34387499612877176</v>
      </c>
      <c r="P2739" s="18"/>
      <c r="Q2739" s="18"/>
      <c r="R2739" s="18"/>
      <c r="S2739" s="18"/>
      <c r="T2739" s="18"/>
      <c r="U2739" s="18"/>
      <c r="V2739" s="18"/>
      <c r="W2739" s="18"/>
      <c r="X2739" s="18"/>
    </row>
    <row r="2740" spans="13:24">
      <c r="M2740" s="558">
        <f t="shared" si="131"/>
        <v>2738</v>
      </c>
      <c r="N2740" s="15">
        <f t="shared" si="129"/>
        <v>0.34380546216761632</v>
      </c>
      <c r="O2740" s="165">
        <f t="shared" si="130"/>
        <v>0.34380546216761632</v>
      </c>
      <c r="P2740" s="18"/>
      <c r="Q2740" s="18"/>
      <c r="R2740" s="18"/>
      <c r="S2740" s="18"/>
      <c r="T2740" s="18"/>
      <c r="U2740" s="18"/>
      <c r="V2740" s="18"/>
      <c r="W2740" s="18"/>
      <c r="X2740" s="18"/>
    </row>
    <row r="2741" spans="13:24">
      <c r="M2741" s="558">
        <f t="shared" si="131"/>
        <v>2739</v>
      </c>
      <c r="N2741" s="15">
        <f t="shared" si="129"/>
        <v>0.34373595100094528</v>
      </c>
      <c r="O2741" s="165">
        <f t="shared" si="130"/>
        <v>0.34373595100094528</v>
      </c>
      <c r="P2741" s="18"/>
      <c r="Q2741" s="18"/>
      <c r="R2741" s="18"/>
      <c r="S2741" s="18"/>
      <c r="T2741" s="18"/>
      <c r="U2741" s="18"/>
      <c r="V2741" s="18"/>
      <c r="W2741" s="18"/>
      <c r="X2741" s="18"/>
    </row>
    <row r="2742" spans="13:24">
      <c r="M2742" s="558">
        <f t="shared" si="131"/>
        <v>2740</v>
      </c>
      <c r="N2742" s="15">
        <f t="shared" si="129"/>
        <v>0.34366646260015338</v>
      </c>
      <c r="O2742" s="165">
        <f t="shared" si="130"/>
        <v>0.34366646260015338</v>
      </c>
      <c r="P2742" s="18"/>
      <c r="Q2742" s="18"/>
      <c r="R2742" s="18"/>
      <c r="S2742" s="18"/>
      <c r="T2742" s="18"/>
      <c r="U2742" s="18"/>
      <c r="V2742" s="18"/>
      <c r="W2742" s="18"/>
      <c r="X2742" s="18"/>
    </row>
    <row r="2743" spans="13:24">
      <c r="M2743" s="558">
        <f t="shared" si="131"/>
        <v>2741</v>
      </c>
      <c r="N2743" s="15">
        <f t="shared" si="129"/>
        <v>0.34359699693667134</v>
      </c>
      <c r="O2743" s="165">
        <f t="shared" si="130"/>
        <v>0.34359699693667134</v>
      </c>
      <c r="P2743" s="18"/>
      <c r="Q2743" s="18"/>
      <c r="R2743" s="18"/>
      <c r="S2743" s="18"/>
      <c r="T2743" s="18"/>
      <c r="U2743" s="18"/>
      <c r="V2743" s="18"/>
      <c r="W2743" s="18"/>
      <c r="X2743" s="18"/>
    </row>
    <row r="2744" spans="13:24">
      <c r="M2744" s="558">
        <f t="shared" si="131"/>
        <v>2742</v>
      </c>
      <c r="N2744" s="15">
        <f t="shared" si="129"/>
        <v>0.34352755398196572</v>
      </c>
      <c r="O2744" s="165">
        <f t="shared" si="130"/>
        <v>0.34352755398196572</v>
      </c>
      <c r="P2744" s="18"/>
      <c r="Q2744" s="18"/>
      <c r="R2744" s="18"/>
      <c r="S2744" s="18"/>
      <c r="T2744" s="18"/>
      <c r="U2744" s="18"/>
      <c r="V2744" s="18"/>
      <c r="W2744" s="18"/>
      <c r="X2744" s="18"/>
    </row>
    <row r="2745" spans="13:24">
      <c r="M2745" s="558">
        <f t="shared" si="131"/>
        <v>2743</v>
      </c>
      <c r="N2745" s="15">
        <f t="shared" si="129"/>
        <v>0.34345813370753869</v>
      </c>
      <c r="O2745" s="165">
        <f t="shared" si="130"/>
        <v>0.34345813370753869</v>
      </c>
      <c r="P2745" s="18"/>
      <c r="Q2745" s="18"/>
      <c r="R2745" s="18"/>
      <c r="S2745" s="18"/>
      <c r="T2745" s="18"/>
      <c r="U2745" s="18"/>
      <c r="V2745" s="18"/>
      <c r="W2745" s="18"/>
      <c r="X2745" s="18"/>
    </row>
    <row r="2746" spans="13:24">
      <c r="M2746" s="558">
        <f t="shared" si="131"/>
        <v>2744</v>
      </c>
      <c r="N2746" s="15">
        <f t="shared" si="129"/>
        <v>0.34338873608492831</v>
      </c>
      <c r="O2746" s="165">
        <f t="shared" si="130"/>
        <v>0.34338873608492831</v>
      </c>
      <c r="P2746" s="18"/>
      <c r="Q2746" s="18"/>
      <c r="R2746" s="18"/>
      <c r="S2746" s="18"/>
      <c r="T2746" s="18"/>
      <c r="U2746" s="18"/>
      <c r="V2746" s="18"/>
      <c r="W2746" s="18"/>
      <c r="X2746" s="18"/>
    </row>
    <row r="2747" spans="13:24">
      <c r="M2747" s="558">
        <f t="shared" si="131"/>
        <v>2745</v>
      </c>
      <c r="N2747" s="15">
        <f t="shared" si="129"/>
        <v>0.34331936108570854</v>
      </c>
      <c r="O2747" s="165">
        <f t="shared" si="130"/>
        <v>0.34331936108570854</v>
      </c>
      <c r="P2747" s="18"/>
      <c r="Q2747" s="18"/>
      <c r="R2747" s="18"/>
      <c r="S2747" s="18"/>
      <c r="T2747" s="18"/>
      <c r="U2747" s="18"/>
      <c r="V2747" s="18"/>
      <c r="W2747" s="18"/>
      <c r="X2747" s="18"/>
    </row>
    <row r="2748" spans="13:24">
      <c r="M2748" s="558">
        <f t="shared" si="131"/>
        <v>2746</v>
      </c>
      <c r="N2748" s="15">
        <f t="shared" si="129"/>
        <v>0.34325000868148869</v>
      </c>
      <c r="O2748" s="165">
        <f t="shared" si="130"/>
        <v>0.34325000868148869</v>
      </c>
      <c r="P2748" s="18"/>
      <c r="Q2748" s="18"/>
      <c r="R2748" s="18"/>
      <c r="S2748" s="18"/>
      <c r="T2748" s="18"/>
      <c r="U2748" s="18"/>
      <c r="V2748" s="18"/>
      <c r="W2748" s="18"/>
      <c r="X2748" s="18"/>
    </row>
    <row r="2749" spans="13:24">
      <c r="M2749" s="558">
        <f t="shared" si="131"/>
        <v>2747</v>
      </c>
      <c r="N2749" s="15">
        <f t="shared" si="129"/>
        <v>0.34318067884391396</v>
      </c>
      <c r="O2749" s="165">
        <f t="shared" si="130"/>
        <v>0.34318067884391396</v>
      </c>
      <c r="P2749" s="18"/>
      <c r="Q2749" s="18"/>
      <c r="R2749" s="18"/>
      <c r="S2749" s="18"/>
      <c r="T2749" s="18"/>
      <c r="U2749" s="18"/>
      <c r="V2749" s="18"/>
      <c r="W2749" s="18"/>
      <c r="X2749" s="18"/>
    </row>
    <row r="2750" spans="13:24">
      <c r="M2750" s="558">
        <f t="shared" si="131"/>
        <v>2748</v>
      </c>
      <c r="N2750" s="15">
        <f t="shared" si="129"/>
        <v>0.34311137154466487</v>
      </c>
      <c r="O2750" s="165">
        <f t="shared" si="130"/>
        <v>0.34311137154466487</v>
      </c>
      <c r="P2750" s="18"/>
      <c r="Q2750" s="18"/>
      <c r="R2750" s="18"/>
      <c r="S2750" s="18"/>
      <c r="T2750" s="18"/>
      <c r="U2750" s="18"/>
      <c r="V2750" s="18"/>
      <c r="W2750" s="18"/>
      <c r="X2750" s="18"/>
    </row>
    <row r="2751" spans="13:24">
      <c r="M2751" s="558">
        <f t="shared" si="131"/>
        <v>2749</v>
      </c>
      <c r="N2751" s="15">
        <f t="shared" si="129"/>
        <v>0.34304208675545783</v>
      </c>
      <c r="O2751" s="165">
        <f t="shared" si="130"/>
        <v>0.34304208675545783</v>
      </c>
      <c r="P2751" s="18"/>
      <c r="Q2751" s="18"/>
      <c r="R2751" s="18"/>
      <c r="S2751" s="18"/>
      <c r="T2751" s="18"/>
      <c r="U2751" s="18"/>
      <c r="V2751" s="18"/>
      <c r="W2751" s="18"/>
      <c r="X2751" s="18"/>
    </row>
    <row r="2752" spans="13:24">
      <c r="M2752" s="558">
        <f t="shared" si="131"/>
        <v>2750</v>
      </c>
      <c r="N2752" s="15">
        <f t="shared" si="129"/>
        <v>0.34297282444804439</v>
      </c>
      <c r="O2752" s="165">
        <f t="shared" si="130"/>
        <v>0.34297282444804439</v>
      </c>
      <c r="P2752" s="18"/>
      <c r="Q2752" s="18"/>
      <c r="R2752" s="18"/>
      <c r="S2752" s="18"/>
      <c r="T2752" s="18"/>
      <c r="U2752" s="18"/>
      <c r="V2752" s="18"/>
      <c r="W2752" s="18"/>
      <c r="X2752" s="18"/>
    </row>
    <row r="2753" spans="13:24">
      <c r="M2753" s="558">
        <f t="shared" si="131"/>
        <v>2751</v>
      </c>
      <c r="N2753" s="15">
        <f t="shared" si="129"/>
        <v>0.34290358459421177</v>
      </c>
      <c r="O2753" s="165">
        <f t="shared" si="130"/>
        <v>0.34290358459421177</v>
      </c>
      <c r="P2753" s="18"/>
      <c r="Q2753" s="18"/>
      <c r="R2753" s="18"/>
      <c r="S2753" s="18"/>
      <c r="T2753" s="18"/>
      <c r="U2753" s="18"/>
      <c r="V2753" s="18"/>
      <c r="W2753" s="18"/>
      <c r="X2753" s="18"/>
    </row>
    <row r="2754" spans="13:24">
      <c r="M2754" s="558">
        <f t="shared" si="131"/>
        <v>2752</v>
      </c>
      <c r="N2754" s="15">
        <f t="shared" si="129"/>
        <v>0.34283436716578247</v>
      </c>
      <c r="O2754" s="165">
        <f t="shared" si="130"/>
        <v>0.34283436716578247</v>
      </c>
      <c r="P2754" s="18"/>
      <c r="Q2754" s="18"/>
      <c r="R2754" s="18"/>
      <c r="S2754" s="18"/>
      <c r="T2754" s="18"/>
      <c r="U2754" s="18"/>
      <c r="V2754" s="18"/>
      <c r="W2754" s="18"/>
      <c r="X2754" s="18"/>
    </row>
    <row r="2755" spans="13:24">
      <c r="M2755" s="558">
        <f t="shared" si="131"/>
        <v>2753</v>
      </c>
      <c r="N2755" s="15">
        <f t="shared" si="129"/>
        <v>0.34276517213461449</v>
      </c>
      <c r="O2755" s="165">
        <f t="shared" si="130"/>
        <v>0.34276517213461449</v>
      </c>
      <c r="P2755" s="18"/>
      <c r="Q2755" s="18"/>
      <c r="R2755" s="18"/>
      <c r="S2755" s="18"/>
      <c r="T2755" s="18"/>
      <c r="U2755" s="18"/>
      <c r="V2755" s="18"/>
      <c r="W2755" s="18"/>
      <c r="X2755" s="18"/>
    </row>
    <row r="2756" spans="13:24">
      <c r="M2756" s="558">
        <f t="shared" si="131"/>
        <v>2754</v>
      </c>
      <c r="N2756" s="15">
        <f t="shared" ref="N2756:N2819" si="132">IF(M2756&lt;$B$31+1,$B$32+$B$33/$B$31*(8760-M2756)+$B$34*IF(M2756&lt;$B$36-$B$31/(2*$B$35),1,IF(M2756&lt;$B$36+$B$31/(2*$B$35),COS(PI()/2*(M2756-($B$36-$B$31/(2*$B$35)))*$B$35/$B$31)^2,0))+$B$37*EXP((8760-M2756)/8760*$B$38)/EXP($B$38)-(8760-$B$31)*$B$33/$B$31,0)</f>
        <v>0.34269599947260104</v>
      </c>
      <c r="O2756" s="165">
        <f t="shared" ref="O2756:O2819" si="133">MIN(N2756,C$24)</f>
        <v>0.34269599947260104</v>
      </c>
      <c r="P2756" s="18"/>
      <c r="Q2756" s="18"/>
      <c r="R2756" s="18"/>
      <c r="S2756" s="18"/>
      <c r="T2756" s="18"/>
      <c r="U2756" s="18"/>
      <c r="V2756" s="18"/>
      <c r="W2756" s="18"/>
      <c r="X2756" s="18"/>
    </row>
    <row r="2757" spans="13:24">
      <c r="M2757" s="558">
        <f t="shared" ref="M2757:M2820" si="134">M2756+1</f>
        <v>2755</v>
      </c>
      <c r="N2757" s="15">
        <f t="shared" si="132"/>
        <v>0.34262684915167058</v>
      </c>
      <c r="O2757" s="165">
        <f t="shared" si="133"/>
        <v>0.34262684915167058</v>
      </c>
      <c r="P2757" s="18"/>
      <c r="Q2757" s="18"/>
      <c r="R2757" s="18"/>
      <c r="S2757" s="18"/>
      <c r="T2757" s="18"/>
      <c r="U2757" s="18"/>
      <c r="V2757" s="18"/>
      <c r="W2757" s="18"/>
      <c r="X2757" s="18"/>
    </row>
    <row r="2758" spans="13:24">
      <c r="M2758" s="558">
        <f t="shared" si="134"/>
        <v>2756</v>
      </c>
      <c r="N2758" s="15">
        <f t="shared" si="132"/>
        <v>0.34255772114378691</v>
      </c>
      <c r="O2758" s="165">
        <f t="shared" si="133"/>
        <v>0.34255772114378691</v>
      </c>
      <c r="P2758" s="18"/>
      <c r="Q2758" s="18"/>
      <c r="R2758" s="18"/>
      <c r="S2758" s="18"/>
      <c r="T2758" s="18"/>
      <c r="U2758" s="18"/>
      <c r="V2758" s="18"/>
      <c r="W2758" s="18"/>
      <c r="X2758" s="18"/>
    </row>
    <row r="2759" spans="13:24">
      <c r="M2759" s="558">
        <f t="shared" si="134"/>
        <v>2757</v>
      </c>
      <c r="N2759" s="15">
        <f t="shared" si="132"/>
        <v>0.34248861542094894</v>
      </c>
      <c r="O2759" s="165">
        <f t="shared" si="133"/>
        <v>0.34248861542094894</v>
      </c>
      <c r="P2759" s="18"/>
      <c r="Q2759" s="18"/>
      <c r="R2759" s="18"/>
      <c r="S2759" s="18"/>
      <c r="T2759" s="18"/>
      <c r="U2759" s="18"/>
      <c r="V2759" s="18"/>
      <c r="W2759" s="18"/>
      <c r="X2759" s="18"/>
    </row>
    <row r="2760" spans="13:24">
      <c r="M2760" s="558">
        <f t="shared" si="134"/>
        <v>2758</v>
      </c>
      <c r="N2760" s="15">
        <f t="shared" si="132"/>
        <v>0.3424195319551907</v>
      </c>
      <c r="O2760" s="165">
        <f t="shared" si="133"/>
        <v>0.3424195319551907</v>
      </c>
      <c r="P2760" s="18"/>
      <c r="Q2760" s="18"/>
      <c r="R2760" s="18"/>
      <c r="S2760" s="18"/>
      <c r="T2760" s="18"/>
      <c r="U2760" s="18"/>
      <c r="V2760" s="18"/>
      <c r="W2760" s="18"/>
      <c r="X2760" s="18"/>
    </row>
    <row r="2761" spans="13:24">
      <c r="M2761" s="558">
        <f t="shared" si="134"/>
        <v>2759</v>
      </c>
      <c r="N2761" s="15">
        <f t="shared" si="132"/>
        <v>0.34235047071858132</v>
      </c>
      <c r="O2761" s="165">
        <f t="shared" si="133"/>
        <v>0.34235047071858132</v>
      </c>
      <c r="P2761" s="18"/>
      <c r="Q2761" s="18"/>
      <c r="R2761" s="18"/>
      <c r="S2761" s="18"/>
      <c r="T2761" s="18"/>
      <c r="U2761" s="18"/>
      <c r="V2761" s="18"/>
      <c r="W2761" s="18"/>
      <c r="X2761" s="18"/>
    </row>
    <row r="2762" spans="13:24">
      <c r="M2762" s="558">
        <f t="shared" si="134"/>
        <v>2760</v>
      </c>
      <c r="N2762" s="15">
        <f t="shared" si="132"/>
        <v>0.34228143168322506</v>
      </c>
      <c r="O2762" s="165">
        <f t="shared" si="133"/>
        <v>0.34228143168322506</v>
      </c>
      <c r="P2762" s="18"/>
      <c r="Q2762" s="18"/>
      <c r="R2762" s="18"/>
      <c r="S2762" s="18"/>
      <c r="T2762" s="18"/>
      <c r="U2762" s="18"/>
      <c r="V2762" s="18"/>
      <c r="W2762" s="18"/>
      <c r="X2762" s="18"/>
    </row>
    <row r="2763" spans="13:24">
      <c r="M2763" s="558">
        <f t="shared" si="134"/>
        <v>2761</v>
      </c>
      <c r="N2763" s="15">
        <f t="shared" si="132"/>
        <v>0.34221241482126113</v>
      </c>
      <c r="O2763" s="165">
        <f t="shared" si="133"/>
        <v>0.34221241482126113</v>
      </c>
      <c r="P2763" s="18"/>
      <c r="Q2763" s="18"/>
      <c r="R2763" s="18"/>
      <c r="S2763" s="18"/>
      <c r="T2763" s="18"/>
      <c r="U2763" s="18"/>
      <c r="V2763" s="18"/>
      <c r="W2763" s="18"/>
      <c r="X2763" s="18"/>
    </row>
    <row r="2764" spans="13:24">
      <c r="M2764" s="558">
        <f t="shared" si="134"/>
        <v>2762</v>
      </c>
      <c r="N2764" s="15">
        <f t="shared" si="132"/>
        <v>0.34214342010486365</v>
      </c>
      <c r="O2764" s="165">
        <f t="shared" si="133"/>
        <v>0.34214342010486365</v>
      </c>
      <c r="P2764" s="18"/>
      <c r="Q2764" s="18"/>
      <c r="R2764" s="18"/>
      <c r="S2764" s="18"/>
      <c r="T2764" s="18"/>
      <c r="U2764" s="18"/>
      <c r="V2764" s="18"/>
      <c r="W2764" s="18"/>
      <c r="X2764" s="18"/>
    </row>
    <row r="2765" spans="13:24">
      <c r="M2765" s="558">
        <f t="shared" si="134"/>
        <v>2763</v>
      </c>
      <c r="N2765" s="15">
        <f t="shared" si="132"/>
        <v>0.34207444750624172</v>
      </c>
      <c r="O2765" s="165">
        <f t="shared" si="133"/>
        <v>0.34207444750624172</v>
      </c>
      <c r="P2765" s="18"/>
      <c r="Q2765" s="18"/>
      <c r="R2765" s="18"/>
      <c r="S2765" s="18"/>
      <c r="T2765" s="18"/>
      <c r="U2765" s="18"/>
      <c r="V2765" s="18"/>
      <c r="W2765" s="18"/>
      <c r="X2765" s="18"/>
    </row>
    <row r="2766" spans="13:24">
      <c r="M2766" s="558">
        <f t="shared" si="134"/>
        <v>2764</v>
      </c>
      <c r="N2766" s="15">
        <f t="shared" si="132"/>
        <v>0.34200549699763932</v>
      </c>
      <c r="O2766" s="165">
        <f t="shared" si="133"/>
        <v>0.34200549699763932</v>
      </c>
      <c r="P2766" s="18"/>
      <c r="Q2766" s="18"/>
      <c r="R2766" s="18"/>
      <c r="S2766" s="18"/>
      <c r="T2766" s="18"/>
      <c r="U2766" s="18"/>
      <c r="V2766" s="18"/>
      <c r="W2766" s="18"/>
      <c r="X2766" s="18"/>
    </row>
    <row r="2767" spans="13:24">
      <c r="M2767" s="558">
        <f t="shared" si="134"/>
        <v>2765</v>
      </c>
      <c r="N2767" s="15">
        <f t="shared" si="132"/>
        <v>0.34193656855133536</v>
      </c>
      <c r="O2767" s="165">
        <f t="shared" si="133"/>
        <v>0.34193656855133536</v>
      </c>
      <c r="P2767" s="18"/>
      <c r="Q2767" s="18"/>
      <c r="R2767" s="18"/>
      <c r="S2767" s="18"/>
      <c r="T2767" s="18"/>
      <c r="U2767" s="18"/>
      <c r="V2767" s="18"/>
      <c r="W2767" s="18"/>
      <c r="X2767" s="18"/>
    </row>
    <row r="2768" spans="13:24">
      <c r="M2768" s="558">
        <f t="shared" si="134"/>
        <v>2766</v>
      </c>
      <c r="N2768" s="15">
        <f t="shared" si="132"/>
        <v>0.34186766213964326</v>
      </c>
      <c r="O2768" s="165">
        <f t="shared" si="133"/>
        <v>0.34186766213964326</v>
      </c>
      <c r="P2768" s="18"/>
      <c r="Q2768" s="18"/>
      <c r="R2768" s="18"/>
      <c r="S2768" s="18"/>
      <c r="T2768" s="18"/>
      <c r="U2768" s="18"/>
      <c r="V2768" s="18"/>
      <c r="W2768" s="18"/>
      <c r="X2768" s="18"/>
    </row>
    <row r="2769" spans="13:24">
      <c r="M2769" s="558">
        <f t="shared" si="134"/>
        <v>2767</v>
      </c>
      <c r="N2769" s="15">
        <f t="shared" si="132"/>
        <v>0.34179877773491135</v>
      </c>
      <c r="O2769" s="165">
        <f t="shared" si="133"/>
        <v>0.34179877773491135</v>
      </c>
      <c r="P2769" s="18"/>
      <c r="Q2769" s="18"/>
      <c r="R2769" s="18"/>
      <c r="S2769" s="18"/>
      <c r="T2769" s="18"/>
      <c r="U2769" s="18"/>
      <c r="V2769" s="18"/>
      <c r="W2769" s="18"/>
      <c r="X2769" s="18"/>
    </row>
    <row r="2770" spans="13:24">
      <c r="M2770" s="558">
        <f t="shared" si="134"/>
        <v>2768</v>
      </c>
      <c r="N2770" s="15">
        <f t="shared" si="132"/>
        <v>0.34172991530952279</v>
      </c>
      <c r="O2770" s="165">
        <f t="shared" si="133"/>
        <v>0.34172991530952279</v>
      </c>
      <c r="P2770" s="18"/>
      <c r="Q2770" s="18"/>
      <c r="R2770" s="18"/>
      <c r="S2770" s="18"/>
      <c r="T2770" s="18"/>
      <c r="U2770" s="18"/>
      <c r="V2770" s="18"/>
      <c r="W2770" s="18"/>
      <c r="X2770" s="18"/>
    </row>
    <row r="2771" spans="13:24">
      <c r="M2771" s="558">
        <f t="shared" si="134"/>
        <v>2769</v>
      </c>
      <c r="N2771" s="15">
        <f t="shared" si="132"/>
        <v>0.34166107483589525</v>
      </c>
      <c r="O2771" s="165">
        <f t="shared" si="133"/>
        <v>0.34166107483589525</v>
      </c>
      <c r="P2771" s="18"/>
      <c r="Q2771" s="18"/>
      <c r="R2771" s="18"/>
      <c r="S2771" s="18"/>
      <c r="T2771" s="18"/>
      <c r="U2771" s="18"/>
      <c r="V2771" s="18"/>
      <c r="W2771" s="18"/>
      <c r="X2771" s="18"/>
    </row>
    <row r="2772" spans="13:24">
      <c r="M2772" s="558">
        <f t="shared" si="134"/>
        <v>2770</v>
      </c>
      <c r="N2772" s="15">
        <f t="shared" si="132"/>
        <v>0.34159225628648088</v>
      </c>
      <c r="O2772" s="165">
        <f t="shared" si="133"/>
        <v>0.34159225628648088</v>
      </c>
      <c r="P2772" s="18"/>
      <c r="Q2772" s="18"/>
      <c r="R2772" s="18"/>
      <c r="S2772" s="18"/>
      <c r="T2772" s="18"/>
      <c r="U2772" s="18"/>
      <c r="V2772" s="18"/>
      <c r="W2772" s="18"/>
      <c r="X2772" s="18"/>
    </row>
    <row r="2773" spans="13:24">
      <c r="M2773" s="558">
        <f t="shared" si="134"/>
        <v>2771</v>
      </c>
      <c r="N2773" s="15">
        <f t="shared" si="132"/>
        <v>0.34152345963376673</v>
      </c>
      <c r="O2773" s="165">
        <f t="shared" si="133"/>
        <v>0.34152345963376673</v>
      </c>
      <c r="P2773" s="18"/>
      <c r="Q2773" s="18"/>
      <c r="R2773" s="18"/>
      <c r="S2773" s="18"/>
      <c r="T2773" s="18"/>
      <c r="U2773" s="18"/>
      <c r="V2773" s="18"/>
      <c r="W2773" s="18"/>
      <c r="X2773" s="18"/>
    </row>
    <row r="2774" spans="13:24">
      <c r="M2774" s="558">
        <f t="shared" si="134"/>
        <v>2772</v>
      </c>
      <c r="N2774" s="15">
        <f t="shared" si="132"/>
        <v>0.34145468485027414</v>
      </c>
      <c r="O2774" s="165">
        <f t="shared" si="133"/>
        <v>0.34145468485027414</v>
      </c>
      <c r="P2774" s="18"/>
      <c r="Q2774" s="18"/>
      <c r="R2774" s="18"/>
      <c r="S2774" s="18"/>
      <c r="T2774" s="18"/>
      <c r="U2774" s="18"/>
      <c r="V2774" s="18"/>
      <c r="W2774" s="18"/>
      <c r="X2774" s="18"/>
    </row>
    <row r="2775" spans="13:24">
      <c r="M2775" s="558">
        <f t="shared" si="134"/>
        <v>2773</v>
      </c>
      <c r="N2775" s="15">
        <f t="shared" si="132"/>
        <v>0.34138593190855904</v>
      </c>
      <c r="O2775" s="165">
        <f t="shared" si="133"/>
        <v>0.34138593190855904</v>
      </c>
      <c r="P2775" s="18"/>
      <c r="Q2775" s="18"/>
      <c r="R2775" s="18"/>
      <c r="S2775" s="18"/>
      <c r="T2775" s="18"/>
      <c r="U2775" s="18"/>
      <c r="V2775" s="18"/>
      <c r="W2775" s="18"/>
      <c r="X2775" s="18"/>
    </row>
    <row r="2776" spans="13:24">
      <c r="M2776" s="558">
        <f t="shared" si="134"/>
        <v>2774</v>
      </c>
      <c r="N2776" s="15">
        <f t="shared" si="132"/>
        <v>0.34131720078121158</v>
      </c>
      <c r="O2776" s="165">
        <f t="shared" si="133"/>
        <v>0.34131720078121158</v>
      </c>
      <c r="P2776" s="18"/>
      <c r="Q2776" s="18"/>
      <c r="R2776" s="18"/>
      <c r="S2776" s="18"/>
      <c r="T2776" s="18"/>
      <c r="U2776" s="18"/>
      <c r="V2776" s="18"/>
      <c r="W2776" s="18"/>
      <c r="X2776" s="18"/>
    </row>
    <row r="2777" spans="13:24">
      <c r="M2777" s="558">
        <f t="shared" si="134"/>
        <v>2775</v>
      </c>
      <c r="N2777" s="15">
        <f t="shared" si="132"/>
        <v>0.34124849144085667</v>
      </c>
      <c r="O2777" s="165">
        <f t="shared" si="133"/>
        <v>0.34124849144085667</v>
      </c>
      <c r="P2777" s="18"/>
      <c r="Q2777" s="18"/>
      <c r="R2777" s="18"/>
      <c r="S2777" s="18"/>
      <c r="T2777" s="18"/>
      <c r="U2777" s="18"/>
      <c r="V2777" s="18"/>
      <c r="W2777" s="18"/>
      <c r="X2777" s="18"/>
    </row>
    <row r="2778" spans="13:24">
      <c r="M2778" s="558">
        <f t="shared" si="134"/>
        <v>2776</v>
      </c>
      <c r="N2778" s="15">
        <f t="shared" si="132"/>
        <v>0.34117980386015334</v>
      </c>
      <c r="O2778" s="165">
        <f t="shared" si="133"/>
        <v>0.34117980386015334</v>
      </c>
      <c r="P2778" s="18"/>
      <c r="Q2778" s="18"/>
      <c r="R2778" s="18"/>
      <c r="S2778" s="18"/>
      <c r="T2778" s="18"/>
      <c r="U2778" s="18"/>
      <c r="V2778" s="18"/>
      <c r="W2778" s="18"/>
      <c r="X2778" s="18"/>
    </row>
    <row r="2779" spans="13:24">
      <c r="M2779" s="558">
        <f t="shared" si="134"/>
        <v>2777</v>
      </c>
      <c r="N2779" s="15">
        <f t="shared" si="132"/>
        <v>0.34111113801179493</v>
      </c>
      <c r="O2779" s="165">
        <f t="shared" si="133"/>
        <v>0.34111113801179493</v>
      </c>
      <c r="P2779" s="18"/>
      <c r="Q2779" s="18"/>
      <c r="R2779" s="18"/>
      <c r="S2779" s="18"/>
      <c r="T2779" s="18"/>
      <c r="U2779" s="18"/>
      <c r="V2779" s="18"/>
      <c r="W2779" s="18"/>
      <c r="X2779" s="18"/>
    </row>
    <row r="2780" spans="13:24">
      <c r="M2780" s="558">
        <f t="shared" si="134"/>
        <v>2778</v>
      </c>
      <c r="N2780" s="15">
        <f t="shared" si="132"/>
        <v>0.34104249386850904</v>
      </c>
      <c r="O2780" s="165">
        <f t="shared" si="133"/>
        <v>0.34104249386850904</v>
      </c>
      <c r="P2780" s="18"/>
      <c r="Q2780" s="18"/>
      <c r="R2780" s="18"/>
      <c r="S2780" s="18"/>
      <c r="T2780" s="18"/>
      <c r="U2780" s="18"/>
      <c r="V2780" s="18"/>
      <c r="W2780" s="18"/>
      <c r="X2780" s="18"/>
    </row>
    <row r="2781" spans="13:24">
      <c r="M2781" s="558">
        <f t="shared" si="134"/>
        <v>2779</v>
      </c>
      <c r="N2781" s="15">
        <f t="shared" si="132"/>
        <v>0.34097387140305768</v>
      </c>
      <c r="O2781" s="165">
        <f t="shared" si="133"/>
        <v>0.34097387140305768</v>
      </c>
      <c r="P2781" s="18"/>
      <c r="Q2781" s="18"/>
      <c r="R2781" s="18"/>
      <c r="S2781" s="18"/>
      <c r="T2781" s="18"/>
      <c r="U2781" s="18"/>
      <c r="V2781" s="18"/>
      <c r="W2781" s="18"/>
      <c r="X2781" s="18"/>
    </row>
    <row r="2782" spans="13:24">
      <c r="M2782" s="558">
        <f t="shared" si="134"/>
        <v>2780</v>
      </c>
      <c r="N2782" s="15">
        <f t="shared" si="132"/>
        <v>0.34090527058823689</v>
      </c>
      <c r="O2782" s="165">
        <f t="shared" si="133"/>
        <v>0.34090527058823689</v>
      </c>
      <c r="P2782" s="18"/>
      <c r="Q2782" s="18"/>
      <c r="R2782" s="18"/>
      <c r="S2782" s="18"/>
      <c r="T2782" s="18"/>
      <c r="U2782" s="18"/>
      <c r="V2782" s="18"/>
      <c r="W2782" s="18"/>
      <c r="X2782" s="18"/>
    </row>
    <row r="2783" spans="13:24">
      <c r="M2783" s="558">
        <f t="shared" si="134"/>
        <v>2781</v>
      </c>
      <c r="N2783" s="15">
        <f t="shared" si="132"/>
        <v>0.34083669139687678</v>
      </c>
      <c r="O2783" s="165">
        <f t="shared" si="133"/>
        <v>0.34083669139687678</v>
      </c>
      <c r="P2783" s="18"/>
      <c r="Q2783" s="18"/>
      <c r="R2783" s="18"/>
      <c r="S2783" s="18"/>
      <c r="T2783" s="18"/>
      <c r="U2783" s="18"/>
      <c r="V2783" s="18"/>
      <c r="W2783" s="18"/>
      <c r="X2783" s="18"/>
    </row>
    <row r="2784" spans="13:24">
      <c r="M2784" s="558">
        <f t="shared" si="134"/>
        <v>2782</v>
      </c>
      <c r="N2784" s="15">
        <f t="shared" si="132"/>
        <v>0.34076813380184168</v>
      </c>
      <c r="O2784" s="165">
        <f t="shared" si="133"/>
        <v>0.34076813380184168</v>
      </c>
      <c r="P2784" s="18"/>
      <c r="Q2784" s="18"/>
      <c r="R2784" s="18"/>
      <c r="S2784" s="18"/>
      <c r="T2784" s="18"/>
      <c r="U2784" s="18"/>
      <c r="V2784" s="18"/>
      <c r="W2784" s="18"/>
      <c r="X2784" s="18"/>
    </row>
    <row r="2785" spans="13:24">
      <c r="M2785" s="558">
        <f t="shared" si="134"/>
        <v>2783</v>
      </c>
      <c r="N2785" s="15">
        <f t="shared" si="132"/>
        <v>0.34069959777602998</v>
      </c>
      <c r="O2785" s="165">
        <f t="shared" si="133"/>
        <v>0.34069959777602998</v>
      </c>
      <c r="P2785" s="18"/>
      <c r="Q2785" s="18"/>
      <c r="R2785" s="18"/>
      <c r="S2785" s="18"/>
      <c r="T2785" s="18"/>
      <c r="U2785" s="18"/>
      <c r="V2785" s="18"/>
      <c r="W2785" s="18"/>
      <c r="X2785" s="18"/>
    </row>
    <row r="2786" spans="13:24">
      <c r="M2786" s="558">
        <f t="shared" si="134"/>
        <v>2784</v>
      </c>
      <c r="N2786" s="15">
        <f t="shared" si="132"/>
        <v>0.34063108329237396</v>
      </c>
      <c r="O2786" s="165">
        <f t="shared" si="133"/>
        <v>0.34063108329237396</v>
      </c>
      <c r="P2786" s="18"/>
      <c r="Q2786" s="18"/>
      <c r="R2786" s="18"/>
      <c r="S2786" s="18"/>
      <c r="T2786" s="18"/>
      <c r="U2786" s="18"/>
      <c r="V2786" s="18"/>
      <c r="W2786" s="18"/>
      <c r="X2786" s="18"/>
    </row>
    <row r="2787" spans="13:24">
      <c r="M2787" s="558">
        <f t="shared" si="134"/>
        <v>2785</v>
      </c>
      <c r="N2787" s="15">
        <f t="shared" si="132"/>
        <v>0.34056259032383995</v>
      </c>
      <c r="O2787" s="165">
        <f t="shared" si="133"/>
        <v>0.34056259032383995</v>
      </c>
      <c r="P2787" s="18"/>
      <c r="Q2787" s="18"/>
      <c r="R2787" s="18"/>
      <c r="S2787" s="18"/>
      <c r="T2787" s="18"/>
      <c r="U2787" s="18"/>
      <c r="V2787" s="18"/>
      <c r="W2787" s="18"/>
      <c r="X2787" s="18"/>
    </row>
    <row r="2788" spans="13:24">
      <c r="M2788" s="558">
        <f t="shared" si="134"/>
        <v>2786</v>
      </c>
      <c r="N2788" s="15">
        <f t="shared" si="132"/>
        <v>0.34049411884342834</v>
      </c>
      <c r="O2788" s="165">
        <f t="shared" si="133"/>
        <v>0.34049411884342834</v>
      </c>
      <c r="P2788" s="18"/>
      <c r="Q2788" s="18"/>
      <c r="R2788" s="18"/>
      <c r="S2788" s="18"/>
      <c r="T2788" s="18"/>
      <c r="U2788" s="18"/>
      <c r="V2788" s="18"/>
      <c r="W2788" s="18"/>
      <c r="X2788" s="18"/>
    </row>
    <row r="2789" spans="13:24">
      <c r="M2789" s="558">
        <f t="shared" si="134"/>
        <v>2787</v>
      </c>
      <c r="N2789" s="15">
        <f t="shared" si="132"/>
        <v>0.34042566882417313</v>
      </c>
      <c r="O2789" s="165">
        <f t="shared" si="133"/>
        <v>0.34042566882417313</v>
      </c>
      <c r="P2789" s="18"/>
      <c r="Q2789" s="18"/>
      <c r="R2789" s="18"/>
      <c r="S2789" s="18"/>
      <c r="T2789" s="18"/>
      <c r="U2789" s="18"/>
      <c r="V2789" s="18"/>
      <c r="W2789" s="18"/>
      <c r="X2789" s="18"/>
    </row>
    <row r="2790" spans="13:24">
      <c r="M2790" s="558">
        <f t="shared" si="134"/>
        <v>2788</v>
      </c>
      <c r="N2790" s="15">
        <f t="shared" si="132"/>
        <v>0.34035724023914227</v>
      </c>
      <c r="O2790" s="165">
        <f t="shared" si="133"/>
        <v>0.34035724023914227</v>
      </c>
      <c r="P2790" s="18"/>
      <c r="Q2790" s="18"/>
      <c r="R2790" s="18"/>
      <c r="S2790" s="18"/>
      <c r="T2790" s="18"/>
      <c r="U2790" s="18"/>
      <c r="V2790" s="18"/>
      <c r="W2790" s="18"/>
      <c r="X2790" s="18"/>
    </row>
    <row r="2791" spans="13:24">
      <c r="M2791" s="558">
        <f t="shared" si="134"/>
        <v>2789</v>
      </c>
      <c r="N2791" s="15">
        <f t="shared" si="132"/>
        <v>0.34028883306143759</v>
      </c>
      <c r="O2791" s="165">
        <f t="shared" si="133"/>
        <v>0.34028883306143759</v>
      </c>
      <c r="P2791" s="18"/>
      <c r="Q2791" s="18"/>
      <c r="R2791" s="18"/>
      <c r="S2791" s="18"/>
      <c r="T2791" s="18"/>
      <c r="U2791" s="18"/>
      <c r="V2791" s="18"/>
      <c r="W2791" s="18"/>
      <c r="X2791" s="18"/>
    </row>
    <row r="2792" spans="13:24">
      <c r="M2792" s="558">
        <f t="shared" si="134"/>
        <v>2790</v>
      </c>
      <c r="N2792" s="15">
        <f t="shared" si="132"/>
        <v>0.34022044726419465</v>
      </c>
      <c r="O2792" s="165">
        <f t="shared" si="133"/>
        <v>0.34022044726419465</v>
      </c>
      <c r="P2792" s="18"/>
      <c r="Q2792" s="18"/>
      <c r="R2792" s="18"/>
      <c r="S2792" s="18"/>
      <c r="T2792" s="18"/>
      <c r="U2792" s="18"/>
      <c r="V2792" s="18"/>
      <c r="W2792" s="18"/>
      <c r="X2792" s="18"/>
    </row>
    <row r="2793" spans="13:24">
      <c r="M2793" s="558">
        <f t="shared" si="134"/>
        <v>2791</v>
      </c>
      <c r="N2793" s="15">
        <f t="shared" si="132"/>
        <v>0.34015208282058262</v>
      </c>
      <c r="O2793" s="165">
        <f t="shared" si="133"/>
        <v>0.34015208282058262</v>
      </c>
      <c r="P2793" s="18"/>
      <c r="Q2793" s="18"/>
      <c r="R2793" s="18"/>
      <c r="S2793" s="18"/>
      <c r="T2793" s="18"/>
      <c r="U2793" s="18"/>
      <c r="V2793" s="18"/>
      <c r="W2793" s="18"/>
      <c r="X2793" s="18"/>
    </row>
    <row r="2794" spans="13:24">
      <c r="M2794" s="558">
        <f t="shared" si="134"/>
        <v>2792</v>
      </c>
      <c r="N2794" s="15">
        <f t="shared" si="132"/>
        <v>0.34008373970380446</v>
      </c>
      <c r="O2794" s="165">
        <f t="shared" si="133"/>
        <v>0.34008373970380446</v>
      </c>
      <c r="P2794" s="18"/>
      <c r="Q2794" s="18"/>
      <c r="R2794" s="18"/>
      <c r="S2794" s="18"/>
      <c r="T2794" s="18"/>
      <c r="U2794" s="18"/>
      <c r="V2794" s="18"/>
      <c r="W2794" s="18"/>
      <c r="X2794" s="18"/>
    </row>
    <row r="2795" spans="13:24">
      <c r="M2795" s="558">
        <f t="shared" si="134"/>
        <v>2793</v>
      </c>
      <c r="N2795" s="15">
        <f t="shared" si="132"/>
        <v>0.3400154178870966</v>
      </c>
      <c r="O2795" s="165">
        <f t="shared" si="133"/>
        <v>0.3400154178870966</v>
      </c>
      <c r="P2795" s="18"/>
      <c r="Q2795" s="18"/>
      <c r="R2795" s="18"/>
      <c r="S2795" s="18"/>
      <c r="T2795" s="18"/>
      <c r="U2795" s="18"/>
      <c r="V2795" s="18"/>
      <c r="W2795" s="18"/>
      <c r="X2795" s="18"/>
    </row>
    <row r="2796" spans="13:24">
      <c r="M2796" s="558">
        <f t="shared" si="134"/>
        <v>2794</v>
      </c>
      <c r="N2796" s="15">
        <f t="shared" si="132"/>
        <v>0.33994711734372929</v>
      </c>
      <c r="O2796" s="165">
        <f t="shared" si="133"/>
        <v>0.33994711734372929</v>
      </c>
      <c r="P2796" s="18"/>
      <c r="Q2796" s="18"/>
      <c r="R2796" s="18"/>
      <c r="S2796" s="18"/>
      <c r="T2796" s="18"/>
      <c r="U2796" s="18"/>
      <c r="V2796" s="18"/>
      <c r="W2796" s="18"/>
      <c r="X2796" s="18"/>
    </row>
    <row r="2797" spans="13:24">
      <c r="M2797" s="558">
        <f t="shared" si="134"/>
        <v>2795</v>
      </c>
      <c r="N2797" s="15">
        <f t="shared" si="132"/>
        <v>0.33987883804700619</v>
      </c>
      <c r="O2797" s="165">
        <f t="shared" si="133"/>
        <v>0.33987883804700619</v>
      </c>
      <c r="P2797" s="18"/>
      <c r="Q2797" s="18"/>
      <c r="R2797" s="18"/>
      <c r="S2797" s="18"/>
      <c r="T2797" s="18"/>
      <c r="U2797" s="18"/>
      <c r="V2797" s="18"/>
      <c r="W2797" s="18"/>
      <c r="X2797" s="18"/>
    </row>
    <row r="2798" spans="13:24">
      <c r="M2798" s="558">
        <f t="shared" si="134"/>
        <v>2796</v>
      </c>
      <c r="N2798" s="15">
        <f t="shared" si="132"/>
        <v>0.33981057997026437</v>
      </c>
      <c r="O2798" s="165">
        <f t="shared" si="133"/>
        <v>0.33981057997026437</v>
      </c>
      <c r="P2798" s="18"/>
      <c r="Q2798" s="18"/>
      <c r="R2798" s="18"/>
      <c r="S2798" s="18"/>
      <c r="T2798" s="18"/>
      <c r="U2798" s="18"/>
      <c r="V2798" s="18"/>
      <c r="W2798" s="18"/>
      <c r="X2798" s="18"/>
    </row>
    <row r="2799" spans="13:24">
      <c r="M2799" s="558">
        <f t="shared" si="134"/>
        <v>2797</v>
      </c>
      <c r="N2799" s="15">
        <f t="shared" si="132"/>
        <v>0.33974234308687451</v>
      </c>
      <c r="O2799" s="165">
        <f t="shared" si="133"/>
        <v>0.33974234308687451</v>
      </c>
      <c r="P2799" s="18"/>
      <c r="Q2799" s="18"/>
      <c r="R2799" s="18"/>
      <c r="S2799" s="18"/>
      <c r="T2799" s="18"/>
      <c r="U2799" s="18"/>
      <c r="V2799" s="18"/>
      <c r="W2799" s="18"/>
      <c r="X2799" s="18"/>
    </row>
    <row r="2800" spans="13:24">
      <c r="M2800" s="558">
        <f t="shared" si="134"/>
        <v>2798</v>
      </c>
      <c r="N2800" s="15">
        <f t="shared" si="132"/>
        <v>0.33967412737024066</v>
      </c>
      <c r="O2800" s="165">
        <f t="shared" si="133"/>
        <v>0.33967412737024066</v>
      </c>
      <c r="P2800" s="18"/>
      <c r="Q2800" s="18"/>
      <c r="R2800" s="18"/>
      <c r="S2800" s="18"/>
      <c r="T2800" s="18"/>
      <c r="U2800" s="18"/>
      <c r="V2800" s="18"/>
      <c r="W2800" s="18"/>
      <c r="X2800" s="18"/>
    </row>
    <row r="2801" spans="13:24">
      <c r="M2801" s="558">
        <f t="shared" si="134"/>
        <v>2799</v>
      </c>
      <c r="N2801" s="15">
        <f t="shared" si="132"/>
        <v>0.33960593279380025</v>
      </c>
      <c r="O2801" s="165">
        <f t="shared" si="133"/>
        <v>0.33960593279380025</v>
      </c>
      <c r="P2801" s="18"/>
      <c r="Q2801" s="18"/>
      <c r="R2801" s="18"/>
      <c r="S2801" s="18"/>
      <c r="T2801" s="18"/>
      <c r="U2801" s="18"/>
      <c r="V2801" s="18"/>
      <c r="W2801" s="18"/>
      <c r="X2801" s="18"/>
    </row>
    <row r="2802" spans="13:24">
      <c r="M2802" s="558">
        <f t="shared" si="134"/>
        <v>2800</v>
      </c>
      <c r="N2802" s="15">
        <f t="shared" si="132"/>
        <v>0.33953775933102398</v>
      </c>
      <c r="O2802" s="165">
        <f t="shared" si="133"/>
        <v>0.33953775933102398</v>
      </c>
      <c r="P2802" s="18"/>
      <c r="Q2802" s="18"/>
      <c r="R2802" s="18"/>
      <c r="S2802" s="18"/>
      <c r="T2802" s="18"/>
      <c r="U2802" s="18"/>
      <c r="V2802" s="18"/>
      <c r="W2802" s="18"/>
      <c r="X2802" s="18"/>
    </row>
    <row r="2803" spans="13:24">
      <c r="M2803" s="558">
        <f t="shared" si="134"/>
        <v>2801</v>
      </c>
      <c r="N2803" s="15">
        <f t="shared" si="132"/>
        <v>0.339469606955416</v>
      </c>
      <c r="O2803" s="165">
        <f t="shared" si="133"/>
        <v>0.339469606955416</v>
      </c>
      <c r="P2803" s="18"/>
      <c r="Q2803" s="18"/>
      <c r="R2803" s="18"/>
      <c r="S2803" s="18"/>
      <c r="T2803" s="18"/>
      <c r="U2803" s="18"/>
      <c r="V2803" s="18"/>
      <c r="W2803" s="18"/>
      <c r="X2803" s="18"/>
    </row>
    <row r="2804" spans="13:24">
      <c r="M2804" s="558">
        <f t="shared" si="134"/>
        <v>2802</v>
      </c>
      <c r="N2804" s="15">
        <f t="shared" si="132"/>
        <v>0.33940147564051354</v>
      </c>
      <c r="O2804" s="165">
        <f t="shared" si="133"/>
        <v>0.33940147564051354</v>
      </c>
      <c r="P2804" s="18"/>
      <c r="Q2804" s="18"/>
      <c r="R2804" s="18"/>
      <c r="S2804" s="18"/>
      <c r="T2804" s="18"/>
      <c r="U2804" s="18"/>
      <c r="V2804" s="18"/>
      <c r="W2804" s="18"/>
      <c r="X2804" s="18"/>
    </row>
    <row r="2805" spans="13:24">
      <c r="M2805" s="558">
        <f t="shared" si="134"/>
        <v>2803</v>
      </c>
      <c r="N2805" s="15">
        <f t="shared" si="132"/>
        <v>0.33933336535988706</v>
      </c>
      <c r="O2805" s="165">
        <f t="shared" si="133"/>
        <v>0.33933336535988706</v>
      </c>
      <c r="P2805" s="18"/>
      <c r="Q2805" s="18"/>
      <c r="R2805" s="18"/>
      <c r="S2805" s="18"/>
      <c r="T2805" s="18"/>
      <c r="U2805" s="18"/>
      <c r="V2805" s="18"/>
      <c r="W2805" s="18"/>
      <c r="X2805" s="18"/>
    </row>
    <row r="2806" spans="13:24">
      <c r="M2806" s="558">
        <f t="shared" si="134"/>
        <v>2804</v>
      </c>
      <c r="N2806" s="15">
        <f t="shared" si="132"/>
        <v>0.3392652760871403</v>
      </c>
      <c r="O2806" s="165">
        <f t="shared" si="133"/>
        <v>0.3392652760871403</v>
      </c>
      <c r="P2806" s="18"/>
      <c r="Q2806" s="18"/>
      <c r="R2806" s="18"/>
      <c r="S2806" s="18"/>
      <c r="T2806" s="18"/>
      <c r="U2806" s="18"/>
      <c r="V2806" s="18"/>
      <c r="W2806" s="18"/>
      <c r="X2806" s="18"/>
    </row>
    <row r="2807" spans="13:24">
      <c r="M2807" s="558">
        <f t="shared" si="134"/>
        <v>2805</v>
      </c>
      <c r="N2807" s="15">
        <f t="shared" si="132"/>
        <v>0.33919720779591006</v>
      </c>
      <c r="O2807" s="165">
        <f t="shared" si="133"/>
        <v>0.33919720779591006</v>
      </c>
      <c r="P2807" s="18"/>
      <c r="Q2807" s="18"/>
      <c r="R2807" s="18"/>
      <c r="S2807" s="18"/>
      <c r="T2807" s="18"/>
      <c r="U2807" s="18"/>
      <c r="V2807" s="18"/>
      <c r="W2807" s="18"/>
      <c r="X2807" s="18"/>
    </row>
    <row r="2808" spans="13:24">
      <c r="M2808" s="558">
        <f t="shared" si="134"/>
        <v>2806</v>
      </c>
      <c r="N2808" s="15">
        <f t="shared" si="132"/>
        <v>0.33912916045986624</v>
      </c>
      <c r="O2808" s="165">
        <f t="shared" si="133"/>
        <v>0.33912916045986624</v>
      </c>
      <c r="P2808" s="18"/>
      <c r="Q2808" s="18"/>
      <c r="R2808" s="18"/>
      <c r="S2808" s="18"/>
      <c r="T2808" s="18"/>
      <c r="U2808" s="18"/>
      <c r="V2808" s="18"/>
      <c r="W2808" s="18"/>
      <c r="X2808" s="18"/>
    </row>
    <row r="2809" spans="13:24">
      <c r="M2809" s="558">
        <f t="shared" si="134"/>
        <v>2807</v>
      </c>
      <c r="N2809" s="15">
        <f t="shared" si="132"/>
        <v>0.33906113405271171</v>
      </c>
      <c r="O2809" s="165">
        <f t="shared" si="133"/>
        <v>0.33906113405271171</v>
      </c>
      <c r="P2809" s="18"/>
      <c r="Q2809" s="18"/>
      <c r="R2809" s="18"/>
      <c r="S2809" s="18"/>
      <c r="T2809" s="18"/>
      <c r="U2809" s="18"/>
      <c r="V2809" s="18"/>
      <c r="W2809" s="18"/>
      <c r="X2809" s="18"/>
    </row>
    <row r="2810" spans="13:24">
      <c r="M2810" s="558">
        <f t="shared" si="134"/>
        <v>2808</v>
      </c>
      <c r="N2810" s="15">
        <f t="shared" si="132"/>
        <v>0.33899312854818237</v>
      </c>
      <c r="O2810" s="165">
        <f t="shared" si="133"/>
        <v>0.33899312854818237</v>
      </c>
      <c r="P2810" s="18"/>
      <c r="Q2810" s="18"/>
      <c r="R2810" s="18"/>
      <c r="S2810" s="18"/>
      <c r="T2810" s="18"/>
      <c r="U2810" s="18"/>
      <c r="V2810" s="18"/>
      <c r="W2810" s="18"/>
      <c r="X2810" s="18"/>
    </row>
    <row r="2811" spans="13:24">
      <c r="M2811" s="558">
        <f t="shared" si="134"/>
        <v>2809</v>
      </c>
      <c r="N2811" s="15">
        <f t="shared" si="132"/>
        <v>0.33892514392004719</v>
      </c>
      <c r="O2811" s="165">
        <f t="shared" si="133"/>
        <v>0.33892514392004719</v>
      </c>
      <c r="P2811" s="18"/>
      <c r="Q2811" s="18"/>
      <c r="R2811" s="18"/>
      <c r="S2811" s="18"/>
      <c r="T2811" s="18"/>
      <c r="U2811" s="18"/>
      <c r="V2811" s="18"/>
      <c r="W2811" s="18"/>
      <c r="X2811" s="18"/>
    </row>
    <row r="2812" spans="13:24">
      <c r="M2812" s="558">
        <f t="shared" si="134"/>
        <v>2810</v>
      </c>
      <c r="N2812" s="15">
        <f t="shared" si="132"/>
        <v>0.33885718014210792</v>
      </c>
      <c r="O2812" s="165">
        <f t="shared" si="133"/>
        <v>0.33885718014210792</v>
      </c>
      <c r="P2812" s="18"/>
      <c r="Q2812" s="18"/>
      <c r="R2812" s="18"/>
      <c r="S2812" s="18"/>
      <c r="T2812" s="18"/>
      <c r="U2812" s="18"/>
      <c r="V2812" s="18"/>
      <c r="W2812" s="18"/>
      <c r="X2812" s="18"/>
    </row>
    <row r="2813" spans="13:24">
      <c r="M2813" s="558">
        <f t="shared" si="134"/>
        <v>2811</v>
      </c>
      <c r="N2813" s="15">
        <f t="shared" si="132"/>
        <v>0.33878923718819925</v>
      </c>
      <c r="O2813" s="165">
        <f t="shared" si="133"/>
        <v>0.33878923718819925</v>
      </c>
      <c r="P2813" s="18"/>
      <c r="Q2813" s="18"/>
      <c r="R2813" s="18"/>
      <c r="S2813" s="18"/>
      <c r="T2813" s="18"/>
      <c r="U2813" s="18"/>
      <c r="V2813" s="18"/>
      <c r="W2813" s="18"/>
      <c r="X2813" s="18"/>
    </row>
    <row r="2814" spans="13:24">
      <c r="M2814" s="558">
        <f t="shared" si="134"/>
        <v>2812</v>
      </c>
      <c r="N2814" s="15">
        <f t="shared" si="132"/>
        <v>0.33872131503218866</v>
      </c>
      <c r="O2814" s="165">
        <f t="shared" si="133"/>
        <v>0.33872131503218866</v>
      </c>
      <c r="P2814" s="18"/>
      <c r="Q2814" s="18"/>
      <c r="R2814" s="18"/>
      <c r="S2814" s="18"/>
      <c r="T2814" s="18"/>
      <c r="U2814" s="18"/>
      <c r="V2814" s="18"/>
      <c r="W2814" s="18"/>
      <c r="X2814" s="18"/>
    </row>
    <row r="2815" spans="13:24">
      <c r="M2815" s="558">
        <f t="shared" si="134"/>
        <v>2813</v>
      </c>
      <c r="N2815" s="15">
        <f t="shared" si="132"/>
        <v>0.33865341364797652</v>
      </c>
      <c r="O2815" s="165">
        <f t="shared" si="133"/>
        <v>0.33865341364797652</v>
      </c>
      <c r="P2815" s="18"/>
      <c r="Q2815" s="18"/>
      <c r="R2815" s="18"/>
      <c r="S2815" s="18"/>
      <c r="T2815" s="18"/>
      <c r="U2815" s="18"/>
      <c r="V2815" s="18"/>
      <c r="W2815" s="18"/>
      <c r="X2815" s="18"/>
    </row>
    <row r="2816" spans="13:24">
      <c r="M2816" s="558">
        <f t="shared" si="134"/>
        <v>2814</v>
      </c>
      <c r="N2816" s="15">
        <f t="shared" si="132"/>
        <v>0.3385855330094959</v>
      </c>
      <c r="O2816" s="165">
        <f t="shared" si="133"/>
        <v>0.3385855330094959</v>
      </c>
      <c r="P2816" s="18"/>
      <c r="Q2816" s="18"/>
      <c r="R2816" s="18"/>
      <c r="S2816" s="18"/>
      <c r="T2816" s="18"/>
      <c r="U2816" s="18"/>
      <c r="V2816" s="18"/>
      <c r="W2816" s="18"/>
      <c r="X2816" s="18"/>
    </row>
    <row r="2817" spans="13:24">
      <c r="M2817" s="558">
        <f t="shared" si="134"/>
        <v>2815</v>
      </c>
      <c r="N2817" s="15">
        <f t="shared" si="132"/>
        <v>0.33851767309071246</v>
      </c>
      <c r="O2817" s="165">
        <f t="shared" si="133"/>
        <v>0.33851767309071246</v>
      </c>
      <c r="P2817" s="18"/>
      <c r="Q2817" s="18"/>
      <c r="R2817" s="18"/>
      <c r="S2817" s="18"/>
      <c r="T2817" s="18"/>
      <c r="U2817" s="18"/>
      <c r="V2817" s="18"/>
      <c r="W2817" s="18"/>
      <c r="X2817" s="18"/>
    </row>
    <row r="2818" spans="13:24">
      <c r="M2818" s="558">
        <f t="shared" si="134"/>
        <v>2816</v>
      </c>
      <c r="N2818" s="15">
        <f t="shared" si="132"/>
        <v>0.33844983386562477</v>
      </c>
      <c r="O2818" s="165">
        <f t="shared" si="133"/>
        <v>0.33844983386562477</v>
      </c>
      <c r="P2818" s="18"/>
      <c r="Q2818" s="18"/>
      <c r="R2818" s="18"/>
      <c r="S2818" s="18"/>
      <c r="T2818" s="18"/>
      <c r="U2818" s="18"/>
      <c r="V2818" s="18"/>
      <c r="W2818" s="18"/>
      <c r="X2818" s="18"/>
    </row>
    <row r="2819" spans="13:24">
      <c r="M2819" s="558">
        <f t="shared" si="134"/>
        <v>2817</v>
      </c>
      <c r="N2819" s="15">
        <f t="shared" si="132"/>
        <v>0.33838201530826384</v>
      </c>
      <c r="O2819" s="165">
        <f t="shared" si="133"/>
        <v>0.33838201530826384</v>
      </c>
      <c r="P2819" s="18"/>
      <c r="Q2819" s="18"/>
      <c r="R2819" s="18"/>
      <c r="S2819" s="18"/>
      <c r="T2819" s="18"/>
      <c r="U2819" s="18"/>
      <c r="V2819" s="18"/>
      <c r="W2819" s="18"/>
      <c r="X2819" s="18"/>
    </row>
    <row r="2820" spans="13:24">
      <c r="M2820" s="558">
        <f t="shared" si="134"/>
        <v>2818</v>
      </c>
      <c r="N2820" s="15">
        <f t="shared" ref="N2820:N2883" si="135">IF(M2820&lt;$B$31+1,$B$32+$B$33/$B$31*(8760-M2820)+$B$34*IF(M2820&lt;$B$36-$B$31/(2*$B$35),1,IF(M2820&lt;$B$36+$B$31/(2*$B$35),COS(PI()/2*(M2820-($B$36-$B$31/(2*$B$35)))*$B$35/$B$31)^2,0))+$B$37*EXP((8760-M2820)/8760*$B$38)/EXP($B$38)-(8760-$B$31)*$B$33/$B$31,0)</f>
        <v>0.33831421739269335</v>
      </c>
      <c r="O2820" s="165">
        <f t="shared" ref="O2820:O2883" si="136">MIN(N2820,C$24)</f>
        <v>0.33831421739269335</v>
      </c>
      <c r="P2820" s="18"/>
      <c r="Q2820" s="18"/>
      <c r="R2820" s="18"/>
      <c r="S2820" s="18"/>
      <c r="T2820" s="18"/>
      <c r="U2820" s="18"/>
      <c r="V2820" s="18"/>
      <c r="W2820" s="18"/>
      <c r="X2820" s="18"/>
    </row>
    <row r="2821" spans="13:24">
      <c r="M2821" s="558">
        <f t="shared" ref="M2821:M2884" si="137">M2820+1</f>
        <v>2819</v>
      </c>
      <c r="N2821" s="15">
        <f t="shared" si="135"/>
        <v>0.33824644009300947</v>
      </c>
      <c r="O2821" s="165">
        <f t="shared" si="136"/>
        <v>0.33824644009300947</v>
      </c>
      <c r="P2821" s="18"/>
      <c r="Q2821" s="18"/>
      <c r="R2821" s="18"/>
      <c r="S2821" s="18"/>
      <c r="T2821" s="18"/>
      <c r="U2821" s="18"/>
      <c r="V2821" s="18"/>
      <c r="W2821" s="18"/>
      <c r="X2821" s="18"/>
    </row>
    <row r="2822" spans="13:24">
      <c r="M2822" s="558">
        <f t="shared" si="137"/>
        <v>2820</v>
      </c>
      <c r="N2822" s="15">
        <f t="shared" si="135"/>
        <v>0.33817868338334101</v>
      </c>
      <c r="O2822" s="165">
        <f t="shared" si="136"/>
        <v>0.33817868338334101</v>
      </c>
      <c r="P2822" s="18"/>
      <c r="Q2822" s="18"/>
      <c r="R2822" s="18"/>
      <c r="S2822" s="18"/>
      <c r="T2822" s="18"/>
      <c r="U2822" s="18"/>
      <c r="V2822" s="18"/>
      <c r="W2822" s="18"/>
      <c r="X2822" s="18"/>
    </row>
    <row r="2823" spans="13:24">
      <c r="M2823" s="558">
        <f t="shared" si="137"/>
        <v>2821</v>
      </c>
      <c r="N2823" s="15">
        <f t="shared" si="135"/>
        <v>0.33811094723784907</v>
      </c>
      <c r="O2823" s="165">
        <f t="shared" si="136"/>
        <v>0.33811094723784907</v>
      </c>
      <c r="P2823" s="18"/>
      <c r="Q2823" s="18"/>
      <c r="R2823" s="18"/>
      <c r="S2823" s="18"/>
      <c r="T2823" s="18"/>
      <c r="U2823" s="18"/>
      <c r="V2823" s="18"/>
      <c r="W2823" s="18"/>
      <c r="X2823" s="18"/>
    </row>
    <row r="2824" spans="13:24">
      <c r="M2824" s="558">
        <f t="shared" si="137"/>
        <v>2822</v>
      </c>
      <c r="N2824" s="15">
        <f t="shared" si="135"/>
        <v>0.3380432316307273</v>
      </c>
      <c r="O2824" s="165">
        <f t="shared" si="136"/>
        <v>0.3380432316307273</v>
      </c>
      <c r="P2824" s="18"/>
      <c r="Q2824" s="18"/>
      <c r="R2824" s="18"/>
      <c r="S2824" s="18"/>
      <c r="T2824" s="18"/>
      <c r="U2824" s="18"/>
      <c r="V2824" s="18"/>
      <c r="W2824" s="18"/>
      <c r="X2824" s="18"/>
    </row>
    <row r="2825" spans="13:24">
      <c r="M2825" s="558">
        <f t="shared" si="137"/>
        <v>2823</v>
      </c>
      <c r="N2825" s="15">
        <f t="shared" si="135"/>
        <v>0.33797553653620166</v>
      </c>
      <c r="O2825" s="165">
        <f t="shared" si="136"/>
        <v>0.33797553653620166</v>
      </c>
      <c r="P2825" s="18"/>
      <c r="Q2825" s="18"/>
      <c r="R2825" s="18"/>
      <c r="S2825" s="18"/>
      <c r="T2825" s="18"/>
      <c r="U2825" s="18"/>
      <c r="V2825" s="18"/>
      <c r="W2825" s="18"/>
      <c r="X2825" s="18"/>
    </row>
    <row r="2826" spans="13:24">
      <c r="M2826" s="558">
        <f t="shared" si="137"/>
        <v>2824</v>
      </c>
      <c r="N2826" s="15">
        <f t="shared" si="135"/>
        <v>0.33790786192853051</v>
      </c>
      <c r="O2826" s="165">
        <f t="shared" si="136"/>
        <v>0.33790786192853051</v>
      </c>
      <c r="P2826" s="18"/>
      <c r="Q2826" s="18"/>
      <c r="R2826" s="18"/>
      <c r="S2826" s="18"/>
      <c r="T2826" s="18"/>
      <c r="U2826" s="18"/>
      <c r="V2826" s="18"/>
      <c r="W2826" s="18"/>
      <c r="X2826" s="18"/>
    </row>
    <row r="2827" spans="13:24">
      <c r="M2827" s="558">
        <f t="shared" si="137"/>
        <v>2825</v>
      </c>
      <c r="N2827" s="15">
        <f t="shared" si="135"/>
        <v>0.33784020778200452</v>
      </c>
      <c r="O2827" s="165">
        <f t="shared" si="136"/>
        <v>0.33784020778200452</v>
      </c>
      <c r="P2827" s="18"/>
      <c r="Q2827" s="18"/>
      <c r="R2827" s="18"/>
      <c r="S2827" s="18"/>
      <c r="T2827" s="18"/>
      <c r="U2827" s="18"/>
      <c r="V2827" s="18"/>
      <c r="W2827" s="18"/>
      <c r="X2827" s="18"/>
    </row>
    <row r="2828" spans="13:24">
      <c r="M2828" s="558">
        <f t="shared" si="137"/>
        <v>2826</v>
      </c>
      <c r="N2828" s="15">
        <f t="shared" si="135"/>
        <v>0.33777257407094657</v>
      </c>
      <c r="O2828" s="165">
        <f t="shared" si="136"/>
        <v>0.33777257407094657</v>
      </c>
      <c r="P2828" s="18"/>
      <c r="Q2828" s="18"/>
      <c r="R2828" s="18"/>
      <c r="S2828" s="18"/>
      <c r="T2828" s="18"/>
      <c r="U2828" s="18"/>
      <c r="V2828" s="18"/>
      <c r="W2828" s="18"/>
      <c r="X2828" s="18"/>
    </row>
    <row r="2829" spans="13:24">
      <c r="M2829" s="558">
        <f t="shared" si="137"/>
        <v>2827</v>
      </c>
      <c r="N2829" s="15">
        <f t="shared" si="135"/>
        <v>0.33770496076971174</v>
      </c>
      <c r="O2829" s="165">
        <f t="shared" si="136"/>
        <v>0.33770496076971174</v>
      </c>
      <c r="P2829" s="18"/>
      <c r="Q2829" s="18"/>
      <c r="R2829" s="18"/>
      <c r="S2829" s="18"/>
      <c r="T2829" s="18"/>
      <c r="U2829" s="18"/>
      <c r="V2829" s="18"/>
      <c r="W2829" s="18"/>
      <c r="X2829" s="18"/>
    </row>
    <row r="2830" spans="13:24">
      <c r="M2830" s="558">
        <f t="shared" si="137"/>
        <v>2828</v>
      </c>
      <c r="N2830" s="15">
        <f t="shared" si="135"/>
        <v>0.33763736785268744</v>
      </c>
      <c r="O2830" s="165">
        <f t="shared" si="136"/>
        <v>0.33763736785268744</v>
      </c>
      <c r="P2830" s="18"/>
      <c r="Q2830" s="18"/>
      <c r="R2830" s="18"/>
      <c r="S2830" s="18"/>
      <c r="T2830" s="18"/>
      <c r="U2830" s="18"/>
      <c r="V2830" s="18"/>
      <c r="W2830" s="18"/>
      <c r="X2830" s="18"/>
    </row>
    <row r="2831" spans="13:24">
      <c r="M2831" s="558">
        <f t="shared" si="137"/>
        <v>2829</v>
      </c>
      <c r="N2831" s="15">
        <f t="shared" si="135"/>
        <v>0.3375697952942931</v>
      </c>
      <c r="O2831" s="165">
        <f t="shared" si="136"/>
        <v>0.3375697952942931</v>
      </c>
      <c r="P2831" s="18"/>
      <c r="Q2831" s="18"/>
      <c r="R2831" s="18"/>
      <c r="S2831" s="18"/>
      <c r="T2831" s="18"/>
      <c r="U2831" s="18"/>
      <c r="V2831" s="18"/>
      <c r="W2831" s="18"/>
      <c r="X2831" s="18"/>
    </row>
    <row r="2832" spans="13:24">
      <c r="M2832" s="558">
        <f t="shared" si="137"/>
        <v>2830</v>
      </c>
      <c r="N2832" s="15">
        <f t="shared" si="135"/>
        <v>0.33750224306898013</v>
      </c>
      <c r="O2832" s="165">
        <f t="shared" si="136"/>
        <v>0.33750224306898013</v>
      </c>
      <c r="P2832" s="18"/>
      <c r="Q2832" s="18"/>
      <c r="R2832" s="18"/>
      <c r="S2832" s="18"/>
      <c r="T2832" s="18"/>
      <c r="U2832" s="18"/>
      <c r="V2832" s="18"/>
      <c r="W2832" s="18"/>
      <c r="X2832" s="18"/>
    </row>
    <row r="2833" spans="13:24">
      <c r="M2833" s="558">
        <f t="shared" si="137"/>
        <v>2831</v>
      </c>
      <c r="N2833" s="15">
        <f t="shared" si="135"/>
        <v>0.33743471115123236</v>
      </c>
      <c r="O2833" s="165">
        <f t="shared" si="136"/>
        <v>0.33743471115123236</v>
      </c>
      <c r="P2833" s="18"/>
      <c r="Q2833" s="18"/>
      <c r="R2833" s="18"/>
      <c r="S2833" s="18"/>
      <c r="T2833" s="18"/>
      <c r="U2833" s="18"/>
      <c r="V2833" s="18"/>
      <c r="W2833" s="18"/>
      <c r="X2833" s="18"/>
    </row>
    <row r="2834" spans="13:24">
      <c r="M2834" s="558">
        <f t="shared" si="137"/>
        <v>2832</v>
      </c>
      <c r="N2834" s="15">
        <f t="shared" si="135"/>
        <v>0.33736719951556537</v>
      </c>
      <c r="O2834" s="165">
        <f t="shared" si="136"/>
        <v>0.33736719951556537</v>
      </c>
      <c r="P2834" s="18"/>
      <c r="Q2834" s="18"/>
      <c r="R2834" s="18"/>
      <c r="S2834" s="18"/>
      <c r="T2834" s="18"/>
      <c r="U2834" s="18"/>
      <c r="V2834" s="18"/>
      <c r="W2834" s="18"/>
      <c r="X2834" s="18"/>
    </row>
    <row r="2835" spans="13:24">
      <c r="M2835" s="558">
        <f t="shared" si="137"/>
        <v>2833</v>
      </c>
      <c r="N2835" s="15">
        <f t="shared" si="135"/>
        <v>0.33729970813652665</v>
      </c>
      <c r="O2835" s="165">
        <f t="shared" si="136"/>
        <v>0.33729970813652665</v>
      </c>
      <c r="P2835" s="18"/>
      <c r="Q2835" s="18"/>
      <c r="R2835" s="18"/>
      <c r="S2835" s="18"/>
      <c r="T2835" s="18"/>
      <c r="U2835" s="18"/>
      <c r="V2835" s="18"/>
      <c r="W2835" s="18"/>
      <c r="X2835" s="18"/>
    </row>
    <row r="2836" spans="13:24">
      <c r="M2836" s="558">
        <f t="shared" si="137"/>
        <v>2834</v>
      </c>
      <c r="N2836" s="15">
        <f t="shared" si="135"/>
        <v>0.33723223698869587</v>
      </c>
      <c r="O2836" s="165">
        <f t="shared" si="136"/>
        <v>0.33723223698869587</v>
      </c>
      <c r="P2836" s="18"/>
      <c r="Q2836" s="18"/>
      <c r="R2836" s="18"/>
      <c r="S2836" s="18"/>
      <c r="T2836" s="18"/>
      <c r="U2836" s="18"/>
      <c r="V2836" s="18"/>
      <c r="W2836" s="18"/>
      <c r="X2836" s="18"/>
    </row>
    <row r="2837" spans="13:24">
      <c r="M2837" s="558">
        <f t="shared" si="137"/>
        <v>2835</v>
      </c>
      <c r="N2837" s="15">
        <f t="shared" si="135"/>
        <v>0.33716478604668448</v>
      </c>
      <c r="O2837" s="165">
        <f t="shared" si="136"/>
        <v>0.33716478604668448</v>
      </c>
      <c r="P2837" s="18"/>
      <c r="Q2837" s="18"/>
      <c r="R2837" s="18"/>
      <c r="S2837" s="18"/>
      <c r="T2837" s="18"/>
      <c r="U2837" s="18"/>
      <c r="V2837" s="18"/>
      <c r="W2837" s="18"/>
      <c r="X2837" s="18"/>
    </row>
    <row r="2838" spans="13:24">
      <c r="M2838" s="558">
        <f t="shared" si="137"/>
        <v>2836</v>
      </c>
      <c r="N2838" s="15">
        <f t="shared" si="135"/>
        <v>0.33709735528513579</v>
      </c>
      <c r="O2838" s="165">
        <f t="shared" si="136"/>
        <v>0.33709735528513579</v>
      </c>
      <c r="P2838" s="18"/>
      <c r="Q2838" s="18"/>
      <c r="R2838" s="18"/>
      <c r="S2838" s="18"/>
      <c r="T2838" s="18"/>
      <c r="U2838" s="18"/>
      <c r="V2838" s="18"/>
      <c r="W2838" s="18"/>
      <c r="X2838" s="18"/>
    </row>
    <row r="2839" spans="13:24">
      <c r="M2839" s="558">
        <f t="shared" si="137"/>
        <v>2837</v>
      </c>
      <c r="N2839" s="15">
        <f t="shared" si="135"/>
        <v>0.33702994467872494</v>
      </c>
      <c r="O2839" s="165">
        <f t="shared" si="136"/>
        <v>0.33702994467872494</v>
      </c>
      <c r="P2839" s="18"/>
      <c r="Q2839" s="18"/>
      <c r="R2839" s="18"/>
      <c r="S2839" s="18"/>
      <c r="T2839" s="18"/>
      <c r="U2839" s="18"/>
      <c r="V2839" s="18"/>
      <c r="W2839" s="18"/>
      <c r="X2839" s="18"/>
    </row>
    <row r="2840" spans="13:24">
      <c r="M2840" s="558">
        <f t="shared" si="137"/>
        <v>2838</v>
      </c>
      <c r="N2840" s="15">
        <f t="shared" si="135"/>
        <v>0.33696255420215881</v>
      </c>
      <c r="O2840" s="165">
        <f t="shared" si="136"/>
        <v>0.33696255420215881</v>
      </c>
      <c r="P2840" s="18"/>
      <c r="Q2840" s="18"/>
      <c r="R2840" s="18"/>
      <c r="S2840" s="18"/>
      <c r="T2840" s="18"/>
      <c r="U2840" s="18"/>
      <c r="V2840" s="18"/>
      <c r="W2840" s="18"/>
      <c r="X2840" s="18"/>
    </row>
    <row r="2841" spans="13:24">
      <c r="M2841" s="558">
        <f t="shared" si="137"/>
        <v>2839</v>
      </c>
      <c r="N2841" s="15">
        <f t="shared" si="135"/>
        <v>0.33689518383017608</v>
      </c>
      <c r="O2841" s="165">
        <f t="shared" si="136"/>
        <v>0.33689518383017608</v>
      </c>
      <c r="P2841" s="18"/>
      <c r="Q2841" s="18"/>
      <c r="R2841" s="18"/>
      <c r="S2841" s="18"/>
      <c r="T2841" s="18"/>
      <c r="U2841" s="18"/>
      <c r="V2841" s="18"/>
      <c r="W2841" s="18"/>
      <c r="X2841" s="18"/>
    </row>
    <row r="2842" spans="13:24">
      <c r="M2842" s="558">
        <f t="shared" si="137"/>
        <v>2840</v>
      </c>
      <c r="N2842" s="15">
        <f t="shared" si="135"/>
        <v>0.33682783353754719</v>
      </c>
      <c r="O2842" s="165">
        <f t="shared" si="136"/>
        <v>0.33682783353754719</v>
      </c>
      <c r="P2842" s="18"/>
      <c r="Q2842" s="18"/>
      <c r="R2842" s="18"/>
      <c r="S2842" s="18"/>
      <c r="T2842" s="18"/>
      <c r="U2842" s="18"/>
      <c r="V2842" s="18"/>
      <c r="W2842" s="18"/>
      <c r="X2842" s="18"/>
    </row>
    <row r="2843" spans="13:24">
      <c r="M2843" s="558">
        <f t="shared" si="137"/>
        <v>2841</v>
      </c>
      <c r="N2843" s="15">
        <f t="shared" si="135"/>
        <v>0.33676050329907409</v>
      </c>
      <c r="O2843" s="165">
        <f t="shared" si="136"/>
        <v>0.33676050329907409</v>
      </c>
      <c r="P2843" s="18"/>
      <c r="Q2843" s="18"/>
      <c r="R2843" s="18"/>
      <c r="S2843" s="18"/>
      <c r="T2843" s="18"/>
      <c r="U2843" s="18"/>
      <c r="V2843" s="18"/>
      <c r="W2843" s="18"/>
      <c r="X2843" s="18"/>
    </row>
    <row r="2844" spans="13:24">
      <c r="M2844" s="558">
        <f t="shared" si="137"/>
        <v>2842</v>
      </c>
      <c r="N2844" s="15">
        <f t="shared" si="135"/>
        <v>0.33669319308959039</v>
      </c>
      <c r="O2844" s="165">
        <f t="shared" si="136"/>
        <v>0.33669319308959039</v>
      </c>
      <c r="P2844" s="18"/>
      <c r="Q2844" s="18"/>
      <c r="R2844" s="18"/>
      <c r="S2844" s="18"/>
      <c r="T2844" s="18"/>
      <c r="U2844" s="18"/>
      <c r="V2844" s="18"/>
      <c r="W2844" s="18"/>
      <c r="X2844" s="18"/>
    </row>
    <row r="2845" spans="13:24">
      <c r="M2845" s="558">
        <f t="shared" si="137"/>
        <v>2843</v>
      </c>
      <c r="N2845" s="15">
        <f t="shared" si="135"/>
        <v>0.33662590288396144</v>
      </c>
      <c r="O2845" s="165">
        <f t="shared" si="136"/>
        <v>0.33662590288396144</v>
      </c>
      <c r="P2845" s="18"/>
      <c r="Q2845" s="18"/>
      <c r="R2845" s="18"/>
      <c r="S2845" s="18"/>
      <c r="T2845" s="18"/>
      <c r="U2845" s="18"/>
      <c r="V2845" s="18"/>
      <c r="W2845" s="18"/>
      <c r="X2845" s="18"/>
    </row>
    <row r="2846" spans="13:24">
      <c r="M2846" s="558">
        <f t="shared" si="137"/>
        <v>2844</v>
      </c>
      <c r="N2846" s="15">
        <f t="shared" si="135"/>
        <v>0.33655863265708386</v>
      </c>
      <c r="O2846" s="165">
        <f t="shared" si="136"/>
        <v>0.33655863265708386</v>
      </c>
      <c r="P2846" s="18"/>
      <c r="Q2846" s="18"/>
      <c r="R2846" s="18"/>
      <c r="S2846" s="18"/>
      <c r="T2846" s="18"/>
      <c r="U2846" s="18"/>
      <c r="V2846" s="18"/>
      <c r="W2846" s="18"/>
      <c r="X2846" s="18"/>
    </row>
    <row r="2847" spans="13:24">
      <c r="M2847" s="558">
        <f t="shared" si="137"/>
        <v>2845</v>
      </c>
      <c r="N2847" s="15">
        <f t="shared" si="135"/>
        <v>0.33649138238388604</v>
      </c>
      <c r="O2847" s="165">
        <f t="shared" si="136"/>
        <v>0.33649138238388604</v>
      </c>
      <c r="P2847" s="18"/>
      <c r="Q2847" s="18"/>
      <c r="R2847" s="18"/>
      <c r="S2847" s="18"/>
      <c r="T2847" s="18"/>
      <c r="U2847" s="18"/>
      <c r="V2847" s="18"/>
      <c r="W2847" s="18"/>
      <c r="X2847" s="18"/>
    </row>
    <row r="2848" spans="13:24">
      <c r="M2848" s="558">
        <f t="shared" si="137"/>
        <v>2846</v>
      </c>
      <c r="N2848" s="15">
        <f t="shared" si="135"/>
        <v>0.33642415203932763</v>
      </c>
      <c r="O2848" s="165">
        <f t="shared" si="136"/>
        <v>0.33642415203932763</v>
      </c>
      <c r="P2848" s="18"/>
      <c r="Q2848" s="18"/>
      <c r="R2848" s="18"/>
      <c r="S2848" s="18"/>
      <c r="T2848" s="18"/>
      <c r="U2848" s="18"/>
      <c r="V2848" s="18"/>
      <c r="W2848" s="18"/>
      <c r="X2848" s="18"/>
    </row>
    <row r="2849" spans="13:24">
      <c r="M2849" s="558">
        <f t="shared" si="137"/>
        <v>2847</v>
      </c>
      <c r="N2849" s="15">
        <f t="shared" si="135"/>
        <v>0.33635694159839985</v>
      </c>
      <c r="O2849" s="165">
        <f t="shared" si="136"/>
        <v>0.33635694159839985</v>
      </c>
      <c r="P2849" s="18"/>
      <c r="Q2849" s="18"/>
      <c r="R2849" s="18"/>
      <c r="S2849" s="18"/>
      <c r="T2849" s="18"/>
      <c r="U2849" s="18"/>
      <c r="V2849" s="18"/>
      <c r="W2849" s="18"/>
      <c r="X2849" s="18"/>
    </row>
    <row r="2850" spans="13:24">
      <c r="M2850" s="558">
        <f t="shared" si="137"/>
        <v>2848</v>
      </c>
      <c r="N2850" s="15">
        <f t="shared" si="135"/>
        <v>0.33628975103612524</v>
      </c>
      <c r="O2850" s="165">
        <f t="shared" si="136"/>
        <v>0.33628975103612524</v>
      </c>
      <c r="P2850" s="18"/>
      <c r="Q2850" s="18"/>
      <c r="R2850" s="18"/>
      <c r="S2850" s="18"/>
      <c r="T2850" s="18"/>
      <c r="U2850" s="18"/>
      <c r="V2850" s="18"/>
      <c r="W2850" s="18"/>
      <c r="X2850" s="18"/>
    </row>
    <row r="2851" spans="13:24">
      <c r="M2851" s="558">
        <f t="shared" si="137"/>
        <v>2849</v>
      </c>
      <c r="N2851" s="15">
        <f t="shared" si="135"/>
        <v>0.33622258032755759</v>
      </c>
      <c r="O2851" s="165">
        <f t="shared" si="136"/>
        <v>0.33622258032755759</v>
      </c>
      <c r="P2851" s="18"/>
      <c r="Q2851" s="18"/>
      <c r="R2851" s="18"/>
      <c r="S2851" s="18"/>
      <c r="T2851" s="18"/>
      <c r="U2851" s="18"/>
      <c r="V2851" s="18"/>
      <c r="W2851" s="18"/>
      <c r="X2851" s="18"/>
    </row>
    <row r="2852" spans="13:24">
      <c r="M2852" s="558">
        <f t="shared" si="137"/>
        <v>2850</v>
      </c>
      <c r="N2852" s="15">
        <f t="shared" si="135"/>
        <v>0.33615542944778226</v>
      </c>
      <c r="O2852" s="165">
        <f t="shared" si="136"/>
        <v>0.33615542944778226</v>
      </c>
      <c r="P2852" s="18"/>
      <c r="Q2852" s="18"/>
      <c r="R2852" s="18"/>
      <c r="S2852" s="18"/>
      <c r="T2852" s="18"/>
      <c r="U2852" s="18"/>
      <c r="V2852" s="18"/>
      <c r="W2852" s="18"/>
      <c r="X2852" s="18"/>
    </row>
    <row r="2853" spans="13:24">
      <c r="M2853" s="558">
        <f t="shared" si="137"/>
        <v>2851</v>
      </c>
      <c r="N2853" s="15">
        <f t="shared" si="135"/>
        <v>0.33608829837191556</v>
      </c>
      <c r="O2853" s="165">
        <f t="shared" si="136"/>
        <v>0.33608829837191556</v>
      </c>
      <c r="P2853" s="18"/>
      <c r="Q2853" s="18"/>
      <c r="R2853" s="18"/>
      <c r="S2853" s="18"/>
      <c r="T2853" s="18"/>
      <c r="U2853" s="18"/>
      <c r="V2853" s="18"/>
      <c r="W2853" s="18"/>
      <c r="X2853" s="18"/>
    </row>
    <row r="2854" spans="13:24">
      <c r="M2854" s="558">
        <f t="shared" si="137"/>
        <v>2852</v>
      </c>
      <c r="N2854" s="15">
        <f t="shared" si="135"/>
        <v>0.33602118707510525</v>
      </c>
      <c r="O2854" s="165">
        <f t="shared" si="136"/>
        <v>0.33602118707510525</v>
      </c>
      <c r="P2854" s="18"/>
      <c r="Q2854" s="18"/>
      <c r="R2854" s="18"/>
      <c r="S2854" s="18"/>
      <c r="T2854" s="18"/>
      <c r="U2854" s="18"/>
      <c r="V2854" s="18"/>
      <c r="W2854" s="18"/>
      <c r="X2854" s="18"/>
    </row>
    <row r="2855" spans="13:24">
      <c r="M2855" s="558">
        <f t="shared" si="137"/>
        <v>2853</v>
      </c>
      <c r="N2855" s="15">
        <f t="shared" si="135"/>
        <v>0.33595409553253014</v>
      </c>
      <c r="O2855" s="165">
        <f t="shared" si="136"/>
        <v>0.33595409553253014</v>
      </c>
      <c r="P2855" s="18"/>
      <c r="Q2855" s="18"/>
      <c r="R2855" s="18"/>
      <c r="S2855" s="18"/>
      <c r="T2855" s="18"/>
      <c r="U2855" s="18"/>
      <c r="V2855" s="18"/>
      <c r="W2855" s="18"/>
      <c r="X2855" s="18"/>
    </row>
    <row r="2856" spans="13:24">
      <c r="M2856" s="558">
        <f t="shared" si="137"/>
        <v>2854</v>
      </c>
      <c r="N2856" s="15">
        <f t="shared" si="135"/>
        <v>0.33588702371940038</v>
      </c>
      <c r="O2856" s="165">
        <f t="shared" si="136"/>
        <v>0.33588702371940038</v>
      </c>
      <c r="P2856" s="18"/>
      <c r="Q2856" s="18"/>
      <c r="R2856" s="18"/>
      <c r="S2856" s="18"/>
      <c r="T2856" s="18"/>
      <c r="U2856" s="18"/>
      <c r="V2856" s="18"/>
      <c r="W2856" s="18"/>
      <c r="X2856" s="18"/>
    </row>
    <row r="2857" spans="13:24">
      <c r="M2857" s="558">
        <f t="shared" si="137"/>
        <v>2855</v>
      </c>
      <c r="N2857" s="15">
        <f t="shared" si="135"/>
        <v>0.33581997161095695</v>
      </c>
      <c r="O2857" s="165">
        <f t="shared" si="136"/>
        <v>0.33581997161095695</v>
      </c>
      <c r="P2857" s="18"/>
      <c r="Q2857" s="18"/>
      <c r="R2857" s="18"/>
      <c r="S2857" s="18"/>
      <c r="T2857" s="18"/>
      <c r="U2857" s="18"/>
      <c r="V2857" s="18"/>
      <c r="W2857" s="18"/>
      <c r="X2857" s="18"/>
    </row>
    <row r="2858" spans="13:24">
      <c r="M2858" s="558">
        <f t="shared" si="137"/>
        <v>2856</v>
      </c>
      <c r="N2858" s="15">
        <f t="shared" si="135"/>
        <v>0.33575293918247218</v>
      </c>
      <c r="O2858" s="165">
        <f t="shared" si="136"/>
        <v>0.33575293918247218</v>
      </c>
      <c r="P2858" s="18"/>
      <c r="Q2858" s="18"/>
      <c r="R2858" s="18"/>
      <c r="S2858" s="18"/>
      <c r="T2858" s="18"/>
      <c r="U2858" s="18"/>
      <c r="V2858" s="18"/>
      <c r="W2858" s="18"/>
      <c r="X2858" s="18"/>
    </row>
    <row r="2859" spans="13:24">
      <c r="M2859" s="558">
        <f t="shared" si="137"/>
        <v>2857</v>
      </c>
      <c r="N2859" s="15">
        <f t="shared" si="135"/>
        <v>0.3356859264092491</v>
      </c>
      <c r="O2859" s="165">
        <f t="shared" si="136"/>
        <v>0.3356859264092491</v>
      </c>
      <c r="P2859" s="18"/>
      <c r="Q2859" s="18"/>
      <c r="R2859" s="18"/>
      <c r="S2859" s="18"/>
      <c r="T2859" s="18"/>
      <c r="U2859" s="18"/>
      <c r="V2859" s="18"/>
      <c r="W2859" s="18"/>
      <c r="X2859" s="18"/>
    </row>
    <row r="2860" spans="13:24">
      <c r="M2860" s="558">
        <f t="shared" si="137"/>
        <v>2858</v>
      </c>
      <c r="N2860" s="15">
        <f t="shared" si="135"/>
        <v>0.33561893326662218</v>
      </c>
      <c r="O2860" s="165">
        <f t="shared" si="136"/>
        <v>0.33561893326662218</v>
      </c>
      <c r="P2860" s="18"/>
      <c r="Q2860" s="18"/>
      <c r="R2860" s="18"/>
      <c r="S2860" s="18"/>
      <c r="T2860" s="18"/>
      <c r="U2860" s="18"/>
      <c r="V2860" s="18"/>
      <c r="W2860" s="18"/>
      <c r="X2860" s="18"/>
    </row>
    <row r="2861" spans="13:24">
      <c r="M2861" s="558">
        <f t="shared" si="137"/>
        <v>2859</v>
      </c>
      <c r="N2861" s="15">
        <f t="shared" si="135"/>
        <v>0.33555195972995649</v>
      </c>
      <c r="O2861" s="165">
        <f t="shared" si="136"/>
        <v>0.33555195972995649</v>
      </c>
      <c r="P2861" s="18"/>
      <c r="Q2861" s="18"/>
      <c r="R2861" s="18"/>
      <c r="S2861" s="18"/>
      <c r="T2861" s="18"/>
      <c r="U2861" s="18"/>
      <c r="V2861" s="18"/>
      <c r="W2861" s="18"/>
      <c r="X2861" s="18"/>
    </row>
    <row r="2862" spans="13:24">
      <c r="M2862" s="558">
        <f t="shared" si="137"/>
        <v>2860</v>
      </c>
      <c r="N2862" s="15">
        <f t="shared" si="135"/>
        <v>0.33548500577464813</v>
      </c>
      <c r="O2862" s="165">
        <f t="shared" si="136"/>
        <v>0.33548500577464813</v>
      </c>
      <c r="P2862" s="18"/>
      <c r="Q2862" s="18"/>
      <c r="R2862" s="18"/>
      <c r="S2862" s="18"/>
      <c r="T2862" s="18"/>
      <c r="U2862" s="18"/>
      <c r="V2862" s="18"/>
      <c r="W2862" s="18"/>
      <c r="X2862" s="18"/>
    </row>
    <row r="2863" spans="13:24">
      <c r="M2863" s="558">
        <f t="shared" si="137"/>
        <v>2861</v>
      </c>
      <c r="N2863" s="15">
        <f t="shared" si="135"/>
        <v>0.33541807137612401</v>
      </c>
      <c r="O2863" s="165">
        <f t="shared" si="136"/>
        <v>0.33541807137612401</v>
      </c>
      <c r="P2863" s="18"/>
      <c r="Q2863" s="18"/>
      <c r="R2863" s="18"/>
      <c r="S2863" s="18"/>
      <c r="T2863" s="18"/>
      <c r="U2863" s="18"/>
      <c r="V2863" s="18"/>
      <c r="W2863" s="18"/>
      <c r="X2863" s="18"/>
    </row>
    <row r="2864" spans="13:24">
      <c r="M2864" s="558">
        <f t="shared" si="137"/>
        <v>2862</v>
      </c>
      <c r="N2864" s="15">
        <f t="shared" si="135"/>
        <v>0.33535115650984204</v>
      </c>
      <c r="O2864" s="165">
        <f t="shared" si="136"/>
        <v>0.33535115650984204</v>
      </c>
      <c r="P2864" s="18"/>
      <c r="Q2864" s="18"/>
      <c r="R2864" s="18"/>
      <c r="S2864" s="18"/>
      <c r="T2864" s="18"/>
      <c r="U2864" s="18"/>
      <c r="V2864" s="18"/>
      <c r="W2864" s="18"/>
      <c r="X2864" s="18"/>
    </row>
    <row r="2865" spans="13:24">
      <c r="M2865" s="558">
        <f t="shared" si="137"/>
        <v>2863</v>
      </c>
      <c r="N2865" s="15">
        <f t="shared" si="135"/>
        <v>0.33528426115129079</v>
      </c>
      <c r="O2865" s="165">
        <f t="shared" si="136"/>
        <v>0.33528426115129079</v>
      </c>
      <c r="P2865" s="18"/>
      <c r="Q2865" s="18"/>
      <c r="R2865" s="18"/>
      <c r="S2865" s="18"/>
      <c r="T2865" s="18"/>
      <c r="U2865" s="18"/>
      <c r="V2865" s="18"/>
      <c r="W2865" s="18"/>
      <c r="X2865" s="18"/>
    </row>
    <row r="2866" spans="13:24">
      <c r="M2866" s="558">
        <f t="shared" si="137"/>
        <v>2864</v>
      </c>
      <c r="N2866" s="15">
        <f t="shared" si="135"/>
        <v>0.33521738527598954</v>
      </c>
      <c r="O2866" s="165">
        <f t="shared" si="136"/>
        <v>0.33521738527598954</v>
      </c>
      <c r="P2866" s="18"/>
      <c r="Q2866" s="18"/>
      <c r="R2866" s="18"/>
      <c r="S2866" s="18"/>
      <c r="T2866" s="18"/>
      <c r="U2866" s="18"/>
      <c r="V2866" s="18"/>
      <c r="W2866" s="18"/>
      <c r="X2866" s="18"/>
    </row>
    <row r="2867" spans="13:24">
      <c r="M2867" s="558">
        <f t="shared" si="137"/>
        <v>2865</v>
      </c>
      <c r="N2867" s="15">
        <f t="shared" si="135"/>
        <v>0.33515052885948848</v>
      </c>
      <c r="O2867" s="165">
        <f t="shared" si="136"/>
        <v>0.33515052885948848</v>
      </c>
      <c r="P2867" s="18"/>
      <c r="Q2867" s="18"/>
      <c r="R2867" s="18"/>
      <c r="S2867" s="18"/>
      <c r="T2867" s="18"/>
      <c r="U2867" s="18"/>
      <c r="V2867" s="18"/>
      <c r="W2867" s="18"/>
      <c r="X2867" s="18"/>
    </row>
    <row r="2868" spans="13:24">
      <c r="M2868" s="558">
        <f t="shared" si="137"/>
        <v>2866</v>
      </c>
      <c r="N2868" s="15">
        <f t="shared" si="135"/>
        <v>0.33508369187736836</v>
      </c>
      <c r="O2868" s="165">
        <f t="shared" si="136"/>
        <v>0.33508369187736836</v>
      </c>
      <c r="P2868" s="18"/>
      <c r="Q2868" s="18"/>
      <c r="R2868" s="18"/>
      <c r="S2868" s="18"/>
      <c r="T2868" s="18"/>
      <c r="U2868" s="18"/>
      <c r="V2868" s="18"/>
      <c r="W2868" s="18"/>
      <c r="X2868" s="18"/>
    </row>
    <row r="2869" spans="13:24">
      <c r="M2869" s="558">
        <f t="shared" si="137"/>
        <v>2867</v>
      </c>
      <c r="N2869" s="15">
        <f t="shared" si="135"/>
        <v>0.33501687430524058</v>
      </c>
      <c r="O2869" s="165">
        <f t="shared" si="136"/>
        <v>0.33501687430524058</v>
      </c>
      <c r="P2869" s="18"/>
      <c r="Q2869" s="18"/>
      <c r="R2869" s="18"/>
      <c r="S2869" s="18"/>
      <c r="T2869" s="18"/>
      <c r="U2869" s="18"/>
      <c r="V2869" s="18"/>
      <c r="W2869" s="18"/>
      <c r="X2869" s="18"/>
    </row>
    <row r="2870" spans="13:24">
      <c r="M2870" s="558">
        <f t="shared" si="137"/>
        <v>2868</v>
      </c>
      <c r="N2870" s="15">
        <f t="shared" si="135"/>
        <v>0.33495007611874711</v>
      </c>
      <c r="O2870" s="165">
        <f t="shared" si="136"/>
        <v>0.33495007611874711</v>
      </c>
      <c r="P2870" s="18"/>
      <c r="Q2870" s="18"/>
      <c r="R2870" s="18"/>
      <c r="S2870" s="18"/>
      <c r="T2870" s="18"/>
      <c r="U2870" s="18"/>
      <c r="V2870" s="18"/>
      <c r="W2870" s="18"/>
      <c r="X2870" s="18"/>
    </row>
    <row r="2871" spans="13:24">
      <c r="M2871" s="558">
        <f t="shared" si="137"/>
        <v>2869</v>
      </c>
      <c r="N2871" s="15">
        <f t="shared" si="135"/>
        <v>0.33488329729356064</v>
      </c>
      <c r="O2871" s="165">
        <f t="shared" si="136"/>
        <v>0.33488329729356064</v>
      </c>
      <c r="P2871" s="18"/>
      <c r="Q2871" s="18"/>
      <c r="R2871" s="18"/>
      <c r="S2871" s="18"/>
      <c r="T2871" s="18"/>
      <c r="U2871" s="18"/>
      <c r="V2871" s="18"/>
      <c r="W2871" s="18"/>
      <c r="X2871" s="18"/>
    </row>
    <row r="2872" spans="13:24">
      <c r="M2872" s="558">
        <f t="shared" si="137"/>
        <v>2870</v>
      </c>
      <c r="N2872" s="15">
        <f t="shared" si="135"/>
        <v>0.33481653780538423</v>
      </c>
      <c r="O2872" s="165">
        <f t="shared" si="136"/>
        <v>0.33481653780538423</v>
      </c>
      <c r="P2872" s="18"/>
      <c r="Q2872" s="18"/>
      <c r="R2872" s="18"/>
      <c r="S2872" s="18"/>
      <c r="T2872" s="18"/>
      <c r="U2872" s="18"/>
      <c r="V2872" s="18"/>
      <c r="W2872" s="18"/>
      <c r="X2872" s="18"/>
    </row>
    <row r="2873" spans="13:24">
      <c r="M2873" s="558">
        <f t="shared" si="137"/>
        <v>2871</v>
      </c>
      <c r="N2873" s="15">
        <f t="shared" si="135"/>
        <v>0.33474979762995144</v>
      </c>
      <c r="O2873" s="165">
        <f t="shared" si="136"/>
        <v>0.33474979762995144</v>
      </c>
      <c r="P2873" s="18"/>
      <c r="Q2873" s="18"/>
      <c r="R2873" s="18"/>
      <c r="S2873" s="18"/>
      <c r="T2873" s="18"/>
      <c r="U2873" s="18"/>
      <c r="V2873" s="18"/>
      <c r="W2873" s="18"/>
      <c r="X2873" s="18"/>
    </row>
    <row r="2874" spans="13:24">
      <c r="M2874" s="558">
        <f t="shared" si="137"/>
        <v>2872</v>
      </c>
      <c r="N2874" s="15">
        <f t="shared" si="135"/>
        <v>0.33468307674302639</v>
      </c>
      <c r="O2874" s="165">
        <f t="shared" si="136"/>
        <v>0.33468307674302639</v>
      </c>
      <c r="P2874" s="18"/>
      <c r="Q2874" s="18"/>
      <c r="R2874" s="18"/>
      <c r="S2874" s="18"/>
      <c r="T2874" s="18"/>
      <c r="U2874" s="18"/>
      <c r="V2874" s="18"/>
      <c r="W2874" s="18"/>
      <c r="X2874" s="18"/>
    </row>
    <row r="2875" spans="13:24">
      <c r="M2875" s="558">
        <f t="shared" si="137"/>
        <v>2873</v>
      </c>
      <c r="N2875" s="15">
        <f t="shared" si="135"/>
        <v>0.33461637512040349</v>
      </c>
      <c r="O2875" s="165">
        <f t="shared" si="136"/>
        <v>0.33461637512040349</v>
      </c>
      <c r="P2875" s="18"/>
      <c r="Q2875" s="18"/>
      <c r="R2875" s="18"/>
      <c r="S2875" s="18"/>
      <c r="T2875" s="18"/>
      <c r="U2875" s="18"/>
      <c r="V2875" s="18"/>
      <c r="W2875" s="18"/>
      <c r="X2875" s="18"/>
    </row>
    <row r="2876" spans="13:24">
      <c r="M2876" s="558">
        <f t="shared" si="137"/>
        <v>2874</v>
      </c>
      <c r="N2876" s="15">
        <f t="shared" si="135"/>
        <v>0.33454969273790769</v>
      </c>
      <c r="O2876" s="165">
        <f t="shared" si="136"/>
        <v>0.33454969273790769</v>
      </c>
      <c r="P2876" s="18"/>
      <c r="Q2876" s="18"/>
      <c r="R2876" s="18"/>
      <c r="S2876" s="18"/>
      <c r="T2876" s="18"/>
      <c r="U2876" s="18"/>
      <c r="V2876" s="18"/>
      <c r="W2876" s="18"/>
      <c r="X2876" s="18"/>
    </row>
    <row r="2877" spans="13:24">
      <c r="M2877" s="558">
        <f t="shared" si="137"/>
        <v>2875</v>
      </c>
      <c r="N2877" s="15">
        <f t="shared" si="135"/>
        <v>0.33448302957139409</v>
      </c>
      <c r="O2877" s="165">
        <f t="shared" si="136"/>
        <v>0.33448302957139409</v>
      </c>
      <c r="P2877" s="18"/>
      <c r="Q2877" s="18"/>
      <c r="R2877" s="18"/>
      <c r="S2877" s="18"/>
      <c r="T2877" s="18"/>
      <c r="U2877" s="18"/>
      <c r="V2877" s="18"/>
      <c r="W2877" s="18"/>
      <c r="X2877" s="18"/>
    </row>
    <row r="2878" spans="13:24">
      <c r="M2878" s="558">
        <f t="shared" si="137"/>
        <v>2876</v>
      </c>
      <c r="N2878" s="15">
        <f t="shared" si="135"/>
        <v>0.33441638559674813</v>
      </c>
      <c r="O2878" s="165">
        <f t="shared" si="136"/>
        <v>0.33441638559674813</v>
      </c>
      <c r="P2878" s="18"/>
      <c r="Q2878" s="18"/>
      <c r="R2878" s="18"/>
      <c r="S2878" s="18"/>
      <c r="T2878" s="18"/>
      <c r="U2878" s="18"/>
      <c r="V2878" s="18"/>
      <c r="W2878" s="18"/>
      <c r="X2878" s="18"/>
    </row>
    <row r="2879" spans="13:24">
      <c r="M2879" s="558">
        <f t="shared" si="137"/>
        <v>2877</v>
      </c>
      <c r="N2879" s="15">
        <f t="shared" si="135"/>
        <v>0.33434976078988571</v>
      </c>
      <c r="O2879" s="165">
        <f t="shared" si="136"/>
        <v>0.33434976078988571</v>
      </c>
      <c r="P2879" s="18"/>
      <c r="Q2879" s="18"/>
      <c r="R2879" s="18"/>
      <c r="S2879" s="18"/>
      <c r="T2879" s="18"/>
      <c r="U2879" s="18"/>
      <c r="V2879" s="18"/>
      <c r="W2879" s="18"/>
      <c r="X2879" s="18"/>
    </row>
    <row r="2880" spans="13:24">
      <c r="M2880" s="558">
        <f t="shared" si="137"/>
        <v>2878</v>
      </c>
      <c r="N2880" s="15">
        <f t="shared" si="135"/>
        <v>0.33428315512675272</v>
      </c>
      <c r="O2880" s="165">
        <f t="shared" si="136"/>
        <v>0.33428315512675272</v>
      </c>
      <c r="P2880" s="18"/>
      <c r="Q2880" s="18"/>
      <c r="R2880" s="18"/>
      <c r="S2880" s="18"/>
      <c r="T2880" s="18"/>
      <c r="U2880" s="18"/>
      <c r="V2880" s="18"/>
      <c r="W2880" s="18"/>
      <c r="X2880" s="18"/>
    </row>
    <row r="2881" spans="13:24">
      <c r="M2881" s="558">
        <f t="shared" si="137"/>
        <v>2879</v>
      </c>
      <c r="N2881" s="15">
        <f t="shared" si="135"/>
        <v>0.33421656858332527</v>
      </c>
      <c r="O2881" s="165">
        <f t="shared" si="136"/>
        <v>0.33421656858332527</v>
      </c>
      <c r="P2881" s="18"/>
      <c r="Q2881" s="18"/>
      <c r="R2881" s="18"/>
      <c r="S2881" s="18"/>
      <c r="T2881" s="18"/>
      <c r="U2881" s="18"/>
      <c r="V2881" s="18"/>
      <c r="W2881" s="18"/>
      <c r="X2881" s="18"/>
    </row>
    <row r="2882" spans="13:24">
      <c r="M2882" s="558">
        <f t="shared" si="137"/>
        <v>2880</v>
      </c>
      <c r="N2882" s="15">
        <f t="shared" si="135"/>
        <v>0.33415000113560972</v>
      </c>
      <c r="O2882" s="165">
        <f t="shared" si="136"/>
        <v>0.33415000113560972</v>
      </c>
      <c r="P2882" s="18"/>
      <c r="Q2882" s="18"/>
      <c r="R2882" s="18"/>
      <c r="S2882" s="18"/>
      <c r="T2882" s="18"/>
      <c r="U2882" s="18"/>
      <c r="V2882" s="18"/>
      <c r="W2882" s="18"/>
      <c r="X2882" s="18"/>
    </row>
    <row r="2883" spans="13:24">
      <c r="M2883" s="558">
        <f t="shared" si="137"/>
        <v>2881</v>
      </c>
      <c r="N2883" s="15">
        <f t="shared" si="135"/>
        <v>0.33408345275964252</v>
      </c>
      <c r="O2883" s="165">
        <f t="shared" si="136"/>
        <v>0.33408345275964252</v>
      </c>
      <c r="P2883" s="18"/>
      <c r="Q2883" s="18"/>
      <c r="R2883" s="18"/>
      <c r="S2883" s="18"/>
      <c r="T2883" s="18"/>
      <c r="U2883" s="18"/>
      <c r="V2883" s="18"/>
      <c r="W2883" s="18"/>
      <c r="X2883" s="18"/>
    </row>
    <row r="2884" spans="13:24">
      <c r="M2884" s="558">
        <f t="shared" si="137"/>
        <v>2882</v>
      </c>
      <c r="N2884" s="15">
        <f t="shared" ref="N2884:N2947" si="138">IF(M2884&lt;$B$31+1,$B$32+$B$33/$B$31*(8760-M2884)+$B$34*IF(M2884&lt;$B$36-$B$31/(2*$B$35),1,IF(M2884&lt;$B$36+$B$31/(2*$B$35),COS(PI()/2*(M2884-($B$36-$B$31/(2*$B$35)))*$B$35/$B$31)^2,0))+$B$37*EXP((8760-M2884)/8760*$B$38)/EXP($B$38)-(8760-$B$31)*$B$33/$B$31,0)</f>
        <v>0.33401692343149009</v>
      </c>
      <c r="O2884" s="165">
        <f t="shared" ref="O2884:O2947" si="139">MIN(N2884,C$24)</f>
        <v>0.33401692343149009</v>
      </c>
      <c r="P2884" s="18"/>
      <c r="Q2884" s="18"/>
      <c r="R2884" s="18"/>
      <c r="S2884" s="18"/>
      <c r="T2884" s="18"/>
      <c r="U2884" s="18"/>
      <c r="V2884" s="18"/>
      <c r="W2884" s="18"/>
      <c r="X2884" s="18"/>
    </row>
    <row r="2885" spans="13:24">
      <c r="M2885" s="558">
        <f t="shared" ref="M2885:M2948" si="140">M2884+1</f>
        <v>2883</v>
      </c>
      <c r="N2885" s="15">
        <f t="shared" si="138"/>
        <v>0.33395041312724894</v>
      </c>
      <c r="O2885" s="165">
        <f t="shared" si="139"/>
        <v>0.33395041312724894</v>
      </c>
      <c r="P2885" s="18"/>
      <c r="Q2885" s="18"/>
      <c r="R2885" s="18"/>
      <c r="S2885" s="18"/>
      <c r="T2885" s="18"/>
      <c r="U2885" s="18"/>
      <c r="V2885" s="18"/>
      <c r="W2885" s="18"/>
      <c r="X2885" s="18"/>
    </row>
    <row r="2886" spans="13:24">
      <c r="M2886" s="558">
        <f t="shared" si="140"/>
        <v>2884</v>
      </c>
      <c r="N2886" s="15">
        <f t="shared" si="138"/>
        <v>0.33388392182304566</v>
      </c>
      <c r="O2886" s="165">
        <f t="shared" si="139"/>
        <v>0.33388392182304566</v>
      </c>
      <c r="P2886" s="18"/>
      <c r="Q2886" s="18"/>
      <c r="R2886" s="18"/>
      <c r="S2886" s="18"/>
      <c r="T2886" s="18"/>
      <c r="U2886" s="18"/>
      <c r="V2886" s="18"/>
      <c r="W2886" s="18"/>
      <c r="X2886" s="18"/>
    </row>
    <row r="2887" spans="13:24">
      <c r="M2887" s="558">
        <f t="shared" si="140"/>
        <v>2885</v>
      </c>
      <c r="N2887" s="15">
        <f t="shared" si="138"/>
        <v>0.33381744949503667</v>
      </c>
      <c r="O2887" s="165">
        <f t="shared" si="139"/>
        <v>0.33381744949503667</v>
      </c>
      <c r="P2887" s="18"/>
      <c r="Q2887" s="18"/>
      <c r="R2887" s="18"/>
      <c r="S2887" s="18"/>
      <c r="T2887" s="18"/>
      <c r="U2887" s="18"/>
      <c r="V2887" s="18"/>
      <c r="W2887" s="18"/>
      <c r="X2887" s="18"/>
    </row>
    <row r="2888" spans="13:24">
      <c r="M2888" s="558">
        <f t="shared" si="140"/>
        <v>2886</v>
      </c>
      <c r="N2888" s="15">
        <f t="shared" si="138"/>
        <v>0.33375099611940839</v>
      </c>
      <c r="O2888" s="165">
        <f t="shared" si="139"/>
        <v>0.33375099611940839</v>
      </c>
      <c r="P2888" s="18"/>
      <c r="Q2888" s="18"/>
      <c r="R2888" s="18"/>
      <c r="S2888" s="18"/>
      <c r="T2888" s="18"/>
      <c r="U2888" s="18"/>
      <c r="V2888" s="18"/>
      <c r="W2888" s="18"/>
      <c r="X2888" s="18"/>
    </row>
    <row r="2889" spans="13:24">
      <c r="M2889" s="558">
        <f t="shared" si="140"/>
        <v>2887</v>
      </c>
      <c r="N2889" s="15">
        <f t="shared" si="138"/>
        <v>0.33368456167237709</v>
      </c>
      <c r="O2889" s="165">
        <f t="shared" si="139"/>
        <v>0.33368456167237709</v>
      </c>
      <c r="P2889" s="18"/>
      <c r="Q2889" s="18"/>
      <c r="R2889" s="18"/>
      <c r="S2889" s="18"/>
      <c r="T2889" s="18"/>
      <c r="U2889" s="18"/>
      <c r="V2889" s="18"/>
      <c r="W2889" s="18"/>
      <c r="X2889" s="18"/>
    </row>
    <row r="2890" spans="13:24">
      <c r="M2890" s="558">
        <f t="shared" si="140"/>
        <v>2888</v>
      </c>
      <c r="N2890" s="15">
        <f t="shared" si="138"/>
        <v>0.33361814613018898</v>
      </c>
      <c r="O2890" s="165">
        <f t="shared" si="139"/>
        <v>0.33361814613018898</v>
      </c>
      <c r="P2890" s="18"/>
      <c r="Q2890" s="18"/>
      <c r="R2890" s="18"/>
      <c r="S2890" s="18"/>
      <c r="T2890" s="18"/>
      <c r="U2890" s="18"/>
      <c r="V2890" s="18"/>
      <c r="W2890" s="18"/>
      <c r="X2890" s="18"/>
    </row>
    <row r="2891" spans="13:24">
      <c r="M2891" s="558">
        <f t="shared" si="140"/>
        <v>2889</v>
      </c>
      <c r="N2891" s="15">
        <f t="shared" si="138"/>
        <v>0.33355174946911992</v>
      </c>
      <c r="O2891" s="165">
        <f t="shared" si="139"/>
        <v>0.33355174946911992</v>
      </c>
      <c r="P2891" s="18"/>
      <c r="Q2891" s="18"/>
      <c r="R2891" s="18"/>
      <c r="S2891" s="18"/>
      <c r="T2891" s="18"/>
      <c r="U2891" s="18"/>
      <c r="V2891" s="18"/>
      <c r="W2891" s="18"/>
      <c r="X2891" s="18"/>
    </row>
    <row r="2892" spans="13:24">
      <c r="M2892" s="558">
        <f t="shared" si="140"/>
        <v>2890</v>
      </c>
      <c r="N2892" s="15">
        <f t="shared" si="138"/>
        <v>0.33348537166547559</v>
      </c>
      <c r="O2892" s="165">
        <f t="shared" si="139"/>
        <v>0.33348537166547559</v>
      </c>
      <c r="P2892" s="18"/>
      <c r="Q2892" s="18"/>
      <c r="R2892" s="18"/>
      <c r="S2892" s="18"/>
      <c r="T2892" s="18"/>
      <c r="U2892" s="18"/>
      <c r="V2892" s="18"/>
      <c r="W2892" s="18"/>
      <c r="X2892" s="18"/>
    </row>
    <row r="2893" spans="13:24">
      <c r="M2893" s="558">
        <f t="shared" si="140"/>
        <v>2891</v>
      </c>
      <c r="N2893" s="15">
        <f t="shared" si="138"/>
        <v>0.33341901269559149</v>
      </c>
      <c r="O2893" s="165">
        <f t="shared" si="139"/>
        <v>0.33341901269559149</v>
      </c>
      <c r="P2893" s="18"/>
      <c r="Q2893" s="18"/>
      <c r="R2893" s="18"/>
      <c r="S2893" s="18"/>
      <c r="T2893" s="18"/>
      <c r="U2893" s="18"/>
      <c r="V2893" s="18"/>
      <c r="W2893" s="18"/>
      <c r="X2893" s="18"/>
    </row>
    <row r="2894" spans="13:24">
      <c r="M2894" s="558">
        <f t="shared" si="140"/>
        <v>2892</v>
      </c>
      <c r="N2894" s="15">
        <f t="shared" si="138"/>
        <v>0.33335267253583284</v>
      </c>
      <c r="O2894" s="165">
        <f t="shared" si="139"/>
        <v>0.33335267253583284</v>
      </c>
      <c r="P2894" s="18"/>
      <c r="Q2894" s="18"/>
      <c r="R2894" s="18"/>
      <c r="S2894" s="18"/>
      <c r="T2894" s="18"/>
      <c r="U2894" s="18"/>
      <c r="V2894" s="18"/>
      <c r="W2894" s="18"/>
      <c r="X2894" s="18"/>
    </row>
    <row r="2895" spans="13:24">
      <c r="M2895" s="558">
        <f t="shared" si="140"/>
        <v>2893</v>
      </c>
      <c r="N2895" s="15">
        <f t="shared" si="138"/>
        <v>0.33328635116259431</v>
      </c>
      <c r="O2895" s="165">
        <f t="shared" si="139"/>
        <v>0.33328635116259431</v>
      </c>
      <c r="P2895" s="18"/>
      <c r="Q2895" s="18"/>
      <c r="R2895" s="18"/>
      <c r="S2895" s="18"/>
      <c r="T2895" s="18"/>
      <c r="U2895" s="18"/>
      <c r="V2895" s="18"/>
      <c r="W2895" s="18"/>
      <c r="X2895" s="18"/>
    </row>
    <row r="2896" spans="13:24">
      <c r="M2896" s="558">
        <f t="shared" si="140"/>
        <v>2894</v>
      </c>
      <c r="N2896" s="15">
        <f t="shared" si="138"/>
        <v>0.33322004855230031</v>
      </c>
      <c r="O2896" s="165">
        <f t="shared" si="139"/>
        <v>0.33322004855230031</v>
      </c>
      <c r="P2896" s="18"/>
      <c r="Q2896" s="18"/>
      <c r="R2896" s="18"/>
      <c r="S2896" s="18"/>
      <c r="T2896" s="18"/>
      <c r="U2896" s="18"/>
      <c r="V2896" s="18"/>
      <c r="W2896" s="18"/>
      <c r="X2896" s="18"/>
    </row>
    <row r="2897" spans="13:24">
      <c r="M2897" s="558">
        <f t="shared" si="140"/>
        <v>2895</v>
      </c>
      <c r="N2897" s="15">
        <f t="shared" si="138"/>
        <v>0.33315376468140501</v>
      </c>
      <c r="O2897" s="165">
        <f t="shared" si="139"/>
        <v>0.33315376468140501</v>
      </c>
      <c r="P2897" s="18"/>
      <c r="Q2897" s="18"/>
      <c r="R2897" s="18"/>
      <c r="S2897" s="18"/>
      <c r="T2897" s="18"/>
      <c r="U2897" s="18"/>
      <c r="V2897" s="18"/>
      <c r="W2897" s="18"/>
      <c r="X2897" s="18"/>
    </row>
    <row r="2898" spans="13:24">
      <c r="M2898" s="558">
        <f t="shared" si="140"/>
        <v>2896</v>
      </c>
      <c r="N2898" s="15">
        <f t="shared" si="138"/>
        <v>0.33308749952639188</v>
      </c>
      <c r="O2898" s="165">
        <f t="shared" si="139"/>
        <v>0.33308749952639188</v>
      </c>
      <c r="P2898" s="18"/>
      <c r="Q2898" s="18"/>
      <c r="R2898" s="18"/>
      <c r="S2898" s="18"/>
      <c r="T2898" s="18"/>
      <c r="U2898" s="18"/>
      <c r="V2898" s="18"/>
      <c r="W2898" s="18"/>
      <c r="X2898" s="18"/>
    </row>
    <row r="2899" spans="13:24">
      <c r="M2899" s="558">
        <f t="shared" si="140"/>
        <v>2897</v>
      </c>
      <c r="N2899" s="15">
        <f t="shared" si="138"/>
        <v>0.33302125306377395</v>
      </c>
      <c r="O2899" s="165">
        <f t="shared" si="139"/>
        <v>0.33302125306377395</v>
      </c>
      <c r="P2899" s="18"/>
      <c r="Q2899" s="18"/>
      <c r="R2899" s="18"/>
      <c r="S2899" s="18"/>
      <c r="T2899" s="18"/>
      <c r="U2899" s="18"/>
      <c r="V2899" s="18"/>
      <c r="W2899" s="18"/>
      <c r="X2899" s="18"/>
    </row>
    <row r="2900" spans="13:24">
      <c r="M2900" s="558">
        <f t="shared" si="140"/>
        <v>2898</v>
      </c>
      <c r="N2900" s="15">
        <f t="shared" si="138"/>
        <v>0.3329550252700938</v>
      </c>
      <c r="O2900" s="165">
        <f t="shared" si="139"/>
        <v>0.3329550252700938</v>
      </c>
      <c r="P2900" s="18"/>
      <c r="Q2900" s="18"/>
      <c r="R2900" s="18"/>
      <c r="S2900" s="18"/>
      <c r="T2900" s="18"/>
      <c r="U2900" s="18"/>
      <c r="V2900" s="18"/>
      <c r="W2900" s="18"/>
      <c r="X2900" s="18"/>
    </row>
    <row r="2901" spans="13:24">
      <c r="M2901" s="558">
        <f t="shared" si="140"/>
        <v>2899</v>
      </c>
      <c r="N2901" s="15">
        <f t="shared" si="138"/>
        <v>0.33288881612192345</v>
      </c>
      <c r="O2901" s="165">
        <f t="shared" si="139"/>
        <v>0.33288881612192345</v>
      </c>
      <c r="P2901" s="18"/>
      <c r="Q2901" s="18"/>
      <c r="R2901" s="18"/>
      <c r="S2901" s="18"/>
      <c r="T2901" s="18"/>
      <c r="U2901" s="18"/>
      <c r="V2901" s="18"/>
      <c r="W2901" s="18"/>
      <c r="X2901" s="18"/>
    </row>
    <row r="2902" spans="13:24">
      <c r="M2902" s="558">
        <f t="shared" si="140"/>
        <v>2900</v>
      </c>
      <c r="N2902" s="15">
        <f t="shared" si="138"/>
        <v>0.33282262559586429</v>
      </c>
      <c r="O2902" s="165">
        <f t="shared" si="139"/>
        <v>0.33282262559586429</v>
      </c>
      <c r="P2902" s="18"/>
      <c r="Q2902" s="18"/>
      <c r="R2902" s="18"/>
      <c r="S2902" s="18"/>
      <c r="T2902" s="18"/>
      <c r="U2902" s="18"/>
      <c r="V2902" s="18"/>
      <c r="W2902" s="18"/>
      <c r="X2902" s="18"/>
    </row>
    <row r="2903" spans="13:24">
      <c r="M2903" s="558">
        <f t="shared" si="140"/>
        <v>2901</v>
      </c>
      <c r="N2903" s="15">
        <f t="shared" si="138"/>
        <v>0.33275645366854695</v>
      </c>
      <c r="O2903" s="165">
        <f t="shared" si="139"/>
        <v>0.33275645366854695</v>
      </c>
      <c r="P2903" s="18"/>
      <c r="Q2903" s="18"/>
      <c r="R2903" s="18"/>
      <c r="S2903" s="18"/>
      <c r="T2903" s="18"/>
      <c r="U2903" s="18"/>
      <c r="V2903" s="18"/>
      <c r="W2903" s="18"/>
      <c r="X2903" s="18"/>
    </row>
    <row r="2904" spans="13:24">
      <c r="M2904" s="558">
        <f t="shared" si="140"/>
        <v>2902</v>
      </c>
      <c r="N2904" s="15">
        <f t="shared" si="138"/>
        <v>0.3326903003166316</v>
      </c>
      <c r="O2904" s="165">
        <f t="shared" si="139"/>
        <v>0.3326903003166316</v>
      </c>
      <c r="P2904" s="18"/>
      <c r="Q2904" s="18"/>
      <c r="R2904" s="18"/>
      <c r="S2904" s="18"/>
      <c r="T2904" s="18"/>
      <c r="U2904" s="18"/>
      <c r="V2904" s="18"/>
      <c r="W2904" s="18"/>
      <c r="X2904" s="18"/>
    </row>
    <row r="2905" spans="13:24">
      <c r="M2905" s="558">
        <f t="shared" si="140"/>
        <v>2903</v>
      </c>
      <c r="N2905" s="15">
        <f t="shared" si="138"/>
        <v>0.33262416551680757</v>
      </c>
      <c r="O2905" s="165">
        <f t="shared" si="139"/>
        <v>0.33262416551680757</v>
      </c>
      <c r="P2905" s="18"/>
      <c r="Q2905" s="18"/>
      <c r="R2905" s="18"/>
      <c r="S2905" s="18"/>
      <c r="T2905" s="18"/>
      <c r="U2905" s="18"/>
      <c r="V2905" s="18"/>
      <c r="W2905" s="18"/>
      <c r="X2905" s="18"/>
    </row>
    <row r="2906" spans="13:24">
      <c r="M2906" s="558">
        <f t="shared" si="140"/>
        <v>2904</v>
      </c>
      <c r="N2906" s="15">
        <f t="shared" si="138"/>
        <v>0.33255804924579352</v>
      </c>
      <c r="O2906" s="165">
        <f t="shared" si="139"/>
        <v>0.33255804924579352</v>
      </c>
      <c r="P2906" s="18"/>
      <c r="Q2906" s="18"/>
      <c r="R2906" s="18"/>
      <c r="S2906" s="18"/>
      <c r="T2906" s="18"/>
      <c r="U2906" s="18"/>
      <c r="V2906" s="18"/>
      <c r="W2906" s="18"/>
      <c r="X2906" s="18"/>
    </row>
    <row r="2907" spans="13:24">
      <c r="M2907" s="558">
        <f t="shared" si="140"/>
        <v>2905</v>
      </c>
      <c r="N2907" s="15">
        <f t="shared" si="138"/>
        <v>0.33249195148033722</v>
      </c>
      <c r="O2907" s="165">
        <f t="shared" si="139"/>
        <v>0.33249195148033722</v>
      </c>
      <c r="P2907" s="18"/>
      <c r="Q2907" s="18"/>
      <c r="R2907" s="18"/>
      <c r="S2907" s="18"/>
      <c r="T2907" s="18"/>
      <c r="U2907" s="18"/>
      <c r="V2907" s="18"/>
      <c r="W2907" s="18"/>
      <c r="X2907" s="18"/>
    </row>
    <row r="2908" spans="13:24">
      <c r="M2908" s="558">
        <f t="shared" si="140"/>
        <v>2906</v>
      </c>
      <c r="N2908" s="15">
        <f t="shared" si="138"/>
        <v>0.3324258721972157</v>
      </c>
      <c r="O2908" s="165">
        <f t="shared" si="139"/>
        <v>0.3324258721972157</v>
      </c>
      <c r="P2908" s="18"/>
      <c r="Q2908" s="18"/>
      <c r="R2908" s="18"/>
      <c r="S2908" s="18"/>
      <c r="T2908" s="18"/>
      <c r="U2908" s="18"/>
      <c r="V2908" s="18"/>
      <c r="W2908" s="18"/>
      <c r="X2908" s="18"/>
    </row>
    <row r="2909" spans="13:24">
      <c r="M2909" s="558">
        <f t="shared" si="140"/>
        <v>2907</v>
      </c>
      <c r="N2909" s="15">
        <f t="shared" si="138"/>
        <v>0.33235981137323517</v>
      </c>
      <c r="O2909" s="165">
        <f t="shared" si="139"/>
        <v>0.33235981137323517</v>
      </c>
      <c r="P2909" s="18"/>
      <c r="Q2909" s="18"/>
      <c r="R2909" s="18"/>
      <c r="S2909" s="18"/>
      <c r="T2909" s="18"/>
      <c r="U2909" s="18"/>
      <c r="V2909" s="18"/>
      <c r="W2909" s="18"/>
      <c r="X2909" s="18"/>
    </row>
    <row r="2910" spans="13:24">
      <c r="M2910" s="558">
        <f t="shared" si="140"/>
        <v>2908</v>
      </c>
      <c r="N2910" s="15">
        <f t="shared" si="138"/>
        <v>0.33229376898523083</v>
      </c>
      <c r="O2910" s="165">
        <f t="shared" si="139"/>
        <v>0.33229376898523083</v>
      </c>
      <c r="P2910" s="18"/>
      <c r="Q2910" s="18"/>
      <c r="R2910" s="18"/>
      <c r="S2910" s="18"/>
      <c r="T2910" s="18"/>
      <c r="U2910" s="18"/>
      <c r="V2910" s="18"/>
      <c r="W2910" s="18"/>
      <c r="X2910" s="18"/>
    </row>
    <row r="2911" spans="13:24">
      <c r="M2911" s="558">
        <f t="shared" si="140"/>
        <v>2909</v>
      </c>
      <c r="N2911" s="15">
        <f t="shared" si="138"/>
        <v>0.33222774501006697</v>
      </c>
      <c r="O2911" s="165">
        <f t="shared" si="139"/>
        <v>0.33222774501006697</v>
      </c>
      <c r="P2911" s="18"/>
      <c r="Q2911" s="18"/>
      <c r="R2911" s="18"/>
      <c r="S2911" s="18"/>
      <c r="T2911" s="18"/>
      <c r="U2911" s="18"/>
      <c r="V2911" s="18"/>
      <c r="W2911" s="18"/>
      <c r="X2911" s="18"/>
    </row>
    <row r="2912" spans="13:24">
      <c r="M2912" s="558">
        <f t="shared" si="140"/>
        <v>2910</v>
      </c>
      <c r="N2912" s="15">
        <f t="shared" si="138"/>
        <v>0.33216173942463706</v>
      </c>
      <c r="O2912" s="165">
        <f t="shared" si="139"/>
        <v>0.33216173942463706</v>
      </c>
      <c r="P2912" s="18"/>
      <c r="Q2912" s="18"/>
      <c r="R2912" s="18"/>
      <c r="S2912" s="18"/>
      <c r="T2912" s="18"/>
      <c r="U2912" s="18"/>
      <c r="V2912" s="18"/>
      <c r="W2912" s="18"/>
      <c r="X2912" s="18"/>
    </row>
    <row r="2913" spans="13:24">
      <c r="M2913" s="558">
        <f t="shared" si="140"/>
        <v>2911</v>
      </c>
      <c r="N2913" s="15">
        <f t="shared" si="138"/>
        <v>0.3320957522058634</v>
      </c>
      <c r="O2913" s="165">
        <f t="shared" si="139"/>
        <v>0.3320957522058634</v>
      </c>
      <c r="P2913" s="18"/>
      <c r="Q2913" s="18"/>
      <c r="R2913" s="18"/>
      <c r="S2913" s="18"/>
      <c r="T2913" s="18"/>
      <c r="U2913" s="18"/>
      <c r="V2913" s="18"/>
      <c r="W2913" s="18"/>
      <c r="X2913" s="18"/>
    </row>
    <row r="2914" spans="13:24">
      <c r="M2914" s="558">
        <f t="shared" si="140"/>
        <v>2912</v>
      </c>
      <c r="N2914" s="15">
        <f t="shared" si="138"/>
        <v>0.33202978333069733</v>
      </c>
      <c r="O2914" s="165">
        <f t="shared" si="139"/>
        <v>0.33202978333069733</v>
      </c>
      <c r="P2914" s="18"/>
      <c r="Q2914" s="18"/>
      <c r="R2914" s="18"/>
      <c r="S2914" s="18"/>
      <c r="T2914" s="18"/>
      <c r="U2914" s="18"/>
      <c r="V2914" s="18"/>
      <c r="W2914" s="18"/>
      <c r="X2914" s="18"/>
    </row>
    <row r="2915" spans="13:24">
      <c r="M2915" s="558">
        <f t="shared" si="140"/>
        <v>2913</v>
      </c>
      <c r="N2915" s="15">
        <f t="shared" si="138"/>
        <v>0.33196383277611902</v>
      </c>
      <c r="O2915" s="165">
        <f t="shared" si="139"/>
        <v>0.33196383277611902</v>
      </c>
      <c r="P2915" s="18"/>
      <c r="Q2915" s="18"/>
      <c r="R2915" s="18"/>
      <c r="S2915" s="18"/>
      <c r="T2915" s="18"/>
      <c r="U2915" s="18"/>
      <c r="V2915" s="18"/>
      <c r="W2915" s="18"/>
      <c r="X2915" s="18"/>
    </row>
    <row r="2916" spans="13:24">
      <c r="M2916" s="558">
        <f t="shared" si="140"/>
        <v>2914</v>
      </c>
      <c r="N2916" s="15">
        <f t="shared" si="138"/>
        <v>0.33189790051913776</v>
      </c>
      <c r="O2916" s="165">
        <f t="shared" si="139"/>
        <v>0.33189790051913776</v>
      </c>
      <c r="P2916" s="18"/>
      <c r="Q2916" s="18"/>
      <c r="R2916" s="18"/>
      <c r="S2916" s="18"/>
      <c r="T2916" s="18"/>
      <c r="U2916" s="18"/>
      <c r="V2916" s="18"/>
      <c r="W2916" s="18"/>
      <c r="X2916" s="18"/>
    </row>
    <row r="2917" spans="13:24">
      <c r="M2917" s="558">
        <f t="shared" si="140"/>
        <v>2915</v>
      </c>
      <c r="N2917" s="15">
        <f t="shared" si="138"/>
        <v>0.33183198653679141</v>
      </c>
      <c r="O2917" s="165">
        <f t="shared" si="139"/>
        <v>0.33183198653679141</v>
      </c>
      <c r="P2917" s="18"/>
      <c r="Q2917" s="18"/>
      <c r="R2917" s="18"/>
      <c r="S2917" s="18"/>
      <c r="T2917" s="18"/>
      <c r="U2917" s="18"/>
      <c r="V2917" s="18"/>
      <c r="W2917" s="18"/>
      <c r="X2917" s="18"/>
    </row>
    <row r="2918" spans="13:24">
      <c r="M2918" s="558">
        <f t="shared" si="140"/>
        <v>2916</v>
      </c>
      <c r="N2918" s="15">
        <f t="shared" si="138"/>
        <v>0.33176609080614683</v>
      </c>
      <c r="O2918" s="165">
        <f t="shared" si="139"/>
        <v>0.33176609080614683</v>
      </c>
      <c r="P2918" s="18"/>
      <c r="Q2918" s="18"/>
      <c r="R2918" s="18"/>
      <c r="S2918" s="18"/>
      <c r="T2918" s="18"/>
      <c r="U2918" s="18"/>
      <c r="V2918" s="18"/>
      <c r="W2918" s="18"/>
      <c r="X2918" s="18"/>
    </row>
    <row r="2919" spans="13:24">
      <c r="M2919" s="558">
        <f t="shared" si="140"/>
        <v>2917</v>
      </c>
      <c r="N2919" s="15">
        <f t="shared" si="138"/>
        <v>0.3317002133042995</v>
      </c>
      <c r="O2919" s="165">
        <f t="shared" si="139"/>
        <v>0.3317002133042995</v>
      </c>
      <c r="P2919" s="18"/>
      <c r="Q2919" s="18"/>
      <c r="R2919" s="18"/>
      <c r="S2919" s="18"/>
      <c r="T2919" s="18"/>
      <c r="U2919" s="18"/>
      <c r="V2919" s="18"/>
      <c r="W2919" s="18"/>
      <c r="X2919" s="18"/>
    </row>
    <row r="2920" spans="13:24">
      <c r="M2920" s="558">
        <f t="shared" si="140"/>
        <v>2918</v>
      </c>
      <c r="N2920" s="15">
        <f t="shared" si="138"/>
        <v>0.33163435400837388</v>
      </c>
      <c r="O2920" s="165">
        <f t="shared" si="139"/>
        <v>0.33163435400837388</v>
      </c>
      <c r="P2920" s="18"/>
      <c r="Q2920" s="18"/>
      <c r="R2920" s="18"/>
      <c r="S2920" s="18"/>
      <c r="T2920" s="18"/>
      <c r="U2920" s="18"/>
      <c r="V2920" s="18"/>
      <c r="W2920" s="18"/>
      <c r="X2920" s="18"/>
    </row>
    <row r="2921" spans="13:24">
      <c r="M2921" s="558">
        <f t="shared" si="140"/>
        <v>2919</v>
      </c>
      <c r="N2921" s="15">
        <f t="shared" si="138"/>
        <v>0.33156851289552297</v>
      </c>
      <c r="O2921" s="165">
        <f t="shared" si="139"/>
        <v>0.33156851289552297</v>
      </c>
      <c r="P2921" s="18"/>
      <c r="Q2921" s="18"/>
      <c r="R2921" s="18"/>
      <c r="S2921" s="18"/>
      <c r="T2921" s="18"/>
      <c r="U2921" s="18"/>
      <c r="V2921" s="18"/>
      <c r="W2921" s="18"/>
      <c r="X2921" s="18"/>
    </row>
    <row r="2922" spans="13:24">
      <c r="M2922" s="558">
        <f t="shared" si="140"/>
        <v>2920</v>
      </c>
      <c r="N2922" s="15">
        <f t="shared" si="138"/>
        <v>0.33150268994292836</v>
      </c>
      <c r="O2922" s="165">
        <f t="shared" si="139"/>
        <v>0.33150268994292836</v>
      </c>
      <c r="P2922" s="18"/>
      <c r="Q2922" s="18"/>
      <c r="R2922" s="18"/>
      <c r="S2922" s="18"/>
      <c r="T2922" s="18"/>
      <c r="U2922" s="18"/>
      <c r="V2922" s="18"/>
      <c r="W2922" s="18"/>
      <c r="X2922" s="18"/>
    </row>
    <row r="2923" spans="13:24">
      <c r="M2923" s="558">
        <f t="shared" si="140"/>
        <v>2921</v>
      </c>
      <c r="N2923" s="15">
        <f t="shared" si="138"/>
        <v>0.33143688512780051</v>
      </c>
      <c r="O2923" s="165">
        <f t="shared" si="139"/>
        <v>0.33143688512780051</v>
      </c>
      <c r="P2923" s="18"/>
      <c r="Q2923" s="18"/>
      <c r="R2923" s="18"/>
      <c r="S2923" s="18"/>
      <c r="T2923" s="18"/>
      <c r="U2923" s="18"/>
      <c r="V2923" s="18"/>
      <c r="W2923" s="18"/>
      <c r="X2923" s="18"/>
    </row>
    <row r="2924" spans="13:24">
      <c r="M2924" s="558">
        <f t="shared" si="140"/>
        <v>2922</v>
      </c>
      <c r="N2924" s="15">
        <f t="shared" si="138"/>
        <v>0.33137109842737833</v>
      </c>
      <c r="O2924" s="165">
        <f t="shared" si="139"/>
        <v>0.33137109842737833</v>
      </c>
      <c r="P2924" s="18"/>
      <c r="Q2924" s="18"/>
      <c r="R2924" s="18"/>
      <c r="S2924" s="18"/>
      <c r="T2924" s="18"/>
      <c r="U2924" s="18"/>
      <c r="V2924" s="18"/>
      <c r="W2924" s="18"/>
      <c r="X2924" s="18"/>
    </row>
    <row r="2925" spans="13:24">
      <c r="M2925" s="558">
        <f t="shared" si="140"/>
        <v>2923</v>
      </c>
      <c r="N2925" s="15">
        <f t="shared" si="138"/>
        <v>0.3313053298189293</v>
      </c>
      <c r="O2925" s="165">
        <f t="shared" si="139"/>
        <v>0.3313053298189293</v>
      </c>
      <c r="P2925" s="18"/>
      <c r="Q2925" s="18"/>
      <c r="R2925" s="18"/>
      <c r="S2925" s="18"/>
      <c r="T2925" s="18"/>
      <c r="U2925" s="18"/>
      <c r="V2925" s="18"/>
      <c r="W2925" s="18"/>
      <c r="X2925" s="18"/>
    </row>
    <row r="2926" spans="13:24">
      <c r="M2926" s="558">
        <f t="shared" si="140"/>
        <v>2924</v>
      </c>
      <c r="N2926" s="15">
        <f t="shared" si="138"/>
        <v>0.33123957927974934</v>
      </c>
      <c r="O2926" s="165">
        <f t="shared" si="139"/>
        <v>0.33123957927974934</v>
      </c>
      <c r="P2926" s="18"/>
      <c r="Q2926" s="18"/>
      <c r="R2926" s="18"/>
      <c r="S2926" s="18"/>
      <c r="T2926" s="18"/>
      <c r="U2926" s="18"/>
      <c r="V2926" s="18"/>
      <c r="W2926" s="18"/>
      <c r="X2926" s="18"/>
    </row>
    <row r="2927" spans="13:24">
      <c r="M2927" s="558">
        <f t="shared" si="140"/>
        <v>2925</v>
      </c>
      <c r="N2927" s="15">
        <f t="shared" si="138"/>
        <v>0.33117384678716322</v>
      </c>
      <c r="O2927" s="165">
        <f t="shared" si="139"/>
        <v>0.33117384678716322</v>
      </c>
      <c r="P2927" s="18"/>
      <c r="Q2927" s="18"/>
      <c r="R2927" s="18"/>
      <c r="S2927" s="18"/>
      <c r="T2927" s="18"/>
      <c r="U2927" s="18"/>
      <c r="V2927" s="18"/>
      <c r="W2927" s="18"/>
      <c r="X2927" s="18"/>
    </row>
    <row r="2928" spans="13:24">
      <c r="M2928" s="558">
        <f t="shared" si="140"/>
        <v>2926</v>
      </c>
      <c r="N2928" s="15">
        <f t="shared" si="138"/>
        <v>0.33110813231852371</v>
      </c>
      <c r="O2928" s="165">
        <f t="shared" si="139"/>
        <v>0.33110813231852371</v>
      </c>
      <c r="P2928" s="18"/>
      <c r="Q2928" s="18"/>
      <c r="R2928" s="18"/>
      <c r="S2928" s="18"/>
      <c r="T2928" s="18"/>
      <c r="U2928" s="18"/>
      <c r="V2928" s="18"/>
      <c r="W2928" s="18"/>
      <c r="X2928" s="18"/>
    </row>
    <row r="2929" spans="13:24">
      <c r="M2929" s="558">
        <f t="shared" si="140"/>
        <v>2927</v>
      </c>
      <c r="N2929" s="15">
        <f t="shared" si="138"/>
        <v>0.33104243585121229</v>
      </c>
      <c r="O2929" s="165">
        <f t="shared" si="139"/>
        <v>0.33104243585121229</v>
      </c>
      <c r="P2929" s="18"/>
      <c r="Q2929" s="18"/>
      <c r="R2929" s="18"/>
      <c r="S2929" s="18"/>
      <c r="T2929" s="18"/>
      <c r="U2929" s="18"/>
      <c r="V2929" s="18"/>
      <c r="W2929" s="18"/>
      <c r="X2929" s="18"/>
    </row>
    <row r="2930" spans="13:24">
      <c r="M2930" s="558">
        <f t="shared" si="140"/>
        <v>2928</v>
      </c>
      <c r="N2930" s="15">
        <f t="shared" si="138"/>
        <v>0.33097675736263865</v>
      </c>
      <c r="O2930" s="165">
        <f t="shared" si="139"/>
        <v>0.33097675736263865</v>
      </c>
      <c r="P2930" s="18"/>
      <c r="Q2930" s="18"/>
      <c r="R2930" s="18"/>
      <c r="S2930" s="18"/>
      <c r="T2930" s="18"/>
      <c r="U2930" s="18"/>
      <c r="V2930" s="18"/>
      <c r="W2930" s="18"/>
      <c r="X2930" s="18"/>
    </row>
    <row r="2931" spans="13:24">
      <c r="M2931" s="558">
        <f t="shared" si="140"/>
        <v>2929</v>
      </c>
      <c r="N2931" s="15">
        <f t="shared" si="138"/>
        <v>0.33091109683024106</v>
      </c>
      <c r="O2931" s="165">
        <f t="shared" si="139"/>
        <v>0.33091109683024106</v>
      </c>
      <c r="P2931" s="18"/>
      <c r="Q2931" s="18"/>
      <c r="R2931" s="18"/>
      <c r="S2931" s="18"/>
      <c r="T2931" s="18"/>
      <c r="U2931" s="18"/>
      <c r="V2931" s="18"/>
      <c r="W2931" s="18"/>
      <c r="X2931" s="18"/>
    </row>
    <row r="2932" spans="13:24">
      <c r="M2932" s="558">
        <f t="shared" si="140"/>
        <v>2930</v>
      </c>
      <c r="N2932" s="15">
        <f t="shared" si="138"/>
        <v>0.33084545423148587</v>
      </c>
      <c r="O2932" s="165">
        <f t="shared" si="139"/>
        <v>0.33084545423148587</v>
      </c>
      <c r="P2932" s="18"/>
      <c r="Q2932" s="18"/>
      <c r="R2932" s="18"/>
      <c r="S2932" s="18"/>
      <c r="T2932" s="18"/>
      <c r="U2932" s="18"/>
      <c r="V2932" s="18"/>
      <c r="W2932" s="18"/>
      <c r="X2932" s="18"/>
    </row>
    <row r="2933" spans="13:24">
      <c r="M2933" s="558">
        <f t="shared" si="140"/>
        <v>2931</v>
      </c>
      <c r="N2933" s="15">
        <f t="shared" si="138"/>
        <v>0.33077982954386781</v>
      </c>
      <c r="O2933" s="165">
        <f t="shared" si="139"/>
        <v>0.33077982954386781</v>
      </c>
      <c r="P2933" s="18"/>
      <c r="Q2933" s="18"/>
      <c r="R2933" s="18"/>
      <c r="S2933" s="18"/>
      <c r="T2933" s="18"/>
      <c r="U2933" s="18"/>
      <c r="V2933" s="18"/>
      <c r="W2933" s="18"/>
      <c r="X2933" s="18"/>
    </row>
    <row r="2934" spans="13:24">
      <c r="M2934" s="558">
        <f t="shared" si="140"/>
        <v>2932</v>
      </c>
      <c r="N2934" s="15">
        <f t="shared" si="138"/>
        <v>0.3307142227449098</v>
      </c>
      <c r="O2934" s="165">
        <f t="shared" si="139"/>
        <v>0.3307142227449098</v>
      </c>
      <c r="P2934" s="18"/>
      <c r="Q2934" s="18"/>
      <c r="R2934" s="18"/>
      <c r="S2934" s="18"/>
      <c r="T2934" s="18"/>
      <c r="U2934" s="18"/>
      <c r="V2934" s="18"/>
      <c r="W2934" s="18"/>
      <c r="X2934" s="18"/>
    </row>
    <row r="2935" spans="13:24">
      <c r="M2935" s="558">
        <f t="shared" si="140"/>
        <v>2933</v>
      </c>
      <c r="N2935" s="15">
        <f t="shared" si="138"/>
        <v>0.33064863381216314</v>
      </c>
      <c r="O2935" s="165">
        <f t="shared" si="139"/>
        <v>0.33064863381216314</v>
      </c>
      <c r="P2935" s="18"/>
      <c r="Q2935" s="18"/>
      <c r="R2935" s="18"/>
      <c r="S2935" s="18"/>
      <c r="T2935" s="18"/>
      <c r="U2935" s="18"/>
      <c r="V2935" s="18"/>
      <c r="W2935" s="18"/>
      <c r="X2935" s="18"/>
    </row>
    <row r="2936" spans="13:24">
      <c r="M2936" s="558">
        <f t="shared" si="140"/>
        <v>2934</v>
      </c>
      <c r="N2936" s="15">
        <f t="shared" si="138"/>
        <v>0.33058306272320703</v>
      </c>
      <c r="O2936" s="165">
        <f t="shared" si="139"/>
        <v>0.33058306272320703</v>
      </c>
      <c r="P2936" s="18"/>
      <c r="Q2936" s="18"/>
      <c r="R2936" s="18"/>
      <c r="S2936" s="18"/>
      <c r="T2936" s="18"/>
      <c r="U2936" s="18"/>
      <c r="V2936" s="18"/>
      <c r="W2936" s="18"/>
      <c r="X2936" s="18"/>
    </row>
    <row r="2937" spans="13:24">
      <c r="M2937" s="558">
        <f t="shared" si="140"/>
        <v>2935</v>
      </c>
      <c r="N2937" s="15">
        <f t="shared" si="138"/>
        <v>0.33051750945564901</v>
      </c>
      <c r="O2937" s="165">
        <f t="shared" si="139"/>
        <v>0.33051750945564901</v>
      </c>
      <c r="P2937" s="18"/>
      <c r="Q2937" s="18"/>
      <c r="R2937" s="18"/>
      <c r="S2937" s="18"/>
      <c r="T2937" s="18"/>
      <c r="U2937" s="18"/>
      <c r="V2937" s="18"/>
      <c r="W2937" s="18"/>
      <c r="X2937" s="18"/>
    </row>
    <row r="2938" spans="13:24">
      <c r="M2938" s="558">
        <f t="shared" si="140"/>
        <v>2936</v>
      </c>
      <c r="N2938" s="15">
        <f t="shared" si="138"/>
        <v>0.33045197398712456</v>
      </c>
      <c r="O2938" s="165">
        <f t="shared" si="139"/>
        <v>0.33045197398712456</v>
      </c>
      <c r="P2938" s="18"/>
      <c r="Q2938" s="18"/>
      <c r="R2938" s="18"/>
      <c r="S2938" s="18"/>
      <c r="T2938" s="18"/>
      <c r="U2938" s="18"/>
      <c r="V2938" s="18"/>
      <c r="W2938" s="18"/>
      <c r="X2938" s="18"/>
    </row>
    <row r="2939" spans="13:24">
      <c r="M2939" s="558">
        <f t="shared" si="140"/>
        <v>2937</v>
      </c>
      <c r="N2939" s="15">
        <f t="shared" si="138"/>
        <v>0.3303864562952975</v>
      </c>
      <c r="O2939" s="165">
        <f t="shared" si="139"/>
        <v>0.3303864562952975</v>
      </c>
      <c r="P2939" s="18"/>
      <c r="Q2939" s="18"/>
      <c r="R2939" s="18"/>
      <c r="S2939" s="18"/>
      <c r="T2939" s="18"/>
      <c r="U2939" s="18"/>
      <c r="V2939" s="18"/>
      <c r="W2939" s="18"/>
      <c r="X2939" s="18"/>
    </row>
    <row r="2940" spans="13:24">
      <c r="M2940" s="558">
        <f t="shared" si="140"/>
        <v>2938</v>
      </c>
      <c r="N2940" s="15">
        <f t="shared" si="138"/>
        <v>0.33032095635785941</v>
      </c>
      <c r="O2940" s="165">
        <f t="shared" si="139"/>
        <v>0.33032095635785941</v>
      </c>
      <c r="P2940" s="18"/>
      <c r="Q2940" s="18"/>
      <c r="R2940" s="18"/>
      <c r="S2940" s="18"/>
      <c r="T2940" s="18"/>
      <c r="U2940" s="18"/>
      <c r="V2940" s="18"/>
      <c r="W2940" s="18"/>
      <c r="X2940" s="18"/>
    </row>
    <row r="2941" spans="13:24">
      <c r="M2941" s="558">
        <f t="shared" si="140"/>
        <v>2939</v>
      </c>
      <c r="N2941" s="15">
        <f t="shared" si="138"/>
        <v>0.33025547415252987</v>
      </c>
      <c r="O2941" s="165">
        <f t="shared" si="139"/>
        <v>0.33025547415252987</v>
      </c>
      <c r="P2941" s="18"/>
      <c r="Q2941" s="18"/>
      <c r="R2941" s="18"/>
      <c r="S2941" s="18"/>
      <c r="T2941" s="18"/>
      <c r="U2941" s="18"/>
      <c r="V2941" s="18"/>
      <c r="W2941" s="18"/>
      <c r="X2941" s="18"/>
    </row>
    <row r="2942" spans="13:24">
      <c r="M2942" s="558">
        <f t="shared" si="140"/>
        <v>2940</v>
      </c>
      <c r="N2942" s="15">
        <f t="shared" si="138"/>
        <v>0.33019000965705669</v>
      </c>
      <c r="O2942" s="165">
        <f t="shared" si="139"/>
        <v>0.33019000965705669</v>
      </c>
      <c r="P2942" s="18"/>
      <c r="Q2942" s="18"/>
      <c r="R2942" s="18"/>
      <c r="S2942" s="18"/>
      <c r="T2942" s="18"/>
      <c r="U2942" s="18"/>
      <c r="V2942" s="18"/>
      <c r="W2942" s="18"/>
      <c r="X2942" s="18"/>
    </row>
    <row r="2943" spans="13:24">
      <c r="M2943" s="558">
        <f t="shared" si="140"/>
        <v>2941</v>
      </c>
      <c r="N2943" s="15">
        <f t="shared" si="138"/>
        <v>0.33012456284921532</v>
      </c>
      <c r="O2943" s="165">
        <f t="shared" si="139"/>
        <v>0.33012456284921532</v>
      </c>
      <c r="P2943" s="18"/>
      <c r="Q2943" s="18"/>
      <c r="R2943" s="18"/>
      <c r="S2943" s="18"/>
      <c r="T2943" s="18"/>
      <c r="U2943" s="18"/>
      <c r="V2943" s="18"/>
      <c r="W2943" s="18"/>
      <c r="X2943" s="18"/>
    </row>
    <row r="2944" spans="13:24">
      <c r="M2944" s="558">
        <f t="shared" si="140"/>
        <v>2942</v>
      </c>
      <c r="N2944" s="15">
        <f t="shared" si="138"/>
        <v>0.33005913370680923</v>
      </c>
      <c r="O2944" s="165">
        <f t="shared" si="139"/>
        <v>0.33005913370680923</v>
      </c>
      <c r="P2944" s="18"/>
      <c r="Q2944" s="18"/>
      <c r="R2944" s="18"/>
      <c r="S2944" s="18"/>
      <c r="T2944" s="18"/>
      <c r="U2944" s="18"/>
      <c r="V2944" s="18"/>
      <c r="W2944" s="18"/>
      <c r="X2944" s="18"/>
    </row>
    <row r="2945" spans="13:24">
      <c r="M2945" s="558">
        <f t="shared" si="140"/>
        <v>2943</v>
      </c>
      <c r="N2945" s="15">
        <f t="shared" si="138"/>
        <v>0.32999372220766959</v>
      </c>
      <c r="O2945" s="165">
        <f t="shared" si="139"/>
        <v>0.32999372220766959</v>
      </c>
      <c r="P2945" s="18"/>
      <c r="Q2945" s="18"/>
      <c r="R2945" s="18"/>
      <c r="S2945" s="18"/>
      <c r="T2945" s="18"/>
      <c r="U2945" s="18"/>
      <c r="V2945" s="18"/>
      <c r="W2945" s="18"/>
      <c r="X2945" s="18"/>
    </row>
    <row r="2946" spans="13:24">
      <c r="M2946" s="558">
        <f t="shared" si="140"/>
        <v>2944</v>
      </c>
      <c r="N2946" s="15">
        <f t="shared" si="138"/>
        <v>0.32992832832965568</v>
      </c>
      <c r="O2946" s="165">
        <f t="shared" si="139"/>
        <v>0.32992832832965568</v>
      </c>
      <c r="P2946" s="18"/>
      <c r="Q2946" s="18"/>
      <c r="R2946" s="18"/>
      <c r="S2946" s="18"/>
      <c r="T2946" s="18"/>
      <c r="U2946" s="18"/>
      <c r="V2946" s="18"/>
      <c r="W2946" s="18"/>
      <c r="X2946" s="18"/>
    </row>
    <row r="2947" spans="13:24">
      <c r="M2947" s="558">
        <f t="shared" si="140"/>
        <v>2945</v>
      </c>
      <c r="N2947" s="15">
        <f t="shared" si="138"/>
        <v>0.32986295205065441</v>
      </c>
      <c r="O2947" s="165">
        <f t="shared" si="139"/>
        <v>0.32986295205065441</v>
      </c>
      <c r="P2947" s="18"/>
      <c r="Q2947" s="18"/>
      <c r="R2947" s="18"/>
      <c r="S2947" s="18"/>
      <c r="T2947" s="18"/>
      <c r="U2947" s="18"/>
      <c r="V2947" s="18"/>
      <c r="W2947" s="18"/>
      <c r="X2947" s="18"/>
    </row>
    <row r="2948" spans="13:24">
      <c r="M2948" s="558">
        <f t="shared" si="140"/>
        <v>2946</v>
      </c>
      <c r="N2948" s="15">
        <f t="shared" ref="N2948:N3011" si="141">IF(M2948&lt;$B$31+1,$B$32+$B$33/$B$31*(8760-M2948)+$B$34*IF(M2948&lt;$B$36-$B$31/(2*$B$35),1,IF(M2948&lt;$B$36+$B$31/(2*$B$35),COS(PI()/2*(M2948-($B$36-$B$31/(2*$B$35)))*$B$35/$B$31)^2,0))+$B$37*EXP((8760-M2948)/8760*$B$38)/EXP($B$38)-(8760-$B$31)*$B$33/$B$31,0)</f>
        <v>0.32979759334858033</v>
      </c>
      <c r="O2948" s="165">
        <f t="shared" ref="O2948:O3011" si="142">MIN(N2948,C$24)</f>
        <v>0.32979759334858033</v>
      </c>
      <c r="P2948" s="18"/>
      <c r="Q2948" s="18"/>
      <c r="R2948" s="18"/>
      <c r="S2948" s="18"/>
      <c r="T2948" s="18"/>
      <c r="U2948" s="18"/>
      <c r="V2948" s="18"/>
      <c r="W2948" s="18"/>
      <c r="X2948" s="18"/>
    </row>
    <row r="2949" spans="13:24">
      <c r="M2949" s="558">
        <f t="shared" ref="M2949:M3012" si="143">M2948+1</f>
        <v>2947</v>
      </c>
      <c r="N2949" s="15">
        <f t="shared" si="141"/>
        <v>0.32973225220137575</v>
      </c>
      <c r="O2949" s="165">
        <f t="shared" si="142"/>
        <v>0.32973225220137575</v>
      </c>
      <c r="P2949" s="18"/>
      <c r="Q2949" s="18"/>
      <c r="R2949" s="18"/>
      <c r="S2949" s="18"/>
      <c r="T2949" s="18"/>
      <c r="U2949" s="18"/>
      <c r="V2949" s="18"/>
      <c r="W2949" s="18"/>
      <c r="X2949" s="18"/>
    </row>
    <row r="2950" spans="13:24">
      <c r="M2950" s="558">
        <f t="shared" si="143"/>
        <v>2948</v>
      </c>
      <c r="N2950" s="15">
        <f t="shared" si="141"/>
        <v>0.32966692858701097</v>
      </c>
      <c r="O2950" s="165">
        <f t="shared" si="142"/>
        <v>0.32966692858701097</v>
      </c>
      <c r="P2950" s="18"/>
      <c r="Q2950" s="18"/>
      <c r="R2950" s="18"/>
      <c r="S2950" s="18"/>
      <c r="T2950" s="18"/>
      <c r="U2950" s="18"/>
      <c r="V2950" s="18"/>
      <c r="W2950" s="18"/>
      <c r="X2950" s="18"/>
    </row>
    <row r="2951" spans="13:24">
      <c r="M2951" s="558">
        <f t="shared" si="143"/>
        <v>2949</v>
      </c>
      <c r="N2951" s="15">
        <f t="shared" si="141"/>
        <v>0.32960162248348346</v>
      </c>
      <c r="O2951" s="165">
        <f t="shared" si="142"/>
        <v>0.32960162248348346</v>
      </c>
      <c r="P2951" s="18"/>
      <c r="Q2951" s="18"/>
      <c r="R2951" s="18"/>
      <c r="S2951" s="18"/>
      <c r="T2951" s="18"/>
      <c r="U2951" s="18"/>
      <c r="V2951" s="18"/>
      <c r="W2951" s="18"/>
      <c r="X2951" s="18"/>
    </row>
    <row r="2952" spans="13:24">
      <c r="M2952" s="558">
        <f t="shared" si="143"/>
        <v>2950</v>
      </c>
      <c r="N2952" s="15">
        <f t="shared" si="141"/>
        <v>0.32953633386881859</v>
      </c>
      <c r="O2952" s="165">
        <f t="shared" si="142"/>
        <v>0.32953633386881859</v>
      </c>
      <c r="P2952" s="18"/>
      <c r="Q2952" s="18"/>
      <c r="R2952" s="18"/>
      <c r="S2952" s="18"/>
      <c r="T2952" s="18"/>
      <c r="U2952" s="18"/>
      <c r="V2952" s="18"/>
      <c r="W2952" s="18"/>
      <c r="X2952" s="18"/>
    </row>
    <row r="2953" spans="13:24">
      <c r="M2953" s="558">
        <f t="shared" si="143"/>
        <v>2951</v>
      </c>
      <c r="N2953" s="15">
        <f t="shared" si="141"/>
        <v>0.32947106272106924</v>
      </c>
      <c r="O2953" s="165">
        <f t="shared" si="142"/>
        <v>0.32947106272106924</v>
      </c>
      <c r="P2953" s="18"/>
      <c r="Q2953" s="18"/>
      <c r="R2953" s="18"/>
      <c r="S2953" s="18"/>
      <c r="T2953" s="18"/>
      <c r="U2953" s="18"/>
      <c r="V2953" s="18"/>
      <c r="W2953" s="18"/>
      <c r="X2953" s="18"/>
    </row>
    <row r="2954" spans="13:24">
      <c r="M2954" s="558">
        <f t="shared" si="143"/>
        <v>2952</v>
      </c>
      <c r="N2954" s="15">
        <f t="shared" si="141"/>
        <v>0.32940580901831584</v>
      </c>
      <c r="O2954" s="165">
        <f t="shared" si="142"/>
        <v>0.32940580901831584</v>
      </c>
      <c r="P2954" s="18"/>
      <c r="Q2954" s="18"/>
      <c r="R2954" s="18"/>
      <c r="S2954" s="18"/>
      <c r="T2954" s="18"/>
      <c r="U2954" s="18"/>
      <c r="V2954" s="18"/>
      <c r="W2954" s="18"/>
      <c r="X2954" s="18"/>
    </row>
    <row r="2955" spans="13:24">
      <c r="M2955" s="558">
        <f t="shared" si="143"/>
        <v>2953</v>
      </c>
      <c r="N2955" s="15">
        <f t="shared" si="141"/>
        <v>0.32934057273866635</v>
      </c>
      <c r="O2955" s="165">
        <f t="shared" si="142"/>
        <v>0.32934057273866635</v>
      </c>
      <c r="P2955" s="18"/>
      <c r="Q2955" s="18"/>
      <c r="R2955" s="18"/>
      <c r="S2955" s="18"/>
      <c r="T2955" s="18"/>
      <c r="U2955" s="18"/>
      <c r="V2955" s="18"/>
      <c r="W2955" s="18"/>
      <c r="X2955" s="18"/>
    </row>
    <row r="2956" spans="13:24">
      <c r="M2956" s="558">
        <f t="shared" si="143"/>
        <v>2954</v>
      </c>
      <c r="N2956" s="15">
        <f t="shared" si="141"/>
        <v>0.32927535386025608</v>
      </c>
      <c r="O2956" s="165">
        <f t="shared" si="142"/>
        <v>0.32927535386025608</v>
      </c>
      <c r="P2956" s="18"/>
      <c r="Q2956" s="18"/>
      <c r="R2956" s="18"/>
      <c r="S2956" s="18"/>
      <c r="T2956" s="18"/>
      <c r="U2956" s="18"/>
      <c r="V2956" s="18"/>
      <c r="W2956" s="18"/>
      <c r="X2956" s="18"/>
    </row>
    <row r="2957" spans="13:24">
      <c r="M2957" s="558">
        <f t="shared" si="143"/>
        <v>2955</v>
      </c>
      <c r="N2957" s="15">
        <f t="shared" si="141"/>
        <v>0.32921015236124807</v>
      </c>
      <c r="O2957" s="165">
        <f t="shared" si="142"/>
        <v>0.32921015236124807</v>
      </c>
      <c r="P2957" s="18"/>
      <c r="Q2957" s="18"/>
      <c r="R2957" s="18"/>
      <c r="S2957" s="18"/>
      <c r="T2957" s="18"/>
      <c r="U2957" s="18"/>
      <c r="V2957" s="18"/>
      <c r="W2957" s="18"/>
      <c r="X2957" s="18"/>
    </row>
    <row r="2958" spans="13:24">
      <c r="M2958" s="558">
        <f t="shared" si="143"/>
        <v>2956</v>
      </c>
      <c r="N2958" s="15">
        <f t="shared" si="141"/>
        <v>0.32914496821983236</v>
      </c>
      <c r="O2958" s="165">
        <f t="shared" si="142"/>
        <v>0.32914496821983236</v>
      </c>
      <c r="P2958" s="18"/>
      <c r="Q2958" s="18"/>
      <c r="R2958" s="18"/>
      <c r="S2958" s="18"/>
      <c r="T2958" s="18"/>
      <c r="U2958" s="18"/>
      <c r="V2958" s="18"/>
      <c r="W2958" s="18"/>
      <c r="X2958" s="18"/>
    </row>
    <row r="2959" spans="13:24">
      <c r="M2959" s="558">
        <f t="shared" si="143"/>
        <v>2957</v>
      </c>
      <c r="N2959" s="15">
        <f t="shared" si="141"/>
        <v>0.3290798014142266</v>
      </c>
      <c r="O2959" s="165">
        <f t="shared" si="142"/>
        <v>0.3290798014142266</v>
      </c>
      <c r="P2959" s="18"/>
      <c r="Q2959" s="18"/>
      <c r="R2959" s="18"/>
      <c r="S2959" s="18"/>
      <c r="T2959" s="18"/>
      <c r="U2959" s="18"/>
      <c r="V2959" s="18"/>
      <c r="W2959" s="18"/>
      <c r="X2959" s="18"/>
    </row>
    <row r="2960" spans="13:24">
      <c r="M2960" s="558">
        <f t="shared" si="143"/>
        <v>2958</v>
      </c>
      <c r="N2960" s="15">
        <f t="shared" si="141"/>
        <v>0.32901465192267582</v>
      </c>
      <c r="O2960" s="165">
        <f t="shared" si="142"/>
        <v>0.32901465192267582</v>
      </c>
      <c r="P2960" s="18"/>
      <c r="Q2960" s="18"/>
      <c r="R2960" s="18"/>
      <c r="S2960" s="18"/>
      <c r="T2960" s="18"/>
      <c r="U2960" s="18"/>
      <c r="V2960" s="18"/>
      <c r="W2960" s="18"/>
      <c r="X2960" s="18"/>
    </row>
    <row r="2961" spans="13:24">
      <c r="M2961" s="558">
        <f t="shared" si="143"/>
        <v>2959</v>
      </c>
      <c r="N2961" s="15">
        <f t="shared" si="141"/>
        <v>0.32894951972345221</v>
      </c>
      <c r="O2961" s="165">
        <f t="shared" si="142"/>
        <v>0.32894951972345221</v>
      </c>
      <c r="P2961" s="18"/>
      <c r="Q2961" s="18"/>
      <c r="R2961" s="18"/>
      <c r="S2961" s="18"/>
      <c r="T2961" s="18"/>
      <c r="U2961" s="18"/>
      <c r="V2961" s="18"/>
      <c r="W2961" s="18"/>
      <c r="X2961" s="18"/>
    </row>
    <row r="2962" spans="13:24">
      <c r="M2962" s="558">
        <f t="shared" si="143"/>
        <v>2960</v>
      </c>
      <c r="N2962" s="15">
        <f t="shared" si="141"/>
        <v>0.32888440479485537</v>
      </c>
      <c r="O2962" s="165">
        <f t="shared" si="142"/>
        <v>0.32888440479485537</v>
      </c>
      <c r="P2962" s="18"/>
      <c r="Q2962" s="18"/>
      <c r="R2962" s="18"/>
      <c r="S2962" s="18"/>
      <c r="T2962" s="18"/>
      <c r="U2962" s="18"/>
      <c r="V2962" s="18"/>
      <c r="W2962" s="18"/>
      <c r="X2962" s="18"/>
    </row>
    <row r="2963" spans="13:24">
      <c r="M2963" s="558">
        <f t="shared" si="143"/>
        <v>2961</v>
      </c>
      <c r="N2963" s="15">
        <f t="shared" si="141"/>
        <v>0.32881930711521196</v>
      </c>
      <c r="O2963" s="165">
        <f t="shared" si="142"/>
        <v>0.32881930711521196</v>
      </c>
      <c r="P2963" s="18"/>
      <c r="Q2963" s="18"/>
      <c r="R2963" s="18"/>
      <c r="S2963" s="18"/>
      <c r="T2963" s="18"/>
      <c r="U2963" s="18"/>
      <c r="V2963" s="18"/>
      <c r="W2963" s="18"/>
      <c r="X2963" s="18"/>
    </row>
    <row r="2964" spans="13:24">
      <c r="M2964" s="558">
        <f t="shared" si="143"/>
        <v>2962</v>
      </c>
      <c r="N2964" s="15">
        <f t="shared" si="141"/>
        <v>0.3287542266628759</v>
      </c>
      <c r="O2964" s="165">
        <f t="shared" si="142"/>
        <v>0.3287542266628759</v>
      </c>
      <c r="P2964" s="18"/>
      <c r="Q2964" s="18"/>
      <c r="R2964" s="18"/>
      <c r="S2964" s="18"/>
      <c r="T2964" s="18"/>
      <c r="U2964" s="18"/>
      <c r="V2964" s="18"/>
      <c r="W2964" s="18"/>
      <c r="X2964" s="18"/>
    </row>
    <row r="2965" spans="13:24">
      <c r="M2965" s="558">
        <f t="shared" si="143"/>
        <v>2963</v>
      </c>
      <c r="N2965" s="15">
        <f t="shared" si="141"/>
        <v>0.32868916341622845</v>
      </c>
      <c r="O2965" s="165">
        <f t="shared" si="142"/>
        <v>0.32868916341622845</v>
      </c>
      <c r="P2965" s="18"/>
      <c r="Q2965" s="18"/>
      <c r="R2965" s="18"/>
      <c r="S2965" s="18"/>
      <c r="T2965" s="18"/>
      <c r="U2965" s="18"/>
      <c r="V2965" s="18"/>
      <c r="W2965" s="18"/>
      <c r="X2965" s="18"/>
    </row>
    <row r="2966" spans="13:24">
      <c r="M2966" s="558">
        <f t="shared" si="143"/>
        <v>2964</v>
      </c>
      <c r="N2966" s="15">
        <f t="shared" si="141"/>
        <v>0.32862411735367775</v>
      </c>
      <c r="O2966" s="165">
        <f t="shared" si="142"/>
        <v>0.32862411735367775</v>
      </c>
      <c r="P2966" s="18"/>
      <c r="Q2966" s="18"/>
      <c r="R2966" s="18"/>
      <c r="S2966" s="18"/>
      <c r="T2966" s="18"/>
      <c r="U2966" s="18"/>
      <c r="V2966" s="18"/>
      <c r="W2966" s="18"/>
      <c r="X2966" s="18"/>
    </row>
    <row r="2967" spans="13:24">
      <c r="M2967" s="558">
        <f t="shared" si="143"/>
        <v>2965</v>
      </c>
      <c r="N2967" s="15">
        <f t="shared" si="141"/>
        <v>0.32855908845365911</v>
      </c>
      <c r="O2967" s="165">
        <f t="shared" si="142"/>
        <v>0.32855908845365911</v>
      </c>
      <c r="P2967" s="18"/>
      <c r="Q2967" s="18"/>
      <c r="R2967" s="18"/>
      <c r="S2967" s="18"/>
      <c r="T2967" s="18"/>
      <c r="U2967" s="18"/>
      <c r="V2967" s="18"/>
      <c r="W2967" s="18"/>
      <c r="X2967" s="18"/>
    </row>
    <row r="2968" spans="13:24">
      <c r="M2968" s="558">
        <f t="shared" si="143"/>
        <v>2966</v>
      </c>
      <c r="N2968" s="15">
        <f t="shared" si="141"/>
        <v>0.32849407669463498</v>
      </c>
      <c r="O2968" s="165">
        <f t="shared" si="142"/>
        <v>0.32849407669463498</v>
      </c>
      <c r="P2968" s="18"/>
      <c r="Q2968" s="18"/>
      <c r="R2968" s="18"/>
      <c r="S2968" s="18"/>
      <c r="T2968" s="18"/>
      <c r="U2968" s="18"/>
      <c r="V2968" s="18"/>
      <c r="W2968" s="18"/>
      <c r="X2968" s="18"/>
    </row>
    <row r="2969" spans="13:24">
      <c r="M2969" s="558">
        <f t="shared" si="143"/>
        <v>2967</v>
      </c>
      <c r="N2969" s="15">
        <f t="shared" si="141"/>
        <v>0.3284290820550948</v>
      </c>
      <c r="O2969" s="165">
        <f t="shared" si="142"/>
        <v>0.3284290820550948</v>
      </c>
      <c r="P2969" s="18"/>
      <c r="Q2969" s="18"/>
      <c r="R2969" s="18"/>
      <c r="S2969" s="18"/>
      <c r="T2969" s="18"/>
      <c r="U2969" s="18"/>
      <c r="V2969" s="18"/>
      <c r="W2969" s="18"/>
      <c r="X2969" s="18"/>
    </row>
    <row r="2970" spans="13:24">
      <c r="M2970" s="558">
        <f t="shared" si="143"/>
        <v>2968</v>
      </c>
      <c r="N2970" s="15">
        <f t="shared" si="141"/>
        <v>0.32836410451355497</v>
      </c>
      <c r="O2970" s="165">
        <f t="shared" si="142"/>
        <v>0.32836410451355497</v>
      </c>
      <c r="P2970" s="18"/>
      <c r="Q2970" s="18"/>
      <c r="R2970" s="18"/>
      <c r="S2970" s="18"/>
      <c r="T2970" s="18"/>
      <c r="U2970" s="18"/>
      <c r="V2970" s="18"/>
      <c r="W2970" s="18"/>
      <c r="X2970" s="18"/>
    </row>
    <row r="2971" spans="13:24">
      <c r="M2971" s="558">
        <f t="shared" si="143"/>
        <v>2969</v>
      </c>
      <c r="N2971" s="15">
        <f t="shared" si="141"/>
        <v>0.32829914404855887</v>
      </c>
      <c r="O2971" s="165">
        <f t="shared" si="142"/>
        <v>0.32829914404855887</v>
      </c>
      <c r="P2971" s="18"/>
      <c r="Q2971" s="18"/>
      <c r="R2971" s="18"/>
      <c r="S2971" s="18"/>
      <c r="T2971" s="18"/>
      <c r="U2971" s="18"/>
      <c r="V2971" s="18"/>
      <c r="W2971" s="18"/>
      <c r="X2971" s="18"/>
    </row>
    <row r="2972" spans="13:24">
      <c r="M2972" s="558">
        <f t="shared" si="143"/>
        <v>2970</v>
      </c>
      <c r="N2972" s="15">
        <f t="shared" si="141"/>
        <v>0.32823420063867681</v>
      </c>
      <c r="O2972" s="165">
        <f t="shared" si="142"/>
        <v>0.32823420063867681</v>
      </c>
      <c r="P2972" s="18"/>
      <c r="Q2972" s="18"/>
      <c r="R2972" s="18"/>
      <c r="S2972" s="18"/>
      <c r="T2972" s="18"/>
      <c r="U2972" s="18"/>
      <c r="V2972" s="18"/>
      <c r="W2972" s="18"/>
      <c r="X2972" s="18"/>
    </row>
    <row r="2973" spans="13:24">
      <c r="M2973" s="558">
        <f t="shared" si="143"/>
        <v>2971</v>
      </c>
      <c r="N2973" s="15">
        <f t="shared" si="141"/>
        <v>0.32816927426250603</v>
      </c>
      <c r="O2973" s="165">
        <f t="shared" si="142"/>
        <v>0.32816927426250603</v>
      </c>
      <c r="P2973" s="18"/>
      <c r="Q2973" s="18"/>
      <c r="R2973" s="18"/>
      <c r="S2973" s="18"/>
      <c r="T2973" s="18"/>
      <c r="U2973" s="18"/>
      <c r="V2973" s="18"/>
      <c r="W2973" s="18"/>
      <c r="X2973" s="18"/>
    </row>
    <row r="2974" spans="13:24">
      <c r="M2974" s="558">
        <f t="shared" si="143"/>
        <v>2972</v>
      </c>
      <c r="N2974" s="15">
        <f t="shared" si="141"/>
        <v>0.32810436489867056</v>
      </c>
      <c r="O2974" s="165">
        <f t="shared" si="142"/>
        <v>0.32810436489867056</v>
      </c>
      <c r="P2974" s="18"/>
      <c r="Q2974" s="18"/>
      <c r="R2974" s="18"/>
      <c r="S2974" s="18"/>
      <c r="T2974" s="18"/>
      <c r="U2974" s="18"/>
      <c r="V2974" s="18"/>
      <c r="W2974" s="18"/>
      <c r="X2974" s="18"/>
    </row>
    <row r="2975" spans="13:24">
      <c r="M2975" s="558">
        <f t="shared" si="143"/>
        <v>2973</v>
      </c>
      <c r="N2975" s="15">
        <f t="shared" si="141"/>
        <v>0.32803947252582122</v>
      </c>
      <c r="O2975" s="165">
        <f t="shared" si="142"/>
        <v>0.32803947252582122</v>
      </c>
      <c r="P2975" s="18"/>
      <c r="Q2975" s="18"/>
      <c r="R2975" s="18"/>
      <c r="S2975" s="18"/>
      <c r="T2975" s="18"/>
      <c r="U2975" s="18"/>
      <c r="V2975" s="18"/>
      <c r="W2975" s="18"/>
      <c r="X2975" s="18"/>
    </row>
    <row r="2976" spans="13:24">
      <c r="M2976" s="558">
        <f t="shared" si="143"/>
        <v>2974</v>
      </c>
      <c r="N2976" s="15">
        <f t="shared" si="141"/>
        <v>0.32797459712263582</v>
      </c>
      <c r="O2976" s="165">
        <f t="shared" si="142"/>
        <v>0.32797459712263582</v>
      </c>
      <c r="P2976" s="18"/>
      <c r="Q2976" s="18"/>
      <c r="R2976" s="18"/>
      <c r="S2976" s="18"/>
      <c r="T2976" s="18"/>
      <c r="U2976" s="18"/>
      <c r="V2976" s="18"/>
      <c r="W2976" s="18"/>
      <c r="X2976" s="18"/>
    </row>
    <row r="2977" spans="13:24">
      <c r="M2977" s="558">
        <f t="shared" si="143"/>
        <v>2975</v>
      </c>
      <c r="N2977" s="15">
        <f t="shared" si="141"/>
        <v>0.3279097386678187</v>
      </c>
      <c r="O2977" s="165">
        <f t="shared" si="142"/>
        <v>0.3279097386678187</v>
      </c>
      <c r="P2977" s="18"/>
      <c r="Q2977" s="18"/>
      <c r="R2977" s="18"/>
      <c r="S2977" s="18"/>
      <c r="T2977" s="18"/>
      <c r="U2977" s="18"/>
      <c r="V2977" s="18"/>
      <c r="W2977" s="18"/>
      <c r="X2977" s="18"/>
    </row>
    <row r="2978" spans="13:24">
      <c r="M2978" s="558">
        <f t="shared" si="143"/>
        <v>2976</v>
      </c>
      <c r="N2978" s="15">
        <f t="shared" si="141"/>
        <v>0.32784489714010107</v>
      </c>
      <c r="O2978" s="165">
        <f t="shared" si="142"/>
        <v>0.32784489714010107</v>
      </c>
      <c r="P2978" s="18"/>
      <c r="Q2978" s="18"/>
      <c r="R2978" s="18"/>
      <c r="S2978" s="18"/>
      <c r="T2978" s="18"/>
      <c r="U2978" s="18"/>
      <c r="V2978" s="18"/>
      <c r="W2978" s="18"/>
      <c r="X2978" s="18"/>
    </row>
    <row r="2979" spans="13:24">
      <c r="M2979" s="558">
        <f t="shared" si="143"/>
        <v>2977</v>
      </c>
      <c r="N2979" s="15">
        <f t="shared" si="141"/>
        <v>0.32778007251824071</v>
      </c>
      <c r="O2979" s="165">
        <f t="shared" si="142"/>
        <v>0.32778007251824071</v>
      </c>
      <c r="P2979" s="18"/>
      <c r="Q2979" s="18"/>
      <c r="R2979" s="18"/>
      <c r="S2979" s="18"/>
      <c r="T2979" s="18"/>
      <c r="U2979" s="18"/>
      <c r="V2979" s="18"/>
      <c r="W2979" s="18"/>
      <c r="X2979" s="18"/>
    </row>
    <row r="2980" spans="13:24">
      <c r="M2980" s="558">
        <f t="shared" si="143"/>
        <v>2978</v>
      </c>
      <c r="N2980" s="15">
        <f t="shared" si="141"/>
        <v>0.3277152647810222</v>
      </c>
      <c r="O2980" s="165">
        <f t="shared" si="142"/>
        <v>0.3277152647810222</v>
      </c>
      <c r="P2980" s="18"/>
      <c r="Q2980" s="18"/>
      <c r="R2980" s="18"/>
      <c r="S2980" s="18"/>
      <c r="T2980" s="18"/>
      <c r="U2980" s="18"/>
      <c r="V2980" s="18"/>
      <c r="W2980" s="18"/>
      <c r="X2980" s="18"/>
    </row>
    <row r="2981" spans="13:24">
      <c r="M2981" s="558">
        <f t="shared" si="143"/>
        <v>2979</v>
      </c>
      <c r="N2981" s="15">
        <f t="shared" si="141"/>
        <v>0.32765047390725666</v>
      </c>
      <c r="O2981" s="165">
        <f t="shared" si="142"/>
        <v>0.32765047390725666</v>
      </c>
      <c r="P2981" s="18"/>
      <c r="Q2981" s="18"/>
      <c r="R2981" s="18"/>
      <c r="S2981" s="18"/>
      <c r="T2981" s="18"/>
      <c r="U2981" s="18"/>
      <c r="V2981" s="18"/>
      <c r="W2981" s="18"/>
      <c r="X2981" s="18"/>
    </row>
    <row r="2982" spans="13:24">
      <c r="M2982" s="558">
        <f t="shared" si="143"/>
        <v>2980</v>
      </c>
      <c r="N2982" s="15">
        <f t="shared" si="141"/>
        <v>0.32758569987578173</v>
      </c>
      <c r="O2982" s="165">
        <f t="shared" si="142"/>
        <v>0.32758569987578173</v>
      </c>
      <c r="P2982" s="18"/>
      <c r="Q2982" s="18"/>
      <c r="R2982" s="18"/>
      <c r="S2982" s="18"/>
      <c r="T2982" s="18"/>
      <c r="U2982" s="18"/>
      <c r="V2982" s="18"/>
      <c r="W2982" s="18"/>
      <c r="X2982" s="18"/>
    </row>
    <row r="2983" spans="13:24">
      <c r="M2983" s="558">
        <f t="shared" si="143"/>
        <v>2981</v>
      </c>
      <c r="N2983" s="15">
        <f t="shared" si="141"/>
        <v>0.32752094266546178</v>
      </c>
      <c r="O2983" s="165">
        <f t="shared" si="142"/>
        <v>0.32752094266546178</v>
      </c>
      <c r="P2983" s="18"/>
      <c r="Q2983" s="18"/>
      <c r="R2983" s="18"/>
      <c r="S2983" s="18"/>
      <c r="T2983" s="18"/>
      <c r="U2983" s="18"/>
      <c r="V2983" s="18"/>
      <c r="W2983" s="18"/>
      <c r="X2983" s="18"/>
    </row>
    <row r="2984" spans="13:24">
      <c r="M2984" s="558">
        <f t="shared" si="143"/>
        <v>2982</v>
      </c>
      <c r="N2984" s="15">
        <f t="shared" si="141"/>
        <v>0.32745620225518757</v>
      </c>
      <c r="O2984" s="165">
        <f t="shared" si="142"/>
        <v>0.32745620225518757</v>
      </c>
      <c r="P2984" s="18"/>
      <c r="Q2984" s="18"/>
      <c r="R2984" s="18"/>
      <c r="S2984" s="18"/>
      <c r="T2984" s="18"/>
      <c r="U2984" s="18"/>
      <c r="V2984" s="18"/>
      <c r="W2984" s="18"/>
      <c r="X2984" s="18"/>
    </row>
    <row r="2985" spans="13:24">
      <c r="M2985" s="558">
        <f t="shared" si="143"/>
        <v>2983</v>
      </c>
      <c r="N2985" s="15">
        <f t="shared" si="141"/>
        <v>0.32739147862387646</v>
      </c>
      <c r="O2985" s="165">
        <f t="shared" si="142"/>
        <v>0.32739147862387646</v>
      </c>
      <c r="P2985" s="18"/>
      <c r="Q2985" s="18"/>
      <c r="R2985" s="18"/>
      <c r="S2985" s="18"/>
      <c r="T2985" s="18"/>
      <c r="U2985" s="18"/>
      <c r="V2985" s="18"/>
      <c r="W2985" s="18"/>
      <c r="X2985" s="18"/>
    </row>
    <row r="2986" spans="13:24">
      <c r="M2986" s="558">
        <f t="shared" si="143"/>
        <v>2984</v>
      </c>
      <c r="N2986" s="15">
        <f t="shared" si="141"/>
        <v>0.32732677175047203</v>
      </c>
      <c r="O2986" s="165">
        <f t="shared" si="142"/>
        <v>0.32732677175047203</v>
      </c>
      <c r="P2986" s="18"/>
      <c r="Q2986" s="18"/>
      <c r="R2986" s="18"/>
      <c r="S2986" s="18"/>
      <c r="T2986" s="18"/>
      <c r="U2986" s="18"/>
      <c r="V2986" s="18"/>
      <c r="W2986" s="18"/>
      <c r="X2986" s="18"/>
    </row>
    <row r="2987" spans="13:24">
      <c r="M2987" s="558">
        <f t="shared" si="143"/>
        <v>2985</v>
      </c>
      <c r="N2987" s="15">
        <f t="shared" si="141"/>
        <v>0.32726208161394466</v>
      </c>
      <c r="O2987" s="165">
        <f t="shared" si="142"/>
        <v>0.32726208161394466</v>
      </c>
      <c r="P2987" s="18"/>
      <c r="Q2987" s="18"/>
      <c r="R2987" s="18"/>
      <c r="S2987" s="18"/>
      <c r="T2987" s="18"/>
      <c r="U2987" s="18"/>
      <c r="V2987" s="18"/>
      <c r="W2987" s="18"/>
      <c r="X2987" s="18"/>
    </row>
    <row r="2988" spans="13:24">
      <c r="M2988" s="558">
        <f t="shared" si="143"/>
        <v>2986</v>
      </c>
      <c r="N2988" s="15">
        <f t="shared" si="141"/>
        <v>0.3271974081932908</v>
      </c>
      <c r="O2988" s="165">
        <f t="shared" si="142"/>
        <v>0.3271974081932908</v>
      </c>
      <c r="P2988" s="18"/>
      <c r="Q2988" s="18"/>
      <c r="R2988" s="18"/>
      <c r="S2988" s="18"/>
      <c r="T2988" s="18"/>
      <c r="U2988" s="18"/>
      <c r="V2988" s="18"/>
      <c r="W2988" s="18"/>
      <c r="X2988" s="18"/>
    </row>
    <row r="2989" spans="13:24">
      <c r="M2989" s="558">
        <f t="shared" si="143"/>
        <v>2987</v>
      </c>
      <c r="N2989" s="15">
        <f t="shared" si="141"/>
        <v>0.3271327514675334</v>
      </c>
      <c r="O2989" s="165">
        <f t="shared" si="142"/>
        <v>0.3271327514675334</v>
      </c>
      <c r="P2989" s="18"/>
      <c r="Q2989" s="18"/>
      <c r="R2989" s="18"/>
      <c r="S2989" s="18"/>
      <c r="T2989" s="18"/>
      <c r="U2989" s="18"/>
      <c r="V2989" s="18"/>
      <c r="W2989" s="18"/>
      <c r="X2989" s="18"/>
    </row>
    <row r="2990" spans="13:24">
      <c r="M2990" s="558">
        <f t="shared" si="143"/>
        <v>2988</v>
      </c>
      <c r="N2990" s="15">
        <f t="shared" si="141"/>
        <v>0.32706811141572162</v>
      </c>
      <c r="O2990" s="165">
        <f t="shared" si="142"/>
        <v>0.32706811141572162</v>
      </c>
      <c r="P2990" s="18"/>
      <c r="Q2990" s="18"/>
      <c r="R2990" s="18"/>
      <c r="S2990" s="18"/>
      <c r="T2990" s="18"/>
      <c r="U2990" s="18"/>
      <c r="V2990" s="18"/>
      <c r="W2990" s="18"/>
      <c r="X2990" s="18"/>
    </row>
    <row r="2991" spans="13:24">
      <c r="M2991" s="558">
        <f t="shared" si="143"/>
        <v>2989</v>
      </c>
      <c r="N2991" s="15">
        <f t="shared" si="141"/>
        <v>0.32700348801693113</v>
      </c>
      <c r="O2991" s="165">
        <f t="shared" si="142"/>
        <v>0.32700348801693113</v>
      </c>
      <c r="P2991" s="18"/>
      <c r="Q2991" s="18"/>
      <c r="R2991" s="18"/>
      <c r="S2991" s="18"/>
      <c r="T2991" s="18"/>
      <c r="U2991" s="18"/>
      <c r="V2991" s="18"/>
      <c r="W2991" s="18"/>
      <c r="X2991" s="18"/>
    </row>
    <row r="2992" spans="13:24">
      <c r="M2992" s="558">
        <f t="shared" si="143"/>
        <v>2990</v>
      </c>
      <c r="N2992" s="15">
        <f t="shared" si="141"/>
        <v>0.32693888125026371</v>
      </c>
      <c r="O2992" s="165">
        <f t="shared" si="142"/>
        <v>0.32693888125026371</v>
      </c>
      <c r="P2992" s="18"/>
      <c r="Q2992" s="18"/>
      <c r="R2992" s="18"/>
      <c r="S2992" s="18"/>
      <c r="T2992" s="18"/>
      <c r="U2992" s="18"/>
      <c r="V2992" s="18"/>
      <c r="W2992" s="18"/>
      <c r="X2992" s="18"/>
    </row>
    <row r="2993" spans="13:24">
      <c r="M2993" s="558">
        <f t="shared" si="143"/>
        <v>2991</v>
      </c>
      <c r="N2993" s="15">
        <f t="shared" si="141"/>
        <v>0.32687429109484728</v>
      </c>
      <c r="O2993" s="165">
        <f t="shared" si="142"/>
        <v>0.32687429109484728</v>
      </c>
      <c r="P2993" s="18"/>
      <c r="Q2993" s="18"/>
      <c r="R2993" s="18"/>
      <c r="S2993" s="18"/>
      <c r="T2993" s="18"/>
      <c r="U2993" s="18"/>
      <c r="V2993" s="18"/>
      <c r="W2993" s="18"/>
      <c r="X2993" s="18"/>
    </row>
    <row r="2994" spans="13:24">
      <c r="M2994" s="558">
        <f t="shared" si="143"/>
        <v>2992</v>
      </c>
      <c r="N2994" s="15">
        <f t="shared" si="141"/>
        <v>0.32680971752983612</v>
      </c>
      <c r="O2994" s="165">
        <f t="shared" si="142"/>
        <v>0.32680971752983612</v>
      </c>
      <c r="P2994" s="18"/>
      <c r="Q2994" s="18"/>
      <c r="R2994" s="18"/>
      <c r="S2994" s="18"/>
      <c r="T2994" s="18"/>
      <c r="U2994" s="18"/>
      <c r="V2994" s="18"/>
      <c r="W2994" s="18"/>
      <c r="X2994" s="18"/>
    </row>
    <row r="2995" spans="13:24">
      <c r="M2995" s="558">
        <f t="shared" si="143"/>
        <v>2993</v>
      </c>
      <c r="N2995" s="15">
        <f t="shared" si="141"/>
        <v>0.32674516053441061</v>
      </c>
      <c r="O2995" s="165">
        <f t="shared" si="142"/>
        <v>0.32674516053441061</v>
      </c>
      <c r="P2995" s="18"/>
      <c r="Q2995" s="18"/>
      <c r="R2995" s="18"/>
      <c r="S2995" s="18"/>
      <c r="T2995" s="18"/>
      <c r="U2995" s="18"/>
      <c r="V2995" s="18"/>
      <c r="W2995" s="18"/>
      <c r="X2995" s="18"/>
    </row>
    <row r="2996" spans="13:24">
      <c r="M2996" s="558">
        <f t="shared" si="143"/>
        <v>2994</v>
      </c>
      <c r="N2996" s="15">
        <f t="shared" si="141"/>
        <v>0.32668062008777721</v>
      </c>
      <c r="O2996" s="165">
        <f t="shared" si="142"/>
        <v>0.32668062008777721</v>
      </c>
      <c r="P2996" s="18"/>
      <c r="Q2996" s="18"/>
      <c r="R2996" s="18"/>
      <c r="S2996" s="18"/>
      <c r="T2996" s="18"/>
      <c r="U2996" s="18"/>
      <c r="V2996" s="18"/>
      <c r="W2996" s="18"/>
      <c r="X2996" s="18"/>
    </row>
    <row r="2997" spans="13:24">
      <c r="M2997" s="558">
        <f t="shared" si="143"/>
        <v>2995</v>
      </c>
      <c r="N2997" s="15">
        <f t="shared" si="141"/>
        <v>0.32661609616916859</v>
      </c>
      <c r="O2997" s="165">
        <f t="shared" si="142"/>
        <v>0.32661609616916859</v>
      </c>
      <c r="P2997" s="18"/>
      <c r="Q2997" s="18"/>
      <c r="R2997" s="18"/>
      <c r="S2997" s="18"/>
      <c r="T2997" s="18"/>
      <c r="U2997" s="18"/>
      <c r="V2997" s="18"/>
      <c r="W2997" s="18"/>
      <c r="X2997" s="18"/>
    </row>
    <row r="2998" spans="13:24">
      <c r="M2998" s="558">
        <f t="shared" si="143"/>
        <v>2996</v>
      </c>
      <c r="N2998" s="15">
        <f t="shared" si="141"/>
        <v>0.32655158875784329</v>
      </c>
      <c r="O2998" s="165">
        <f t="shared" si="142"/>
        <v>0.32655158875784329</v>
      </c>
      <c r="P2998" s="18"/>
      <c r="Q2998" s="18"/>
      <c r="R2998" s="18"/>
      <c r="S2998" s="18"/>
      <c r="T2998" s="18"/>
      <c r="U2998" s="18"/>
      <c r="V2998" s="18"/>
      <c r="W2998" s="18"/>
      <c r="X2998" s="18"/>
    </row>
    <row r="2999" spans="13:24">
      <c r="M2999" s="558">
        <f t="shared" si="143"/>
        <v>2997</v>
      </c>
      <c r="N2999" s="15">
        <f t="shared" si="141"/>
        <v>0.3264870978330861</v>
      </c>
      <c r="O2999" s="165">
        <f t="shared" si="142"/>
        <v>0.3264870978330861</v>
      </c>
      <c r="P2999" s="18"/>
      <c r="Q2999" s="18"/>
      <c r="R2999" s="18"/>
      <c r="S2999" s="18"/>
      <c r="T2999" s="18"/>
      <c r="U2999" s="18"/>
      <c r="V2999" s="18"/>
      <c r="W2999" s="18"/>
      <c r="X2999" s="18"/>
    </row>
    <row r="3000" spans="13:24">
      <c r="M3000" s="558">
        <f t="shared" si="143"/>
        <v>2998</v>
      </c>
      <c r="N3000" s="15">
        <f t="shared" si="141"/>
        <v>0.32642262337420769</v>
      </c>
      <c r="O3000" s="165">
        <f t="shared" si="142"/>
        <v>0.32642262337420769</v>
      </c>
      <c r="P3000" s="18"/>
      <c r="Q3000" s="18"/>
      <c r="R3000" s="18"/>
      <c r="S3000" s="18"/>
      <c r="T3000" s="18"/>
      <c r="U3000" s="18"/>
      <c r="V3000" s="18"/>
      <c r="W3000" s="18"/>
      <c r="X3000" s="18"/>
    </row>
    <row r="3001" spans="13:24">
      <c r="M3001" s="558">
        <f t="shared" si="143"/>
        <v>2999</v>
      </c>
      <c r="N3001" s="15">
        <f t="shared" si="141"/>
        <v>0.32635816536054463</v>
      </c>
      <c r="O3001" s="165">
        <f t="shared" si="142"/>
        <v>0.32635816536054463</v>
      </c>
      <c r="P3001" s="18"/>
      <c r="Q3001" s="18"/>
      <c r="R3001" s="18"/>
      <c r="S3001" s="18"/>
      <c r="T3001" s="18"/>
      <c r="U3001" s="18"/>
      <c r="V3001" s="18"/>
      <c r="W3001" s="18"/>
      <c r="X3001" s="18"/>
    </row>
    <row r="3002" spans="13:24">
      <c r="M3002" s="558">
        <f t="shared" si="143"/>
        <v>3000</v>
      </c>
      <c r="N3002" s="15">
        <f t="shared" si="141"/>
        <v>0.3262937237714596</v>
      </c>
      <c r="O3002" s="165">
        <f t="shared" si="142"/>
        <v>0.3262937237714596</v>
      </c>
      <c r="P3002" s="18"/>
      <c r="Q3002" s="18"/>
      <c r="R3002" s="18"/>
      <c r="S3002" s="18"/>
      <c r="T3002" s="18"/>
      <c r="U3002" s="18"/>
      <c r="V3002" s="18"/>
      <c r="W3002" s="18"/>
      <c r="X3002" s="18"/>
    </row>
    <row r="3003" spans="13:24">
      <c r="M3003" s="558">
        <f t="shared" si="143"/>
        <v>3001</v>
      </c>
      <c r="N3003" s="15">
        <f t="shared" si="141"/>
        <v>0.32622929858634098</v>
      </c>
      <c r="O3003" s="165">
        <f t="shared" si="142"/>
        <v>0.32622929858634098</v>
      </c>
      <c r="P3003" s="18"/>
      <c r="Q3003" s="18"/>
      <c r="R3003" s="18"/>
      <c r="S3003" s="18"/>
      <c r="T3003" s="18"/>
      <c r="U3003" s="18"/>
      <c r="V3003" s="18"/>
      <c r="W3003" s="18"/>
      <c r="X3003" s="18"/>
    </row>
    <row r="3004" spans="13:24">
      <c r="M3004" s="558">
        <f t="shared" si="143"/>
        <v>3002</v>
      </c>
      <c r="N3004" s="15">
        <f t="shared" si="141"/>
        <v>0.32616488978460317</v>
      </c>
      <c r="O3004" s="165">
        <f t="shared" si="142"/>
        <v>0.32616488978460317</v>
      </c>
      <c r="P3004" s="18"/>
      <c r="Q3004" s="18"/>
      <c r="R3004" s="18"/>
      <c r="S3004" s="18"/>
      <c r="T3004" s="18"/>
      <c r="U3004" s="18"/>
      <c r="V3004" s="18"/>
      <c r="W3004" s="18"/>
      <c r="X3004" s="18"/>
    </row>
    <row r="3005" spans="13:24">
      <c r="M3005" s="558">
        <f t="shared" si="143"/>
        <v>3003</v>
      </c>
      <c r="N3005" s="15">
        <f t="shared" si="141"/>
        <v>0.3261004973456863</v>
      </c>
      <c r="O3005" s="165">
        <f t="shared" si="142"/>
        <v>0.3261004973456863</v>
      </c>
      <c r="P3005" s="18"/>
      <c r="Q3005" s="18"/>
      <c r="R3005" s="18"/>
      <c r="S3005" s="18"/>
      <c r="T3005" s="18"/>
      <c r="U3005" s="18"/>
      <c r="V3005" s="18"/>
      <c r="W3005" s="18"/>
      <c r="X3005" s="18"/>
    </row>
    <row r="3006" spans="13:24">
      <c r="M3006" s="558">
        <f t="shared" si="143"/>
        <v>3004</v>
      </c>
      <c r="N3006" s="15">
        <f t="shared" si="141"/>
        <v>0.3260361212490564</v>
      </c>
      <c r="O3006" s="165">
        <f t="shared" si="142"/>
        <v>0.3260361212490564</v>
      </c>
      <c r="P3006" s="18"/>
      <c r="Q3006" s="18"/>
      <c r="R3006" s="18"/>
      <c r="S3006" s="18"/>
      <c r="T3006" s="18"/>
      <c r="U3006" s="18"/>
      <c r="V3006" s="18"/>
      <c r="W3006" s="18"/>
      <c r="X3006" s="18"/>
    </row>
    <row r="3007" spans="13:24">
      <c r="M3007" s="558">
        <f t="shared" si="143"/>
        <v>3005</v>
      </c>
      <c r="N3007" s="15">
        <f t="shared" si="141"/>
        <v>0.32597176147420515</v>
      </c>
      <c r="O3007" s="165">
        <f t="shared" si="142"/>
        <v>0.32597176147420515</v>
      </c>
      <c r="P3007" s="18"/>
      <c r="Q3007" s="18"/>
      <c r="R3007" s="18"/>
      <c r="S3007" s="18"/>
      <c r="T3007" s="18"/>
      <c r="U3007" s="18"/>
      <c r="V3007" s="18"/>
      <c r="W3007" s="18"/>
      <c r="X3007" s="18"/>
    </row>
    <row r="3008" spans="13:24">
      <c r="M3008" s="558">
        <f t="shared" si="143"/>
        <v>3006</v>
      </c>
      <c r="N3008" s="15">
        <f t="shared" si="141"/>
        <v>0.3259074180006501</v>
      </c>
      <c r="O3008" s="165">
        <f t="shared" si="142"/>
        <v>0.3259074180006501</v>
      </c>
      <c r="P3008" s="18"/>
      <c r="Q3008" s="18"/>
      <c r="R3008" s="18"/>
      <c r="S3008" s="18"/>
      <c r="T3008" s="18"/>
      <c r="U3008" s="18"/>
      <c r="V3008" s="18"/>
      <c r="W3008" s="18"/>
      <c r="X3008" s="18"/>
    </row>
    <row r="3009" spans="13:24">
      <c r="M3009" s="558">
        <f t="shared" si="143"/>
        <v>3007</v>
      </c>
      <c r="N3009" s="15">
        <f t="shared" si="141"/>
        <v>0.32584309080793428</v>
      </c>
      <c r="O3009" s="165">
        <f t="shared" si="142"/>
        <v>0.32584309080793428</v>
      </c>
      <c r="P3009" s="18"/>
      <c r="Q3009" s="18"/>
      <c r="R3009" s="18"/>
      <c r="S3009" s="18"/>
      <c r="T3009" s="18"/>
      <c r="U3009" s="18"/>
      <c r="V3009" s="18"/>
      <c r="W3009" s="18"/>
      <c r="X3009" s="18"/>
    </row>
    <row r="3010" spans="13:24">
      <c r="M3010" s="558">
        <f t="shared" si="143"/>
        <v>3008</v>
      </c>
      <c r="N3010" s="15">
        <f t="shared" si="141"/>
        <v>0.32577877987562676</v>
      </c>
      <c r="O3010" s="165">
        <f t="shared" si="142"/>
        <v>0.32577877987562676</v>
      </c>
      <c r="P3010" s="18"/>
      <c r="Q3010" s="18"/>
      <c r="R3010" s="18"/>
      <c r="S3010" s="18"/>
      <c r="T3010" s="18"/>
      <c r="U3010" s="18"/>
      <c r="V3010" s="18"/>
      <c r="W3010" s="18"/>
      <c r="X3010" s="18"/>
    </row>
    <row r="3011" spans="13:24">
      <c r="M3011" s="558">
        <f t="shared" si="143"/>
        <v>3009</v>
      </c>
      <c r="N3011" s="15">
        <f t="shared" si="141"/>
        <v>0.32571448518332186</v>
      </c>
      <c r="O3011" s="165">
        <f t="shared" si="142"/>
        <v>0.32571448518332186</v>
      </c>
      <c r="P3011" s="18"/>
      <c r="Q3011" s="18"/>
      <c r="R3011" s="18"/>
      <c r="S3011" s="18"/>
      <c r="T3011" s="18"/>
      <c r="U3011" s="18"/>
      <c r="V3011" s="18"/>
      <c r="W3011" s="18"/>
      <c r="X3011" s="18"/>
    </row>
    <row r="3012" spans="13:24">
      <c r="M3012" s="558">
        <f t="shared" si="143"/>
        <v>3010</v>
      </c>
      <c r="N3012" s="15">
        <f t="shared" ref="N3012:N3075" si="144">IF(M3012&lt;$B$31+1,$B$32+$B$33/$B$31*(8760-M3012)+$B$34*IF(M3012&lt;$B$36-$B$31/(2*$B$35),1,IF(M3012&lt;$B$36+$B$31/(2*$B$35),COS(PI()/2*(M3012-($B$36-$B$31/(2*$B$35)))*$B$35/$B$31)^2,0))+$B$37*EXP((8760-M3012)/8760*$B$38)/EXP($B$38)-(8760-$B$31)*$B$33/$B$31,0)</f>
        <v>0.32565020671063982</v>
      </c>
      <c r="O3012" s="165">
        <f t="shared" ref="O3012:O3075" si="145">MIN(N3012,C$24)</f>
        <v>0.32565020671063982</v>
      </c>
      <c r="P3012" s="18"/>
      <c r="Q3012" s="18"/>
      <c r="R3012" s="18"/>
      <c r="S3012" s="18"/>
      <c r="T3012" s="18"/>
      <c r="U3012" s="18"/>
      <c r="V3012" s="18"/>
      <c r="W3012" s="18"/>
      <c r="X3012" s="18"/>
    </row>
    <row r="3013" spans="13:24">
      <c r="M3013" s="558">
        <f t="shared" ref="M3013:M3076" si="146">M3012+1</f>
        <v>3011</v>
      </c>
      <c r="N3013" s="15">
        <f t="shared" si="144"/>
        <v>0.3255859444372261</v>
      </c>
      <c r="O3013" s="165">
        <f t="shared" si="145"/>
        <v>0.3255859444372261</v>
      </c>
      <c r="P3013" s="18"/>
      <c r="Q3013" s="18"/>
      <c r="R3013" s="18"/>
      <c r="S3013" s="18"/>
      <c r="T3013" s="18"/>
      <c r="U3013" s="18"/>
      <c r="V3013" s="18"/>
      <c r="W3013" s="18"/>
      <c r="X3013" s="18"/>
    </row>
    <row r="3014" spans="13:24">
      <c r="M3014" s="558">
        <f t="shared" si="146"/>
        <v>3012</v>
      </c>
      <c r="N3014" s="15">
        <f t="shared" si="144"/>
        <v>0.32552169834275219</v>
      </c>
      <c r="O3014" s="165">
        <f t="shared" si="145"/>
        <v>0.32552169834275219</v>
      </c>
      <c r="P3014" s="18"/>
      <c r="Q3014" s="18"/>
      <c r="R3014" s="18"/>
      <c r="S3014" s="18"/>
      <c r="T3014" s="18"/>
      <c r="U3014" s="18"/>
      <c r="V3014" s="18"/>
      <c r="W3014" s="18"/>
      <c r="X3014" s="18"/>
    </row>
    <row r="3015" spans="13:24">
      <c r="M3015" s="558">
        <f t="shared" si="146"/>
        <v>3013</v>
      </c>
      <c r="N3015" s="15">
        <f t="shared" si="144"/>
        <v>0.3254574684069147</v>
      </c>
      <c r="O3015" s="165">
        <f t="shared" si="145"/>
        <v>0.3254574684069147</v>
      </c>
      <c r="P3015" s="18"/>
      <c r="Q3015" s="18"/>
      <c r="R3015" s="18"/>
      <c r="S3015" s="18"/>
      <c r="T3015" s="18"/>
      <c r="U3015" s="18"/>
      <c r="V3015" s="18"/>
      <c r="W3015" s="18"/>
      <c r="X3015" s="18"/>
    </row>
    <row r="3016" spans="13:24">
      <c r="M3016" s="558">
        <f t="shared" si="146"/>
        <v>3014</v>
      </c>
      <c r="N3016" s="15">
        <f t="shared" si="144"/>
        <v>0.32539325460943574</v>
      </c>
      <c r="O3016" s="165">
        <f t="shared" si="145"/>
        <v>0.32539325460943574</v>
      </c>
      <c r="P3016" s="18"/>
      <c r="Q3016" s="18"/>
      <c r="R3016" s="18"/>
      <c r="S3016" s="18"/>
      <c r="T3016" s="18"/>
      <c r="U3016" s="18"/>
      <c r="V3016" s="18"/>
      <c r="W3016" s="18"/>
      <c r="X3016" s="18"/>
    </row>
    <row r="3017" spans="13:24">
      <c r="M3017" s="558">
        <f t="shared" si="146"/>
        <v>3015</v>
      </c>
      <c r="N3017" s="15">
        <f t="shared" si="144"/>
        <v>0.32532905693006309</v>
      </c>
      <c r="O3017" s="165">
        <f t="shared" si="145"/>
        <v>0.32532905693006309</v>
      </c>
      <c r="P3017" s="18"/>
      <c r="Q3017" s="18"/>
      <c r="R3017" s="18"/>
      <c r="S3017" s="18"/>
      <c r="T3017" s="18"/>
      <c r="U3017" s="18"/>
      <c r="V3017" s="18"/>
      <c r="W3017" s="18"/>
      <c r="X3017" s="18"/>
    </row>
    <row r="3018" spans="13:24">
      <c r="M3018" s="558">
        <f t="shared" si="146"/>
        <v>3016</v>
      </c>
      <c r="N3018" s="15">
        <f t="shared" si="144"/>
        <v>0.32526487534856979</v>
      </c>
      <c r="O3018" s="165">
        <f t="shared" si="145"/>
        <v>0.32526487534856979</v>
      </c>
      <c r="P3018" s="18"/>
      <c r="Q3018" s="18"/>
      <c r="R3018" s="18"/>
      <c r="S3018" s="18"/>
      <c r="T3018" s="18"/>
      <c r="U3018" s="18"/>
      <c r="V3018" s="18"/>
      <c r="W3018" s="18"/>
      <c r="X3018" s="18"/>
    </row>
    <row r="3019" spans="13:24">
      <c r="M3019" s="558">
        <f t="shared" si="146"/>
        <v>3017</v>
      </c>
      <c r="N3019" s="15">
        <f t="shared" si="144"/>
        <v>0.32520070984475435</v>
      </c>
      <c r="O3019" s="165">
        <f t="shared" si="145"/>
        <v>0.32520070984475435</v>
      </c>
      <c r="P3019" s="18"/>
      <c r="Q3019" s="18"/>
      <c r="R3019" s="18"/>
      <c r="S3019" s="18"/>
      <c r="T3019" s="18"/>
      <c r="U3019" s="18"/>
      <c r="V3019" s="18"/>
      <c r="W3019" s="18"/>
      <c r="X3019" s="18"/>
    </row>
    <row r="3020" spans="13:24">
      <c r="M3020" s="558">
        <f t="shared" si="146"/>
        <v>3018</v>
      </c>
      <c r="N3020" s="15">
        <f t="shared" si="144"/>
        <v>0.32513656039844041</v>
      </c>
      <c r="O3020" s="165">
        <f t="shared" si="145"/>
        <v>0.32513656039844041</v>
      </c>
      <c r="P3020" s="18"/>
      <c r="Q3020" s="18"/>
      <c r="R3020" s="18"/>
      <c r="S3020" s="18"/>
      <c r="T3020" s="18"/>
      <c r="U3020" s="18"/>
      <c r="V3020" s="18"/>
      <c r="W3020" s="18"/>
      <c r="X3020" s="18"/>
    </row>
    <row r="3021" spans="13:24">
      <c r="M3021" s="558">
        <f t="shared" si="146"/>
        <v>3019</v>
      </c>
      <c r="N3021" s="15">
        <f t="shared" si="144"/>
        <v>0.32507242698947725</v>
      </c>
      <c r="O3021" s="165">
        <f t="shared" si="145"/>
        <v>0.32507242698947725</v>
      </c>
      <c r="P3021" s="18"/>
      <c r="Q3021" s="18"/>
      <c r="R3021" s="18"/>
      <c r="S3021" s="18"/>
      <c r="T3021" s="18"/>
      <c r="U3021" s="18"/>
      <c r="V3021" s="18"/>
      <c r="W3021" s="18"/>
      <c r="X3021" s="18"/>
    </row>
    <row r="3022" spans="13:24">
      <c r="M3022" s="558">
        <f t="shared" si="146"/>
        <v>3020</v>
      </c>
      <c r="N3022" s="15">
        <f t="shared" si="144"/>
        <v>0.3250083095977393</v>
      </c>
      <c r="O3022" s="165">
        <f t="shared" si="145"/>
        <v>0.3250083095977393</v>
      </c>
      <c r="P3022" s="18"/>
      <c r="Q3022" s="18"/>
      <c r="R3022" s="18"/>
      <c r="S3022" s="18"/>
      <c r="T3022" s="18"/>
      <c r="U3022" s="18"/>
      <c r="V3022" s="18"/>
      <c r="W3022" s="18"/>
      <c r="X3022" s="18"/>
    </row>
    <row r="3023" spans="13:24">
      <c r="M3023" s="558">
        <f t="shared" si="146"/>
        <v>3021</v>
      </c>
      <c r="N3023" s="15">
        <f t="shared" si="144"/>
        <v>0.32494420820312608</v>
      </c>
      <c r="O3023" s="165">
        <f t="shared" si="145"/>
        <v>0.32494420820312608</v>
      </c>
      <c r="P3023" s="18"/>
      <c r="Q3023" s="18"/>
      <c r="R3023" s="18"/>
      <c r="S3023" s="18"/>
      <c r="T3023" s="18"/>
      <c r="U3023" s="18"/>
      <c r="V3023" s="18"/>
      <c r="W3023" s="18"/>
      <c r="X3023" s="18"/>
    </row>
    <row r="3024" spans="13:24">
      <c r="M3024" s="558">
        <f t="shared" si="146"/>
        <v>3022</v>
      </c>
      <c r="N3024" s="15">
        <f t="shared" si="144"/>
        <v>0.32488012278556255</v>
      </c>
      <c r="O3024" s="165">
        <f t="shared" si="145"/>
        <v>0.32488012278556255</v>
      </c>
      <c r="P3024" s="18"/>
      <c r="Q3024" s="18"/>
      <c r="R3024" s="18"/>
      <c r="S3024" s="18"/>
      <c r="T3024" s="18"/>
      <c r="U3024" s="18"/>
      <c r="V3024" s="18"/>
      <c r="W3024" s="18"/>
      <c r="X3024" s="18"/>
    </row>
    <row r="3025" spans="13:24">
      <c r="M3025" s="558">
        <f t="shared" si="146"/>
        <v>3023</v>
      </c>
      <c r="N3025" s="15">
        <f t="shared" si="144"/>
        <v>0.32481605332499891</v>
      </c>
      <c r="O3025" s="165">
        <f t="shared" si="145"/>
        <v>0.32481605332499891</v>
      </c>
      <c r="P3025" s="18"/>
      <c r="Q3025" s="18"/>
      <c r="R3025" s="18"/>
      <c r="S3025" s="18"/>
      <c r="T3025" s="18"/>
      <c r="U3025" s="18"/>
      <c r="V3025" s="18"/>
      <c r="W3025" s="18"/>
      <c r="X3025" s="18"/>
    </row>
    <row r="3026" spans="13:24">
      <c r="M3026" s="558">
        <f t="shared" si="146"/>
        <v>3024</v>
      </c>
      <c r="N3026" s="15">
        <f t="shared" si="144"/>
        <v>0.32475199980141023</v>
      </c>
      <c r="O3026" s="165">
        <f t="shared" si="145"/>
        <v>0.32475199980141023</v>
      </c>
      <c r="P3026" s="18"/>
      <c r="Q3026" s="18"/>
      <c r="R3026" s="18"/>
      <c r="S3026" s="18"/>
      <c r="T3026" s="18"/>
      <c r="U3026" s="18"/>
      <c r="V3026" s="18"/>
      <c r="W3026" s="18"/>
      <c r="X3026" s="18"/>
    </row>
    <row r="3027" spans="13:24">
      <c r="M3027" s="558">
        <f t="shared" si="146"/>
        <v>3025</v>
      </c>
      <c r="N3027" s="15">
        <f t="shared" si="144"/>
        <v>0.32468796219479701</v>
      </c>
      <c r="O3027" s="165">
        <f t="shared" si="145"/>
        <v>0.32468796219479701</v>
      </c>
      <c r="P3027" s="18"/>
      <c r="Q3027" s="18"/>
      <c r="R3027" s="18"/>
      <c r="S3027" s="18"/>
      <c r="T3027" s="18"/>
      <c r="U3027" s="18"/>
      <c r="V3027" s="18"/>
      <c r="W3027" s="18"/>
      <c r="X3027" s="18"/>
    </row>
    <row r="3028" spans="13:24">
      <c r="M3028" s="558">
        <f t="shared" si="146"/>
        <v>3026</v>
      </c>
      <c r="N3028" s="15">
        <f t="shared" si="144"/>
        <v>0.32462394048518461</v>
      </c>
      <c r="O3028" s="165">
        <f t="shared" si="145"/>
        <v>0.32462394048518461</v>
      </c>
      <c r="P3028" s="18"/>
      <c r="Q3028" s="18"/>
      <c r="R3028" s="18"/>
      <c r="S3028" s="18"/>
      <c r="T3028" s="18"/>
      <c r="U3028" s="18"/>
      <c r="V3028" s="18"/>
      <c r="W3028" s="18"/>
      <c r="X3028" s="18"/>
    </row>
    <row r="3029" spans="13:24">
      <c r="M3029" s="558">
        <f t="shared" si="146"/>
        <v>3027</v>
      </c>
      <c r="N3029" s="15">
        <f t="shared" si="144"/>
        <v>0.32455993465262373</v>
      </c>
      <c r="O3029" s="165">
        <f t="shared" si="145"/>
        <v>0.32455993465262373</v>
      </c>
      <c r="P3029" s="18"/>
      <c r="Q3029" s="18"/>
      <c r="R3029" s="18"/>
      <c r="S3029" s="18"/>
      <c r="T3029" s="18"/>
      <c r="U3029" s="18"/>
      <c r="V3029" s="18"/>
      <c r="W3029" s="18"/>
      <c r="X3029" s="18"/>
    </row>
    <row r="3030" spans="13:24">
      <c r="M3030" s="558">
        <f t="shared" si="146"/>
        <v>3028</v>
      </c>
      <c r="N3030" s="15">
        <f t="shared" si="144"/>
        <v>0.32449594467718984</v>
      </c>
      <c r="O3030" s="165">
        <f t="shared" si="145"/>
        <v>0.32449594467718984</v>
      </c>
      <c r="P3030" s="18"/>
      <c r="Q3030" s="18"/>
      <c r="R3030" s="18"/>
      <c r="S3030" s="18"/>
      <c r="T3030" s="18"/>
      <c r="U3030" s="18"/>
      <c r="V3030" s="18"/>
      <c r="W3030" s="18"/>
      <c r="X3030" s="18"/>
    </row>
    <row r="3031" spans="13:24">
      <c r="M3031" s="558">
        <f t="shared" si="146"/>
        <v>3029</v>
      </c>
      <c r="N3031" s="15">
        <f t="shared" si="144"/>
        <v>0.32443197053898343</v>
      </c>
      <c r="O3031" s="165">
        <f t="shared" si="145"/>
        <v>0.32443197053898343</v>
      </c>
      <c r="P3031" s="18"/>
      <c r="Q3031" s="18"/>
      <c r="R3031" s="18"/>
      <c r="S3031" s="18"/>
      <c r="T3031" s="18"/>
      <c r="U3031" s="18"/>
      <c r="V3031" s="18"/>
      <c r="W3031" s="18"/>
      <c r="X3031" s="18"/>
    </row>
    <row r="3032" spans="13:24">
      <c r="M3032" s="558">
        <f t="shared" si="146"/>
        <v>3030</v>
      </c>
      <c r="N3032" s="15">
        <f t="shared" si="144"/>
        <v>0.32436801221813027</v>
      </c>
      <c r="O3032" s="165">
        <f t="shared" si="145"/>
        <v>0.32436801221813027</v>
      </c>
      <c r="P3032" s="18"/>
      <c r="Q3032" s="18"/>
      <c r="R3032" s="18"/>
      <c r="S3032" s="18"/>
      <c r="T3032" s="18"/>
      <c r="U3032" s="18"/>
      <c r="V3032" s="18"/>
      <c r="W3032" s="18"/>
      <c r="X3032" s="18"/>
    </row>
    <row r="3033" spans="13:24">
      <c r="M3033" s="558">
        <f t="shared" si="146"/>
        <v>3031</v>
      </c>
      <c r="N3033" s="15">
        <f t="shared" si="144"/>
        <v>0.32430406969478071</v>
      </c>
      <c r="O3033" s="165">
        <f t="shared" si="145"/>
        <v>0.32430406969478071</v>
      </c>
      <c r="P3033" s="18"/>
      <c r="Q3033" s="18"/>
      <c r="R3033" s="18"/>
      <c r="S3033" s="18"/>
      <c r="T3033" s="18"/>
      <c r="U3033" s="18"/>
      <c r="V3033" s="18"/>
      <c r="W3033" s="18"/>
      <c r="X3033" s="18"/>
    </row>
    <row r="3034" spans="13:24">
      <c r="M3034" s="558">
        <f t="shared" si="146"/>
        <v>3032</v>
      </c>
      <c r="N3034" s="15">
        <f t="shared" si="144"/>
        <v>0.32424014294911019</v>
      </c>
      <c r="O3034" s="165">
        <f t="shared" si="145"/>
        <v>0.32424014294911019</v>
      </c>
      <c r="P3034" s="18"/>
      <c r="Q3034" s="18"/>
      <c r="R3034" s="18"/>
      <c r="S3034" s="18"/>
      <c r="T3034" s="18"/>
      <c r="U3034" s="18"/>
      <c r="V3034" s="18"/>
      <c r="W3034" s="18"/>
      <c r="X3034" s="18"/>
    </row>
    <row r="3035" spans="13:24">
      <c r="M3035" s="558">
        <f t="shared" si="146"/>
        <v>3033</v>
      </c>
      <c r="N3035" s="15">
        <f t="shared" si="144"/>
        <v>0.32417623196131895</v>
      </c>
      <c r="O3035" s="165">
        <f t="shared" si="145"/>
        <v>0.32417623196131895</v>
      </c>
      <c r="P3035" s="18"/>
      <c r="Q3035" s="18"/>
      <c r="R3035" s="18"/>
      <c r="S3035" s="18"/>
      <c r="T3035" s="18"/>
      <c r="U3035" s="18"/>
      <c r="V3035" s="18"/>
      <c r="W3035" s="18"/>
      <c r="X3035" s="18"/>
    </row>
    <row r="3036" spans="13:24">
      <c r="M3036" s="558">
        <f t="shared" si="146"/>
        <v>3034</v>
      </c>
      <c r="N3036" s="15">
        <f t="shared" si="144"/>
        <v>0.32411233671163214</v>
      </c>
      <c r="O3036" s="165">
        <f t="shared" si="145"/>
        <v>0.32411233671163214</v>
      </c>
      <c r="P3036" s="18"/>
      <c r="Q3036" s="18"/>
      <c r="R3036" s="18"/>
      <c r="S3036" s="18"/>
      <c r="T3036" s="18"/>
      <c r="U3036" s="18"/>
      <c r="V3036" s="18"/>
      <c r="W3036" s="18"/>
      <c r="X3036" s="18"/>
    </row>
    <row r="3037" spans="13:24">
      <c r="M3037" s="558">
        <f t="shared" si="146"/>
        <v>3035</v>
      </c>
      <c r="N3037" s="15">
        <f t="shared" si="144"/>
        <v>0.32404845718029979</v>
      </c>
      <c r="O3037" s="165">
        <f t="shared" si="145"/>
        <v>0.32404845718029979</v>
      </c>
      <c r="P3037" s="18"/>
      <c r="Q3037" s="18"/>
      <c r="R3037" s="18"/>
      <c r="S3037" s="18"/>
      <c r="T3037" s="18"/>
      <c r="U3037" s="18"/>
      <c r="V3037" s="18"/>
      <c r="W3037" s="18"/>
      <c r="X3037" s="18"/>
    </row>
    <row r="3038" spans="13:24">
      <c r="M3038" s="558">
        <f t="shared" si="146"/>
        <v>3036</v>
      </c>
      <c r="N3038" s="15">
        <f t="shared" si="144"/>
        <v>0.32398459334759649</v>
      </c>
      <c r="O3038" s="165">
        <f t="shared" si="145"/>
        <v>0.32398459334759649</v>
      </c>
      <c r="P3038" s="18"/>
      <c r="Q3038" s="18"/>
      <c r="R3038" s="18"/>
      <c r="S3038" s="18"/>
      <c r="T3038" s="18"/>
      <c r="U3038" s="18"/>
      <c r="V3038" s="18"/>
      <c r="W3038" s="18"/>
      <c r="X3038" s="18"/>
    </row>
    <row r="3039" spans="13:24">
      <c r="M3039" s="558">
        <f t="shared" si="146"/>
        <v>3037</v>
      </c>
      <c r="N3039" s="15">
        <f t="shared" si="144"/>
        <v>0.32392074519382169</v>
      </c>
      <c r="O3039" s="165">
        <f t="shared" si="145"/>
        <v>0.32392074519382169</v>
      </c>
      <c r="P3039" s="18"/>
      <c r="Q3039" s="18"/>
      <c r="R3039" s="18"/>
      <c r="S3039" s="18"/>
      <c r="T3039" s="18"/>
      <c r="U3039" s="18"/>
      <c r="V3039" s="18"/>
      <c r="W3039" s="18"/>
      <c r="X3039" s="18"/>
    </row>
    <row r="3040" spans="13:24">
      <c r="M3040" s="558">
        <f t="shared" si="146"/>
        <v>3038</v>
      </c>
      <c r="N3040" s="15">
        <f t="shared" si="144"/>
        <v>0.32385691269929978</v>
      </c>
      <c r="O3040" s="165">
        <f t="shared" si="145"/>
        <v>0.32385691269929978</v>
      </c>
      <c r="P3040" s="18"/>
      <c r="Q3040" s="18"/>
      <c r="R3040" s="18"/>
      <c r="S3040" s="18"/>
      <c r="T3040" s="18"/>
      <c r="U3040" s="18"/>
      <c r="V3040" s="18"/>
      <c r="W3040" s="18"/>
      <c r="X3040" s="18"/>
    </row>
    <row r="3041" spans="13:24">
      <c r="M3041" s="558">
        <f t="shared" si="146"/>
        <v>3039</v>
      </c>
      <c r="N3041" s="15">
        <f t="shared" si="144"/>
        <v>0.3237930958443796</v>
      </c>
      <c r="O3041" s="165">
        <f t="shared" si="145"/>
        <v>0.3237930958443796</v>
      </c>
      <c r="P3041" s="18"/>
      <c r="Q3041" s="18"/>
      <c r="R3041" s="18"/>
      <c r="S3041" s="18"/>
      <c r="T3041" s="18"/>
      <c r="U3041" s="18"/>
      <c r="V3041" s="18"/>
      <c r="W3041" s="18"/>
      <c r="X3041" s="18"/>
    </row>
    <row r="3042" spans="13:24">
      <c r="M3042" s="558">
        <f t="shared" si="146"/>
        <v>3040</v>
      </c>
      <c r="N3042" s="15">
        <f t="shared" si="144"/>
        <v>0.32372929460943461</v>
      </c>
      <c r="O3042" s="165">
        <f t="shared" si="145"/>
        <v>0.32372929460943461</v>
      </c>
      <c r="P3042" s="18"/>
      <c r="Q3042" s="18"/>
      <c r="R3042" s="18"/>
      <c r="S3042" s="18"/>
      <c r="T3042" s="18"/>
      <c r="U3042" s="18"/>
      <c r="V3042" s="18"/>
      <c r="W3042" s="18"/>
      <c r="X3042" s="18"/>
    </row>
    <row r="3043" spans="13:24">
      <c r="M3043" s="558">
        <f t="shared" si="146"/>
        <v>3041</v>
      </c>
      <c r="N3043" s="15">
        <f t="shared" si="144"/>
        <v>0.32366550897486301</v>
      </c>
      <c r="O3043" s="165">
        <f t="shared" si="145"/>
        <v>0.32366550897486301</v>
      </c>
      <c r="P3043" s="18"/>
      <c r="Q3043" s="18"/>
      <c r="R3043" s="18"/>
      <c r="S3043" s="18"/>
      <c r="T3043" s="18"/>
      <c r="U3043" s="18"/>
      <c r="V3043" s="18"/>
      <c r="W3043" s="18"/>
      <c r="X3043" s="18"/>
    </row>
    <row r="3044" spans="13:24">
      <c r="M3044" s="558">
        <f t="shared" si="146"/>
        <v>3042</v>
      </c>
      <c r="N3044" s="15">
        <f t="shared" si="144"/>
        <v>0.32360173892108768</v>
      </c>
      <c r="O3044" s="165">
        <f t="shared" si="145"/>
        <v>0.32360173892108768</v>
      </c>
      <c r="P3044" s="18"/>
      <c r="Q3044" s="18"/>
      <c r="R3044" s="18"/>
      <c r="S3044" s="18"/>
      <c r="T3044" s="18"/>
      <c r="U3044" s="18"/>
      <c r="V3044" s="18"/>
      <c r="W3044" s="18"/>
      <c r="X3044" s="18"/>
    </row>
    <row r="3045" spans="13:24">
      <c r="M3045" s="558">
        <f t="shared" si="146"/>
        <v>3043</v>
      </c>
      <c r="N3045" s="15">
        <f t="shared" si="144"/>
        <v>0.32353798442855586</v>
      </c>
      <c r="O3045" s="165">
        <f t="shared" si="145"/>
        <v>0.32353798442855586</v>
      </c>
      <c r="P3045" s="18"/>
      <c r="Q3045" s="18"/>
      <c r="R3045" s="18"/>
      <c r="S3045" s="18"/>
      <c r="T3045" s="18"/>
      <c r="U3045" s="18"/>
      <c r="V3045" s="18"/>
      <c r="W3045" s="18"/>
      <c r="X3045" s="18"/>
    </row>
    <row r="3046" spans="13:24">
      <c r="M3046" s="558">
        <f t="shared" si="146"/>
        <v>3044</v>
      </c>
      <c r="N3046" s="15">
        <f t="shared" si="144"/>
        <v>0.32347424547773951</v>
      </c>
      <c r="O3046" s="165">
        <f t="shared" si="145"/>
        <v>0.32347424547773951</v>
      </c>
      <c r="P3046" s="18"/>
      <c r="Q3046" s="18"/>
      <c r="R3046" s="18"/>
      <c r="S3046" s="18"/>
      <c r="T3046" s="18"/>
      <c r="U3046" s="18"/>
      <c r="V3046" s="18"/>
      <c r="W3046" s="18"/>
      <c r="X3046" s="18"/>
    </row>
    <row r="3047" spans="13:24">
      <c r="M3047" s="558">
        <f t="shared" si="146"/>
        <v>3045</v>
      </c>
      <c r="N3047" s="15">
        <f t="shared" si="144"/>
        <v>0.32341052204913501</v>
      </c>
      <c r="O3047" s="165">
        <f t="shared" si="145"/>
        <v>0.32341052204913501</v>
      </c>
      <c r="P3047" s="18"/>
      <c r="Q3047" s="18"/>
      <c r="R3047" s="18"/>
      <c r="S3047" s="18"/>
      <c r="T3047" s="18"/>
      <c r="U3047" s="18"/>
      <c r="V3047" s="18"/>
      <c r="W3047" s="18"/>
      <c r="X3047" s="18"/>
    </row>
    <row r="3048" spans="13:24">
      <c r="M3048" s="558">
        <f t="shared" si="146"/>
        <v>3046</v>
      </c>
      <c r="N3048" s="15">
        <f t="shared" si="144"/>
        <v>0.32334681412326327</v>
      </c>
      <c r="O3048" s="165">
        <f t="shared" si="145"/>
        <v>0.32334681412326327</v>
      </c>
      <c r="P3048" s="18"/>
      <c r="Q3048" s="18"/>
      <c r="R3048" s="18"/>
      <c r="S3048" s="18"/>
      <c r="T3048" s="18"/>
      <c r="U3048" s="18"/>
      <c r="V3048" s="18"/>
      <c r="W3048" s="18"/>
      <c r="X3048" s="18"/>
    </row>
    <row r="3049" spans="13:24">
      <c r="M3049" s="558">
        <f t="shared" si="146"/>
        <v>3047</v>
      </c>
      <c r="N3049" s="15">
        <f t="shared" si="144"/>
        <v>0.32328312168066953</v>
      </c>
      <c r="O3049" s="165">
        <f t="shared" si="145"/>
        <v>0.32328312168066953</v>
      </c>
      <c r="P3049" s="18"/>
      <c r="Q3049" s="18"/>
      <c r="R3049" s="18"/>
      <c r="S3049" s="18"/>
      <c r="T3049" s="18"/>
      <c r="U3049" s="18"/>
      <c r="V3049" s="18"/>
      <c r="W3049" s="18"/>
      <c r="X3049" s="18"/>
    </row>
    <row r="3050" spans="13:24">
      <c r="M3050" s="558">
        <f t="shared" si="146"/>
        <v>3048</v>
      </c>
      <c r="N3050" s="15">
        <f t="shared" si="144"/>
        <v>0.32321944470192354</v>
      </c>
      <c r="O3050" s="165">
        <f t="shared" si="145"/>
        <v>0.32321944470192354</v>
      </c>
      <c r="P3050" s="18"/>
      <c r="Q3050" s="18"/>
      <c r="R3050" s="18"/>
      <c r="S3050" s="18"/>
      <c r="T3050" s="18"/>
      <c r="U3050" s="18"/>
      <c r="V3050" s="18"/>
      <c r="W3050" s="18"/>
      <c r="X3050" s="18"/>
    </row>
    <row r="3051" spans="13:24">
      <c r="M3051" s="558">
        <f t="shared" si="146"/>
        <v>3049</v>
      </c>
      <c r="N3051" s="15">
        <f t="shared" si="144"/>
        <v>0.32315578316761945</v>
      </c>
      <c r="O3051" s="165">
        <f t="shared" si="145"/>
        <v>0.32315578316761945</v>
      </c>
      <c r="P3051" s="18"/>
      <c r="Q3051" s="18"/>
      <c r="R3051" s="18"/>
      <c r="S3051" s="18"/>
      <c r="T3051" s="18"/>
      <c r="U3051" s="18"/>
      <c r="V3051" s="18"/>
      <c r="W3051" s="18"/>
      <c r="X3051" s="18"/>
    </row>
    <row r="3052" spans="13:24">
      <c r="M3052" s="558">
        <f t="shared" si="146"/>
        <v>3050</v>
      </c>
      <c r="N3052" s="15">
        <f t="shared" si="144"/>
        <v>0.32309213705837575</v>
      </c>
      <c r="O3052" s="165">
        <f t="shared" si="145"/>
        <v>0.32309213705837575</v>
      </c>
      <c r="P3052" s="18"/>
      <c r="Q3052" s="18"/>
      <c r="R3052" s="18"/>
      <c r="S3052" s="18"/>
      <c r="T3052" s="18"/>
      <c r="U3052" s="18"/>
      <c r="V3052" s="18"/>
      <c r="W3052" s="18"/>
      <c r="X3052" s="18"/>
    </row>
    <row r="3053" spans="13:24">
      <c r="M3053" s="558">
        <f t="shared" si="146"/>
        <v>3051</v>
      </c>
      <c r="N3053" s="15">
        <f t="shared" si="144"/>
        <v>0.32302850635483515</v>
      </c>
      <c r="O3053" s="165">
        <f t="shared" si="145"/>
        <v>0.32302850635483515</v>
      </c>
      <c r="P3053" s="18"/>
      <c r="Q3053" s="18"/>
      <c r="R3053" s="18"/>
      <c r="S3053" s="18"/>
      <c r="T3053" s="18"/>
      <c r="U3053" s="18"/>
      <c r="V3053" s="18"/>
      <c r="W3053" s="18"/>
      <c r="X3053" s="18"/>
    </row>
    <row r="3054" spans="13:24">
      <c r="M3054" s="558">
        <f t="shared" si="146"/>
        <v>3052</v>
      </c>
      <c r="N3054" s="15">
        <f t="shared" si="144"/>
        <v>0.32296489103766468</v>
      </c>
      <c r="O3054" s="165">
        <f t="shared" si="145"/>
        <v>0.32296489103766468</v>
      </c>
      <c r="P3054" s="18"/>
      <c r="Q3054" s="18"/>
      <c r="R3054" s="18"/>
      <c r="S3054" s="18"/>
      <c r="T3054" s="18"/>
      <c r="U3054" s="18"/>
      <c r="V3054" s="18"/>
      <c r="W3054" s="18"/>
      <c r="X3054" s="18"/>
    </row>
    <row r="3055" spans="13:24">
      <c r="M3055" s="558">
        <f t="shared" si="146"/>
        <v>3053</v>
      </c>
      <c r="N3055" s="15">
        <f t="shared" si="144"/>
        <v>0.32290129108755583</v>
      </c>
      <c r="O3055" s="165">
        <f t="shared" si="145"/>
        <v>0.32290129108755583</v>
      </c>
      <c r="P3055" s="18"/>
      <c r="Q3055" s="18"/>
      <c r="R3055" s="18"/>
      <c r="S3055" s="18"/>
      <c r="T3055" s="18"/>
      <c r="U3055" s="18"/>
      <c r="V3055" s="18"/>
      <c r="W3055" s="18"/>
      <c r="X3055" s="18"/>
    </row>
    <row r="3056" spans="13:24">
      <c r="M3056" s="558">
        <f t="shared" si="146"/>
        <v>3054</v>
      </c>
      <c r="N3056" s="15">
        <f t="shared" si="144"/>
        <v>0.32283770648522414</v>
      </c>
      <c r="O3056" s="165">
        <f t="shared" si="145"/>
        <v>0.32283770648522414</v>
      </c>
      <c r="P3056" s="18"/>
      <c r="Q3056" s="18"/>
      <c r="R3056" s="18"/>
      <c r="S3056" s="18"/>
      <c r="T3056" s="18"/>
      <c r="U3056" s="18"/>
      <c r="V3056" s="18"/>
      <c r="W3056" s="18"/>
      <c r="X3056" s="18"/>
    </row>
    <row r="3057" spans="13:24">
      <c r="M3057" s="558">
        <f t="shared" si="146"/>
        <v>3055</v>
      </c>
      <c r="N3057" s="15">
        <f t="shared" si="144"/>
        <v>0.3227741372114093</v>
      </c>
      <c r="O3057" s="165">
        <f t="shared" si="145"/>
        <v>0.3227741372114093</v>
      </c>
      <c r="P3057" s="18"/>
      <c r="Q3057" s="18"/>
      <c r="R3057" s="18"/>
      <c r="S3057" s="18"/>
      <c r="T3057" s="18"/>
      <c r="U3057" s="18"/>
      <c r="V3057" s="18"/>
      <c r="W3057" s="18"/>
      <c r="X3057" s="18"/>
    </row>
    <row r="3058" spans="13:24">
      <c r="M3058" s="558">
        <f t="shared" si="146"/>
        <v>3056</v>
      </c>
      <c r="N3058" s="15">
        <f t="shared" si="144"/>
        <v>0.32271058324687529</v>
      </c>
      <c r="O3058" s="165">
        <f t="shared" si="145"/>
        <v>0.32271058324687529</v>
      </c>
      <c r="P3058" s="18"/>
      <c r="Q3058" s="18"/>
      <c r="R3058" s="18"/>
      <c r="S3058" s="18"/>
      <c r="T3058" s="18"/>
      <c r="U3058" s="18"/>
      <c r="V3058" s="18"/>
      <c r="W3058" s="18"/>
      <c r="X3058" s="18"/>
    </row>
    <row r="3059" spans="13:24">
      <c r="M3059" s="558">
        <f t="shared" si="146"/>
        <v>3057</v>
      </c>
      <c r="N3059" s="15">
        <f t="shared" si="144"/>
        <v>0.32264704457241022</v>
      </c>
      <c r="O3059" s="165">
        <f t="shared" si="145"/>
        <v>0.32264704457241022</v>
      </c>
      <c r="P3059" s="18"/>
      <c r="Q3059" s="18"/>
      <c r="R3059" s="18"/>
      <c r="S3059" s="18"/>
      <c r="T3059" s="18"/>
      <c r="U3059" s="18"/>
      <c r="V3059" s="18"/>
      <c r="W3059" s="18"/>
      <c r="X3059" s="18"/>
    </row>
    <row r="3060" spans="13:24">
      <c r="M3060" s="558">
        <f t="shared" si="146"/>
        <v>3058</v>
      </c>
      <c r="N3060" s="15">
        <f t="shared" si="144"/>
        <v>0.32258352116882627</v>
      </c>
      <c r="O3060" s="165">
        <f t="shared" si="145"/>
        <v>0.32258352116882627</v>
      </c>
      <c r="P3060" s="18"/>
      <c r="Q3060" s="18"/>
      <c r="R3060" s="18"/>
      <c r="S3060" s="18"/>
      <c r="T3060" s="18"/>
      <c r="U3060" s="18"/>
      <c r="V3060" s="18"/>
      <c r="W3060" s="18"/>
      <c r="X3060" s="18"/>
    </row>
    <row r="3061" spans="13:24">
      <c r="M3061" s="558">
        <f t="shared" si="146"/>
        <v>3059</v>
      </c>
      <c r="N3061" s="15">
        <f t="shared" si="144"/>
        <v>0.32252001301695971</v>
      </c>
      <c r="O3061" s="165">
        <f t="shared" si="145"/>
        <v>0.32252001301695971</v>
      </c>
      <c r="P3061" s="18"/>
      <c r="Q3061" s="18"/>
      <c r="R3061" s="18"/>
      <c r="S3061" s="18"/>
      <c r="T3061" s="18"/>
      <c r="U3061" s="18"/>
      <c r="V3061" s="18"/>
      <c r="W3061" s="18"/>
      <c r="X3061" s="18"/>
    </row>
    <row r="3062" spans="13:24">
      <c r="M3062" s="558">
        <f t="shared" si="146"/>
        <v>3060</v>
      </c>
      <c r="N3062" s="15">
        <f t="shared" si="144"/>
        <v>0.32245652009767078</v>
      </c>
      <c r="O3062" s="165">
        <f t="shared" si="145"/>
        <v>0.32245652009767078</v>
      </c>
      <c r="P3062" s="18"/>
      <c r="Q3062" s="18"/>
      <c r="R3062" s="18"/>
      <c r="S3062" s="18"/>
      <c r="T3062" s="18"/>
      <c r="U3062" s="18"/>
      <c r="V3062" s="18"/>
      <c r="W3062" s="18"/>
      <c r="X3062" s="18"/>
    </row>
    <row r="3063" spans="13:24">
      <c r="M3063" s="558">
        <f t="shared" si="146"/>
        <v>3061</v>
      </c>
      <c r="N3063" s="15">
        <f t="shared" si="144"/>
        <v>0.32239304239184396</v>
      </c>
      <c r="O3063" s="165">
        <f t="shared" si="145"/>
        <v>0.32239304239184396</v>
      </c>
      <c r="P3063" s="18"/>
      <c r="Q3063" s="18"/>
      <c r="R3063" s="18"/>
      <c r="S3063" s="18"/>
      <c r="T3063" s="18"/>
      <c r="U3063" s="18"/>
      <c r="V3063" s="18"/>
      <c r="W3063" s="18"/>
      <c r="X3063" s="18"/>
    </row>
    <row r="3064" spans="13:24">
      <c r="M3064" s="558">
        <f t="shared" si="146"/>
        <v>3062</v>
      </c>
      <c r="N3064" s="15">
        <f t="shared" si="144"/>
        <v>0.32232957988038752</v>
      </c>
      <c r="O3064" s="165">
        <f t="shared" si="145"/>
        <v>0.32232957988038752</v>
      </c>
      <c r="P3064" s="18"/>
      <c r="Q3064" s="18"/>
      <c r="R3064" s="18"/>
      <c r="S3064" s="18"/>
      <c r="T3064" s="18"/>
      <c r="U3064" s="18"/>
      <c r="V3064" s="18"/>
      <c r="W3064" s="18"/>
      <c r="X3064" s="18"/>
    </row>
    <row r="3065" spans="13:24">
      <c r="M3065" s="558">
        <f t="shared" si="146"/>
        <v>3063</v>
      </c>
      <c r="N3065" s="15">
        <f t="shared" si="144"/>
        <v>0.3222661325442337</v>
      </c>
      <c r="O3065" s="165">
        <f t="shared" si="145"/>
        <v>0.3222661325442337</v>
      </c>
      <c r="P3065" s="18"/>
      <c r="Q3065" s="18"/>
      <c r="R3065" s="18"/>
      <c r="S3065" s="18"/>
      <c r="T3065" s="18"/>
      <c r="U3065" s="18"/>
      <c r="V3065" s="18"/>
      <c r="W3065" s="18"/>
      <c r="X3065" s="18"/>
    </row>
    <row r="3066" spans="13:24">
      <c r="M3066" s="558">
        <f t="shared" si="146"/>
        <v>3064</v>
      </c>
      <c r="N3066" s="15">
        <f t="shared" si="144"/>
        <v>0.32220270036433873</v>
      </c>
      <c r="O3066" s="165">
        <f t="shared" si="145"/>
        <v>0.32220270036433873</v>
      </c>
      <c r="P3066" s="18"/>
      <c r="Q3066" s="18"/>
      <c r="R3066" s="18"/>
      <c r="S3066" s="18"/>
      <c r="T3066" s="18"/>
      <c r="U3066" s="18"/>
      <c r="V3066" s="18"/>
      <c r="W3066" s="18"/>
      <c r="X3066" s="18"/>
    </row>
    <row r="3067" spans="13:24">
      <c r="M3067" s="558">
        <f t="shared" si="146"/>
        <v>3065</v>
      </c>
      <c r="N3067" s="15">
        <f t="shared" si="144"/>
        <v>0.32213928332168279</v>
      </c>
      <c r="O3067" s="165">
        <f t="shared" si="145"/>
        <v>0.32213928332168279</v>
      </c>
      <c r="P3067" s="18"/>
      <c r="Q3067" s="18"/>
      <c r="R3067" s="18"/>
      <c r="S3067" s="18"/>
      <c r="T3067" s="18"/>
      <c r="U3067" s="18"/>
      <c r="V3067" s="18"/>
      <c r="W3067" s="18"/>
      <c r="X3067" s="18"/>
    </row>
    <row r="3068" spans="13:24">
      <c r="M3068" s="558">
        <f t="shared" si="146"/>
        <v>3066</v>
      </c>
      <c r="N3068" s="15">
        <f t="shared" si="144"/>
        <v>0.32207588139726978</v>
      </c>
      <c r="O3068" s="165">
        <f t="shared" si="145"/>
        <v>0.32207588139726978</v>
      </c>
      <c r="P3068" s="18"/>
      <c r="Q3068" s="18"/>
      <c r="R3068" s="18"/>
      <c r="S3068" s="18"/>
      <c r="T3068" s="18"/>
      <c r="U3068" s="18"/>
      <c r="V3068" s="18"/>
      <c r="W3068" s="18"/>
      <c r="X3068" s="18"/>
    </row>
    <row r="3069" spans="13:24">
      <c r="M3069" s="558">
        <f t="shared" si="146"/>
        <v>3067</v>
      </c>
      <c r="N3069" s="15">
        <f t="shared" si="144"/>
        <v>0.32201249457212749</v>
      </c>
      <c r="O3069" s="165">
        <f t="shared" si="145"/>
        <v>0.32201249457212749</v>
      </c>
      <c r="P3069" s="18"/>
      <c r="Q3069" s="18"/>
      <c r="R3069" s="18"/>
      <c r="S3069" s="18"/>
      <c r="T3069" s="18"/>
      <c r="U3069" s="18"/>
      <c r="V3069" s="18"/>
      <c r="W3069" s="18"/>
      <c r="X3069" s="18"/>
    </row>
    <row r="3070" spans="13:24">
      <c r="M3070" s="558">
        <f t="shared" si="146"/>
        <v>3068</v>
      </c>
      <c r="N3070" s="15">
        <f t="shared" si="144"/>
        <v>0.3219491228273077</v>
      </c>
      <c r="O3070" s="165">
        <f t="shared" si="145"/>
        <v>0.3219491228273077</v>
      </c>
      <c r="P3070" s="18"/>
      <c r="Q3070" s="18"/>
      <c r="R3070" s="18"/>
      <c r="S3070" s="18"/>
      <c r="T3070" s="18"/>
      <c r="U3070" s="18"/>
      <c r="V3070" s="18"/>
      <c r="W3070" s="18"/>
      <c r="X3070" s="18"/>
    </row>
    <row r="3071" spans="13:24">
      <c r="M3071" s="558">
        <f t="shared" si="146"/>
        <v>3069</v>
      </c>
      <c r="N3071" s="15">
        <f t="shared" si="144"/>
        <v>0.3218857661438857</v>
      </c>
      <c r="O3071" s="165">
        <f t="shared" si="145"/>
        <v>0.3218857661438857</v>
      </c>
      <c r="P3071" s="18"/>
      <c r="Q3071" s="18"/>
      <c r="R3071" s="18"/>
      <c r="S3071" s="18"/>
      <c r="T3071" s="18"/>
      <c r="U3071" s="18"/>
      <c r="V3071" s="18"/>
      <c r="W3071" s="18"/>
      <c r="X3071" s="18"/>
    </row>
    <row r="3072" spans="13:24">
      <c r="M3072" s="558">
        <f t="shared" si="146"/>
        <v>3070</v>
      </c>
      <c r="N3072" s="15">
        <f t="shared" si="144"/>
        <v>0.32182242450296067</v>
      </c>
      <c r="O3072" s="165">
        <f t="shared" si="145"/>
        <v>0.32182242450296067</v>
      </c>
      <c r="P3072" s="18"/>
      <c r="Q3072" s="18"/>
      <c r="R3072" s="18"/>
      <c r="S3072" s="18"/>
      <c r="T3072" s="18"/>
      <c r="U3072" s="18"/>
      <c r="V3072" s="18"/>
      <c r="W3072" s="18"/>
      <c r="X3072" s="18"/>
    </row>
    <row r="3073" spans="13:24">
      <c r="M3073" s="558">
        <f t="shared" si="146"/>
        <v>3071</v>
      </c>
      <c r="N3073" s="15">
        <f t="shared" si="144"/>
        <v>0.32175909788565543</v>
      </c>
      <c r="O3073" s="165">
        <f t="shared" si="145"/>
        <v>0.32175909788565543</v>
      </c>
      <c r="P3073" s="18"/>
      <c r="Q3073" s="18"/>
      <c r="R3073" s="18"/>
      <c r="S3073" s="18"/>
      <c r="T3073" s="18"/>
      <c r="U3073" s="18"/>
      <c r="V3073" s="18"/>
      <c r="W3073" s="18"/>
      <c r="X3073" s="18"/>
    </row>
    <row r="3074" spans="13:24">
      <c r="M3074" s="558">
        <f t="shared" si="146"/>
        <v>3072</v>
      </c>
      <c r="N3074" s="15">
        <f t="shared" si="144"/>
        <v>0.32169578627311662</v>
      </c>
      <c r="O3074" s="165">
        <f t="shared" si="145"/>
        <v>0.32169578627311662</v>
      </c>
      <c r="P3074" s="18"/>
      <c r="Q3074" s="18"/>
      <c r="R3074" s="18"/>
      <c r="S3074" s="18"/>
      <c r="T3074" s="18"/>
      <c r="U3074" s="18"/>
      <c r="V3074" s="18"/>
      <c r="W3074" s="18"/>
      <c r="X3074" s="18"/>
    </row>
    <row r="3075" spans="13:24">
      <c r="M3075" s="558">
        <f t="shared" si="146"/>
        <v>3073</v>
      </c>
      <c r="N3075" s="15">
        <f t="shared" si="144"/>
        <v>0.32163248964651453</v>
      </c>
      <c r="O3075" s="165">
        <f t="shared" si="145"/>
        <v>0.32163248964651453</v>
      </c>
      <c r="P3075" s="18"/>
      <c r="Q3075" s="18"/>
      <c r="R3075" s="18"/>
      <c r="S3075" s="18"/>
      <c r="T3075" s="18"/>
      <c r="U3075" s="18"/>
      <c r="V3075" s="18"/>
      <c r="W3075" s="18"/>
      <c r="X3075" s="18"/>
    </row>
    <row r="3076" spans="13:24">
      <c r="M3076" s="558">
        <f t="shared" si="146"/>
        <v>3074</v>
      </c>
      <c r="N3076" s="15">
        <f t="shared" ref="N3076:N3139" si="147">IF(M3076&lt;$B$31+1,$B$32+$B$33/$B$31*(8760-M3076)+$B$34*IF(M3076&lt;$B$36-$B$31/(2*$B$35),1,IF(M3076&lt;$B$36+$B$31/(2*$B$35),COS(PI()/2*(M3076-($B$36-$B$31/(2*$B$35)))*$B$35/$B$31)^2,0))+$B$37*EXP((8760-M3076)/8760*$B$38)/EXP($B$38)-(8760-$B$31)*$B$33/$B$31,0)</f>
        <v>0.32156920798704286</v>
      </c>
      <c r="O3076" s="165">
        <f t="shared" ref="O3076:O3139" si="148">MIN(N3076,C$24)</f>
        <v>0.32156920798704286</v>
      </c>
      <c r="P3076" s="18"/>
      <c r="Q3076" s="18"/>
      <c r="R3076" s="18"/>
      <c r="S3076" s="18"/>
      <c r="T3076" s="18"/>
      <c r="U3076" s="18"/>
      <c r="V3076" s="18"/>
      <c r="W3076" s="18"/>
      <c r="X3076" s="18"/>
    </row>
    <row r="3077" spans="13:24">
      <c r="M3077" s="558">
        <f t="shared" ref="M3077:M3140" si="149">M3076+1</f>
        <v>3075</v>
      </c>
      <c r="N3077" s="15">
        <f t="shared" si="147"/>
        <v>0.32150594127591903</v>
      </c>
      <c r="O3077" s="165">
        <f t="shared" si="148"/>
        <v>0.32150594127591903</v>
      </c>
      <c r="P3077" s="18"/>
      <c r="Q3077" s="18"/>
      <c r="R3077" s="18"/>
      <c r="S3077" s="18"/>
      <c r="T3077" s="18"/>
      <c r="U3077" s="18"/>
      <c r="V3077" s="18"/>
      <c r="W3077" s="18"/>
      <c r="X3077" s="18"/>
    </row>
    <row r="3078" spans="13:24">
      <c r="M3078" s="558">
        <f t="shared" si="149"/>
        <v>3076</v>
      </c>
      <c r="N3078" s="15">
        <f t="shared" si="147"/>
        <v>0.32144268949438426</v>
      </c>
      <c r="O3078" s="165">
        <f t="shared" si="148"/>
        <v>0.32144268949438426</v>
      </c>
      <c r="P3078" s="18"/>
      <c r="Q3078" s="18"/>
      <c r="R3078" s="18"/>
      <c r="S3078" s="18"/>
      <c r="T3078" s="18"/>
      <c r="U3078" s="18"/>
      <c r="V3078" s="18"/>
      <c r="W3078" s="18"/>
      <c r="X3078" s="18"/>
    </row>
    <row r="3079" spans="13:24">
      <c r="M3079" s="558">
        <f t="shared" si="149"/>
        <v>3077</v>
      </c>
      <c r="N3079" s="15">
        <f t="shared" si="147"/>
        <v>0.32137945262370304</v>
      </c>
      <c r="O3079" s="165">
        <f t="shared" si="148"/>
        <v>0.32137945262370304</v>
      </c>
      <c r="P3079" s="18"/>
      <c r="Q3079" s="18"/>
      <c r="R3079" s="18"/>
      <c r="S3079" s="18"/>
      <c r="T3079" s="18"/>
      <c r="U3079" s="18"/>
      <c r="V3079" s="18"/>
      <c r="W3079" s="18"/>
      <c r="X3079" s="18"/>
    </row>
    <row r="3080" spans="13:24">
      <c r="M3080" s="558">
        <f t="shared" si="149"/>
        <v>3078</v>
      </c>
      <c r="N3080" s="15">
        <f t="shared" si="147"/>
        <v>0.32131623064516329</v>
      </c>
      <c r="O3080" s="165">
        <f t="shared" si="148"/>
        <v>0.32131623064516329</v>
      </c>
      <c r="P3080" s="18"/>
      <c r="Q3080" s="18"/>
      <c r="R3080" s="18"/>
      <c r="S3080" s="18"/>
      <c r="T3080" s="18"/>
      <c r="U3080" s="18"/>
      <c r="V3080" s="18"/>
      <c r="W3080" s="18"/>
      <c r="X3080" s="18"/>
    </row>
    <row r="3081" spans="13:24">
      <c r="M3081" s="558">
        <f t="shared" si="149"/>
        <v>3079</v>
      </c>
      <c r="N3081" s="15">
        <f t="shared" si="147"/>
        <v>0.32125302354007684</v>
      </c>
      <c r="O3081" s="165">
        <f t="shared" si="148"/>
        <v>0.32125302354007684</v>
      </c>
      <c r="P3081" s="18"/>
      <c r="Q3081" s="18"/>
      <c r="R3081" s="18"/>
      <c r="S3081" s="18"/>
      <c r="T3081" s="18"/>
      <c r="U3081" s="18"/>
      <c r="V3081" s="18"/>
      <c r="W3081" s="18"/>
      <c r="X3081" s="18"/>
    </row>
    <row r="3082" spans="13:24">
      <c r="M3082" s="558">
        <f t="shared" si="149"/>
        <v>3080</v>
      </c>
      <c r="N3082" s="15">
        <f t="shared" si="147"/>
        <v>0.32118983128977852</v>
      </c>
      <c r="O3082" s="165">
        <f t="shared" si="148"/>
        <v>0.32118983128977852</v>
      </c>
      <c r="P3082" s="18"/>
      <c r="Q3082" s="18"/>
      <c r="R3082" s="18"/>
      <c r="S3082" s="18"/>
      <c r="T3082" s="18"/>
      <c r="U3082" s="18"/>
      <c r="V3082" s="18"/>
      <c r="W3082" s="18"/>
      <c r="X3082" s="18"/>
    </row>
    <row r="3083" spans="13:24">
      <c r="M3083" s="558">
        <f t="shared" si="149"/>
        <v>3081</v>
      </c>
      <c r="N3083" s="15">
        <f t="shared" si="147"/>
        <v>0.32112665387562678</v>
      </c>
      <c r="O3083" s="165">
        <f t="shared" si="148"/>
        <v>0.32112665387562678</v>
      </c>
      <c r="P3083" s="18"/>
      <c r="Q3083" s="18"/>
      <c r="R3083" s="18"/>
      <c r="S3083" s="18"/>
      <c r="T3083" s="18"/>
      <c r="U3083" s="18"/>
      <c r="V3083" s="18"/>
      <c r="W3083" s="18"/>
      <c r="X3083" s="18"/>
    </row>
    <row r="3084" spans="13:24">
      <c r="M3084" s="558">
        <f t="shared" si="149"/>
        <v>3082</v>
      </c>
      <c r="N3084" s="15">
        <f t="shared" si="147"/>
        <v>0.32106349127900347</v>
      </c>
      <c r="O3084" s="165">
        <f t="shared" si="148"/>
        <v>0.32106349127900347</v>
      </c>
      <c r="P3084" s="18"/>
      <c r="Q3084" s="18"/>
      <c r="R3084" s="18"/>
      <c r="S3084" s="18"/>
      <c r="T3084" s="18"/>
      <c r="U3084" s="18"/>
      <c r="V3084" s="18"/>
      <c r="W3084" s="18"/>
      <c r="X3084" s="18"/>
    </row>
    <row r="3085" spans="13:24">
      <c r="M3085" s="558">
        <f t="shared" si="149"/>
        <v>3083</v>
      </c>
      <c r="N3085" s="15">
        <f t="shared" si="147"/>
        <v>0.32100034348131379</v>
      </c>
      <c r="O3085" s="165">
        <f t="shared" si="148"/>
        <v>0.32100034348131379</v>
      </c>
      <c r="P3085" s="18"/>
      <c r="Q3085" s="18"/>
      <c r="R3085" s="18"/>
      <c r="S3085" s="18"/>
      <c r="T3085" s="18"/>
      <c r="U3085" s="18"/>
      <c r="V3085" s="18"/>
      <c r="W3085" s="18"/>
      <c r="X3085" s="18"/>
    </row>
    <row r="3086" spans="13:24">
      <c r="M3086" s="558">
        <f t="shared" si="149"/>
        <v>3084</v>
      </c>
      <c r="N3086" s="15">
        <f t="shared" si="147"/>
        <v>0.32093721046398627</v>
      </c>
      <c r="O3086" s="165">
        <f t="shared" si="148"/>
        <v>0.32093721046398627</v>
      </c>
      <c r="P3086" s="18"/>
      <c r="Q3086" s="18"/>
      <c r="R3086" s="18"/>
      <c r="S3086" s="18"/>
      <c r="T3086" s="18"/>
      <c r="U3086" s="18"/>
      <c r="V3086" s="18"/>
      <c r="W3086" s="18"/>
      <c r="X3086" s="18"/>
    </row>
    <row r="3087" spans="13:24">
      <c r="M3087" s="558">
        <f t="shared" si="149"/>
        <v>3085</v>
      </c>
      <c r="N3087" s="15">
        <f t="shared" si="147"/>
        <v>0.32087409220847274</v>
      </c>
      <c r="O3087" s="165">
        <f t="shared" si="148"/>
        <v>0.32087409220847274</v>
      </c>
      <c r="P3087" s="18"/>
      <c r="Q3087" s="18"/>
      <c r="R3087" s="18"/>
      <c r="S3087" s="18"/>
      <c r="T3087" s="18"/>
      <c r="U3087" s="18"/>
      <c r="V3087" s="18"/>
      <c r="W3087" s="18"/>
      <c r="X3087" s="18"/>
    </row>
    <row r="3088" spans="13:24">
      <c r="M3088" s="558">
        <f t="shared" si="149"/>
        <v>3086</v>
      </c>
      <c r="N3088" s="15">
        <f t="shared" si="147"/>
        <v>0.3208109886962483</v>
      </c>
      <c r="O3088" s="165">
        <f t="shared" si="148"/>
        <v>0.3208109886962483</v>
      </c>
      <c r="P3088" s="18"/>
      <c r="Q3088" s="18"/>
      <c r="R3088" s="18"/>
      <c r="S3088" s="18"/>
      <c r="T3088" s="18"/>
      <c r="U3088" s="18"/>
      <c r="V3088" s="18"/>
      <c r="W3088" s="18"/>
      <c r="X3088" s="18"/>
    </row>
    <row r="3089" spans="13:24">
      <c r="M3089" s="558">
        <f t="shared" si="149"/>
        <v>3087</v>
      </c>
      <c r="N3089" s="15">
        <f t="shared" si="147"/>
        <v>0.32074789990881131</v>
      </c>
      <c r="O3089" s="165">
        <f t="shared" si="148"/>
        <v>0.32074789990881131</v>
      </c>
      <c r="P3089" s="18"/>
      <c r="Q3089" s="18"/>
      <c r="R3089" s="18"/>
      <c r="S3089" s="18"/>
      <c r="T3089" s="18"/>
      <c r="U3089" s="18"/>
      <c r="V3089" s="18"/>
      <c r="W3089" s="18"/>
      <c r="X3089" s="18"/>
    </row>
    <row r="3090" spans="13:24">
      <c r="M3090" s="558">
        <f t="shared" si="149"/>
        <v>3088</v>
      </c>
      <c r="N3090" s="15">
        <f t="shared" si="147"/>
        <v>0.32068482582768332</v>
      </c>
      <c r="O3090" s="165">
        <f t="shared" si="148"/>
        <v>0.32068482582768332</v>
      </c>
      <c r="P3090" s="18"/>
      <c r="Q3090" s="18"/>
      <c r="R3090" s="18"/>
      <c r="S3090" s="18"/>
      <c r="T3090" s="18"/>
      <c r="U3090" s="18"/>
      <c r="V3090" s="18"/>
      <c r="W3090" s="18"/>
      <c r="X3090" s="18"/>
    </row>
    <row r="3091" spans="13:24">
      <c r="M3091" s="558">
        <f t="shared" si="149"/>
        <v>3089</v>
      </c>
      <c r="N3091" s="15">
        <f t="shared" si="147"/>
        <v>0.32062176643440915</v>
      </c>
      <c r="O3091" s="165">
        <f t="shared" si="148"/>
        <v>0.32062176643440915</v>
      </c>
      <c r="P3091" s="18"/>
      <c r="Q3091" s="18"/>
      <c r="R3091" s="18"/>
      <c r="S3091" s="18"/>
      <c r="T3091" s="18"/>
      <c r="U3091" s="18"/>
      <c r="V3091" s="18"/>
      <c r="W3091" s="18"/>
      <c r="X3091" s="18"/>
    </row>
    <row r="3092" spans="13:24">
      <c r="M3092" s="558">
        <f t="shared" si="149"/>
        <v>3090</v>
      </c>
      <c r="N3092" s="15">
        <f t="shared" si="147"/>
        <v>0.3205587217105566</v>
      </c>
      <c r="O3092" s="165">
        <f t="shared" si="148"/>
        <v>0.3205587217105566</v>
      </c>
      <c r="P3092" s="18"/>
      <c r="Q3092" s="18"/>
      <c r="R3092" s="18"/>
      <c r="S3092" s="18"/>
      <c r="T3092" s="18"/>
      <c r="U3092" s="18"/>
      <c r="V3092" s="18"/>
      <c r="W3092" s="18"/>
      <c r="X3092" s="18"/>
    </row>
    <row r="3093" spans="13:24">
      <c r="M3093" s="558">
        <f t="shared" si="149"/>
        <v>3091</v>
      </c>
      <c r="N3093" s="15">
        <f t="shared" si="147"/>
        <v>0.32049569163771691</v>
      </c>
      <c r="O3093" s="165">
        <f t="shared" si="148"/>
        <v>0.32049569163771691</v>
      </c>
      <c r="P3093" s="18"/>
      <c r="Q3093" s="18"/>
      <c r="R3093" s="18"/>
      <c r="S3093" s="18"/>
      <c r="T3093" s="18"/>
      <c r="U3093" s="18"/>
      <c r="V3093" s="18"/>
      <c r="W3093" s="18"/>
      <c r="X3093" s="18"/>
    </row>
    <row r="3094" spans="13:24">
      <c r="M3094" s="558">
        <f t="shared" si="149"/>
        <v>3092</v>
      </c>
      <c r="N3094" s="15">
        <f t="shared" si="147"/>
        <v>0.3204326761975041</v>
      </c>
      <c r="O3094" s="165">
        <f t="shared" si="148"/>
        <v>0.3204326761975041</v>
      </c>
      <c r="P3094" s="18"/>
      <c r="Q3094" s="18"/>
      <c r="R3094" s="18"/>
      <c r="S3094" s="18"/>
      <c r="T3094" s="18"/>
      <c r="U3094" s="18"/>
      <c r="V3094" s="18"/>
      <c r="W3094" s="18"/>
      <c r="X3094" s="18"/>
    </row>
    <row r="3095" spans="13:24">
      <c r="M3095" s="558">
        <f t="shared" si="149"/>
        <v>3093</v>
      </c>
      <c r="N3095" s="15">
        <f t="shared" si="147"/>
        <v>0.32036967537155536</v>
      </c>
      <c r="O3095" s="165">
        <f t="shared" si="148"/>
        <v>0.32036967537155536</v>
      </c>
      <c r="P3095" s="18"/>
      <c r="Q3095" s="18"/>
      <c r="R3095" s="18"/>
      <c r="S3095" s="18"/>
      <c r="T3095" s="18"/>
      <c r="U3095" s="18"/>
      <c r="V3095" s="18"/>
      <c r="W3095" s="18"/>
      <c r="X3095" s="18"/>
    </row>
    <row r="3096" spans="13:24">
      <c r="M3096" s="558">
        <f t="shared" si="149"/>
        <v>3094</v>
      </c>
      <c r="N3096" s="15">
        <f t="shared" si="147"/>
        <v>0.32030668914153115</v>
      </c>
      <c r="O3096" s="165">
        <f t="shared" si="148"/>
        <v>0.32030668914153115</v>
      </c>
      <c r="P3096" s="18"/>
      <c r="Q3096" s="18"/>
      <c r="R3096" s="18"/>
      <c r="S3096" s="18"/>
      <c r="T3096" s="18"/>
      <c r="U3096" s="18"/>
      <c r="V3096" s="18"/>
      <c r="W3096" s="18"/>
      <c r="X3096" s="18"/>
    </row>
    <row r="3097" spans="13:24">
      <c r="M3097" s="558">
        <f t="shared" si="149"/>
        <v>3095</v>
      </c>
      <c r="N3097" s="15">
        <f t="shared" si="147"/>
        <v>0.32024371748911462</v>
      </c>
      <c r="O3097" s="165">
        <f t="shared" si="148"/>
        <v>0.32024371748911462</v>
      </c>
      <c r="P3097" s="18"/>
      <c r="Q3097" s="18"/>
      <c r="R3097" s="18"/>
      <c r="S3097" s="18"/>
      <c r="T3097" s="18"/>
      <c r="U3097" s="18"/>
      <c r="V3097" s="18"/>
      <c r="W3097" s="18"/>
      <c r="X3097" s="18"/>
    </row>
    <row r="3098" spans="13:24">
      <c r="M3098" s="558">
        <f t="shared" si="149"/>
        <v>3096</v>
      </c>
      <c r="N3098" s="15">
        <f t="shared" si="147"/>
        <v>0.32018076039601207</v>
      </c>
      <c r="O3098" s="165">
        <f t="shared" si="148"/>
        <v>0.32018076039601207</v>
      </c>
      <c r="P3098" s="18"/>
      <c r="Q3098" s="18"/>
      <c r="R3098" s="18"/>
      <c r="S3098" s="18"/>
      <c r="T3098" s="18"/>
      <c r="U3098" s="18"/>
      <c r="V3098" s="18"/>
      <c r="W3098" s="18"/>
      <c r="X3098" s="18"/>
    </row>
    <row r="3099" spans="13:24">
      <c r="M3099" s="558">
        <f t="shared" si="149"/>
        <v>3097</v>
      </c>
      <c r="N3099" s="15">
        <f t="shared" si="147"/>
        <v>0.32011781784395266</v>
      </c>
      <c r="O3099" s="165">
        <f t="shared" si="148"/>
        <v>0.32011781784395266</v>
      </c>
      <c r="P3099" s="18"/>
      <c r="Q3099" s="18"/>
      <c r="R3099" s="18"/>
      <c r="S3099" s="18"/>
      <c r="T3099" s="18"/>
      <c r="U3099" s="18"/>
      <c r="V3099" s="18"/>
      <c r="W3099" s="18"/>
      <c r="X3099" s="18"/>
    </row>
    <row r="3100" spans="13:24">
      <c r="M3100" s="558">
        <f t="shared" si="149"/>
        <v>3098</v>
      </c>
      <c r="N3100" s="15">
        <f t="shared" si="147"/>
        <v>0.32005488981468866</v>
      </c>
      <c r="O3100" s="165">
        <f t="shared" si="148"/>
        <v>0.32005488981468866</v>
      </c>
      <c r="P3100" s="18"/>
      <c r="Q3100" s="18"/>
      <c r="R3100" s="18"/>
      <c r="S3100" s="18"/>
      <c r="T3100" s="18"/>
      <c r="U3100" s="18"/>
      <c r="V3100" s="18"/>
      <c r="W3100" s="18"/>
      <c r="X3100" s="18"/>
    </row>
    <row r="3101" spans="13:24">
      <c r="M3101" s="558">
        <f t="shared" si="149"/>
        <v>3099</v>
      </c>
      <c r="N3101" s="15">
        <f t="shared" si="147"/>
        <v>0.31999197628999515</v>
      </c>
      <c r="O3101" s="165">
        <f t="shared" si="148"/>
        <v>0.31999197628999515</v>
      </c>
      <c r="P3101" s="18"/>
      <c r="Q3101" s="18"/>
      <c r="R3101" s="18"/>
      <c r="S3101" s="18"/>
      <c r="T3101" s="18"/>
      <c r="U3101" s="18"/>
      <c r="V3101" s="18"/>
      <c r="W3101" s="18"/>
      <c r="X3101" s="18"/>
    </row>
    <row r="3102" spans="13:24">
      <c r="M3102" s="558">
        <f t="shared" si="149"/>
        <v>3100</v>
      </c>
      <c r="N3102" s="15">
        <f t="shared" si="147"/>
        <v>0.31992907725166991</v>
      </c>
      <c r="O3102" s="165">
        <f t="shared" si="148"/>
        <v>0.31992907725166991</v>
      </c>
      <c r="P3102" s="18"/>
      <c r="Q3102" s="18"/>
      <c r="R3102" s="18"/>
      <c r="S3102" s="18"/>
      <c r="T3102" s="18"/>
      <c r="U3102" s="18"/>
      <c r="V3102" s="18"/>
      <c r="W3102" s="18"/>
      <c r="X3102" s="18"/>
    </row>
    <row r="3103" spans="13:24">
      <c r="M3103" s="558">
        <f t="shared" si="149"/>
        <v>3101</v>
      </c>
      <c r="N3103" s="15">
        <f t="shared" si="147"/>
        <v>0.31986619268153382</v>
      </c>
      <c r="O3103" s="165">
        <f t="shared" si="148"/>
        <v>0.31986619268153382</v>
      </c>
      <c r="P3103" s="18"/>
      <c r="Q3103" s="18"/>
      <c r="R3103" s="18"/>
      <c r="S3103" s="18"/>
      <c r="T3103" s="18"/>
      <c r="U3103" s="18"/>
      <c r="V3103" s="18"/>
      <c r="W3103" s="18"/>
      <c r="X3103" s="18"/>
    </row>
    <row r="3104" spans="13:24">
      <c r="M3104" s="558">
        <f t="shared" si="149"/>
        <v>3102</v>
      </c>
      <c r="N3104" s="15">
        <f t="shared" si="147"/>
        <v>0.31980332256143046</v>
      </c>
      <c r="O3104" s="165">
        <f t="shared" si="148"/>
        <v>0.31980332256143046</v>
      </c>
      <c r="P3104" s="18"/>
      <c r="Q3104" s="18"/>
      <c r="R3104" s="18"/>
      <c r="S3104" s="18"/>
      <c r="T3104" s="18"/>
      <c r="U3104" s="18"/>
      <c r="V3104" s="18"/>
      <c r="W3104" s="18"/>
      <c r="X3104" s="18"/>
    </row>
    <row r="3105" spans="13:24">
      <c r="M3105" s="558">
        <f t="shared" si="149"/>
        <v>3103</v>
      </c>
      <c r="N3105" s="15">
        <f t="shared" si="147"/>
        <v>0.31974046687322616</v>
      </c>
      <c r="O3105" s="165">
        <f t="shared" si="148"/>
        <v>0.31974046687322616</v>
      </c>
      <c r="P3105" s="18"/>
      <c r="Q3105" s="18"/>
      <c r="R3105" s="18"/>
      <c r="S3105" s="18"/>
      <c r="T3105" s="18"/>
      <c r="U3105" s="18"/>
      <c r="V3105" s="18"/>
      <c r="W3105" s="18"/>
      <c r="X3105" s="18"/>
    </row>
    <row r="3106" spans="13:24">
      <c r="M3106" s="558">
        <f t="shared" si="149"/>
        <v>3104</v>
      </c>
      <c r="N3106" s="15">
        <f t="shared" si="147"/>
        <v>0.31967762559881008</v>
      </c>
      <c r="O3106" s="165">
        <f t="shared" si="148"/>
        <v>0.31967762559881008</v>
      </c>
      <c r="P3106" s="18"/>
      <c r="Q3106" s="18"/>
      <c r="R3106" s="18"/>
      <c r="S3106" s="18"/>
      <c r="T3106" s="18"/>
      <c r="U3106" s="18"/>
      <c r="V3106" s="18"/>
      <c r="W3106" s="18"/>
      <c r="X3106" s="18"/>
    </row>
    <row r="3107" spans="13:24">
      <c r="M3107" s="558">
        <f t="shared" si="149"/>
        <v>3105</v>
      </c>
      <c r="N3107" s="15">
        <f t="shared" si="147"/>
        <v>0.31961479872009396</v>
      </c>
      <c r="O3107" s="165">
        <f t="shared" si="148"/>
        <v>0.31961479872009396</v>
      </c>
      <c r="P3107" s="18"/>
      <c r="Q3107" s="18"/>
      <c r="R3107" s="18"/>
      <c r="S3107" s="18"/>
      <c r="T3107" s="18"/>
      <c r="U3107" s="18"/>
      <c r="V3107" s="18"/>
      <c r="W3107" s="18"/>
      <c r="X3107" s="18"/>
    </row>
    <row r="3108" spans="13:24">
      <c r="M3108" s="558">
        <f t="shared" si="149"/>
        <v>3106</v>
      </c>
      <c r="N3108" s="15">
        <f t="shared" si="147"/>
        <v>0.3195519862190126</v>
      </c>
      <c r="O3108" s="165">
        <f t="shared" si="148"/>
        <v>0.3195519862190126</v>
      </c>
      <c r="P3108" s="18"/>
      <c r="Q3108" s="18"/>
      <c r="R3108" s="18"/>
      <c r="S3108" s="18"/>
      <c r="T3108" s="18"/>
      <c r="U3108" s="18"/>
      <c r="V3108" s="18"/>
      <c r="W3108" s="18"/>
      <c r="X3108" s="18"/>
    </row>
    <row r="3109" spans="13:24">
      <c r="M3109" s="558">
        <f t="shared" si="149"/>
        <v>3107</v>
      </c>
      <c r="N3109" s="15">
        <f t="shared" si="147"/>
        <v>0.31948918807752302</v>
      </c>
      <c r="O3109" s="165">
        <f t="shared" si="148"/>
        <v>0.31948918807752302</v>
      </c>
      <c r="P3109" s="18"/>
      <c r="Q3109" s="18"/>
      <c r="R3109" s="18"/>
      <c r="S3109" s="18"/>
      <c r="T3109" s="18"/>
      <c r="U3109" s="18"/>
      <c r="V3109" s="18"/>
      <c r="W3109" s="18"/>
      <c r="X3109" s="18"/>
    </row>
    <row r="3110" spans="13:24">
      <c r="M3110" s="558">
        <f t="shared" si="149"/>
        <v>3108</v>
      </c>
      <c r="N3110" s="15">
        <f t="shared" si="147"/>
        <v>0.31942640427760505</v>
      </c>
      <c r="O3110" s="165">
        <f t="shared" si="148"/>
        <v>0.31942640427760505</v>
      </c>
      <c r="P3110" s="18"/>
      <c r="Q3110" s="18"/>
      <c r="R3110" s="18"/>
      <c r="S3110" s="18"/>
      <c r="T3110" s="18"/>
      <c r="U3110" s="18"/>
      <c r="V3110" s="18"/>
      <c r="W3110" s="18"/>
      <c r="X3110" s="18"/>
    </row>
    <row r="3111" spans="13:24">
      <c r="M3111" s="558">
        <f t="shared" si="149"/>
        <v>3109</v>
      </c>
      <c r="N3111" s="15">
        <f t="shared" si="147"/>
        <v>0.31936363480126134</v>
      </c>
      <c r="O3111" s="165">
        <f t="shared" si="148"/>
        <v>0.31936363480126134</v>
      </c>
      <c r="P3111" s="18"/>
      <c r="Q3111" s="18"/>
      <c r="R3111" s="18"/>
      <c r="S3111" s="18"/>
      <c r="T3111" s="18"/>
      <c r="U3111" s="18"/>
      <c r="V3111" s="18"/>
      <c r="W3111" s="18"/>
      <c r="X3111" s="18"/>
    </row>
    <row r="3112" spans="13:24">
      <c r="M3112" s="558">
        <f t="shared" si="149"/>
        <v>3110</v>
      </c>
      <c r="N3112" s="15">
        <f t="shared" si="147"/>
        <v>0.3193008796305169</v>
      </c>
      <c r="O3112" s="165">
        <f t="shared" si="148"/>
        <v>0.3193008796305169</v>
      </c>
      <c r="P3112" s="18"/>
      <c r="Q3112" s="18"/>
      <c r="R3112" s="18"/>
      <c r="S3112" s="18"/>
      <c r="T3112" s="18"/>
      <c r="U3112" s="18"/>
      <c r="V3112" s="18"/>
      <c r="W3112" s="18"/>
      <c r="X3112" s="18"/>
    </row>
    <row r="3113" spans="13:24">
      <c r="M3113" s="558">
        <f t="shared" si="149"/>
        <v>3111</v>
      </c>
      <c r="N3113" s="15">
        <f t="shared" si="147"/>
        <v>0.3192381387474193</v>
      </c>
      <c r="O3113" s="165">
        <f t="shared" si="148"/>
        <v>0.3192381387474193</v>
      </c>
      <c r="P3113" s="18"/>
      <c r="Q3113" s="18"/>
      <c r="R3113" s="18"/>
      <c r="S3113" s="18"/>
      <c r="T3113" s="18"/>
      <c r="U3113" s="18"/>
      <c r="V3113" s="18"/>
      <c r="W3113" s="18"/>
      <c r="X3113" s="18"/>
    </row>
    <row r="3114" spans="13:24">
      <c r="M3114" s="558">
        <f t="shared" si="149"/>
        <v>3112</v>
      </c>
      <c r="N3114" s="15">
        <f t="shared" si="147"/>
        <v>0.31917541213403866</v>
      </c>
      <c r="O3114" s="165">
        <f t="shared" si="148"/>
        <v>0.31917541213403866</v>
      </c>
      <c r="P3114" s="18"/>
      <c r="Q3114" s="18"/>
      <c r="R3114" s="18"/>
      <c r="S3114" s="18"/>
      <c r="T3114" s="18"/>
      <c r="U3114" s="18"/>
      <c r="V3114" s="18"/>
      <c r="W3114" s="18"/>
      <c r="X3114" s="18"/>
    </row>
    <row r="3115" spans="13:24">
      <c r="M3115" s="558">
        <f t="shared" si="149"/>
        <v>3113</v>
      </c>
      <c r="N3115" s="15">
        <f t="shared" si="147"/>
        <v>0.31911269977246776</v>
      </c>
      <c r="O3115" s="165">
        <f t="shared" si="148"/>
        <v>0.31911269977246776</v>
      </c>
      <c r="P3115" s="18"/>
      <c r="Q3115" s="18"/>
      <c r="R3115" s="18"/>
      <c r="S3115" s="18"/>
      <c r="T3115" s="18"/>
      <c r="U3115" s="18"/>
      <c r="V3115" s="18"/>
      <c r="W3115" s="18"/>
      <c r="X3115" s="18"/>
    </row>
    <row r="3116" spans="13:24">
      <c r="M3116" s="558">
        <f t="shared" si="149"/>
        <v>3114</v>
      </c>
      <c r="N3116" s="15">
        <f t="shared" si="147"/>
        <v>0.31905000164482161</v>
      </c>
      <c r="O3116" s="165">
        <f t="shared" si="148"/>
        <v>0.31905000164482161</v>
      </c>
      <c r="P3116" s="18"/>
      <c r="Q3116" s="18"/>
      <c r="R3116" s="18"/>
      <c r="S3116" s="18"/>
      <c r="T3116" s="18"/>
      <c r="U3116" s="18"/>
      <c r="V3116" s="18"/>
      <c r="W3116" s="18"/>
      <c r="X3116" s="18"/>
    </row>
    <row r="3117" spans="13:24">
      <c r="M3117" s="558">
        <f t="shared" si="149"/>
        <v>3115</v>
      </c>
      <c r="N3117" s="15">
        <f t="shared" si="147"/>
        <v>0.31898731773323785</v>
      </c>
      <c r="O3117" s="165">
        <f t="shared" si="148"/>
        <v>0.31898731773323785</v>
      </c>
      <c r="P3117" s="18"/>
      <c r="Q3117" s="18"/>
      <c r="R3117" s="18"/>
      <c r="S3117" s="18"/>
      <c r="T3117" s="18"/>
      <c r="U3117" s="18"/>
      <c r="V3117" s="18"/>
      <c r="W3117" s="18"/>
      <c r="X3117" s="18"/>
    </row>
    <row r="3118" spans="13:24">
      <c r="M3118" s="558">
        <f t="shared" si="149"/>
        <v>3116</v>
      </c>
      <c r="N3118" s="15">
        <f t="shared" si="147"/>
        <v>0.31892464801987636</v>
      </c>
      <c r="O3118" s="165">
        <f t="shared" si="148"/>
        <v>0.31892464801987636</v>
      </c>
      <c r="P3118" s="18"/>
      <c r="Q3118" s="18"/>
      <c r="R3118" s="18"/>
      <c r="S3118" s="18"/>
      <c r="T3118" s="18"/>
      <c r="U3118" s="18"/>
      <c r="V3118" s="18"/>
      <c r="W3118" s="18"/>
      <c r="X3118" s="18"/>
    </row>
    <row r="3119" spans="13:24">
      <c r="M3119" s="558">
        <f t="shared" si="149"/>
        <v>3117</v>
      </c>
      <c r="N3119" s="15">
        <f t="shared" si="147"/>
        <v>0.31886199248691965</v>
      </c>
      <c r="O3119" s="165">
        <f t="shared" si="148"/>
        <v>0.31886199248691965</v>
      </c>
      <c r="P3119" s="18"/>
      <c r="Q3119" s="18"/>
      <c r="R3119" s="18"/>
      <c r="S3119" s="18"/>
      <c r="T3119" s="18"/>
      <c r="U3119" s="18"/>
      <c r="V3119" s="18"/>
      <c r="W3119" s="18"/>
      <c r="X3119" s="18"/>
    </row>
    <row r="3120" spans="13:24">
      <c r="M3120" s="558">
        <f t="shared" si="149"/>
        <v>3118</v>
      </c>
      <c r="N3120" s="15">
        <f t="shared" si="147"/>
        <v>0.31879935111657237</v>
      </c>
      <c r="O3120" s="165">
        <f t="shared" si="148"/>
        <v>0.31879935111657237</v>
      </c>
      <c r="P3120" s="18"/>
      <c r="Q3120" s="18"/>
      <c r="R3120" s="18"/>
      <c r="S3120" s="18"/>
      <c r="T3120" s="18"/>
      <c r="U3120" s="18"/>
      <c r="V3120" s="18"/>
      <c r="W3120" s="18"/>
      <c r="X3120" s="18"/>
    </row>
    <row r="3121" spans="13:24">
      <c r="M3121" s="558">
        <f t="shared" si="149"/>
        <v>3119</v>
      </c>
      <c r="N3121" s="15">
        <f t="shared" si="147"/>
        <v>0.31873672389106161</v>
      </c>
      <c r="O3121" s="165">
        <f t="shared" si="148"/>
        <v>0.31873672389106161</v>
      </c>
      <c r="P3121" s="18"/>
      <c r="Q3121" s="18"/>
      <c r="R3121" s="18"/>
      <c r="S3121" s="18"/>
      <c r="T3121" s="18"/>
      <c r="U3121" s="18"/>
      <c r="V3121" s="18"/>
      <c r="W3121" s="18"/>
      <c r="X3121" s="18"/>
    </row>
    <row r="3122" spans="13:24">
      <c r="M3122" s="558">
        <f t="shared" si="149"/>
        <v>3120</v>
      </c>
      <c r="N3122" s="15">
        <f t="shared" si="147"/>
        <v>0.31867411079263669</v>
      </c>
      <c r="O3122" s="165">
        <f t="shared" si="148"/>
        <v>0.31867411079263669</v>
      </c>
      <c r="P3122" s="18"/>
      <c r="Q3122" s="18"/>
      <c r="R3122" s="18"/>
      <c r="S3122" s="18"/>
      <c r="T3122" s="18"/>
      <c r="U3122" s="18"/>
      <c r="V3122" s="18"/>
      <c r="W3122" s="18"/>
      <c r="X3122" s="18"/>
    </row>
    <row r="3123" spans="13:24">
      <c r="M3123" s="558">
        <f t="shared" si="149"/>
        <v>3121</v>
      </c>
      <c r="N3123" s="15">
        <f t="shared" si="147"/>
        <v>0.31861151180356928</v>
      </c>
      <c r="O3123" s="165">
        <f t="shared" si="148"/>
        <v>0.31861151180356928</v>
      </c>
      <c r="P3123" s="18"/>
      <c r="Q3123" s="18"/>
      <c r="R3123" s="18"/>
      <c r="S3123" s="18"/>
      <c r="T3123" s="18"/>
      <c r="U3123" s="18"/>
      <c r="V3123" s="18"/>
      <c r="W3123" s="18"/>
      <c r="X3123" s="18"/>
    </row>
    <row r="3124" spans="13:24">
      <c r="M3124" s="558">
        <f t="shared" si="149"/>
        <v>3122</v>
      </c>
      <c r="N3124" s="15">
        <f t="shared" si="147"/>
        <v>0.31854892690615333</v>
      </c>
      <c r="O3124" s="165">
        <f t="shared" si="148"/>
        <v>0.31854892690615333</v>
      </c>
      <c r="P3124" s="18"/>
      <c r="Q3124" s="18"/>
      <c r="R3124" s="18"/>
      <c r="S3124" s="18"/>
      <c r="T3124" s="18"/>
      <c r="U3124" s="18"/>
      <c r="V3124" s="18"/>
      <c r="W3124" s="18"/>
      <c r="X3124" s="18"/>
    </row>
    <row r="3125" spans="13:24">
      <c r="M3125" s="558">
        <f t="shared" si="149"/>
        <v>3123</v>
      </c>
      <c r="N3125" s="15">
        <f t="shared" si="147"/>
        <v>0.31848635608270481</v>
      </c>
      <c r="O3125" s="165">
        <f t="shared" si="148"/>
        <v>0.31848635608270481</v>
      </c>
      <c r="P3125" s="18"/>
      <c r="Q3125" s="18"/>
      <c r="R3125" s="18"/>
      <c r="S3125" s="18"/>
      <c r="T3125" s="18"/>
      <c r="U3125" s="18"/>
      <c r="V3125" s="18"/>
      <c r="W3125" s="18"/>
      <c r="X3125" s="18"/>
    </row>
    <row r="3126" spans="13:24">
      <c r="M3126" s="558">
        <f t="shared" si="149"/>
        <v>3124</v>
      </c>
      <c r="N3126" s="15">
        <f t="shared" si="147"/>
        <v>0.31842379931556214</v>
      </c>
      <c r="O3126" s="165">
        <f t="shared" si="148"/>
        <v>0.31842379931556214</v>
      </c>
      <c r="P3126" s="18"/>
      <c r="Q3126" s="18"/>
      <c r="R3126" s="18"/>
      <c r="S3126" s="18"/>
      <c r="T3126" s="18"/>
      <c r="U3126" s="18"/>
      <c r="V3126" s="18"/>
      <c r="W3126" s="18"/>
      <c r="X3126" s="18"/>
    </row>
    <row r="3127" spans="13:24">
      <c r="M3127" s="558">
        <f t="shared" si="149"/>
        <v>3125</v>
      </c>
      <c r="N3127" s="15">
        <f t="shared" si="147"/>
        <v>0.31836125658708575</v>
      </c>
      <c r="O3127" s="165">
        <f t="shared" si="148"/>
        <v>0.31836125658708575</v>
      </c>
      <c r="P3127" s="18"/>
      <c r="Q3127" s="18"/>
      <c r="R3127" s="18"/>
      <c r="S3127" s="18"/>
      <c r="T3127" s="18"/>
      <c r="U3127" s="18"/>
      <c r="V3127" s="18"/>
      <c r="W3127" s="18"/>
      <c r="X3127" s="18"/>
    </row>
    <row r="3128" spans="13:24">
      <c r="M3128" s="558">
        <f t="shared" si="149"/>
        <v>3126</v>
      </c>
      <c r="N3128" s="15">
        <f t="shared" si="147"/>
        <v>0.31829872787965829</v>
      </c>
      <c r="O3128" s="165">
        <f t="shared" si="148"/>
        <v>0.31829872787965829</v>
      </c>
      <c r="P3128" s="18"/>
      <c r="Q3128" s="18"/>
      <c r="R3128" s="18"/>
      <c r="S3128" s="18"/>
      <c r="T3128" s="18"/>
      <c r="U3128" s="18"/>
      <c r="V3128" s="18"/>
      <c r="W3128" s="18"/>
      <c r="X3128" s="18"/>
    </row>
    <row r="3129" spans="13:24">
      <c r="M3129" s="558">
        <f t="shared" si="149"/>
        <v>3127</v>
      </c>
      <c r="N3129" s="15">
        <f t="shared" si="147"/>
        <v>0.31823621317568429</v>
      </c>
      <c r="O3129" s="165">
        <f t="shared" si="148"/>
        <v>0.31823621317568429</v>
      </c>
      <c r="P3129" s="18"/>
      <c r="Q3129" s="18"/>
      <c r="R3129" s="18"/>
      <c r="S3129" s="18"/>
      <c r="T3129" s="18"/>
      <c r="U3129" s="18"/>
      <c r="V3129" s="18"/>
      <c r="W3129" s="18"/>
      <c r="X3129" s="18"/>
    </row>
    <row r="3130" spans="13:24">
      <c r="M3130" s="558">
        <f t="shared" si="149"/>
        <v>3128</v>
      </c>
      <c r="N3130" s="15">
        <f t="shared" si="147"/>
        <v>0.3181737124575908</v>
      </c>
      <c r="O3130" s="165">
        <f t="shared" si="148"/>
        <v>0.3181737124575908</v>
      </c>
      <c r="P3130" s="18"/>
      <c r="Q3130" s="18"/>
      <c r="R3130" s="18"/>
      <c r="S3130" s="18"/>
      <c r="T3130" s="18"/>
      <c r="U3130" s="18"/>
      <c r="V3130" s="18"/>
      <c r="W3130" s="18"/>
      <c r="X3130" s="18"/>
    </row>
    <row r="3131" spans="13:24">
      <c r="M3131" s="558">
        <f t="shared" si="149"/>
        <v>3129</v>
      </c>
      <c r="N3131" s="15">
        <f t="shared" si="147"/>
        <v>0.31811122570782646</v>
      </c>
      <c r="O3131" s="165">
        <f t="shared" si="148"/>
        <v>0.31811122570782646</v>
      </c>
      <c r="P3131" s="18"/>
      <c r="Q3131" s="18"/>
      <c r="R3131" s="18"/>
      <c r="S3131" s="18"/>
      <c r="T3131" s="18"/>
      <c r="U3131" s="18"/>
      <c r="V3131" s="18"/>
      <c r="W3131" s="18"/>
      <c r="X3131" s="18"/>
    </row>
    <row r="3132" spans="13:24">
      <c r="M3132" s="558">
        <f t="shared" si="149"/>
        <v>3130</v>
      </c>
      <c r="N3132" s="15">
        <f t="shared" si="147"/>
        <v>0.31804875290886225</v>
      </c>
      <c r="O3132" s="165">
        <f t="shared" si="148"/>
        <v>0.31804875290886225</v>
      </c>
      <c r="P3132" s="18"/>
      <c r="Q3132" s="18"/>
      <c r="R3132" s="18"/>
      <c r="S3132" s="18"/>
      <c r="T3132" s="18"/>
      <c r="U3132" s="18"/>
      <c r="V3132" s="18"/>
      <c r="W3132" s="18"/>
      <c r="X3132" s="18"/>
    </row>
    <row r="3133" spans="13:24">
      <c r="M3133" s="558">
        <f t="shared" si="149"/>
        <v>3131</v>
      </c>
      <c r="N3133" s="15">
        <f t="shared" si="147"/>
        <v>0.31798629404319095</v>
      </c>
      <c r="O3133" s="165">
        <f t="shared" si="148"/>
        <v>0.31798629404319095</v>
      </c>
      <c r="P3133" s="18"/>
      <c r="Q3133" s="18"/>
      <c r="R3133" s="18"/>
      <c r="S3133" s="18"/>
      <c r="T3133" s="18"/>
      <c r="U3133" s="18"/>
      <c r="V3133" s="18"/>
      <c r="W3133" s="18"/>
      <c r="X3133" s="18"/>
    </row>
    <row r="3134" spans="13:24">
      <c r="M3134" s="558">
        <f t="shared" si="149"/>
        <v>3132</v>
      </c>
      <c r="N3134" s="15">
        <f t="shared" si="147"/>
        <v>0.31792384909332749</v>
      </c>
      <c r="O3134" s="165">
        <f t="shared" si="148"/>
        <v>0.31792384909332749</v>
      </c>
      <c r="P3134" s="18"/>
      <c r="Q3134" s="18"/>
      <c r="R3134" s="18"/>
      <c r="S3134" s="18"/>
      <c r="T3134" s="18"/>
      <c r="U3134" s="18"/>
      <c r="V3134" s="18"/>
      <c r="W3134" s="18"/>
      <c r="X3134" s="18"/>
    </row>
    <row r="3135" spans="13:24">
      <c r="M3135" s="558">
        <f t="shared" si="149"/>
        <v>3133</v>
      </c>
      <c r="N3135" s="15">
        <f t="shared" si="147"/>
        <v>0.31786141804180862</v>
      </c>
      <c r="O3135" s="165">
        <f t="shared" si="148"/>
        <v>0.31786141804180862</v>
      </c>
      <c r="P3135" s="18"/>
      <c r="Q3135" s="18"/>
      <c r="R3135" s="18"/>
      <c r="S3135" s="18"/>
      <c r="T3135" s="18"/>
      <c r="U3135" s="18"/>
      <c r="V3135" s="18"/>
      <c r="W3135" s="18"/>
      <c r="X3135" s="18"/>
    </row>
    <row r="3136" spans="13:24">
      <c r="M3136" s="558">
        <f t="shared" si="149"/>
        <v>3134</v>
      </c>
      <c r="N3136" s="15">
        <f t="shared" si="147"/>
        <v>0.31779900087119295</v>
      </c>
      <c r="O3136" s="165">
        <f t="shared" si="148"/>
        <v>0.31779900087119295</v>
      </c>
      <c r="P3136" s="18"/>
      <c r="Q3136" s="18"/>
      <c r="R3136" s="18"/>
      <c r="S3136" s="18"/>
      <c r="T3136" s="18"/>
      <c r="U3136" s="18"/>
      <c r="V3136" s="18"/>
      <c r="W3136" s="18"/>
      <c r="X3136" s="18"/>
    </row>
    <row r="3137" spans="13:24">
      <c r="M3137" s="558">
        <f t="shared" si="149"/>
        <v>3135</v>
      </c>
      <c r="N3137" s="15">
        <f t="shared" si="147"/>
        <v>0.31773659756406114</v>
      </c>
      <c r="O3137" s="165">
        <f t="shared" si="148"/>
        <v>0.31773659756406114</v>
      </c>
      <c r="P3137" s="18"/>
      <c r="Q3137" s="18"/>
      <c r="R3137" s="18"/>
      <c r="S3137" s="18"/>
      <c r="T3137" s="18"/>
      <c r="U3137" s="18"/>
      <c r="V3137" s="18"/>
      <c r="W3137" s="18"/>
      <c r="X3137" s="18"/>
    </row>
    <row r="3138" spans="13:24">
      <c r="M3138" s="558">
        <f t="shared" si="149"/>
        <v>3136</v>
      </c>
      <c r="N3138" s="15">
        <f t="shared" si="147"/>
        <v>0.31767420810301567</v>
      </c>
      <c r="O3138" s="165">
        <f t="shared" si="148"/>
        <v>0.31767420810301567</v>
      </c>
      <c r="P3138" s="18"/>
      <c r="Q3138" s="18"/>
      <c r="R3138" s="18"/>
      <c r="S3138" s="18"/>
      <c r="T3138" s="18"/>
      <c r="U3138" s="18"/>
      <c r="V3138" s="18"/>
      <c r="W3138" s="18"/>
      <c r="X3138" s="18"/>
    </row>
    <row r="3139" spans="13:24">
      <c r="M3139" s="558">
        <f t="shared" si="149"/>
        <v>3137</v>
      </c>
      <c r="N3139" s="15">
        <f t="shared" si="147"/>
        <v>0.3176118324706807</v>
      </c>
      <c r="O3139" s="165">
        <f t="shared" si="148"/>
        <v>0.3176118324706807</v>
      </c>
      <c r="P3139" s="18"/>
      <c r="Q3139" s="18"/>
      <c r="R3139" s="18"/>
      <c r="S3139" s="18"/>
      <c r="T3139" s="18"/>
      <c r="U3139" s="18"/>
      <c r="V3139" s="18"/>
      <c r="W3139" s="18"/>
      <c r="X3139" s="18"/>
    </row>
    <row r="3140" spans="13:24">
      <c r="M3140" s="558">
        <f t="shared" si="149"/>
        <v>3138</v>
      </c>
      <c r="N3140" s="15">
        <f t="shared" ref="N3140:N3203" si="150">IF(M3140&lt;$B$31+1,$B$32+$B$33/$B$31*(8760-M3140)+$B$34*IF(M3140&lt;$B$36-$B$31/(2*$B$35),1,IF(M3140&lt;$B$36+$B$31/(2*$B$35),COS(PI()/2*(M3140-($B$36-$B$31/(2*$B$35)))*$B$35/$B$31)^2,0))+$B$37*EXP((8760-M3140)/8760*$B$38)/EXP($B$38)-(8760-$B$31)*$B$33/$B$31,0)</f>
        <v>0.31754947064970235</v>
      </c>
      <c r="O3140" s="165">
        <f t="shared" ref="O3140:O3203" si="151">MIN(N3140,C$24)</f>
        <v>0.31754947064970235</v>
      </c>
      <c r="P3140" s="18"/>
      <c r="Q3140" s="18"/>
      <c r="R3140" s="18"/>
      <c r="S3140" s="18"/>
      <c r="T3140" s="18"/>
      <c r="U3140" s="18"/>
      <c r="V3140" s="18"/>
      <c r="W3140" s="18"/>
      <c r="X3140" s="18"/>
    </row>
    <row r="3141" spans="13:24">
      <c r="M3141" s="558">
        <f t="shared" ref="M3141:M3204" si="152">M3140+1</f>
        <v>3139</v>
      </c>
      <c r="N3141" s="15">
        <f t="shared" si="150"/>
        <v>0.31748712262274859</v>
      </c>
      <c r="O3141" s="165">
        <f t="shared" si="151"/>
        <v>0.31748712262274859</v>
      </c>
      <c r="P3141" s="18"/>
      <c r="Q3141" s="18"/>
      <c r="R3141" s="18"/>
      <c r="S3141" s="18"/>
      <c r="T3141" s="18"/>
      <c r="U3141" s="18"/>
      <c r="V3141" s="18"/>
      <c r="W3141" s="18"/>
      <c r="X3141" s="18"/>
    </row>
    <row r="3142" spans="13:24">
      <c r="M3142" s="558">
        <f t="shared" si="152"/>
        <v>3140</v>
      </c>
      <c r="N3142" s="15">
        <f t="shared" si="150"/>
        <v>0.31742478837250893</v>
      </c>
      <c r="O3142" s="165">
        <f t="shared" si="151"/>
        <v>0.31742478837250893</v>
      </c>
      <c r="P3142" s="18"/>
      <c r="Q3142" s="18"/>
      <c r="R3142" s="18"/>
      <c r="S3142" s="18"/>
      <c r="T3142" s="18"/>
      <c r="U3142" s="18"/>
      <c r="V3142" s="18"/>
      <c r="W3142" s="18"/>
      <c r="X3142" s="18"/>
    </row>
    <row r="3143" spans="13:24">
      <c r="M3143" s="558">
        <f t="shared" si="152"/>
        <v>3141</v>
      </c>
      <c r="N3143" s="15">
        <f t="shared" si="150"/>
        <v>0.31736246788169464</v>
      </c>
      <c r="O3143" s="165">
        <f t="shared" si="151"/>
        <v>0.31736246788169464</v>
      </c>
      <c r="P3143" s="18"/>
      <c r="Q3143" s="18"/>
      <c r="R3143" s="18"/>
      <c r="S3143" s="18"/>
      <c r="T3143" s="18"/>
      <c r="U3143" s="18"/>
      <c r="V3143" s="18"/>
      <c r="W3143" s="18"/>
      <c r="X3143" s="18"/>
    </row>
    <row r="3144" spans="13:24">
      <c r="M3144" s="558">
        <f t="shared" si="152"/>
        <v>3142</v>
      </c>
      <c r="N3144" s="15">
        <f t="shared" si="150"/>
        <v>0.31730016113303883</v>
      </c>
      <c r="O3144" s="165">
        <f t="shared" si="151"/>
        <v>0.31730016113303883</v>
      </c>
      <c r="P3144" s="18"/>
      <c r="Q3144" s="18"/>
      <c r="R3144" s="18"/>
      <c r="S3144" s="18"/>
      <c r="T3144" s="18"/>
      <c r="U3144" s="18"/>
      <c r="V3144" s="18"/>
      <c r="W3144" s="18"/>
      <c r="X3144" s="18"/>
    </row>
    <row r="3145" spans="13:24">
      <c r="M3145" s="558">
        <f t="shared" si="152"/>
        <v>3143</v>
      </c>
      <c r="N3145" s="15">
        <f t="shared" si="150"/>
        <v>0.31723786810929616</v>
      </c>
      <c r="O3145" s="165">
        <f t="shared" si="151"/>
        <v>0.31723786810929616</v>
      </c>
      <c r="P3145" s="18"/>
      <c r="Q3145" s="18"/>
      <c r="R3145" s="18"/>
      <c r="S3145" s="18"/>
      <c r="T3145" s="18"/>
      <c r="U3145" s="18"/>
      <c r="V3145" s="18"/>
      <c r="W3145" s="18"/>
      <c r="X3145" s="18"/>
    </row>
    <row r="3146" spans="13:24">
      <c r="M3146" s="558">
        <f t="shared" si="152"/>
        <v>3144</v>
      </c>
      <c r="N3146" s="15">
        <f t="shared" si="150"/>
        <v>0.31717558879324304</v>
      </c>
      <c r="O3146" s="165">
        <f t="shared" si="151"/>
        <v>0.31717558879324304</v>
      </c>
      <c r="P3146" s="18"/>
      <c r="Q3146" s="18"/>
      <c r="R3146" s="18"/>
      <c r="S3146" s="18"/>
      <c r="T3146" s="18"/>
      <c r="U3146" s="18"/>
      <c r="V3146" s="18"/>
      <c r="W3146" s="18"/>
      <c r="X3146" s="18"/>
    </row>
    <row r="3147" spans="13:24">
      <c r="M3147" s="558">
        <f t="shared" si="152"/>
        <v>3145</v>
      </c>
      <c r="N3147" s="15">
        <f t="shared" si="150"/>
        <v>0.31711332316767732</v>
      </c>
      <c r="O3147" s="165">
        <f t="shared" si="151"/>
        <v>0.31711332316767732</v>
      </c>
      <c r="P3147" s="18"/>
      <c r="Q3147" s="18"/>
      <c r="R3147" s="18"/>
      <c r="S3147" s="18"/>
      <c r="T3147" s="18"/>
      <c r="U3147" s="18"/>
      <c r="V3147" s="18"/>
      <c r="W3147" s="18"/>
      <c r="X3147" s="18"/>
    </row>
    <row r="3148" spans="13:24">
      <c r="M3148" s="558">
        <f t="shared" si="152"/>
        <v>3146</v>
      </c>
      <c r="N3148" s="15">
        <f t="shared" si="150"/>
        <v>0.31705107121541859</v>
      </c>
      <c r="O3148" s="165">
        <f t="shared" si="151"/>
        <v>0.31705107121541859</v>
      </c>
      <c r="P3148" s="18"/>
      <c r="Q3148" s="18"/>
      <c r="R3148" s="18"/>
      <c r="S3148" s="18"/>
      <c r="T3148" s="18"/>
      <c r="U3148" s="18"/>
      <c r="V3148" s="18"/>
      <c r="W3148" s="18"/>
      <c r="X3148" s="18"/>
    </row>
    <row r="3149" spans="13:24">
      <c r="M3149" s="558">
        <f t="shared" si="152"/>
        <v>3147</v>
      </c>
      <c r="N3149" s="15">
        <f t="shared" si="150"/>
        <v>0.31698883291930791</v>
      </c>
      <c r="O3149" s="165">
        <f t="shared" si="151"/>
        <v>0.31698883291930791</v>
      </c>
      <c r="P3149" s="18"/>
      <c r="Q3149" s="18"/>
      <c r="R3149" s="18"/>
      <c r="S3149" s="18"/>
      <c r="T3149" s="18"/>
      <c r="U3149" s="18"/>
      <c r="V3149" s="18"/>
      <c r="W3149" s="18"/>
      <c r="X3149" s="18"/>
    </row>
    <row r="3150" spans="13:24">
      <c r="M3150" s="558">
        <f t="shared" si="152"/>
        <v>3148</v>
      </c>
      <c r="N3150" s="15">
        <f t="shared" si="150"/>
        <v>0.31692660826220798</v>
      </c>
      <c r="O3150" s="165">
        <f t="shared" si="151"/>
        <v>0.31692660826220798</v>
      </c>
      <c r="P3150" s="18"/>
      <c r="Q3150" s="18"/>
      <c r="R3150" s="18"/>
      <c r="S3150" s="18"/>
      <c r="T3150" s="18"/>
      <c r="U3150" s="18"/>
      <c r="V3150" s="18"/>
      <c r="W3150" s="18"/>
      <c r="X3150" s="18"/>
    </row>
    <row r="3151" spans="13:24">
      <c r="M3151" s="558">
        <f t="shared" si="152"/>
        <v>3149</v>
      </c>
      <c r="N3151" s="15">
        <f t="shared" si="150"/>
        <v>0.31686439722700288</v>
      </c>
      <c r="O3151" s="165">
        <f t="shared" si="151"/>
        <v>0.31686439722700288</v>
      </c>
      <c r="P3151" s="18"/>
      <c r="Q3151" s="18"/>
      <c r="R3151" s="18"/>
      <c r="S3151" s="18"/>
      <c r="T3151" s="18"/>
      <c r="U3151" s="18"/>
      <c r="V3151" s="18"/>
      <c r="W3151" s="18"/>
      <c r="X3151" s="18"/>
    </row>
    <row r="3152" spans="13:24">
      <c r="M3152" s="558">
        <f t="shared" si="152"/>
        <v>3150</v>
      </c>
      <c r="N3152" s="15">
        <f t="shared" si="150"/>
        <v>0.31680219979659824</v>
      </c>
      <c r="O3152" s="165">
        <f t="shared" si="151"/>
        <v>0.31680219979659824</v>
      </c>
      <c r="P3152" s="18"/>
      <c r="Q3152" s="18"/>
      <c r="R3152" s="18"/>
      <c r="S3152" s="18"/>
      <c r="T3152" s="18"/>
      <c r="U3152" s="18"/>
      <c r="V3152" s="18"/>
      <c r="W3152" s="18"/>
      <c r="X3152" s="18"/>
    </row>
    <row r="3153" spans="13:24">
      <c r="M3153" s="558">
        <f t="shared" si="152"/>
        <v>3151</v>
      </c>
      <c r="N3153" s="15">
        <f t="shared" si="150"/>
        <v>0.31674001595392109</v>
      </c>
      <c r="O3153" s="165">
        <f t="shared" si="151"/>
        <v>0.31674001595392109</v>
      </c>
      <c r="P3153" s="18"/>
      <c r="Q3153" s="18"/>
      <c r="R3153" s="18"/>
      <c r="S3153" s="18"/>
      <c r="T3153" s="18"/>
      <c r="U3153" s="18"/>
      <c r="V3153" s="18"/>
      <c r="W3153" s="18"/>
      <c r="X3153" s="18"/>
    </row>
    <row r="3154" spans="13:24">
      <c r="M3154" s="558">
        <f t="shared" si="152"/>
        <v>3152</v>
      </c>
      <c r="N3154" s="15">
        <f t="shared" si="150"/>
        <v>0.31667784568192003</v>
      </c>
      <c r="O3154" s="165">
        <f t="shared" si="151"/>
        <v>0.31667784568192003</v>
      </c>
      <c r="P3154" s="18"/>
      <c r="Q3154" s="18"/>
      <c r="R3154" s="18"/>
      <c r="S3154" s="18"/>
      <c r="T3154" s="18"/>
      <c r="U3154" s="18"/>
      <c r="V3154" s="18"/>
      <c r="W3154" s="18"/>
      <c r="X3154" s="18"/>
    </row>
    <row r="3155" spans="13:24">
      <c r="M3155" s="558">
        <f t="shared" si="152"/>
        <v>3153</v>
      </c>
      <c r="N3155" s="15">
        <f t="shared" si="150"/>
        <v>0.31661568896356485</v>
      </c>
      <c r="O3155" s="165">
        <f t="shared" si="151"/>
        <v>0.31661568896356485</v>
      </c>
      <c r="P3155" s="18"/>
      <c r="Q3155" s="18"/>
      <c r="R3155" s="18"/>
      <c r="S3155" s="18"/>
      <c r="T3155" s="18"/>
      <c r="U3155" s="18"/>
      <c r="V3155" s="18"/>
      <c r="W3155" s="18"/>
      <c r="X3155" s="18"/>
    </row>
    <row r="3156" spans="13:24">
      <c r="M3156" s="558">
        <f t="shared" si="152"/>
        <v>3154</v>
      </c>
      <c r="N3156" s="15">
        <f t="shared" si="150"/>
        <v>0.31655354578184686</v>
      </c>
      <c r="O3156" s="165">
        <f t="shared" si="151"/>
        <v>0.31655354578184686</v>
      </c>
      <c r="P3156" s="18"/>
      <c r="Q3156" s="18"/>
      <c r="R3156" s="18"/>
      <c r="S3156" s="18"/>
      <c r="T3156" s="18"/>
      <c r="U3156" s="18"/>
      <c r="V3156" s="18"/>
      <c r="W3156" s="18"/>
      <c r="X3156" s="18"/>
    </row>
    <row r="3157" spans="13:24">
      <c r="M3157" s="558">
        <f t="shared" si="152"/>
        <v>3155</v>
      </c>
      <c r="N3157" s="15">
        <f t="shared" si="150"/>
        <v>0.31649141611977866</v>
      </c>
      <c r="O3157" s="165">
        <f t="shared" si="151"/>
        <v>0.31649141611977866</v>
      </c>
      <c r="P3157" s="18"/>
      <c r="Q3157" s="18"/>
      <c r="R3157" s="18"/>
      <c r="S3157" s="18"/>
      <c r="T3157" s="18"/>
      <c r="U3157" s="18"/>
      <c r="V3157" s="18"/>
      <c r="W3157" s="18"/>
      <c r="X3157" s="18"/>
    </row>
    <row r="3158" spans="13:24">
      <c r="M3158" s="558">
        <f t="shared" si="152"/>
        <v>3156</v>
      </c>
      <c r="N3158" s="15">
        <f t="shared" si="150"/>
        <v>0.31642929996039415</v>
      </c>
      <c r="O3158" s="165">
        <f t="shared" si="151"/>
        <v>0.31642929996039415</v>
      </c>
      <c r="P3158" s="18"/>
      <c r="Q3158" s="18"/>
      <c r="R3158" s="18"/>
      <c r="S3158" s="18"/>
      <c r="T3158" s="18"/>
      <c r="U3158" s="18"/>
      <c r="V3158" s="18"/>
      <c r="W3158" s="18"/>
      <c r="X3158" s="18"/>
    </row>
    <row r="3159" spans="13:24">
      <c r="M3159" s="558">
        <f t="shared" si="152"/>
        <v>3157</v>
      </c>
      <c r="N3159" s="15">
        <f t="shared" si="150"/>
        <v>0.31636719728674856</v>
      </c>
      <c r="O3159" s="165">
        <f t="shared" si="151"/>
        <v>0.31636719728674856</v>
      </c>
      <c r="P3159" s="18"/>
      <c r="Q3159" s="18"/>
      <c r="R3159" s="18"/>
      <c r="S3159" s="18"/>
      <c r="T3159" s="18"/>
      <c r="U3159" s="18"/>
      <c r="V3159" s="18"/>
      <c r="W3159" s="18"/>
      <c r="X3159" s="18"/>
    </row>
    <row r="3160" spans="13:24">
      <c r="M3160" s="558">
        <f t="shared" si="152"/>
        <v>3158</v>
      </c>
      <c r="N3160" s="15">
        <f t="shared" si="150"/>
        <v>0.31630510808191836</v>
      </c>
      <c r="O3160" s="165">
        <f t="shared" si="151"/>
        <v>0.31630510808191836</v>
      </c>
      <c r="P3160" s="18"/>
      <c r="Q3160" s="18"/>
      <c r="R3160" s="18"/>
      <c r="S3160" s="18"/>
      <c r="T3160" s="18"/>
      <c r="U3160" s="18"/>
      <c r="V3160" s="18"/>
      <c r="W3160" s="18"/>
      <c r="X3160" s="18"/>
    </row>
    <row r="3161" spans="13:24">
      <c r="M3161" s="558">
        <f t="shared" si="152"/>
        <v>3159</v>
      </c>
      <c r="N3161" s="15">
        <f t="shared" si="150"/>
        <v>0.31624303232900136</v>
      </c>
      <c r="O3161" s="165">
        <f t="shared" si="151"/>
        <v>0.31624303232900136</v>
      </c>
      <c r="P3161" s="18"/>
      <c r="Q3161" s="18"/>
      <c r="R3161" s="18"/>
      <c r="S3161" s="18"/>
      <c r="T3161" s="18"/>
      <c r="U3161" s="18"/>
      <c r="V3161" s="18"/>
      <c r="W3161" s="18"/>
      <c r="X3161" s="18"/>
    </row>
    <row r="3162" spans="13:24">
      <c r="M3162" s="558">
        <f t="shared" si="152"/>
        <v>3160</v>
      </c>
      <c r="N3162" s="15">
        <f t="shared" si="150"/>
        <v>0.31618097001111639</v>
      </c>
      <c r="O3162" s="165">
        <f t="shared" si="151"/>
        <v>0.31618097001111639</v>
      </c>
      <c r="P3162" s="18"/>
      <c r="Q3162" s="18"/>
      <c r="R3162" s="18"/>
      <c r="S3162" s="18"/>
      <c r="T3162" s="18"/>
      <c r="U3162" s="18"/>
      <c r="V3162" s="18"/>
      <c r="W3162" s="18"/>
      <c r="X3162" s="18"/>
    </row>
    <row r="3163" spans="13:24">
      <c r="M3163" s="558">
        <f t="shared" si="152"/>
        <v>3161</v>
      </c>
      <c r="N3163" s="15">
        <f t="shared" si="150"/>
        <v>0.31611892111140349</v>
      </c>
      <c r="O3163" s="165">
        <f t="shared" si="151"/>
        <v>0.31611892111140349</v>
      </c>
      <c r="P3163" s="18"/>
      <c r="Q3163" s="18"/>
      <c r="R3163" s="18"/>
      <c r="S3163" s="18"/>
      <c r="T3163" s="18"/>
      <c r="U3163" s="18"/>
      <c r="V3163" s="18"/>
      <c r="W3163" s="18"/>
      <c r="X3163" s="18"/>
    </row>
    <row r="3164" spans="13:24">
      <c r="M3164" s="558">
        <f t="shared" si="152"/>
        <v>3162</v>
      </c>
      <c r="N3164" s="15">
        <f t="shared" si="150"/>
        <v>0.31605688561302414</v>
      </c>
      <c r="O3164" s="165">
        <f t="shared" si="151"/>
        <v>0.31605688561302414</v>
      </c>
      <c r="P3164" s="18"/>
      <c r="Q3164" s="18"/>
      <c r="R3164" s="18"/>
      <c r="S3164" s="18"/>
      <c r="T3164" s="18"/>
      <c r="U3164" s="18"/>
      <c r="V3164" s="18"/>
      <c r="W3164" s="18"/>
      <c r="X3164" s="18"/>
    </row>
    <row r="3165" spans="13:24">
      <c r="M3165" s="558">
        <f t="shared" si="152"/>
        <v>3163</v>
      </c>
      <c r="N3165" s="15">
        <f t="shared" si="150"/>
        <v>0.31599486349916062</v>
      </c>
      <c r="O3165" s="165">
        <f t="shared" si="151"/>
        <v>0.31599486349916062</v>
      </c>
      <c r="P3165" s="18"/>
      <c r="Q3165" s="18"/>
      <c r="R3165" s="18"/>
      <c r="S3165" s="18"/>
      <c r="T3165" s="18"/>
      <c r="U3165" s="18"/>
      <c r="V3165" s="18"/>
      <c r="W3165" s="18"/>
      <c r="X3165" s="18"/>
    </row>
    <row r="3166" spans="13:24">
      <c r="M3166" s="558">
        <f t="shared" si="152"/>
        <v>3164</v>
      </c>
      <c r="N3166" s="15">
        <f t="shared" si="150"/>
        <v>0.31593285475301647</v>
      </c>
      <c r="O3166" s="165">
        <f t="shared" si="151"/>
        <v>0.31593285475301647</v>
      </c>
      <c r="P3166" s="18"/>
      <c r="Q3166" s="18"/>
      <c r="R3166" s="18"/>
      <c r="S3166" s="18"/>
      <c r="T3166" s="18"/>
      <c r="U3166" s="18"/>
      <c r="V3166" s="18"/>
      <c r="W3166" s="18"/>
      <c r="X3166" s="18"/>
    </row>
    <row r="3167" spans="13:24">
      <c r="M3167" s="558">
        <f t="shared" si="152"/>
        <v>3165</v>
      </c>
      <c r="N3167" s="15">
        <f t="shared" si="150"/>
        <v>0.31587085935781617</v>
      </c>
      <c r="O3167" s="165">
        <f t="shared" si="151"/>
        <v>0.31587085935781617</v>
      </c>
      <c r="P3167" s="18"/>
      <c r="Q3167" s="18"/>
      <c r="R3167" s="18"/>
      <c r="S3167" s="18"/>
      <c r="T3167" s="18"/>
      <c r="U3167" s="18"/>
      <c r="V3167" s="18"/>
      <c r="W3167" s="18"/>
      <c r="X3167" s="18"/>
    </row>
    <row r="3168" spans="13:24">
      <c r="M3168" s="558">
        <f t="shared" si="152"/>
        <v>3166</v>
      </c>
      <c r="N3168" s="15">
        <f t="shared" si="150"/>
        <v>0.31580887729680551</v>
      </c>
      <c r="O3168" s="165">
        <f t="shared" si="151"/>
        <v>0.31580887729680551</v>
      </c>
      <c r="P3168" s="18"/>
      <c r="Q3168" s="18"/>
      <c r="R3168" s="18"/>
      <c r="S3168" s="18"/>
      <c r="T3168" s="18"/>
      <c r="U3168" s="18"/>
      <c r="V3168" s="18"/>
      <c r="W3168" s="18"/>
      <c r="X3168" s="18"/>
    </row>
    <row r="3169" spans="13:24">
      <c r="M3169" s="558">
        <f t="shared" si="152"/>
        <v>3167</v>
      </c>
      <c r="N3169" s="15">
        <f t="shared" si="150"/>
        <v>0.31574690855325105</v>
      </c>
      <c r="O3169" s="165">
        <f t="shared" si="151"/>
        <v>0.31574690855325105</v>
      </c>
      <c r="P3169" s="18"/>
      <c r="Q3169" s="18"/>
      <c r="R3169" s="18"/>
      <c r="S3169" s="18"/>
      <c r="T3169" s="18"/>
      <c r="U3169" s="18"/>
      <c r="V3169" s="18"/>
      <c r="W3169" s="18"/>
      <c r="X3169" s="18"/>
    </row>
    <row r="3170" spans="13:24">
      <c r="M3170" s="558">
        <f t="shared" si="152"/>
        <v>3168</v>
      </c>
      <c r="N3170" s="15">
        <f t="shared" si="150"/>
        <v>0.31568495311044048</v>
      </c>
      <c r="O3170" s="165">
        <f t="shared" si="151"/>
        <v>0.31568495311044048</v>
      </c>
      <c r="P3170" s="18"/>
      <c r="Q3170" s="18"/>
      <c r="R3170" s="18"/>
      <c r="S3170" s="18"/>
      <c r="T3170" s="18"/>
      <c r="U3170" s="18"/>
      <c r="V3170" s="18"/>
      <c r="W3170" s="18"/>
      <c r="X3170" s="18"/>
    </row>
    <row r="3171" spans="13:24">
      <c r="M3171" s="558">
        <f t="shared" si="152"/>
        <v>3169</v>
      </c>
      <c r="N3171" s="15">
        <f t="shared" si="150"/>
        <v>0.31562301095168249</v>
      </c>
      <c r="O3171" s="165">
        <f t="shared" si="151"/>
        <v>0.31562301095168249</v>
      </c>
      <c r="P3171" s="18"/>
      <c r="Q3171" s="18"/>
      <c r="R3171" s="18"/>
      <c r="S3171" s="18"/>
      <c r="T3171" s="18"/>
      <c r="U3171" s="18"/>
      <c r="V3171" s="18"/>
      <c r="W3171" s="18"/>
      <c r="X3171" s="18"/>
    </row>
    <row r="3172" spans="13:24">
      <c r="M3172" s="558">
        <f t="shared" si="152"/>
        <v>3170</v>
      </c>
      <c r="N3172" s="15">
        <f t="shared" si="150"/>
        <v>0.31556108206030659</v>
      </c>
      <c r="O3172" s="165">
        <f t="shared" si="151"/>
        <v>0.31556108206030659</v>
      </c>
      <c r="P3172" s="18"/>
      <c r="Q3172" s="18"/>
      <c r="R3172" s="18"/>
      <c r="S3172" s="18"/>
      <c r="T3172" s="18"/>
      <c r="U3172" s="18"/>
      <c r="V3172" s="18"/>
      <c r="W3172" s="18"/>
      <c r="X3172" s="18"/>
    </row>
    <row r="3173" spans="13:24">
      <c r="M3173" s="558">
        <f t="shared" si="152"/>
        <v>3171</v>
      </c>
      <c r="N3173" s="15">
        <f t="shared" si="150"/>
        <v>0.3154991664196633</v>
      </c>
      <c r="O3173" s="165">
        <f t="shared" si="151"/>
        <v>0.3154991664196633</v>
      </c>
      <c r="P3173" s="18"/>
      <c r="Q3173" s="18"/>
      <c r="R3173" s="18"/>
      <c r="S3173" s="18"/>
      <c r="T3173" s="18"/>
      <c r="U3173" s="18"/>
      <c r="V3173" s="18"/>
      <c r="W3173" s="18"/>
      <c r="X3173" s="18"/>
    </row>
    <row r="3174" spans="13:24">
      <c r="M3174" s="558">
        <f t="shared" si="152"/>
        <v>3172</v>
      </c>
      <c r="N3174" s="15">
        <f t="shared" si="150"/>
        <v>0.315437264013124</v>
      </c>
      <c r="O3174" s="165">
        <f t="shared" si="151"/>
        <v>0.315437264013124</v>
      </c>
      <c r="P3174" s="18"/>
      <c r="Q3174" s="18"/>
      <c r="R3174" s="18"/>
      <c r="S3174" s="18"/>
      <c r="T3174" s="18"/>
      <c r="U3174" s="18"/>
      <c r="V3174" s="18"/>
      <c r="W3174" s="18"/>
      <c r="X3174" s="18"/>
    </row>
    <row r="3175" spans="13:24">
      <c r="M3175" s="558">
        <f t="shared" si="152"/>
        <v>3173</v>
      </c>
      <c r="N3175" s="15">
        <f t="shared" si="150"/>
        <v>0.31537537482408101</v>
      </c>
      <c r="O3175" s="165">
        <f t="shared" si="151"/>
        <v>0.31537537482408101</v>
      </c>
      <c r="P3175" s="18"/>
      <c r="Q3175" s="18"/>
      <c r="R3175" s="18"/>
      <c r="S3175" s="18"/>
      <c r="T3175" s="18"/>
      <c r="U3175" s="18"/>
      <c r="V3175" s="18"/>
      <c r="W3175" s="18"/>
      <c r="X3175" s="18"/>
    </row>
    <row r="3176" spans="13:24">
      <c r="M3176" s="558">
        <f t="shared" si="152"/>
        <v>3174</v>
      </c>
      <c r="N3176" s="15">
        <f t="shared" si="150"/>
        <v>0.31531349883594739</v>
      </c>
      <c r="O3176" s="165">
        <f t="shared" si="151"/>
        <v>0.31531349883594739</v>
      </c>
      <c r="P3176" s="18"/>
      <c r="Q3176" s="18"/>
      <c r="R3176" s="18"/>
      <c r="S3176" s="18"/>
      <c r="T3176" s="18"/>
      <c r="U3176" s="18"/>
      <c r="V3176" s="18"/>
      <c r="W3176" s="18"/>
      <c r="X3176" s="18"/>
    </row>
    <row r="3177" spans="13:24">
      <c r="M3177" s="558">
        <f t="shared" si="152"/>
        <v>3175</v>
      </c>
      <c r="N3177" s="15">
        <f t="shared" si="150"/>
        <v>0.31525163603215706</v>
      </c>
      <c r="O3177" s="165">
        <f t="shared" si="151"/>
        <v>0.31525163603215706</v>
      </c>
      <c r="P3177" s="18"/>
      <c r="Q3177" s="18"/>
      <c r="R3177" s="18"/>
      <c r="S3177" s="18"/>
      <c r="T3177" s="18"/>
      <c r="U3177" s="18"/>
      <c r="V3177" s="18"/>
      <c r="W3177" s="18"/>
      <c r="X3177" s="18"/>
    </row>
    <row r="3178" spans="13:24">
      <c r="M3178" s="558">
        <f t="shared" si="152"/>
        <v>3176</v>
      </c>
      <c r="N3178" s="15">
        <f t="shared" si="150"/>
        <v>0.31518978639616468</v>
      </c>
      <c r="O3178" s="165">
        <f t="shared" si="151"/>
        <v>0.31518978639616468</v>
      </c>
      <c r="P3178" s="18"/>
      <c r="Q3178" s="18"/>
      <c r="R3178" s="18"/>
      <c r="S3178" s="18"/>
      <c r="T3178" s="18"/>
      <c r="U3178" s="18"/>
      <c r="V3178" s="18"/>
      <c r="W3178" s="18"/>
      <c r="X3178" s="18"/>
    </row>
    <row r="3179" spans="13:24">
      <c r="M3179" s="558">
        <f t="shared" si="152"/>
        <v>3177</v>
      </c>
      <c r="N3179" s="15">
        <f t="shared" si="150"/>
        <v>0.31512794991144583</v>
      </c>
      <c r="O3179" s="165">
        <f t="shared" si="151"/>
        <v>0.31512794991144583</v>
      </c>
      <c r="P3179" s="18"/>
      <c r="Q3179" s="18"/>
      <c r="R3179" s="18"/>
      <c r="S3179" s="18"/>
      <c r="T3179" s="18"/>
      <c r="U3179" s="18"/>
      <c r="V3179" s="18"/>
      <c r="W3179" s="18"/>
      <c r="X3179" s="18"/>
    </row>
    <row r="3180" spans="13:24">
      <c r="M3180" s="558">
        <f t="shared" si="152"/>
        <v>3178</v>
      </c>
      <c r="N3180" s="15">
        <f t="shared" si="150"/>
        <v>0.31506612656149668</v>
      </c>
      <c r="O3180" s="165">
        <f t="shared" si="151"/>
        <v>0.31506612656149668</v>
      </c>
      <c r="P3180" s="18"/>
      <c r="Q3180" s="18"/>
      <c r="R3180" s="18"/>
      <c r="S3180" s="18"/>
      <c r="T3180" s="18"/>
      <c r="U3180" s="18"/>
      <c r="V3180" s="18"/>
      <c r="W3180" s="18"/>
      <c r="X3180" s="18"/>
    </row>
    <row r="3181" spans="13:24">
      <c r="M3181" s="558">
        <f t="shared" si="152"/>
        <v>3179</v>
      </c>
      <c r="N3181" s="15">
        <f t="shared" si="150"/>
        <v>0.31500431632983411</v>
      </c>
      <c r="O3181" s="165">
        <f t="shared" si="151"/>
        <v>0.31500431632983411</v>
      </c>
      <c r="P3181" s="18"/>
      <c r="Q3181" s="18"/>
      <c r="R3181" s="18"/>
      <c r="S3181" s="18"/>
      <c r="T3181" s="18"/>
      <c r="U3181" s="18"/>
      <c r="V3181" s="18"/>
      <c r="W3181" s="18"/>
      <c r="X3181" s="18"/>
    </row>
    <row r="3182" spans="13:24">
      <c r="M3182" s="558">
        <f t="shared" si="152"/>
        <v>3180</v>
      </c>
      <c r="N3182" s="15">
        <f t="shared" si="150"/>
        <v>0.31494251919999566</v>
      </c>
      <c r="O3182" s="165">
        <f t="shared" si="151"/>
        <v>0.31494251919999566</v>
      </c>
      <c r="P3182" s="18"/>
      <c r="Q3182" s="18"/>
      <c r="R3182" s="18"/>
      <c r="S3182" s="18"/>
      <c r="T3182" s="18"/>
      <c r="U3182" s="18"/>
      <c r="V3182" s="18"/>
      <c r="W3182" s="18"/>
      <c r="X3182" s="18"/>
    </row>
    <row r="3183" spans="13:24">
      <c r="M3183" s="558">
        <f t="shared" si="152"/>
        <v>3181</v>
      </c>
      <c r="N3183" s="15">
        <f t="shared" si="150"/>
        <v>0.31488073515553977</v>
      </c>
      <c r="O3183" s="165">
        <f t="shared" si="151"/>
        <v>0.31488073515553977</v>
      </c>
      <c r="P3183" s="18"/>
      <c r="Q3183" s="18"/>
      <c r="R3183" s="18"/>
      <c r="S3183" s="18"/>
      <c r="T3183" s="18"/>
      <c r="U3183" s="18"/>
      <c r="V3183" s="18"/>
      <c r="W3183" s="18"/>
      <c r="X3183" s="18"/>
    </row>
    <row r="3184" spans="13:24">
      <c r="M3184" s="558">
        <f t="shared" si="152"/>
        <v>3182</v>
      </c>
      <c r="N3184" s="15">
        <f t="shared" si="150"/>
        <v>0.31481896418004524</v>
      </c>
      <c r="O3184" s="165">
        <f t="shared" si="151"/>
        <v>0.31481896418004524</v>
      </c>
      <c r="P3184" s="18"/>
      <c r="Q3184" s="18"/>
      <c r="R3184" s="18"/>
      <c r="S3184" s="18"/>
      <c r="T3184" s="18"/>
      <c r="U3184" s="18"/>
      <c r="V3184" s="18"/>
      <c r="W3184" s="18"/>
      <c r="X3184" s="18"/>
    </row>
    <row r="3185" spans="13:24">
      <c r="M3185" s="558">
        <f t="shared" si="152"/>
        <v>3183</v>
      </c>
      <c r="N3185" s="15">
        <f t="shared" si="150"/>
        <v>0.31475720625711151</v>
      </c>
      <c r="O3185" s="165">
        <f t="shared" si="151"/>
        <v>0.31475720625711151</v>
      </c>
      <c r="P3185" s="18"/>
      <c r="Q3185" s="18"/>
      <c r="R3185" s="18"/>
      <c r="S3185" s="18"/>
      <c r="T3185" s="18"/>
      <c r="U3185" s="18"/>
      <c r="V3185" s="18"/>
      <c r="W3185" s="18"/>
      <c r="X3185" s="18"/>
    </row>
    <row r="3186" spans="13:24">
      <c r="M3186" s="558">
        <f t="shared" si="152"/>
        <v>3184</v>
      </c>
      <c r="N3186" s="15">
        <f t="shared" si="150"/>
        <v>0.31469546137035881</v>
      </c>
      <c r="O3186" s="165">
        <f t="shared" si="151"/>
        <v>0.31469546137035881</v>
      </c>
      <c r="P3186" s="18"/>
      <c r="Q3186" s="18"/>
      <c r="R3186" s="18"/>
      <c r="S3186" s="18"/>
      <c r="T3186" s="18"/>
      <c r="U3186" s="18"/>
      <c r="V3186" s="18"/>
      <c r="W3186" s="18"/>
      <c r="X3186" s="18"/>
    </row>
    <row r="3187" spans="13:24">
      <c r="M3187" s="558">
        <f t="shared" si="152"/>
        <v>3185</v>
      </c>
      <c r="N3187" s="15">
        <f t="shared" si="150"/>
        <v>0.31463372950342766</v>
      </c>
      <c r="O3187" s="165">
        <f t="shared" si="151"/>
        <v>0.31463372950342766</v>
      </c>
      <c r="P3187" s="18"/>
      <c r="Q3187" s="18"/>
      <c r="R3187" s="18"/>
      <c r="S3187" s="18"/>
      <c r="T3187" s="18"/>
      <c r="U3187" s="18"/>
      <c r="V3187" s="18"/>
      <c r="W3187" s="18"/>
      <c r="X3187" s="18"/>
    </row>
    <row r="3188" spans="13:24">
      <c r="M3188" s="558">
        <f t="shared" si="152"/>
        <v>3186</v>
      </c>
      <c r="N3188" s="15">
        <f t="shared" si="150"/>
        <v>0.3145720106399793</v>
      </c>
      <c r="O3188" s="165">
        <f t="shared" si="151"/>
        <v>0.3145720106399793</v>
      </c>
      <c r="P3188" s="18"/>
      <c r="Q3188" s="18"/>
      <c r="R3188" s="18"/>
      <c r="S3188" s="18"/>
      <c r="T3188" s="18"/>
      <c r="U3188" s="18"/>
      <c r="V3188" s="18"/>
      <c r="W3188" s="18"/>
      <c r="X3188" s="18"/>
    </row>
    <row r="3189" spans="13:24">
      <c r="M3189" s="558">
        <f t="shared" si="152"/>
        <v>3187</v>
      </c>
      <c r="N3189" s="15">
        <f t="shared" si="150"/>
        <v>0.31451030476369529</v>
      </c>
      <c r="O3189" s="165">
        <f t="shared" si="151"/>
        <v>0.31451030476369529</v>
      </c>
      <c r="P3189" s="18"/>
      <c r="Q3189" s="18"/>
      <c r="R3189" s="18"/>
      <c r="S3189" s="18"/>
      <c r="T3189" s="18"/>
      <c r="U3189" s="18"/>
      <c r="V3189" s="18"/>
      <c r="W3189" s="18"/>
      <c r="X3189" s="18"/>
    </row>
    <row r="3190" spans="13:24">
      <c r="M3190" s="558">
        <f t="shared" si="152"/>
        <v>3188</v>
      </c>
      <c r="N3190" s="15">
        <f t="shared" si="150"/>
        <v>0.31444861185827794</v>
      </c>
      <c r="O3190" s="165">
        <f t="shared" si="151"/>
        <v>0.31444861185827794</v>
      </c>
      <c r="P3190" s="18"/>
      <c r="Q3190" s="18"/>
      <c r="R3190" s="18"/>
      <c r="S3190" s="18"/>
      <c r="T3190" s="18"/>
      <c r="U3190" s="18"/>
      <c r="V3190" s="18"/>
      <c r="W3190" s="18"/>
      <c r="X3190" s="18"/>
    </row>
    <row r="3191" spans="13:24">
      <c r="M3191" s="558">
        <f t="shared" si="152"/>
        <v>3189</v>
      </c>
      <c r="N3191" s="15">
        <f t="shared" si="150"/>
        <v>0.31438693190744976</v>
      </c>
      <c r="O3191" s="165">
        <f t="shared" si="151"/>
        <v>0.31438693190744976</v>
      </c>
      <c r="P3191" s="18"/>
      <c r="Q3191" s="18"/>
      <c r="R3191" s="18"/>
      <c r="S3191" s="18"/>
      <c r="T3191" s="18"/>
      <c r="U3191" s="18"/>
      <c r="V3191" s="18"/>
      <c r="W3191" s="18"/>
      <c r="X3191" s="18"/>
    </row>
    <row r="3192" spans="13:24">
      <c r="M3192" s="558">
        <f t="shared" si="152"/>
        <v>3190</v>
      </c>
      <c r="N3192" s="15">
        <f t="shared" si="150"/>
        <v>0.31432526489495383</v>
      </c>
      <c r="O3192" s="165">
        <f t="shared" si="151"/>
        <v>0.31432526489495383</v>
      </c>
      <c r="P3192" s="18"/>
      <c r="Q3192" s="18"/>
      <c r="R3192" s="18"/>
      <c r="S3192" s="18"/>
      <c r="T3192" s="18"/>
      <c r="U3192" s="18"/>
      <c r="V3192" s="18"/>
      <c r="W3192" s="18"/>
      <c r="X3192" s="18"/>
    </row>
    <row r="3193" spans="13:24">
      <c r="M3193" s="558">
        <f t="shared" si="152"/>
        <v>3191</v>
      </c>
      <c r="N3193" s="15">
        <f t="shared" si="150"/>
        <v>0.31426361080455345</v>
      </c>
      <c r="O3193" s="165">
        <f t="shared" si="151"/>
        <v>0.31426361080455345</v>
      </c>
      <c r="P3193" s="18"/>
      <c r="Q3193" s="18"/>
      <c r="R3193" s="18"/>
      <c r="S3193" s="18"/>
      <c r="T3193" s="18"/>
      <c r="U3193" s="18"/>
      <c r="V3193" s="18"/>
      <c r="W3193" s="18"/>
      <c r="X3193" s="18"/>
    </row>
    <row r="3194" spans="13:24">
      <c r="M3194" s="558">
        <f t="shared" si="152"/>
        <v>3192</v>
      </c>
      <c r="N3194" s="15">
        <f t="shared" si="150"/>
        <v>0.31420196962003266</v>
      </c>
      <c r="O3194" s="165">
        <f t="shared" si="151"/>
        <v>0.31420196962003266</v>
      </c>
      <c r="P3194" s="18"/>
      <c r="Q3194" s="18"/>
      <c r="R3194" s="18"/>
      <c r="S3194" s="18"/>
      <c r="T3194" s="18"/>
      <c r="U3194" s="18"/>
      <c r="V3194" s="18"/>
      <c r="W3194" s="18"/>
      <c r="X3194" s="18"/>
    </row>
    <row r="3195" spans="13:24">
      <c r="M3195" s="558">
        <f t="shared" si="152"/>
        <v>3193</v>
      </c>
      <c r="N3195" s="15">
        <f t="shared" si="150"/>
        <v>0.31414034132519542</v>
      </c>
      <c r="O3195" s="165">
        <f t="shared" si="151"/>
        <v>0.31414034132519542</v>
      </c>
      <c r="P3195" s="18"/>
      <c r="Q3195" s="18"/>
      <c r="R3195" s="18"/>
      <c r="S3195" s="18"/>
      <c r="T3195" s="18"/>
      <c r="U3195" s="18"/>
      <c r="V3195" s="18"/>
      <c r="W3195" s="18"/>
      <c r="X3195" s="18"/>
    </row>
    <row r="3196" spans="13:24">
      <c r="M3196" s="558">
        <f t="shared" si="152"/>
        <v>3194</v>
      </c>
      <c r="N3196" s="15">
        <f t="shared" si="150"/>
        <v>0.31407872590386632</v>
      </c>
      <c r="O3196" s="165">
        <f t="shared" si="151"/>
        <v>0.31407872590386632</v>
      </c>
      <c r="P3196" s="18"/>
      <c r="Q3196" s="18"/>
      <c r="R3196" s="18"/>
      <c r="S3196" s="18"/>
      <c r="T3196" s="18"/>
      <c r="U3196" s="18"/>
      <c r="V3196" s="18"/>
      <c r="W3196" s="18"/>
      <c r="X3196" s="18"/>
    </row>
    <row r="3197" spans="13:24">
      <c r="M3197" s="558">
        <f t="shared" si="152"/>
        <v>3195</v>
      </c>
      <c r="N3197" s="15">
        <f t="shared" si="150"/>
        <v>0.31401712333989001</v>
      </c>
      <c r="O3197" s="165">
        <f t="shared" si="151"/>
        <v>0.31401712333989001</v>
      </c>
      <c r="P3197" s="18"/>
      <c r="Q3197" s="18"/>
      <c r="R3197" s="18"/>
      <c r="S3197" s="18"/>
      <c r="T3197" s="18"/>
      <c r="U3197" s="18"/>
      <c r="V3197" s="18"/>
      <c r="W3197" s="18"/>
      <c r="X3197" s="18"/>
    </row>
    <row r="3198" spans="13:24">
      <c r="M3198" s="558">
        <f t="shared" si="152"/>
        <v>3196</v>
      </c>
      <c r="N3198" s="15">
        <f t="shared" si="150"/>
        <v>0.31395553361713169</v>
      </c>
      <c r="O3198" s="165">
        <f t="shared" si="151"/>
        <v>0.31395553361713169</v>
      </c>
      <c r="P3198" s="18"/>
      <c r="Q3198" s="18"/>
      <c r="R3198" s="18"/>
      <c r="S3198" s="18"/>
      <c r="T3198" s="18"/>
      <c r="U3198" s="18"/>
      <c r="V3198" s="18"/>
      <c r="W3198" s="18"/>
      <c r="X3198" s="18"/>
    </row>
    <row r="3199" spans="13:24">
      <c r="M3199" s="558">
        <f t="shared" si="152"/>
        <v>3197</v>
      </c>
      <c r="N3199" s="15">
        <f t="shared" si="150"/>
        <v>0.31389395671947662</v>
      </c>
      <c r="O3199" s="165">
        <f t="shared" si="151"/>
        <v>0.31389395671947662</v>
      </c>
      <c r="P3199" s="18"/>
      <c r="Q3199" s="18"/>
      <c r="R3199" s="18"/>
      <c r="S3199" s="18"/>
      <c r="T3199" s="18"/>
      <c r="U3199" s="18"/>
      <c r="V3199" s="18"/>
      <c r="W3199" s="18"/>
      <c r="X3199" s="18"/>
    </row>
    <row r="3200" spans="13:24">
      <c r="M3200" s="558">
        <f t="shared" si="152"/>
        <v>3198</v>
      </c>
      <c r="N3200" s="15">
        <f t="shared" si="150"/>
        <v>0.31383239263083024</v>
      </c>
      <c r="O3200" s="165">
        <f t="shared" si="151"/>
        <v>0.31383239263083024</v>
      </c>
      <c r="P3200" s="18"/>
      <c r="Q3200" s="18"/>
      <c r="R3200" s="18"/>
      <c r="S3200" s="18"/>
      <c r="T3200" s="18"/>
      <c r="U3200" s="18"/>
      <c r="V3200" s="18"/>
      <c r="W3200" s="18"/>
      <c r="X3200" s="18"/>
    </row>
    <row r="3201" spans="13:24">
      <c r="M3201" s="558">
        <f t="shared" si="152"/>
        <v>3199</v>
      </c>
      <c r="N3201" s="15">
        <f t="shared" si="150"/>
        <v>0.31377084133511846</v>
      </c>
      <c r="O3201" s="165">
        <f t="shared" si="151"/>
        <v>0.31377084133511846</v>
      </c>
      <c r="P3201" s="18"/>
      <c r="Q3201" s="18"/>
      <c r="R3201" s="18"/>
      <c r="S3201" s="18"/>
      <c r="T3201" s="18"/>
      <c r="U3201" s="18"/>
      <c r="V3201" s="18"/>
      <c r="W3201" s="18"/>
      <c r="X3201" s="18"/>
    </row>
    <row r="3202" spans="13:24">
      <c r="M3202" s="558">
        <f t="shared" si="152"/>
        <v>3200</v>
      </c>
      <c r="N3202" s="15">
        <f t="shared" si="150"/>
        <v>0.31370930281628701</v>
      </c>
      <c r="O3202" s="165">
        <f t="shared" si="151"/>
        <v>0.31370930281628701</v>
      </c>
      <c r="P3202" s="18"/>
      <c r="Q3202" s="18"/>
      <c r="R3202" s="18"/>
      <c r="S3202" s="18"/>
      <c r="T3202" s="18"/>
      <c r="U3202" s="18"/>
      <c r="V3202" s="18"/>
      <c r="W3202" s="18"/>
      <c r="X3202" s="18"/>
    </row>
    <row r="3203" spans="13:24">
      <c r="M3203" s="558">
        <f t="shared" si="152"/>
        <v>3201</v>
      </c>
      <c r="N3203" s="15">
        <f t="shared" si="150"/>
        <v>0.31364777705830199</v>
      </c>
      <c r="O3203" s="165">
        <f t="shared" si="151"/>
        <v>0.31364777705830199</v>
      </c>
      <c r="P3203" s="18"/>
      <c r="Q3203" s="18"/>
      <c r="R3203" s="18"/>
      <c r="S3203" s="18"/>
      <c r="T3203" s="18"/>
      <c r="U3203" s="18"/>
      <c r="V3203" s="18"/>
      <c r="W3203" s="18"/>
      <c r="X3203" s="18"/>
    </row>
    <row r="3204" spans="13:24">
      <c r="M3204" s="558">
        <f t="shared" si="152"/>
        <v>3202</v>
      </c>
      <c r="N3204" s="15">
        <f t="shared" ref="N3204:N3267" si="153">IF(M3204&lt;$B$31+1,$B$32+$B$33/$B$31*(8760-M3204)+$B$34*IF(M3204&lt;$B$36-$B$31/(2*$B$35),1,IF(M3204&lt;$B$36+$B$31/(2*$B$35),COS(PI()/2*(M3204-($B$36-$B$31/(2*$B$35)))*$B$35/$B$31)^2,0))+$B$37*EXP((8760-M3204)/8760*$B$38)/EXP($B$38)-(8760-$B$31)*$B$33/$B$31,0)</f>
        <v>0.3135862640451495</v>
      </c>
      <c r="O3204" s="165">
        <f t="shared" ref="O3204:O3267" si="154">MIN(N3204,C$24)</f>
        <v>0.3135862640451495</v>
      </c>
      <c r="P3204" s="18"/>
      <c r="Q3204" s="18"/>
      <c r="R3204" s="18"/>
      <c r="S3204" s="18"/>
      <c r="T3204" s="18"/>
      <c r="U3204" s="18"/>
      <c r="V3204" s="18"/>
      <c r="W3204" s="18"/>
      <c r="X3204" s="18"/>
    </row>
    <row r="3205" spans="13:24">
      <c r="M3205" s="558">
        <f t="shared" ref="M3205:M3268" si="155">M3204+1</f>
        <v>3203</v>
      </c>
      <c r="N3205" s="15">
        <f t="shared" si="153"/>
        <v>0.31352476376083588</v>
      </c>
      <c r="O3205" s="165">
        <f t="shared" si="154"/>
        <v>0.31352476376083588</v>
      </c>
      <c r="P3205" s="18"/>
      <c r="Q3205" s="18"/>
      <c r="R3205" s="18"/>
      <c r="S3205" s="18"/>
      <c r="T3205" s="18"/>
      <c r="U3205" s="18"/>
      <c r="V3205" s="18"/>
      <c r="W3205" s="18"/>
      <c r="X3205" s="18"/>
    </row>
    <row r="3206" spans="13:24">
      <c r="M3206" s="558">
        <f t="shared" si="155"/>
        <v>3204</v>
      </c>
      <c r="N3206" s="15">
        <f t="shared" si="153"/>
        <v>0.31346327618938746</v>
      </c>
      <c r="O3206" s="165">
        <f t="shared" si="154"/>
        <v>0.31346327618938746</v>
      </c>
      <c r="P3206" s="18"/>
      <c r="Q3206" s="18"/>
      <c r="R3206" s="18"/>
      <c r="S3206" s="18"/>
      <c r="T3206" s="18"/>
      <c r="U3206" s="18"/>
      <c r="V3206" s="18"/>
      <c r="W3206" s="18"/>
      <c r="X3206" s="18"/>
    </row>
    <row r="3207" spans="13:24">
      <c r="M3207" s="558">
        <f t="shared" si="155"/>
        <v>3205</v>
      </c>
      <c r="N3207" s="15">
        <f t="shared" si="153"/>
        <v>0.31340180131485057</v>
      </c>
      <c r="O3207" s="165">
        <f t="shared" si="154"/>
        <v>0.31340180131485057</v>
      </c>
      <c r="P3207" s="18"/>
      <c r="Q3207" s="18"/>
      <c r="R3207" s="18"/>
      <c r="S3207" s="18"/>
      <c r="T3207" s="18"/>
      <c r="U3207" s="18"/>
      <c r="V3207" s="18"/>
      <c r="W3207" s="18"/>
      <c r="X3207" s="18"/>
    </row>
    <row r="3208" spans="13:24">
      <c r="M3208" s="558">
        <f t="shared" si="155"/>
        <v>3206</v>
      </c>
      <c r="N3208" s="15">
        <f t="shared" si="153"/>
        <v>0.31334033912129161</v>
      </c>
      <c r="O3208" s="165">
        <f t="shared" si="154"/>
        <v>0.31334033912129161</v>
      </c>
      <c r="P3208" s="18"/>
      <c r="Q3208" s="18"/>
      <c r="R3208" s="18"/>
      <c r="S3208" s="18"/>
      <c r="T3208" s="18"/>
      <c r="U3208" s="18"/>
      <c r="V3208" s="18"/>
      <c r="W3208" s="18"/>
      <c r="X3208" s="18"/>
    </row>
    <row r="3209" spans="13:24">
      <c r="M3209" s="558">
        <f t="shared" si="155"/>
        <v>3207</v>
      </c>
      <c r="N3209" s="15">
        <f t="shared" si="153"/>
        <v>0.31327888959279698</v>
      </c>
      <c r="O3209" s="165">
        <f t="shared" si="154"/>
        <v>0.31327888959279698</v>
      </c>
      <c r="P3209" s="18"/>
      <c r="Q3209" s="18"/>
      <c r="R3209" s="18"/>
      <c r="S3209" s="18"/>
      <c r="T3209" s="18"/>
      <c r="U3209" s="18"/>
      <c r="V3209" s="18"/>
      <c r="W3209" s="18"/>
      <c r="X3209" s="18"/>
    </row>
    <row r="3210" spans="13:24">
      <c r="M3210" s="558">
        <f t="shared" si="155"/>
        <v>3208</v>
      </c>
      <c r="N3210" s="15">
        <f t="shared" si="153"/>
        <v>0.31321745271347312</v>
      </c>
      <c r="O3210" s="165">
        <f t="shared" si="154"/>
        <v>0.31321745271347312</v>
      </c>
      <c r="P3210" s="18"/>
      <c r="Q3210" s="18"/>
      <c r="R3210" s="18"/>
      <c r="S3210" s="18"/>
      <c r="T3210" s="18"/>
      <c r="U3210" s="18"/>
      <c r="V3210" s="18"/>
      <c r="W3210" s="18"/>
      <c r="X3210" s="18"/>
    </row>
    <row r="3211" spans="13:24">
      <c r="M3211" s="558">
        <f t="shared" si="155"/>
        <v>3209</v>
      </c>
      <c r="N3211" s="15">
        <f t="shared" si="153"/>
        <v>0.31315602846744617</v>
      </c>
      <c r="O3211" s="165">
        <f t="shared" si="154"/>
        <v>0.31315602846744617</v>
      </c>
      <c r="P3211" s="18"/>
      <c r="Q3211" s="18"/>
      <c r="R3211" s="18"/>
      <c r="S3211" s="18"/>
      <c r="T3211" s="18"/>
      <c r="U3211" s="18"/>
      <c r="V3211" s="18"/>
      <c r="W3211" s="18"/>
      <c r="X3211" s="18"/>
    </row>
    <row r="3212" spans="13:24">
      <c r="M3212" s="558">
        <f t="shared" si="155"/>
        <v>3210</v>
      </c>
      <c r="N3212" s="15">
        <f t="shared" si="153"/>
        <v>0.31309461683886247</v>
      </c>
      <c r="O3212" s="165">
        <f t="shared" si="154"/>
        <v>0.31309461683886247</v>
      </c>
      <c r="P3212" s="18"/>
      <c r="Q3212" s="18"/>
      <c r="R3212" s="18"/>
      <c r="S3212" s="18"/>
      <c r="T3212" s="18"/>
      <c r="U3212" s="18"/>
      <c r="V3212" s="18"/>
      <c r="W3212" s="18"/>
      <c r="X3212" s="18"/>
    </row>
    <row r="3213" spans="13:24">
      <c r="M3213" s="558">
        <f t="shared" si="155"/>
        <v>3211</v>
      </c>
      <c r="N3213" s="15">
        <f t="shared" si="153"/>
        <v>0.31303321781188814</v>
      </c>
      <c r="O3213" s="165">
        <f t="shared" si="154"/>
        <v>0.31303321781188814</v>
      </c>
      <c r="P3213" s="18"/>
      <c r="Q3213" s="18"/>
      <c r="R3213" s="18"/>
      <c r="S3213" s="18"/>
      <c r="T3213" s="18"/>
      <c r="U3213" s="18"/>
      <c r="V3213" s="18"/>
      <c r="W3213" s="18"/>
      <c r="X3213" s="18"/>
    </row>
    <row r="3214" spans="13:24">
      <c r="M3214" s="558">
        <f t="shared" si="155"/>
        <v>3212</v>
      </c>
      <c r="N3214" s="15">
        <f t="shared" si="153"/>
        <v>0.31297183137070916</v>
      </c>
      <c r="O3214" s="165">
        <f t="shared" si="154"/>
        <v>0.31297183137070916</v>
      </c>
      <c r="P3214" s="18"/>
      <c r="Q3214" s="18"/>
      <c r="R3214" s="18"/>
      <c r="S3214" s="18"/>
      <c r="T3214" s="18"/>
      <c r="U3214" s="18"/>
      <c r="V3214" s="18"/>
      <c r="W3214" s="18"/>
      <c r="X3214" s="18"/>
    </row>
    <row r="3215" spans="13:24">
      <c r="M3215" s="558">
        <f t="shared" si="155"/>
        <v>3213</v>
      </c>
      <c r="N3215" s="15">
        <f t="shared" si="153"/>
        <v>0.31291045749953134</v>
      </c>
      <c r="O3215" s="165">
        <f t="shared" si="154"/>
        <v>0.31291045749953134</v>
      </c>
      <c r="P3215" s="18"/>
      <c r="Q3215" s="18"/>
      <c r="R3215" s="18"/>
      <c r="S3215" s="18"/>
      <c r="T3215" s="18"/>
      <c r="U3215" s="18"/>
      <c r="V3215" s="18"/>
      <c r="W3215" s="18"/>
      <c r="X3215" s="18"/>
    </row>
    <row r="3216" spans="13:24">
      <c r="M3216" s="558">
        <f t="shared" si="155"/>
        <v>3214</v>
      </c>
      <c r="N3216" s="15">
        <f t="shared" si="153"/>
        <v>0.31284909618258033</v>
      </c>
      <c r="O3216" s="165">
        <f t="shared" si="154"/>
        <v>0.31284909618258033</v>
      </c>
      <c r="P3216" s="18"/>
      <c r="Q3216" s="18"/>
      <c r="R3216" s="18"/>
      <c r="S3216" s="18"/>
      <c r="T3216" s="18"/>
      <c r="U3216" s="18"/>
      <c r="V3216" s="18"/>
      <c r="W3216" s="18"/>
      <c r="X3216" s="18"/>
    </row>
    <row r="3217" spans="13:24">
      <c r="M3217" s="558">
        <f t="shared" si="155"/>
        <v>3215</v>
      </c>
      <c r="N3217" s="15">
        <f t="shared" si="153"/>
        <v>0.3127877474041017</v>
      </c>
      <c r="O3217" s="165">
        <f t="shared" si="154"/>
        <v>0.3127877474041017</v>
      </c>
      <c r="P3217" s="18"/>
      <c r="Q3217" s="18"/>
      <c r="R3217" s="18"/>
      <c r="S3217" s="18"/>
      <c r="T3217" s="18"/>
      <c r="U3217" s="18"/>
      <c r="V3217" s="18"/>
      <c r="W3217" s="18"/>
      <c r="X3217" s="18"/>
    </row>
    <row r="3218" spans="13:24">
      <c r="M3218" s="558">
        <f t="shared" si="155"/>
        <v>3216</v>
      </c>
      <c r="N3218" s="15">
        <f t="shared" si="153"/>
        <v>0.31272641114836053</v>
      </c>
      <c r="O3218" s="165">
        <f t="shared" si="154"/>
        <v>0.31272641114836053</v>
      </c>
      <c r="P3218" s="18"/>
      <c r="Q3218" s="18"/>
      <c r="R3218" s="18"/>
      <c r="S3218" s="18"/>
      <c r="T3218" s="18"/>
      <c r="U3218" s="18"/>
      <c r="V3218" s="18"/>
      <c r="W3218" s="18"/>
      <c r="X3218" s="18"/>
    </row>
    <row r="3219" spans="13:24">
      <c r="M3219" s="558">
        <f t="shared" si="155"/>
        <v>3217</v>
      </c>
      <c r="N3219" s="15">
        <f t="shared" si="153"/>
        <v>0.31266508739964183</v>
      </c>
      <c r="O3219" s="165">
        <f t="shared" si="154"/>
        <v>0.31266508739964183</v>
      </c>
      <c r="P3219" s="18"/>
      <c r="Q3219" s="18"/>
      <c r="R3219" s="18"/>
      <c r="S3219" s="18"/>
      <c r="T3219" s="18"/>
      <c r="U3219" s="18"/>
      <c r="V3219" s="18"/>
      <c r="W3219" s="18"/>
      <c r="X3219" s="18"/>
    </row>
    <row r="3220" spans="13:24">
      <c r="M3220" s="558">
        <f t="shared" si="155"/>
        <v>3218</v>
      </c>
      <c r="N3220" s="15">
        <f t="shared" si="153"/>
        <v>0.31260377614225032</v>
      </c>
      <c r="O3220" s="165">
        <f t="shared" si="154"/>
        <v>0.31260377614225032</v>
      </c>
      <c r="P3220" s="18"/>
      <c r="Q3220" s="18"/>
      <c r="R3220" s="18"/>
      <c r="S3220" s="18"/>
      <c r="T3220" s="18"/>
      <c r="U3220" s="18"/>
      <c r="V3220" s="18"/>
      <c r="W3220" s="18"/>
      <c r="X3220" s="18"/>
    </row>
    <row r="3221" spans="13:24">
      <c r="M3221" s="558">
        <f t="shared" si="155"/>
        <v>3219</v>
      </c>
      <c r="N3221" s="15">
        <f t="shared" si="153"/>
        <v>0.31254247736051044</v>
      </c>
      <c r="O3221" s="165">
        <f t="shared" si="154"/>
        <v>0.31254247736051044</v>
      </c>
      <c r="P3221" s="18"/>
      <c r="Q3221" s="18"/>
      <c r="R3221" s="18"/>
      <c r="S3221" s="18"/>
      <c r="T3221" s="18"/>
      <c r="U3221" s="18"/>
      <c r="V3221" s="18"/>
      <c r="W3221" s="18"/>
      <c r="X3221" s="18"/>
    </row>
    <row r="3222" spans="13:24">
      <c r="M3222" s="558">
        <f t="shared" si="155"/>
        <v>3220</v>
      </c>
      <c r="N3222" s="15">
        <f t="shared" si="153"/>
        <v>0.31248119103876615</v>
      </c>
      <c r="O3222" s="165">
        <f t="shared" si="154"/>
        <v>0.31248119103876615</v>
      </c>
      <c r="P3222" s="18"/>
      <c r="Q3222" s="18"/>
      <c r="R3222" s="18"/>
      <c r="S3222" s="18"/>
      <c r="T3222" s="18"/>
      <c r="U3222" s="18"/>
      <c r="V3222" s="18"/>
      <c r="W3222" s="18"/>
      <c r="X3222" s="18"/>
    </row>
    <row r="3223" spans="13:24">
      <c r="M3223" s="558">
        <f t="shared" si="155"/>
        <v>3221</v>
      </c>
      <c r="N3223" s="15">
        <f t="shared" si="153"/>
        <v>0.31241991716138112</v>
      </c>
      <c r="O3223" s="165">
        <f t="shared" si="154"/>
        <v>0.31241991716138112</v>
      </c>
      <c r="P3223" s="18"/>
      <c r="Q3223" s="18"/>
      <c r="R3223" s="18"/>
      <c r="S3223" s="18"/>
      <c r="T3223" s="18"/>
      <c r="U3223" s="18"/>
      <c r="V3223" s="18"/>
      <c r="W3223" s="18"/>
      <c r="X3223" s="18"/>
    </row>
    <row r="3224" spans="13:24">
      <c r="M3224" s="558">
        <f t="shared" si="155"/>
        <v>3222</v>
      </c>
      <c r="N3224" s="15">
        <f t="shared" si="153"/>
        <v>0.3123586557127388</v>
      </c>
      <c r="O3224" s="165">
        <f t="shared" si="154"/>
        <v>0.3123586557127388</v>
      </c>
      <c r="P3224" s="18"/>
      <c r="Q3224" s="18"/>
      <c r="R3224" s="18"/>
      <c r="S3224" s="18"/>
      <c r="T3224" s="18"/>
      <c r="U3224" s="18"/>
      <c r="V3224" s="18"/>
      <c r="W3224" s="18"/>
      <c r="X3224" s="18"/>
    </row>
    <row r="3225" spans="13:24">
      <c r="M3225" s="558">
        <f t="shared" si="155"/>
        <v>3223</v>
      </c>
      <c r="N3225" s="15">
        <f t="shared" si="153"/>
        <v>0.3122974066772421</v>
      </c>
      <c r="O3225" s="165">
        <f t="shared" si="154"/>
        <v>0.3122974066772421</v>
      </c>
      <c r="P3225" s="18"/>
      <c r="Q3225" s="18"/>
      <c r="R3225" s="18"/>
      <c r="S3225" s="18"/>
      <c r="T3225" s="18"/>
      <c r="U3225" s="18"/>
      <c r="V3225" s="18"/>
      <c r="W3225" s="18"/>
      <c r="X3225" s="18"/>
    </row>
    <row r="3226" spans="13:24">
      <c r="M3226" s="558">
        <f t="shared" si="155"/>
        <v>3224</v>
      </c>
      <c r="N3226" s="15">
        <f t="shared" si="153"/>
        <v>0.31223617003931342</v>
      </c>
      <c r="O3226" s="165">
        <f t="shared" si="154"/>
        <v>0.31223617003931342</v>
      </c>
      <c r="P3226" s="18"/>
      <c r="Q3226" s="18"/>
      <c r="R3226" s="18"/>
      <c r="S3226" s="18"/>
      <c r="T3226" s="18"/>
      <c r="U3226" s="18"/>
      <c r="V3226" s="18"/>
      <c r="W3226" s="18"/>
      <c r="X3226" s="18"/>
    </row>
    <row r="3227" spans="13:24">
      <c r="M3227" s="558">
        <f t="shared" si="155"/>
        <v>3225</v>
      </c>
      <c r="N3227" s="15">
        <f t="shared" si="153"/>
        <v>0.31217494578339489</v>
      </c>
      <c r="O3227" s="165">
        <f t="shared" si="154"/>
        <v>0.31217494578339489</v>
      </c>
      <c r="P3227" s="18"/>
      <c r="Q3227" s="18"/>
      <c r="R3227" s="18"/>
      <c r="S3227" s="18"/>
      <c r="T3227" s="18"/>
      <c r="U3227" s="18"/>
      <c r="V3227" s="18"/>
      <c r="W3227" s="18"/>
      <c r="X3227" s="18"/>
    </row>
    <row r="3228" spans="13:24">
      <c r="M3228" s="558">
        <f t="shared" si="155"/>
        <v>3226</v>
      </c>
      <c r="N3228" s="15">
        <f t="shared" si="153"/>
        <v>0.31211373389394809</v>
      </c>
      <c r="O3228" s="165">
        <f t="shared" si="154"/>
        <v>0.31211373389394809</v>
      </c>
      <c r="P3228" s="18"/>
      <c r="Q3228" s="18"/>
      <c r="R3228" s="18"/>
      <c r="S3228" s="18"/>
      <c r="T3228" s="18"/>
      <c r="U3228" s="18"/>
      <c r="V3228" s="18"/>
      <c r="W3228" s="18"/>
      <c r="X3228" s="18"/>
    </row>
    <row r="3229" spans="13:24">
      <c r="M3229" s="558">
        <f t="shared" si="155"/>
        <v>3227</v>
      </c>
      <c r="N3229" s="15">
        <f t="shared" si="153"/>
        <v>0.31205253435545405</v>
      </c>
      <c r="O3229" s="165">
        <f t="shared" si="154"/>
        <v>0.31205253435545405</v>
      </c>
      <c r="P3229" s="18"/>
      <c r="Q3229" s="18"/>
      <c r="R3229" s="18"/>
      <c r="S3229" s="18"/>
      <c r="T3229" s="18"/>
      <c r="U3229" s="18"/>
      <c r="V3229" s="18"/>
      <c r="W3229" s="18"/>
      <c r="X3229" s="18"/>
    </row>
    <row r="3230" spans="13:24">
      <c r="M3230" s="558">
        <f t="shared" si="155"/>
        <v>3228</v>
      </c>
      <c r="N3230" s="15">
        <f t="shared" si="153"/>
        <v>0.31199134715241328</v>
      </c>
      <c r="O3230" s="165">
        <f t="shared" si="154"/>
        <v>0.31199134715241328</v>
      </c>
      <c r="P3230" s="18"/>
      <c r="Q3230" s="18"/>
      <c r="R3230" s="18"/>
      <c r="S3230" s="18"/>
      <c r="T3230" s="18"/>
      <c r="U3230" s="18"/>
      <c r="V3230" s="18"/>
      <c r="W3230" s="18"/>
      <c r="X3230" s="18"/>
    </row>
    <row r="3231" spans="13:24">
      <c r="M3231" s="558">
        <f t="shared" si="155"/>
        <v>3229</v>
      </c>
      <c r="N3231" s="15">
        <f t="shared" si="153"/>
        <v>0.31193017226934588</v>
      </c>
      <c r="O3231" s="165">
        <f t="shared" si="154"/>
        <v>0.31193017226934588</v>
      </c>
      <c r="P3231" s="18"/>
      <c r="Q3231" s="18"/>
      <c r="R3231" s="18"/>
      <c r="S3231" s="18"/>
      <c r="T3231" s="18"/>
      <c r="U3231" s="18"/>
      <c r="V3231" s="18"/>
      <c r="W3231" s="18"/>
      <c r="X3231" s="18"/>
    </row>
    <row r="3232" spans="13:24">
      <c r="M3232" s="558">
        <f t="shared" si="155"/>
        <v>3230</v>
      </c>
      <c r="N3232" s="15">
        <f t="shared" si="153"/>
        <v>0.31186900969079129</v>
      </c>
      <c r="O3232" s="165">
        <f t="shared" si="154"/>
        <v>0.31186900969079129</v>
      </c>
      <c r="P3232" s="18"/>
      <c r="Q3232" s="18"/>
      <c r="R3232" s="18"/>
      <c r="S3232" s="18"/>
      <c r="T3232" s="18"/>
      <c r="U3232" s="18"/>
      <c r="V3232" s="18"/>
      <c r="W3232" s="18"/>
      <c r="X3232" s="18"/>
    </row>
    <row r="3233" spans="13:24">
      <c r="M3233" s="558">
        <f t="shared" si="155"/>
        <v>3231</v>
      </c>
      <c r="N3233" s="15">
        <f t="shared" si="153"/>
        <v>0.31180785940130817</v>
      </c>
      <c r="O3233" s="165">
        <f t="shared" si="154"/>
        <v>0.31180785940130817</v>
      </c>
      <c r="P3233" s="18"/>
      <c r="Q3233" s="18"/>
      <c r="R3233" s="18"/>
      <c r="S3233" s="18"/>
      <c r="T3233" s="18"/>
      <c r="U3233" s="18"/>
      <c r="V3233" s="18"/>
      <c r="W3233" s="18"/>
      <c r="X3233" s="18"/>
    </row>
    <row r="3234" spans="13:24">
      <c r="M3234" s="558">
        <f t="shared" si="155"/>
        <v>3232</v>
      </c>
      <c r="N3234" s="15">
        <f t="shared" si="153"/>
        <v>0.31174672138547482</v>
      </c>
      <c r="O3234" s="165">
        <f t="shared" si="154"/>
        <v>0.31174672138547482</v>
      </c>
      <c r="P3234" s="18"/>
      <c r="Q3234" s="18"/>
      <c r="R3234" s="18"/>
      <c r="S3234" s="18"/>
      <c r="T3234" s="18"/>
      <c r="U3234" s="18"/>
      <c r="V3234" s="18"/>
      <c r="W3234" s="18"/>
      <c r="X3234" s="18"/>
    </row>
    <row r="3235" spans="13:24">
      <c r="M3235" s="558">
        <f t="shared" si="155"/>
        <v>3233</v>
      </c>
      <c r="N3235" s="15">
        <f t="shared" si="153"/>
        <v>0.31168559562788883</v>
      </c>
      <c r="O3235" s="165">
        <f t="shared" si="154"/>
        <v>0.31168559562788883</v>
      </c>
      <c r="P3235" s="18"/>
      <c r="Q3235" s="18"/>
      <c r="R3235" s="18"/>
      <c r="S3235" s="18"/>
      <c r="T3235" s="18"/>
      <c r="U3235" s="18"/>
      <c r="V3235" s="18"/>
      <c r="W3235" s="18"/>
      <c r="X3235" s="18"/>
    </row>
    <row r="3236" spans="13:24">
      <c r="M3236" s="558">
        <f t="shared" si="155"/>
        <v>3234</v>
      </c>
      <c r="N3236" s="15">
        <f t="shared" si="153"/>
        <v>0.31162448211316701</v>
      </c>
      <c r="O3236" s="165">
        <f t="shared" si="154"/>
        <v>0.31162448211316701</v>
      </c>
      <c r="P3236" s="18"/>
      <c r="Q3236" s="18"/>
      <c r="R3236" s="18"/>
      <c r="S3236" s="18"/>
      <c r="T3236" s="18"/>
      <c r="U3236" s="18"/>
      <c r="V3236" s="18"/>
      <c r="W3236" s="18"/>
      <c r="X3236" s="18"/>
    </row>
    <row r="3237" spans="13:24">
      <c r="M3237" s="558">
        <f t="shared" si="155"/>
        <v>3235</v>
      </c>
      <c r="N3237" s="15">
        <f t="shared" si="153"/>
        <v>0.31156338082594565</v>
      </c>
      <c r="O3237" s="165">
        <f t="shared" si="154"/>
        <v>0.31156338082594565</v>
      </c>
      <c r="P3237" s="18"/>
      <c r="Q3237" s="18"/>
      <c r="R3237" s="18"/>
      <c r="S3237" s="18"/>
      <c r="T3237" s="18"/>
      <c r="U3237" s="18"/>
      <c r="V3237" s="18"/>
      <c r="W3237" s="18"/>
      <c r="X3237" s="18"/>
    </row>
    <row r="3238" spans="13:24">
      <c r="M3238" s="558">
        <f t="shared" si="155"/>
        <v>3236</v>
      </c>
      <c r="N3238" s="15">
        <f t="shared" si="153"/>
        <v>0.31150229175088007</v>
      </c>
      <c r="O3238" s="165">
        <f t="shared" si="154"/>
        <v>0.31150229175088007</v>
      </c>
      <c r="P3238" s="18"/>
      <c r="Q3238" s="18"/>
      <c r="R3238" s="18"/>
      <c r="S3238" s="18"/>
      <c r="T3238" s="18"/>
      <c r="U3238" s="18"/>
      <c r="V3238" s="18"/>
      <c r="W3238" s="18"/>
      <c r="X3238" s="18"/>
    </row>
    <row r="3239" spans="13:24">
      <c r="M3239" s="558">
        <f t="shared" si="155"/>
        <v>3237</v>
      </c>
      <c r="N3239" s="15">
        <f t="shared" si="153"/>
        <v>0.31144121487264514</v>
      </c>
      <c r="O3239" s="165">
        <f t="shared" si="154"/>
        <v>0.31144121487264514</v>
      </c>
      <c r="P3239" s="18"/>
      <c r="Q3239" s="18"/>
      <c r="R3239" s="18"/>
      <c r="S3239" s="18"/>
      <c r="T3239" s="18"/>
      <c r="U3239" s="18"/>
      <c r="V3239" s="18"/>
      <c r="W3239" s="18"/>
      <c r="X3239" s="18"/>
    </row>
    <row r="3240" spans="13:24">
      <c r="M3240" s="558">
        <f t="shared" si="155"/>
        <v>3238</v>
      </c>
      <c r="N3240" s="15">
        <f t="shared" si="153"/>
        <v>0.31138015017593473</v>
      </c>
      <c r="O3240" s="165">
        <f t="shared" si="154"/>
        <v>0.31138015017593473</v>
      </c>
      <c r="P3240" s="18"/>
      <c r="Q3240" s="18"/>
      <c r="R3240" s="18"/>
      <c r="S3240" s="18"/>
      <c r="T3240" s="18"/>
      <c r="U3240" s="18"/>
      <c r="V3240" s="18"/>
      <c r="W3240" s="18"/>
      <c r="X3240" s="18"/>
    </row>
    <row r="3241" spans="13:24">
      <c r="M3241" s="558">
        <f t="shared" si="155"/>
        <v>3239</v>
      </c>
      <c r="N3241" s="15">
        <f t="shared" si="153"/>
        <v>0.31131909764546206</v>
      </c>
      <c r="O3241" s="165">
        <f t="shared" si="154"/>
        <v>0.31131909764546206</v>
      </c>
      <c r="P3241" s="18"/>
      <c r="Q3241" s="18"/>
      <c r="R3241" s="18"/>
      <c r="S3241" s="18"/>
      <c r="T3241" s="18"/>
      <c r="U3241" s="18"/>
      <c r="V3241" s="18"/>
      <c r="W3241" s="18"/>
      <c r="X3241" s="18"/>
    </row>
    <row r="3242" spans="13:24">
      <c r="M3242" s="558">
        <f t="shared" si="155"/>
        <v>3240</v>
      </c>
      <c r="N3242" s="15">
        <f t="shared" si="153"/>
        <v>0.3112580572659594</v>
      </c>
      <c r="O3242" s="165">
        <f t="shared" si="154"/>
        <v>0.3112580572659594</v>
      </c>
      <c r="P3242" s="18"/>
      <c r="Q3242" s="18"/>
      <c r="R3242" s="18"/>
      <c r="S3242" s="18"/>
      <c r="T3242" s="18"/>
      <c r="U3242" s="18"/>
      <c r="V3242" s="18"/>
      <c r="W3242" s="18"/>
      <c r="X3242" s="18"/>
    </row>
    <row r="3243" spans="13:24">
      <c r="M3243" s="558">
        <f t="shared" si="155"/>
        <v>3241</v>
      </c>
      <c r="N3243" s="15">
        <f t="shared" si="153"/>
        <v>0.31119702902217833</v>
      </c>
      <c r="O3243" s="165">
        <f t="shared" si="154"/>
        <v>0.31119702902217833</v>
      </c>
      <c r="P3243" s="18"/>
      <c r="Q3243" s="18"/>
      <c r="R3243" s="18"/>
      <c r="S3243" s="18"/>
      <c r="T3243" s="18"/>
      <c r="U3243" s="18"/>
      <c r="V3243" s="18"/>
      <c r="W3243" s="18"/>
      <c r="X3243" s="18"/>
    </row>
    <row r="3244" spans="13:24">
      <c r="M3244" s="558">
        <f t="shared" si="155"/>
        <v>3242</v>
      </c>
      <c r="N3244" s="15">
        <f t="shared" si="153"/>
        <v>0.31113601289888948</v>
      </c>
      <c r="O3244" s="165">
        <f t="shared" si="154"/>
        <v>0.31113601289888948</v>
      </c>
      <c r="P3244" s="18"/>
      <c r="Q3244" s="18"/>
      <c r="R3244" s="18"/>
      <c r="S3244" s="18"/>
      <c r="T3244" s="18"/>
      <c r="U3244" s="18"/>
      <c r="V3244" s="18"/>
      <c r="W3244" s="18"/>
      <c r="X3244" s="18"/>
    </row>
    <row r="3245" spans="13:24">
      <c r="M3245" s="558">
        <f t="shared" si="155"/>
        <v>3243</v>
      </c>
      <c r="N3245" s="15">
        <f t="shared" si="153"/>
        <v>0.31107500888088258</v>
      </c>
      <c r="O3245" s="165">
        <f t="shared" si="154"/>
        <v>0.31107500888088258</v>
      </c>
      <c r="P3245" s="18"/>
      <c r="Q3245" s="18"/>
      <c r="R3245" s="18"/>
      <c r="S3245" s="18"/>
      <c r="T3245" s="18"/>
      <c r="U3245" s="18"/>
      <c r="V3245" s="18"/>
      <c r="W3245" s="18"/>
      <c r="X3245" s="18"/>
    </row>
    <row r="3246" spans="13:24">
      <c r="M3246" s="558">
        <f t="shared" si="155"/>
        <v>3244</v>
      </c>
      <c r="N3246" s="15">
        <f t="shared" si="153"/>
        <v>0.31101401695296649</v>
      </c>
      <c r="O3246" s="165">
        <f t="shared" si="154"/>
        <v>0.31101401695296649</v>
      </c>
      <c r="P3246" s="18"/>
      <c r="Q3246" s="18"/>
      <c r="R3246" s="18"/>
      <c r="S3246" s="18"/>
      <c r="T3246" s="18"/>
      <c r="U3246" s="18"/>
      <c r="V3246" s="18"/>
      <c r="W3246" s="18"/>
      <c r="X3246" s="18"/>
    </row>
    <row r="3247" spans="13:24">
      <c r="M3247" s="558">
        <f t="shared" si="155"/>
        <v>3245</v>
      </c>
      <c r="N3247" s="15">
        <f t="shared" si="153"/>
        <v>0.31095303709996919</v>
      </c>
      <c r="O3247" s="165">
        <f t="shared" si="154"/>
        <v>0.31095303709996919</v>
      </c>
      <c r="P3247" s="18"/>
      <c r="Q3247" s="18"/>
      <c r="R3247" s="18"/>
      <c r="S3247" s="18"/>
      <c r="T3247" s="18"/>
      <c r="U3247" s="18"/>
      <c r="V3247" s="18"/>
      <c r="W3247" s="18"/>
      <c r="X3247" s="18"/>
    </row>
    <row r="3248" spans="13:24">
      <c r="M3248" s="558">
        <f t="shared" si="155"/>
        <v>3246</v>
      </c>
      <c r="N3248" s="15">
        <f t="shared" si="153"/>
        <v>0.31089206930673752</v>
      </c>
      <c r="O3248" s="165">
        <f t="shared" si="154"/>
        <v>0.31089206930673752</v>
      </c>
      <c r="P3248" s="18"/>
      <c r="Q3248" s="18"/>
      <c r="R3248" s="18"/>
      <c r="S3248" s="18"/>
      <c r="T3248" s="18"/>
      <c r="U3248" s="18"/>
      <c r="V3248" s="18"/>
      <c r="W3248" s="18"/>
      <c r="X3248" s="18"/>
    </row>
    <row r="3249" spans="13:24">
      <c r="M3249" s="558">
        <f t="shared" si="155"/>
        <v>3247</v>
      </c>
      <c r="N3249" s="15">
        <f t="shared" si="153"/>
        <v>0.31083111355813742</v>
      </c>
      <c r="O3249" s="165">
        <f t="shared" si="154"/>
        <v>0.31083111355813742</v>
      </c>
      <c r="P3249" s="18"/>
      <c r="Q3249" s="18"/>
      <c r="R3249" s="18"/>
      <c r="S3249" s="18"/>
      <c r="T3249" s="18"/>
      <c r="U3249" s="18"/>
      <c r="V3249" s="18"/>
      <c r="W3249" s="18"/>
      <c r="X3249" s="18"/>
    </row>
    <row r="3250" spans="13:24">
      <c r="M3250" s="558">
        <f t="shared" si="155"/>
        <v>3248</v>
      </c>
      <c r="N3250" s="15">
        <f t="shared" si="153"/>
        <v>0.31077016983905392</v>
      </c>
      <c r="O3250" s="165">
        <f t="shared" si="154"/>
        <v>0.31077016983905392</v>
      </c>
      <c r="P3250" s="18"/>
      <c r="Q3250" s="18"/>
      <c r="R3250" s="18"/>
      <c r="S3250" s="18"/>
      <c r="T3250" s="18"/>
      <c r="U3250" s="18"/>
      <c r="V3250" s="18"/>
      <c r="W3250" s="18"/>
      <c r="X3250" s="18"/>
    </row>
    <row r="3251" spans="13:24">
      <c r="M3251" s="558">
        <f t="shared" si="155"/>
        <v>3249</v>
      </c>
      <c r="N3251" s="15">
        <f t="shared" si="153"/>
        <v>0.310709238134391</v>
      </c>
      <c r="O3251" s="165">
        <f t="shared" si="154"/>
        <v>0.310709238134391</v>
      </c>
      <c r="P3251" s="18"/>
      <c r="Q3251" s="18"/>
      <c r="R3251" s="18"/>
      <c r="S3251" s="18"/>
      <c r="T3251" s="18"/>
      <c r="U3251" s="18"/>
      <c r="V3251" s="18"/>
      <c r="W3251" s="18"/>
      <c r="X3251" s="18"/>
    </row>
    <row r="3252" spans="13:24">
      <c r="M3252" s="558">
        <f t="shared" si="155"/>
        <v>3250</v>
      </c>
      <c r="N3252" s="15">
        <f t="shared" si="153"/>
        <v>0.31064831842907142</v>
      </c>
      <c r="O3252" s="165">
        <f t="shared" si="154"/>
        <v>0.31064831842907142</v>
      </c>
      <c r="P3252" s="18"/>
      <c r="Q3252" s="18"/>
      <c r="R3252" s="18"/>
      <c r="S3252" s="18"/>
      <c r="T3252" s="18"/>
      <c r="U3252" s="18"/>
      <c r="V3252" s="18"/>
      <c r="W3252" s="18"/>
      <c r="X3252" s="18"/>
    </row>
    <row r="3253" spans="13:24">
      <c r="M3253" s="558">
        <f t="shared" si="155"/>
        <v>3251</v>
      </c>
      <c r="N3253" s="15">
        <f t="shared" si="153"/>
        <v>0.31058741070803692</v>
      </c>
      <c r="O3253" s="165">
        <f t="shared" si="154"/>
        <v>0.31058741070803692</v>
      </c>
      <c r="P3253" s="18"/>
      <c r="Q3253" s="18"/>
      <c r="R3253" s="18"/>
      <c r="S3253" s="18"/>
      <c r="T3253" s="18"/>
      <c r="U3253" s="18"/>
      <c r="V3253" s="18"/>
      <c r="W3253" s="18"/>
      <c r="X3253" s="18"/>
    </row>
    <row r="3254" spans="13:24">
      <c r="M3254" s="558">
        <f t="shared" si="155"/>
        <v>3252</v>
      </c>
      <c r="N3254" s="15">
        <f t="shared" si="153"/>
        <v>0.31052651495624833</v>
      </c>
      <c r="O3254" s="165">
        <f t="shared" si="154"/>
        <v>0.31052651495624833</v>
      </c>
      <c r="P3254" s="18"/>
      <c r="Q3254" s="18"/>
      <c r="R3254" s="18"/>
      <c r="S3254" s="18"/>
      <c r="T3254" s="18"/>
      <c r="U3254" s="18"/>
      <c r="V3254" s="18"/>
      <c r="W3254" s="18"/>
      <c r="X3254" s="18"/>
    </row>
    <row r="3255" spans="13:24">
      <c r="M3255" s="558">
        <f t="shared" si="155"/>
        <v>3253</v>
      </c>
      <c r="N3255" s="15">
        <f t="shared" si="153"/>
        <v>0.31046563115868514</v>
      </c>
      <c r="O3255" s="165">
        <f t="shared" si="154"/>
        <v>0.31046563115868514</v>
      </c>
      <c r="P3255" s="18"/>
      <c r="Q3255" s="18"/>
      <c r="R3255" s="18"/>
      <c r="S3255" s="18"/>
      <c r="T3255" s="18"/>
      <c r="U3255" s="18"/>
      <c r="V3255" s="18"/>
      <c r="W3255" s="18"/>
      <c r="X3255" s="18"/>
    </row>
    <row r="3256" spans="13:24">
      <c r="M3256" s="558">
        <f t="shared" si="155"/>
        <v>3254</v>
      </c>
      <c r="N3256" s="15">
        <f t="shared" si="153"/>
        <v>0.31040475930034578</v>
      </c>
      <c r="O3256" s="165">
        <f t="shared" si="154"/>
        <v>0.31040475930034578</v>
      </c>
      <c r="P3256" s="18"/>
      <c r="Q3256" s="18"/>
      <c r="R3256" s="18"/>
      <c r="S3256" s="18"/>
      <c r="T3256" s="18"/>
      <c r="U3256" s="18"/>
      <c r="V3256" s="18"/>
      <c r="W3256" s="18"/>
      <c r="X3256" s="18"/>
    </row>
    <row r="3257" spans="13:24">
      <c r="M3257" s="558">
        <f t="shared" si="155"/>
        <v>3255</v>
      </c>
      <c r="N3257" s="15">
        <f t="shared" si="153"/>
        <v>0.3103438993662474</v>
      </c>
      <c r="O3257" s="165">
        <f t="shared" si="154"/>
        <v>0.3103438993662474</v>
      </c>
      <c r="P3257" s="18"/>
      <c r="Q3257" s="18"/>
      <c r="R3257" s="18"/>
      <c r="S3257" s="18"/>
      <c r="T3257" s="18"/>
      <c r="U3257" s="18"/>
      <c r="V3257" s="18"/>
      <c r="W3257" s="18"/>
      <c r="X3257" s="18"/>
    </row>
    <row r="3258" spans="13:24">
      <c r="M3258" s="558">
        <f t="shared" si="155"/>
        <v>3256</v>
      </c>
      <c r="N3258" s="15">
        <f t="shared" si="153"/>
        <v>0.31028305134142614</v>
      </c>
      <c r="O3258" s="165">
        <f t="shared" si="154"/>
        <v>0.31028305134142614</v>
      </c>
      <c r="P3258" s="18"/>
      <c r="Q3258" s="18"/>
      <c r="R3258" s="18"/>
      <c r="S3258" s="18"/>
      <c r="T3258" s="18"/>
      <c r="U3258" s="18"/>
      <c r="V3258" s="18"/>
      <c r="W3258" s="18"/>
      <c r="X3258" s="18"/>
    </row>
    <row r="3259" spans="13:24">
      <c r="M3259" s="558">
        <f t="shared" si="155"/>
        <v>3257</v>
      </c>
      <c r="N3259" s="15">
        <f t="shared" si="153"/>
        <v>0.31022221521093679</v>
      </c>
      <c r="O3259" s="165">
        <f t="shared" si="154"/>
        <v>0.31022221521093679</v>
      </c>
      <c r="P3259" s="18"/>
      <c r="Q3259" s="18"/>
      <c r="R3259" s="18"/>
      <c r="S3259" s="18"/>
      <c r="T3259" s="18"/>
      <c r="U3259" s="18"/>
      <c r="V3259" s="18"/>
      <c r="W3259" s="18"/>
      <c r="X3259" s="18"/>
    </row>
    <row r="3260" spans="13:24">
      <c r="M3260" s="558">
        <f t="shared" si="155"/>
        <v>3258</v>
      </c>
      <c r="N3260" s="15">
        <f t="shared" si="153"/>
        <v>0.31016139095985285</v>
      </c>
      <c r="O3260" s="165">
        <f t="shared" si="154"/>
        <v>0.31016139095985285</v>
      </c>
      <c r="P3260" s="18"/>
      <c r="Q3260" s="18"/>
      <c r="R3260" s="18"/>
      <c r="S3260" s="18"/>
      <c r="T3260" s="18"/>
      <c r="U3260" s="18"/>
      <c r="V3260" s="18"/>
      <c r="W3260" s="18"/>
      <c r="X3260" s="18"/>
    </row>
    <row r="3261" spans="13:24">
      <c r="M3261" s="558">
        <f t="shared" si="155"/>
        <v>3259</v>
      </c>
      <c r="N3261" s="15">
        <f t="shared" si="153"/>
        <v>0.31010057857326673</v>
      </c>
      <c r="O3261" s="165">
        <f t="shared" si="154"/>
        <v>0.31010057857326673</v>
      </c>
      <c r="P3261" s="18"/>
      <c r="Q3261" s="18"/>
      <c r="R3261" s="18"/>
      <c r="S3261" s="18"/>
      <c r="T3261" s="18"/>
      <c r="U3261" s="18"/>
      <c r="V3261" s="18"/>
      <c r="W3261" s="18"/>
      <c r="X3261" s="18"/>
    </row>
    <row r="3262" spans="13:24">
      <c r="M3262" s="558">
        <f t="shared" si="155"/>
        <v>3260</v>
      </c>
      <c r="N3262" s="15">
        <f t="shared" si="153"/>
        <v>0.31003977803628935</v>
      </c>
      <c r="O3262" s="165">
        <f t="shared" si="154"/>
        <v>0.31003977803628935</v>
      </c>
      <c r="P3262" s="18"/>
      <c r="Q3262" s="18"/>
      <c r="R3262" s="18"/>
      <c r="S3262" s="18"/>
      <c r="T3262" s="18"/>
      <c r="U3262" s="18"/>
      <c r="V3262" s="18"/>
      <c r="W3262" s="18"/>
      <c r="X3262" s="18"/>
    </row>
    <row r="3263" spans="13:24">
      <c r="M3263" s="558">
        <f t="shared" si="155"/>
        <v>3261</v>
      </c>
      <c r="N3263" s="15">
        <f t="shared" si="153"/>
        <v>0.30997898933405044</v>
      </c>
      <c r="O3263" s="165">
        <f t="shared" si="154"/>
        <v>0.30997898933405044</v>
      </c>
      <c r="P3263" s="18"/>
      <c r="Q3263" s="18"/>
      <c r="R3263" s="18"/>
      <c r="S3263" s="18"/>
      <c r="T3263" s="18"/>
      <c r="U3263" s="18"/>
      <c r="V3263" s="18"/>
      <c r="W3263" s="18"/>
      <c r="X3263" s="18"/>
    </row>
    <row r="3264" spans="13:24">
      <c r="M3264" s="558">
        <f t="shared" si="155"/>
        <v>3262</v>
      </c>
      <c r="N3264" s="15">
        <f t="shared" si="153"/>
        <v>0.30991821245169826</v>
      </c>
      <c r="O3264" s="165">
        <f t="shared" si="154"/>
        <v>0.30991821245169826</v>
      </c>
      <c r="P3264" s="18"/>
      <c r="Q3264" s="18"/>
      <c r="R3264" s="18"/>
      <c r="S3264" s="18"/>
      <c r="T3264" s="18"/>
      <c r="U3264" s="18"/>
      <c r="V3264" s="18"/>
      <c r="W3264" s="18"/>
      <c r="X3264" s="18"/>
    </row>
    <row r="3265" spans="13:24">
      <c r="M3265" s="558">
        <f t="shared" si="155"/>
        <v>3263</v>
      </c>
      <c r="N3265" s="15">
        <f t="shared" si="153"/>
        <v>0.30985744737439996</v>
      </c>
      <c r="O3265" s="165">
        <f t="shared" si="154"/>
        <v>0.30985744737439996</v>
      </c>
      <c r="P3265" s="18"/>
      <c r="Q3265" s="18"/>
      <c r="R3265" s="18"/>
      <c r="S3265" s="18"/>
      <c r="T3265" s="18"/>
      <c r="U3265" s="18"/>
      <c r="V3265" s="18"/>
      <c r="W3265" s="18"/>
      <c r="X3265" s="18"/>
    </row>
    <row r="3266" spans="13:24">
      <c r="M3266" s="558">
        <f t="shared" si="155"/>
        <v>3264</v>
      </c>
      <c r="N3266" s="15">
        <f t="shared" si="153"/>
        <v>0.30979669408734112</v>
      </c>
      <c r="O3266" s="165">
        <f t="shared" si="154"/>
        <v>0.30979669408734112</v>
      </c>
      <c r="P3266" s="18"/>
      <c r="Q3266" s="18"/>
      <c r="R3266" s="18"/>
      <c r="S3266" s="18"/>
      <c r="T3266" s="18"/>
      <c r="U3266" s="18"/>
      <c r="V3266" s="18"/>
      <c r="W3266" s="18"/>
      <c r="X3266" s="18"/>
    </row>
    <row r="3267" spans="13:24">
      <c r="M3267" s="558">
        <f t="shared" si="155"/>
        <v>3265</v>
      </c>
      <c r="N3267" s="15">
        <f t="shared" si="153"/>
        <v>0.30973595257572584</v>
      </c>
      <c r="O3267" s="165">
        <f t="shared" si="154"/>
        <v>0.30973595257572584</v>
      </c>
      <c r="P3267" s="18"/>
      <c r="Q3267" s="18"/>
      <c r="R3267" s="18"/>
      <c r="S3267" s="18"/>
      <c r="T3267" s="18"/>
      <c r="U3267" s="18"/>
      <c r="V3267" s="18"/>
      <c r="W3267" s="18"/>
      <c r="X3267" s="18"/>
    </row>
    <row r="3268" spans="13:24">
      <c r="M3268" s="558">
        <f t="shared" si="155"/>
        <v>3266</v>
      </c>
      <c r="N3268" s="15">
        <f t="shared" ref="N3268:N3331" si="156">IF(M3268&lt;$B$31+1,$B$32+$B$33/$B$31*(8760-M3268)+$B$34*IF(M3268&lt;$B$36-$B$31/(2*$B$35),1,IF(M3268&lt;$B$36+$B$31/(2*$B$35),COS(PI()/2*(M3268-($B$36-$B$31/(2*$B$35)))*$B$35/$B$31)^2,0))+$B$37*EXP((8760-M3268)/8760*$B$38)/EXP($B$38)-(8760-$B$31)*$B$33/$B$31,0)</f>
        <v>0.30967522282477689</v>
      </c>
      <c r="O3268" s="165">
        <f t="shared" ref="O3268:O3331" si="157">MIN(N3268,C$24)</f>
        <v>0.30967522282477689</v>
      </c>
      <c r="P3268" s="18"/>
      <c r="Q3268" s="18"/>
      <c r="R3268" s="18"/>
      <c r="S3268" s="18"/>
      <c r="T3268" s="18"/>
      <c r="U3268" s="18"/>
      <c r="V3268" s="18"/>
      <c r="W3268" s="18"/>
      <c r="X3268" s="18"/>
    </row>
    <row r="3269" spans="13:24">
      <c r="M3269" s="558">
        <f t="shared" ref="M3269:M3332" si="158">M3268+1</f>
        <v>3267</v>
      </c>
      <c r="N3269" s="15">
        <f t="shared" si="156"/>
        <v>0.30961450481973568</v>
      </c>
      <c r="O3269" s="165">
        <f t="shared" si="157"/>
        <v>0.30961450481973568</v>
      </c>
      <c r="P3269" s="18"/>
      <c r="Q3269" s="18"/>
      <c r="R3269" s="18"/>
      <c r="S3269" s="18"/>
      <c r="T3269" s="18"/>
      <c r="U3269" s="18"/>
      <c r="V3269" s="18"/>
      <c r="W3269" s="18"/>
      <c r="X3269" s="18"/>
    </row>
    <row r="3270" spans="13:24">
      <c r="M3270" s="558">
        <f t="shared" si="158"/>
        <v>3268</v>
      </c>
      <c r="N3270" s="15">
        <f t="shared" si="156"/>
        <v>0.30955379854586196</v>
      </c>
      <c r="O3270" s="165">
        <f t="shared" si="157"/>
        <v>0.30955379854586196</v>
      </c>
      <c r="P3270" s="18"/>
      <c r="Q3270" s="18"/>
      <c r="R3270" s="18"/>
      <c r="S3270" s="18"/>
      <c r="T3270" s="18"/>
      <c r="U3270" s="18"/>
      <c r="V3270" s="18"/>
      <c r="W3270" s="18"/>
      <c r="X3270" s="18"/>
    </row>
    <row r="3271" spans="13:24">
      <c r="M3271" s="558">
        <f t="shared" si="158"/>
        <v>3269</v>
      </c>
      <c r="N3271" s="15">
        <f t="shared" si="156"/>
        <v>0.3094931039884341</v>
      </c>
      <c r="O3271" s="165">
        <f t="shared" si="157"/>
        <v>0.3094931039884341</v>
      </c>
      <c r="P3271" s="18"/>
      <c r="Q3271" s="18"/>
      <c r="R3271" s="18"/>
      <c r="S3271" s="18"/>
      <c r="T3271" s="18"/>
      <c r="U3271" s="18"/>
      <c r="V3271" s="18"/>
      <c r="W3271" s="18"/>
      <c r="X3271" s="18"/>
    </row>
    <row r="3272" spans="13:24">
      <c r="M3272" s="558">
        <f t="shared" si="158"/>
        <v>3270</v>
      </c>
      <c r="N3272" s="15">
        <f t="shared" si="156"/>
        <v>0.30943242113274877</v>
      </c>
      <c r="O3272" s="165">
        <f t="shared" si="157"/>
        <v>0.30943242113274877</v>
      </c>
      <c r="P3272" s="18"/>
      <c r="Q3272" s="18"/>
      <c r="R3272" s="18"/>
      <c r="S3272" s="18"/>
      <c r="T3272" s="18"/>
      <c r="U3272" s="18"/>
      <c r="V3272" s="18"/>
      <c r="W3272" s="18"/>
      <c r="X3272" s="18"/>
    </row>
    <row r="3273" spans="13:24">
      <c r="M3273" s="558">
        <f t="shared" si="158"/>
        <v>3271</v>
      </c>
      <c r="N3273" s="15">
        <f t="shared" si="156"/>
        <v>0.30937174996412142</v>
      </c>
      <c r="O3273" s="165">
        <f t="shared" si="157"/>
        <v>0.30937174996412142</v>
      </c>
      <c r="P3273" s="18"/>
      <c r="Q3273" s="18"/>
      <c r="R3273" s="18"/>
      <c r="S3273" s="18"/>
      <c r="T3273" s="18"/>
      <c r="U3273" s="18"/>
      <c r="V3273" s="18"/>
      <c r="W3273" s="18"/>
      <c r="X3273" s="18"/>
    </row>
    <row r="3274" spans="13:24">
      <c r="M3274" s="558">
        <f t="shared" si="158"/>
        <v>3272</v>
      </c>
      <c r="N3274" s="15">
        <f t="shared" si="156"/>
        <v>0.30931109046788569</v>
      </c>
      <c r="O3274" s="165">
        <f t="shared" si="157"/>
        <v>0.30931109046788569</v>
      </c>
      <c r="P3274" s="18"/>
      <c r="Q3274" s="18"/>
      <c r="R3274" s="18"/>
      <c r="S3274" s="18"/>
      <c r="T3274" s="18"/>
      <c r="U3274" s="18"/>
      <c r="V3274" s="18"/>
      <c r="W3274" s="18"/>
      <c r="X3274" s="18"/>
    </row>
    <row r="3275" spans="13:24">
      <c r="M3275" s="558">
        <f t="shared" si="158"/>
        <v>3273</v>
      </c>
      <c r="N3275" s="15">
        <f t="shared" si="156"/>
        <v>0.30925044262939355</v>
      </c>
      <c r="O3275" s="165">
        <f t="shared" si="157"/>
        <v>0.30925044262939355</v>
      </c>
      <c r="P3275" s="18"/>
      <c r="Q3275" s="18"/>
      <c r="R3275" s="18"/>
      <c r="S3275" s="18"/>
      <c r="T3275" s="18"/>
      <c r="U3275" s="18"/>
      <c r="V3275" s="18"/>
      <c r="W3275" s="18"/>
      <c r="X3275" s="18"/>
    </row>
    <row r="3276" spans="13:24">
      <c r="M3276" s="558">
        <f t="shared" si="158"/>
        <v>3274</v>
      </c>
      <c r="N3276" s="15">
        <f t="shared" si="156"/>
        <v>0.3091898064340155</v>
      </c>
      <c r="O3276" s="165">
        <f t="shared" si="157"/>
        <v>0.3091898064340155</v>
      </c>
      <c r="P3276" s="18"/>
      <c r="Q3276" s="18"/>
      <c r="R3276" s="18"/>
      <c r="S3276" s="18"/>
      <c r="T3276" s="18"/>
      <c r="U3276" s="18"/>
      <c r="V3276" s="18"/>
      <c r="W3276" s="18"/>
      <c r="X3276" s="18"/>
    </row>
    <row r="3277" spans="13:24">
      <c r="M3277" s="558">
        <f t="shared" si="158"/>
        <v>3275</v>
      </c>
      <c r="N3277" s="15">
        <f t="shared" si="156"/>
        <v>0.30912918186714045</v>
      </c>
      <c r="O3277" s="165">
        <f t="shared" si="157"/>
        <v>0.30912918186714045</v>
      </c>
      <c r="P3277" s="18"/>
      <c r="Q3277" s="18"/>
      <c r="R3277" s="18"/>
      <c r="S3277" s="18"/>
      <c r="T3277" s="18"/>
      <c r="U3277" s="18"/>
      <c r="V3277" s="18"/>
      <c r="W3277" s="18"/>
      <c r="X3277" s="18"/>
    </row>
    <row r="3278" spans="13:24">
      <c r="M3278" s="558">
        <f t="shared" si="158"/>
        <v>3276</v>
      </c>
      <c r="N3278" s="15">
        <f t="shared" si="156"/>
        <v>0.30906856891417556</v>
      </c>
      <c r="O3278" s="165">
        <f t="shared" si="157"/>
        <v>0.30906856891417556</v>
      </c>
      <c r="P3278" s="18"/>
      <c r="Q3278" s="18"/>
      <c r="R3278" s="18"/>
      <c r="S3278" s="18"/>
      <c r="T3278" s="18"/>
      <c r="U3278" s="18"/>
      <c r="V3278" s="18"/>
      <c r="W3278" s="18"/>
      <c r="X3278" s="18"/>
    </row>
    <row r="3279" spans="13:24">
      <c r="M3279" s="558">
        <f t="shared" si="158"/>
        <v>3277</v>
      </c>
      <c r="N3279" s="15">
        <f t="shared" si="156"/>
        <v>0.30900796756054616</v>
      </c>
      <c r="O3279" s="165">
        <f t="shared" si="157"/>
        <v>0.30900796756054616</v>
      </c>
      <c r="P3279" s="18"/>
      <c r="Q3279" s="18"/>
      <c r="R3279" s="18"/>
      <c r="S3279" s="18"/>
      <c r="T3279" s="18"/>
      <c r="U3279" s="18"/>
      <c r="V3279" s="18"/>
      <c r="W3279" s="18"/>
      <c r="X3279" s="18"/>
    </row>
    <row r="3280" spans="13:24">
      <c r="M3280" s="558">
        <f t="shared" si="158"/>
        <v>3278</v>
      </c>
      <c r="N3280" s="15">
        <f t="shared" si="156"/>
        <v>0.30894737779169612</v>
      </c>
      <c r="O3280" s="165">
        <f t="shared" si="157"/>
        <v>0.30894737779169612</v>
      </c>
      <c r="P3280" s="18"/>
      <c r="Q3280" s="18"/>
      <c r="R3280" s="18"/>
      <c r="S3280" s="18"/>
      <c r="T3280" s="18"/>
      <c r="U3280" s="18"/>
      <c r="V3280" s="18"/>
      <c r="W3280" s="18"/>
      <c r="X3280" s="18"/>
    </row>
    <row r="3281" spans="13:24">
      <c r="M3281" s="558">
        <f t="shared" si="158"/>
        <v>3279</v>
      </c>
      <c r="N3281" s="15">
        <f t="shared" si="156"/>
        <v>0.30888679959308757</v>
      </c>
      <c r="O3281" s="165">
        <f t="shared" si="157"/>
        <v>0.30888679959308757</v>
      </c>
      <c r="P3281" s="18"/>
      <c r="Q3281" s="18"/>
      <c r="R3281" s="18"/>
      <c r="S3281" s="18"/>
      <c r="T3281" s="18"/>
      <c r="U3281" s="18"/>
      <c r="V3281" s="18"/>
      <c r="W3281" s="18"/>
      <c r="X3281" s="18"/>
    </row>
    <row r="3282" spans="13:24">
      <c r="M3282" s="558">
        <f t="shared" si="158"/>
        <v>3280</v>
      </c>
      <c r="N3282" s="15">
        <f t="shared" si="156"/>
        <v>0.30882623295020062</v>
      </c>
      <c r="O3282" s="165">
        <f t="shared" si="157"/>
        <v>0.30882623295020062</v>
      </c>
      <c r="P3282" s="18"/>
      <c r="Q3282" s="18"/>
      <c r="R3282" s="18"/>
      <c r="S3282" s="18"/>
      <c r="T3282" s="18"/>
      <c r="U3282" s="18"/>
      <c r="V3282" s="18"/>
      <c r="W3282" s="18"/>
      <c r="X3282" s="18"/>
    </row>
    <row r="3283" spans="13:24">
      <c r="M3283" s="558">
        <f t="shared" si="158"/>
        <v>3281</v>
      </c>
      <c r="N3283" s="15">
        <f t="shared" si="156"/>
        <v>0.30876567784853381</v>
      </c>
      <c r="O3283" s="165">
        <f t="shared" si="157"/>
        <v>0.30876567784853381</v>
      </c>
      <c r="P3283" s="18"/>
      <c r="Q3283" s="18"/>
      <c r="R3283" s="18"/>
      <c r="S3283" s="18"/>
      <c r="T3283" s="18"/>
      <c r="U3283" s="18"/>
      <c r="V3283" s="18"/>
      <c r="W3283" s="18"/>
      <c r="X3283" s="18"/>
    </row>
    <row r="3284" spans="13:24">
      <c r="M3284" s="558">
        <f t="shared" si="158"/>
        <v>3282</v>
      </c>
      <c r="N3284" s="15">
        <f t="shared" si="156"/>
        <v>0.30870513427360385</v>
      </c>
      <c r="O3284" s="165">
        <f t="shared" si="157"/>
        <v>0.30870513427360385</v>
      </c>
      <c r="P3284" s="18"/>
      <c r="Q3284" s="18"/>
      <c r="R3284" s="18"/>
      <c r="S3284" s="18"/>
      <c r="T3284" s="18"/>
      <c r="U3284" s="18"/>
      <c r="V3284" s="18"/>
      <c r="W3284" s="18"/>
      <c r="X3284" s="18"/>
    </row>
    <row r="3285" spans="13:24">
      <c r="M3285" s="558">
        <f t="shared" si="158"/>
        <v>3283</v>
      </c>
      <c r="N3285" s="15">
        <f t="shared" si="156"/>
        <v>0.3086446022109457</v>
      </c>
      <c r="O3285" s="165">
        <f t="shared" si="157"/>
        <v>0.3086446022109457</v>
      </c>
      <c r="P3285" s="18"/>
      <c r="Q3285" s="18"/>
      <c r="R3285" s="18"/>
      <c r="S3285" s="18"/>
      <c r="T3285" s="18"/>
      <c r="U3285" s="18"/>
      <c r="V3285" s="18"/>
      <c r="W3285" s="18"/>
      <c r="X3285" s="18"/>
    </row>
    <row r="3286" spans="13:24">
      <c r="M3286" s="558">
        <f t="shared" si="158"/>
        <v>3284</v>
      </c>
      <c r="N3286" s="15">
        <f t="shared" si="156"/>
        <v>0.30858408164611223</v>
      </c>
      <c r="O3286" s="165">
        <f t="shared" si="157"/>
        <v>0.30858408164611223</v>
      </c>
      <c r="P3286" s="18"/>
      <c r="Q3286" s="18"/>
      <c r="R3286" s="18"/>
      <c r="S3286" s="18"/>
      <c r="T3286" s="18"/>
      <c r="U3286" s="18"/>
      <c r="V3286" s="18"/>
      <c r="W3286" s="18"/>
      <c r="X3286" s="18"/>
    </row>
    <row r="3287" spans="13:24">
      <c r="M3287" s="558">
        <f t="shared" si="158"/>
        <v>3285</v>
      </c>
      <c r="N3287" s="15">
        <f t="shared" si="156"/>
        <v>0.30852357256467466</v>
      </c>
      <c r="O3287" s="165">
        <f t="shared" si="157"/>
        <v>0.30852357256467466</v>
      </c>
      <c r="P3287" s="18"/>
      <c r="Q3287" s="18"/>
      <c r="R3287" s="18"/>
      <c r="S3287" s="18"/>
      <c r="T3287" s="18"/>
      <c r="U3287" s="18"/>
      <c r="V3287" s="18"/>
      <c r="W3287" s="18"/>
      <c r="X3287" s="18"/>
    </row>
    <row r="3288" spans="13:24">
      <c r="M3288" s="558">
        <f t="shared" si="158"/>
        <v>3286</v>
      </c>
      <c r="N3288" s="15">
        <f t="shared" si="156"/>
        <v>0.3084630749522223</v>
      </c>
      <c r="O3288" s="165">
        <f t="shared" si="157"/>
        <v>0.3084630749522223</v>
      </c>
      <c r="P3288" s="18"/>
      <c r="Q3288" s="18"/>
      <c r="R3288" s="18"/>
      <c r="S3288" s="18"/>
      <c r="T3288" s="18"/>
      <c r="U3288" s="18"/>
      <c r="V3288" s="18"/>
      <c r="W3288" s="18"/>
      <c r="X3288" s="18"/>
    </row>
    <row r="3289" spans="13:24">
      <c r="M3289" s="558">
        <f t="shared" si="158"/>
        <v>3287</v>
      </c>
      <c r="N3289" s="15">
        <f t="shared" si="156"/>
        <v>0.30840258879436244</v>
      </c>
      <c r="O3289" s="165">
        <f t="shared" si="157"/>
        <v>0.30840258879436244</v>
      </c>
      <c r="P3289" s="18"/>
      <c r="Q3289" s="18"/>
      <c r="R3289" s="18"/>
      <c r="S3289" s="18"/>
      <c r="T3289" s="18"/>
      <c r="U3289" s="18"/>
      <c r="V3289" s="18"/>
      <c r="W3289" s="18"/>
      <c r="X3289" s="18"/>
    </row>
    <row r="3290" spans="13:24">
      <c r="M3290" s="558">
        <f t="shared" si="158"/>
        <v>3288</v>
      </c>
      <c r="N3290" s="15">
        <f t="shared" si="156"/>
        <v>0.30834211407672046</v>
      </c>
      <c r="O3290" s="165">
        <f t="shared" si="157"/>
        <v>0.30834211407672046</v>
      </c>
      <c r="P3290" s="18"/>
      <c r="Q3290" s="18"/>
      <c r="R3290" s="18"/>
      <c r="S3290" s="18"/>
      <c r="T3290" s="18"/>
      <c r="U3290" s="18"/>
      <c r="V3290" s="18"/>
      <c r="W3290" s="18"/>
      <c r="X3290" s="18"/>
    </row>
    <row r="3291" spans="13:24">
      <c r="M3291" s="558">
        <f t="shared" si="158"/>
        <v>3289</v>
      </c>
      <c r="N3291" s="15">
        <f t="shared" si="156"/>
        <v>0.30828165078493985</v>
      </c>
      <c r="O3291" s="165">
        <f t="shared" si="157"/>
        <v>0.30828165078493985</v>
      </c>
      <c r="P3291" s="18"/>
      <c r="Q3291" s="18"/>
      <c r="R3291" s="18"/>
      <c r="S3291" s="18"/>
      <c r="T3291" s="18"/>
      <c r="U3291" s="18"/>
      <c r="V3291" s="18"/>
      <c r="W3291" s="18"/>
      <c r="X3291" s="18"/>
    </row>
    <row r="3292" spans="13:24">
      <c r="M3292" s="558">
        <f t="shared" si="158"/>
        <v>3290</v>
      </c>
      <c r="N3292" s="15">
        <f t="shared" si="156"/>
        <v>0.30822119890468208</v>
      </c>
      <c r="O3292" s="165">
        <f t="shared" si="157"/>
        <v>0.30822119890468208</v>
      </c>
      <c r="P3292" s="18"/>
      <c r="Q3292" s="18"/>
      <c r="R3292" s="18"/>
      <c r="S3292" s="18"/>
      <c r="T3292" s="18"/>
      <c r="U3292" s="18"/>
      <c r="V3292" s="18"/>
      <c r="W3292" s="18"/>
      <c r="X3292" s="18"/>
    </row>
    <row r="3293" spans="13:24">
      <c r="M3293" s="558">
        <f t="shared" si="158"/>
        <v>3291</v>
      </c>
      <c r="N3293" s="15">
        <f t="shared" si="156"/>
        <v>0.3081607584216266</v>
      </c>
      <c r="O3293" s="165">
        <f t="shared" si="157"/>
        <v>0.3081607584216266</v>
      </c>
      <c r="P3293" s="18"/>
      <c r="Q3293" s="18"/>
      <c r="R3293" s="18"/>
      <c r="S3293" s="18"/>
      <c r="T3293" s="18"/>
      <c r="U3293" s="18"/>
      <c r="V3293" s="18"/>
      <c r="W3293" s="18"/>
      <c r="X3293" s="18"/>
    </row>
    <row r="3294" spans="13:24">
      <c r="M3294" s="558">
        <f t="shared" si="158"/>
        <v>3292</v>
      </c>
      <c r="N3294" s="15">
        <f t="shared" si="156"/>
        <v>0.3081003293214708</v>
      </c>
      <c r="O3294" s="165">
        <f t="shared" si="157"/>
        <v>0.3081003293214708</v>
      </c>
      <c r="P3294" s="18"/>
      <c r="Q3294" s="18"/>
      <c r="R3294" s="18"/>
      <c r="S3294" s="18"/>
      <c r="T3294" s="18"/>
      <c r="U3294" s="18"/>
      <c r="V3294" s="18"/>
      <c r="W3294" s="18"/>
      <c r="X3294" s="18"/>
    </row>
    <row r="3295" spans="13:24">
      <c r="M3295" s="558">
        <f t="shared" si="158"/>
        <v>3293</v>
      </c>
      <c r="N3295" s="15">
        <f t="shared" si="156"/>
        <v>0.3080399115899301</v>
      </c>
      <c r="O3295" s="165">
        <f t="shared" si="157"/>
        <v>0.3080399115899301</v>
      </c>
      <c r="P3295" s="18"/>
      <c r="Q3295" s="18"/>
      <c r="R3295" s="18"/>
      <c r="S3295" s="18"/>
      <c r="T3295" s="18"/>
      <c r="U3295" s="18"/>
      <c r="V3295" s="18"/>
      <c r="W3295" s="18"/>
      <c r="X3295" s="18"/>
    </row>
    <row r="3296" spans="13:24">
      <c r="M3296" s="558">
        <f t="shared" si="158"/>
        <v>3294</v>
      </c>
      <c r="N3296" s="15">
        <f t="shared" si="156"/>
        <v>0.30797950521273776</v>
      </c>
      <c r="O3296" s="165">
        <f t="shared" si="157"/>
        <v>0.30797950521273776</v>
      </c>
      <c r="P3296" s="18"/>
      <c r="Q3296" s="18"/>
      <c r="R3296" s="18"/>
      <c r="S3296" s="18"/>
      <c r="T3296" s="18"/>
      <c r="U3296" s="18"/>
      <c r="V3296" s="18"/>
      <c r="W3296" s="18"/>
      <c r="X3296" s="18"/>
    </row>
    <row r="3297" spans="13:24">
      <c r="M3297" s="558">
        <f t="shared" si="158"/>
        <v>3295</v>
      </c>
      <c r="N3297" s="15">
        <f t="shared" si="156"/>
        <v>0.30791911017564505</v>
      </c>
      <c r="O3297" s="165">
        <f t="shared" si="157"/>
        <v>0.30791911017564505</v>
      </c>
      <c r="P3297" s="18"/>
      <c r="Q3297" s="18"/>
      <c r="R3297" s="18"/>
      <c r="S3297" s="18"/>
      <c r="T3297" s="18"/>
      <c r="U3297" s="18"/>
      <c r="V3297" s="18"/>
      <c r="W3297" s="18"/>
      <c r="X3297" s="18"/>
    </row>
    <row r="3298" spans="13:24">
      <c r="M3298" s="558">
        <f t="shared" si="158"/>
        <v>3296</v>
      </c>
      <c r="N3298" s="15">
        <f t="shared" si="156"/>
        <v>0.30785872646442092</v>
      </c>
      <c r="O3298" s="165">
        <f t="shared" si="157"/>
        <v>0.30785872646442092</v>
      </c>
      <c r="P3298" s="18"/>
      <c r="Q3298" s="18"/>
      <c r="R3298" s="18"/>
      <c r="S3298" s="18"/>
      <c r="T3298" s="18"/>
      <c r="U3298" s="18"/>
      <c r="V3298" s="18"/>
      <c r="W3298" s="18"/>
      <c r="X3298" s="18"/>
    </row>
    <row r="3299" spans="13:24">
      <c r="M3299" s="558">
        <f t="shared" si="158"/>
        <v>3297</v>
      </c>
      <c r="N3299" s="15">
        <f t="shared" si="156"/>
        <v>0.30779835406485245</v>
      </c>
      <c r="O3299" s="165">
        <f t="shared" si="157"/>
        <v>0.30779835406485245</v>
      </c>
      <c r="P3299" s="18"/>
      <c r="Q3299" s="18"/>
      <c r="R3299" s="18"/>
      <c r="S3299" s="18"/>
      <c r="T3299" s="18"/>
      <c r="U3299" s="18"/>
      <c r="V3299" s="18"/>
      <c r="W3299" s="18"/>
      <c r="X3299" s="18"/>
    </row>
    <row r="3300" spans="13:24">
      <c r="M3300" s="558">
        <f t="shared" si="158"/>
        <v>3298</v>
      </c>
      <c r="N3300" s="15">
        <f t="shared" si="156"/>
        <v>0.3077379929627444</v>
      </c>
      <c r="O3300" s="165">
        <f t="shared" si="157"/>
        <v>0.3077379929627444</v>
      </c>
      <c r="P3300" s="18"/>
      <c r="Q3300" s="18"/>
      <c r="R3300" s="18"/>
      <c r="S3300" s="18"/>
      <c r="T3300" s="18"/>
      <c r="U3300" s="18"/>
      <c r="V3300" s="18"/>
      <c r="W3300" s="18"/>
      <c r="X3300" s="18"/>
    </row>
    <row r="3301" spans="13:24">
      <c r="M3301" s="558">
        <f t="shared" si="158"/>
        <v>3299</v>
      </c>
      <c r="N3301" s="15">
        <f t="shared" si="156"/>
        <v>0.30767764314391938</v>
      </c>
      <c r="O3301" s="165">
        <f t="shared" si="157"/>
        <v>0.30767764314391938</v>
      </c>
      <c r="P3301" s="18"/>
      <c r="Q3301" s="18"/>
      <c r="R3301" s="18"/>
      <c r="S3301" s="18"/>
      <c r="T3301" s="18"/>
      <c r="U3301" s="18"/>
      <c r="V3301" s="18"/>
      <c r="W3301" s="18"/>
      <c r="X3301" s="18"/>
    </row>
    <row r="3302" spans="13:24">
      <c r="M3302" s="558">
        <f t="shared" si="158"/>
        <v>3300</v>
      </c>
      <c r="N3302" s="15">
        <f t="shared" si="156"/>
        <v>0.3076173045942176</v>
      </c>
      <c r="O3302" s="165">
        <f t="shared" si="157"/>
        <v>0.3076173045942176</v>
      </c>
      <c r="P3302" s="18"/>
      <c r="Q3302" s="18"/>
      <c r="R3302" s="18"/>
      <c r="S3302" s="18"/>
      <c r="T3302" s="18"/>
      <c r="U3302" s="18"/>
      <c r="V3302" s="18"/>
      <c r="W3302" s="18"/>
      <c r="X3302" s="18"/>
    </row>
    <row r="3303" spans="13:24">
      <c r="M3303" s="558">
        <f t="shared" si="158"/>
        <v>3301</v>
      </c>
      <c r="N3303" s="15">
        <f t="shared" si="156"/>
        <v>0.30755697729949744</v>
      </c>
      <c r="O3303" s="165">
        <f t="shared" si="157"/>
        <v>0.30755697729949744</v>
      </c>
      <c r="P3303" s="18"/>
      <c r="Q3303" s="18"/>
      <c r="R3303" s="18"/>
      <c r="S3303" s="18"/>
      <c r="T3303" s="18"/>
      <c r="U3303" s="18"/>
      <c r="V3303" s="18"/>
      <c r="W3303" s="18"/>
      <c r="X3303" s="18"/>
    </row>
    <row r="3304" spans="13:24">
      <c r="M3304" s="558">
        <f t="shared" si="158"/>
        <v>3302</v>
      </c>
      <c r="N3304" s="15">
        <f t="shared" si="156"/>
        <v>0.30749666124563474</v>
      </c>
      <c r="O3304" s="165">
        <f t="shared" si="157"/>
        <v>0.30749666124563474</v>
      </c>
      <c r="P3304" s="18"/>
      <c r="Q3304" s="18"/>
      <c r="R3304" s="18"/>
      <c r="S3304" s="18"/>
      <c r="T3304" s="18"/>
      <c r="U3304" s="18"/>
      <c r="V3304" s="18"/>
      <c r="W3304" s="18"/>
      <c r="X3304" s="18"/>
    </row>
    <row r="3305" spans="13:24">
      <c r="M3305" s="558">
        <f t="shared" si="158"/>
        <v>3303</v>
      </c>
      <c r="N3305" s="15">
        <f t="shared" si="156"/>
        <v>0.30743635641852307</v>
      </c>
      <c r="O3305" s="165">
        <f t="shared" si="157"/>
        <v>0.30743635641852307</v>
      </c>
      <c r="P3305" s="18"/>
      <c r="Q3305" s="18"/>
      <c r="R3305" s="18"/>
      <c r="S3305" s="18"/>
      <c r="T3305" s="18"/>
      <c r="U3305" s="18"/>
      <c r="V3305" s="18"/>
      <c r="W3305" s="18"/>
      <c r="X3305" s="18"/>
    </row>
    <row r="3306" spans="13:24">
      <c r="M3306" s="558">
        <f t="shared" si="158"/>
        <v>3304</v>
      </c>
      <c r="N3306" s="15">
        <f t="shared" si="156"/>
        <v>0.30737606280407376</v>
      </c>
      <c r="O3306" s="165">
        <f t="shared" si="157"/>
        <v>0.30737606280407376</v>
      </c>
      <c r="P3306" s="18"/>
      <c r="Q3306" s="18"/>
      <c r="R3306" s="18"/>
      <c r="S3306" s="18"/>
      <c r="T3306" s="18"/>
      <c r="U3306" s="18"/>
      <c r="V3306" s="18"/>
      <c r="W3306" s="18"/>
      <c r="X3306" s="18"/>
    </row>
    <row r="3307" spans="13:24">
      <c r="M3307" s="558">
        <f t="shared" si="158"/>
        <v>3305</v>
      </c>
      <c r="N3307" s="15">
        <f t="shared" si="156"/>
        <v>0.30731578038821589</v>
      </c>
      <c r="O3307" s="165">
        <f t="shared" si="157"/>
        <v>0.30731578038821589</v>
      </c>
      <c r="P3307" s="18"/>
      <c r="Q3307" s="18"/>
      <c r="R3307" s="18"/>
      <c r="S3307" s="18"/>
      <c r="T3307" s="18"/>
      <c r="U3307" s="18"/>
      <c r="V3307" s="18"/>
      <c r="W3307" s="18"/>
      <c r="X3307" s="18"/>
    </row>
    <row r="3308" spans="13:24">
      <c r="M3308" s="558">
        <f t="shared" si="158"/>
        <v>3306</v>
      </c>
      <c r="N3308" s="15">
        <f t="shared" si="156"/>
        <v>0.30725550915689609</v>
      </c>
      <c r="O3308" s="165">
        <f t="shared" si="157"/>
        <v>0.30725550915689609</v>
      </c>
      <c r="P3308" s="18"/>
      <c r="Q3308" s="18"/>
      <c r="R3308" s="18"/>
      <c r="S3308" s="18"/>
      <c r="T3308" s="18"/>
      <c r="U3308" s="18"/>
      <c r="V3308" s="18"/>
      <c r="W3308" s="18"/>
      <c r="X3308" s="18"/>
    </row>
    <row r="3309" spans="13:24">
      <c r="M3309" s="558">
        <f t="shared" si="158"/>
        <v>3307</v>
      </c>
      <c r="N3309" s="15">
        <f t="shared" si="156"/>
        <v>0.30719524909607859</v>
      </c>
      <c r="O3309" s="165">
        <f t="shared" si="157"/>
        <v>0.30719524909607859</v>
      </c>
      <c r="P3309" s="18"/>
      <c r="Q3309" s="18"/>
      <c r="R3309" s="18"/>
      <c r="S3309" s="18"/>
      <c r="T3309" s="18"/>
      <c r="U3309" s="18"/>
      <c r="V3309" s="18"/>
      <c r="W3309" s="18"/>
      <c r="X3309" s="18"/>
    </row>
    <row r="3310" spans="13:24">
      <c r="M3310" s="558">
        <f t="shared" si="158"/>
        <v>3308</v>
      </c>
      <c r="N3310" s="15">
        <f t="shared" si="156"/>
        <v>0.30713500019174544</v>
      </c>
      <c r="O3310" s="165">
        <f t="shared" si="157"/>
        <v>0.30713500019174544</v>
      </c>
      <c r="P3310" s="18"/>
      <c r="Q3310" s="18"/>
      <c r="R3310" s="18"/>
      <c r="S3310" s="18"/>
      <c r="T3310" s="18"/>
      <c r="U3310" s="18"/>
      <c r="V3310" s="18"/>
      <c r="W3310" s="18"/>
      <c r="X3310" s="18"/>
    </row>
    <row r="3311" spans="13:24">
      <c r="M3311" s="558">
        <f t="shared" si="158"/>
        <v>3309</v>
      </c>
      <c r="N3311" s="15">
        <f t="shared" si="156"/>
        <v>0.30707476242989606</v>
      </c>
      <c r="O3311" s="165">
        <f t="shared" si="157"/>
        <v>0.30707476242989606</v>
      </c>
      <c r="P3311" s="18"/>
      <c r="Q3311" s="18"/>
      <c r="R3311" s="18"/>
      <c r="S3311" s="18"/>
      <c r="T3311" s="18"/>
      <c r="U3311" s="18"/>
      <c r="V3311" s="18"/>
      <c r="W3311" s="18"/>
      <c r="X3311" s="18"/>
    </row>
    <row r="3312" spans="13:24">
      <c r="M3312" s="558">
        <f t="shared" si="158"/>
        <v>3310</v>
      </c>
      <c r="N3312" s="15">
        <f t="shared" si="156"/>
        <v>0.30701453579654758</v>
      </c>
      <c r="O3312" s="165">
        <f t="shared" si="157"/>
        <v>0.30701453579654758</v>
      </c>
      <c r="P3312" s="18"/>
      <c r="Q3312" s="18"/>
      <c r="R3312" s="18"/>
      <c r="S3312" s="18"/>
      <c r="T3312" s="18"/>
      <c r="U3312" s="18"/>
      <c r="V3312" s="18"/>
      <c r="W3312" s="18"/>
      <c r="X3312" s="18"/>
    </row>
    <row r="3313" spans="13:24">
      <c r="M3313" s="558">
        <f t="shared" si="158"/>
        <v>3311</v>
      </c>
      <c r="N3313" s="15">
        <f t="shared" si="156"/>
        <v>0.3069543202777345</v>
      </c>
      <c r="O3313" s="165">
        <f t="shared" si="157"/>
        <v>0.3069543202777345</v>
      </c>
      <c r="P3313" s="18"/>
      <c r="Q3313" s="18"/>
      <c r="R3313" s="18"/>
      <c r="S3313" s="18"/>
      <c r="T3313" s="18"/>
      <c r="U3313" s="18"/>
      <c r="V3313" s="18"/>
      <c r="W3313" s="18"/>
      <c r="X3313" s="18"/>
    </row>
    <row r="3314" spans="13:24">
      <c r="M3314" s="558">
        <f t="shared" si="158"/>
        <v>3312</v>
      </c>
      <c r="N3314" s="15">
        <f t="shared" si="156"/>
        <v>0.30689411585950915</v>
      </c>
      <c r="O3314" s="165">
        <f t="shared" si="157"/>
        <v>0.30689411585950915</v>
      </c>
      <c r="P3314" s="18"/>
      <c r="Q3314" s="18"/>
      <c r="R3314" s="18"/>
      <c r="S3314" s="18"/>
      <c r="T3314" s="18"/>
      <c r="U3314" s="18"/>
      <c r="V3314" s="18"/>
      <c r="W3314" s="18"/>
      <c r="X3314" s="18"/>
    </row>
    <row r="3315" spans="13:24">
      <c r="M3315" s="558">
        <f t="shared" si="158"/>
        <v>3313</v>
      </c>
      <c r="N3315" s="15">
        <f t="shared" si="156"/>
        <v>0.30683392252794112</v>
      </c>
      <c r="O3315" s="165">
        <f t="shared" si="157"/>
        <v>0.30683392252794112</v>
      </c>
      <c r="P3315" s="18"/>
      <c r="Q3315" s="18"/>
      <c r="R3315" s="18"/>
      <c r="S3315" s="18"/>
      <c r="T3315" s="18"/>
      <c r="U3315" s="18"/>
      <c r="V3315" s="18"/>
      <c r="W3315" s="18"/>
      <c r="X3315" s="18"/>
    </row>
    <row r="3316" spans="13:24">
      <c r="M3316" s="558">
        <f t="shared" si="158"/>
        <v>3314</v>
      </c>
      <c r="N3316" s="15">
        <f t="shared" si="156"/>
        <v>0.30677374026911752</v>
      </c>
      <c r="O3316" s="165">
        <f t="shared" si="157"/>
        <v>0.30677374026911752</v>
      </c>
      <c r="P3316" s="18"/>
      <c r="Q3316" s="18"/>
      <c r="R3316" s="18"/>
      <c r="S3316" s="18"/>
      <c r="T3316" s="18"/>
      <c r="U3316" s="18"/>
      <c r="V3316" s="18"/>
      <c r="W3316" s="18"/>
      <c r="X3316" s="18"/>
    </row>
    <row r="3317" spans="13:24">
      <c r="M3317" s="558">
        <f t="shared" si="158"/>
        <v>3315</v>
      </c>
      <c r="N3317" s="15">
        <f t="shared" si="156"/>
        <v>0.30671356906914288</v>
      </c>
      <c r="O3317" s="165">
        <f t="shared" si="157"/>
        <v>0.30671356906914288</v>
      </c>
      <c r="P3317" s="18"/>
      <c r="Q3317" s="18"/>
      <c r="R3317" s="18"/>
      <c r="S3317" s="18"/>
      <c r="T3317" s="18"/>
      <c r="U3317" s="18"/>
      <c r="V3317" s="18"/>
      <c r="W3317" s="18"/>
      <c r="X3317" s="18"/>
    </row>
    <row r="3318" spans="13:24">
      <c r="M3318" s="558">
        <f t="shared" si="158"/>
        <v>3316</v>
      </c>
      <c r="N3318" s="15">
        <f t="shared" si="156"/>
        <v>0.30665340891413934</v>
      </c>
      <c r="O3318" s="165">
        <f t="shared" si="157"/>
        <v>0.30665340891413934</v>
      </c>
      <c r="P3318" s="18"/>
      <c r="Q3318" s="18"/>
      <c r="R3318" s="18"/>
      <c r="S3318" s="18"/>
      <c r="T3318" s="18"/>
      <c r="U3318" s="18"/>
      <c r="V3318" s="18"/>
      <c r="W3318" s="18"/>
      <c r="X3318" s="18"/>
    </row>
    <row r="3319" spans="13:24">
      <c r="M3319" s="558">
        <f t="shared" si="158"/>
        <v>3317</v>
      </c>
      <c r="N3319" s="15">
        <f t="shared" si="156"/>
        <v>0.30659325979024632</v>
      </c>
      <c r="O3319" s="165">
        <f t="shared" si="157"/>
        <v>0.30659325979024632</v>
      </c>
      <c r="P3319" s="18"/>
      <c r="Q3319" s="18"/>
      <c r="R3319" s="18"/>
      <c r="S3319" s="18"/>
      <c r="T3319" s="18"/>
      <c r="U3319" s="18"/>
      <c r="V3319" s="18"/>
      <c r="W3319" s="18"/>
      <c r="X3319" s="18"/>
    </row>
    <row r="3320" spans="13:24">
      <c r="M3320" s="558">
        <f t="shared" si="158"/>
        <v>3318</v>
      </c>
      <c r="N3320" s="15">
        <f t="shared" si="156"/>
        <v>0.30653312168362068</v>
      </c>
      <c r="O3320" s="165">
        <f t="shared" si="157"/>
        <v>0.30653312168362068</v>
      </c>
      <c r="P3320" s="18"/>
      <c r="Q3320" s="18"/>
      <c r="R3320" s="18"/>
      <c r="S3320" s="18"/>
      <c r="T3320" s="18"/>
      <c r="U3320" s="18"/>
      <c r="V3320" s="18"/>
      <c r="W3320" s="18"/>
      <c r="X3320" s="18"/>
    </row>
    <row r="3321" spans="13:24">
      <c r="M3321" s="558">
        <f t="shared" si="158"/>
        <v>3319</v>
      </c>
      <c r="N3321" s="15">
        <f t="shared" si="156"/>
        <v>0.30647299458043653</v>
      </c>
      <c r="O3321" s="165">
        <f t="shared" si="157"/>
        <v>0.30647299458043653</v>
      </c>
      <c r="P3321" s="18"/>
      <c r="Q3321" s="18"/>
      <c r="R3321" s="18"/>
      <c r="S3321" s="18"/>
      <c r="T3321" s="18"/>
      <c r="U3321" s="18"/>
      <c r="V3321" s="18"/>
      <c r="W3321" s="18"/>
      <c r="X3321" s="18"/>
    </row>
    <row r="3322" spans="13:24">
      <c r="M3322" s="558">
        <f t="shared" si="158"/>
        <v>3320</v>
      </c>
      <c r="N3322" s="15">
        <f t="shared" si="156"/>
        <v>0.30641287846688559</v>
      </c>
      <c r="O3322" s="165">
        <f t="shared" si="157"/>
        <v>0.30641287846688559</v>
      </c>
      <c r="P3322" s="18"/>
      <c r="Q3322" s="18"/>
      <c r="R3322" s="18"/>
      <c r="S3322" s="18"/>
      <c r="T3322" s="18"/>
      <c r="U3322" s="18"/>
      <c r="V3322" s="18"/>
      <c r="W3322" s="18"/>
      <c r="X3322" s="18"/>
    </row>
    <row r="3323" spans="13:24">
      <c r="M3323" s="558">
        <f t="shared" si="158"/>
        <v>3321</v>
      </c>
      <c r="N3323" s="15">
        <f t="shared" si="156"/>
        <v>0.30635277332917665</v>
      </c>
      <c r="O3323" s="165">
        <f t="shared" si="157"/>
        <v>0.30635277332917665</v>
      </c>
      <c r="P3323" s="18"/>
      <c r="Q3323" s="18"/>
      <c r="R3323" s="18"/>
      <c r="S3323" s="18"/>
      <c r="T3323" s="18"/>
      <c r="U3323" s="18"/>
      <c r="V3323" s="18"/>
      <c r="W3323" s="18"/>
      <c r="X3323" s="18"/>
    </row>
    <row r="3324" spans="13:24">
      <c r="M3324" s="558">
        <f t="shared" si="158"/>
        <v>3322</v>
      </c>
      <c r="N3324" s="15">
        <f t="shared" si="156"/>
        <v>0.30629267915353592</v>
      </c>
      <c r="O3324" s="165">
        <f t="shared" si="157"/>
        <v>0.30629267915353592</v>
      </c>
      <c r="P3324" s="18"/>
      <c r="Q3324" s="18"/>
      <c r="R3324" s="18"/>
      <c r="S3324" s="18"/>
      <c r="T3324" s="18"/>
      <c r="U3324" s="18"/>
      <c r="V3324" s="18"/>
      <c r="W3324" s="18"/>
      <c r="X3324" s="18"/>
    </row>
    <row r="3325" spans="13:24">
      <c r="M3325" s="558">
        <f t="shared" si="158"/>
        <v>3323</v>
      </c>
      <c r="N3325" s="15">
        <f t="shared" si="156"/>
        <v>0.30623259592620694</v>
      </c>
      <c r="O3325" s="165">
        <f t="shared" si="157"/>
        <v>0.30623259592620694</v>
      </c>
      <c r="P3325" s="18"/>
      <c r="Q3325" s="18"/>
      <c r="R3325" s="18"/>
      <c r="S3325" s="18"/>
      <c r="T3325" s="18"/>
      <c r="U3325" s="18"/>
      <c r="V3325" s="18"/>
      <c r="W3325" s="18"/>
      <c r="X3325" s="18"/>
    </row>
    <row r="3326" spans="13:24">
      <c r="M3326" s="558">
        <f t="shared" si="158"/>
        <v>3324</v>
      </c>
      <c r="N3326" s="15">
        <f t="shared" si="156"/>
        <v>0.30617252363345038</v>
      </c>
      <c r="O3326" s="165">
        <f t="shared" si="157"/>
        <v>0.30617252363345038</v>
      </c>
      <c r="P3326" s="18"/>
      <c r="Q3326" s="18"/>
      <c r="R3326" s="18"/>
      <c r="S3326" s="18"/>
      <c r="T3326" s="18"/>
      <c r="U3326" s="18"/>
      <c r="V3326" s="18"/>
      <c r="W3326" s="18"/>
      <c r="X3326" s="18"/>
    </row>
    <row r="3327" spans="13:24">
      <c r="M3327" s="558">
        <f t="shared" si="158"/>
        <v>3325</v>
      </c>
      <c r="N3327" s="15">
        <f t="shared" si="156"/>
        <v>0.30611246226154432</v>
      </c>
      <c r="O3327" s="165">
        <f t="shared" si="157"/>
        <v>0.30611246226154432</v>
      </c>
      <c r="P3327" s="18"/>
      <c r="Q3327" s="18"/>
      <c r="R3327" s="18"/>
      <c r="S3327" s="18"/>
      <c r="T3327" s="18"/>
      <c r="U3327" s="18"/>
      <c r="V3327" s="18"/>
      <c r="W3327" s="18"/>
      <c r="X3327" s="18"/>
    </row>
    <row r="3328" spans="13:24">
      <c r="M3328" s="558">
        <f t="shared" si="158"/>
        <v>3326</v>
      </c>
      <c r="N3328" s="15">
        <f t="shared" si="156"/>
        <v>0.30605241179678383</v>
      </c>
      <c r="O3328" s="165">
        <f t="shared" si="157"/>
        <v>0.30605241179678383</v>
      </c>
      <c r="P3328" s="18"/>
      <c r="Q3328" s="18"/>
      <c r="R3328" s="18"/>
      <c r="S3328" s="18"/>
      <c r="T3328" s="18"/>
      <c r="U3328" s="18"/>
      <c r="V3328" s="18"/>
      <c r="W3328" s="18"/>
      <c r="X3328" s="18"/>
    </row>
    <row r="3329" spans="13:24">
      <c r="M3329" s="558">
        <f t="shared" si="158"/>
        <v>3327</v>
      </c>
      <c r="N3329" s="15">
        <f t="shared" si="156"/>
        <v>0.30599237222548148</v>
      </c>
      <c r="O3329" s="165">
        <f t="shared" si="157"/>
        <v>0.30599237222548148</v>
      </c>
      <c r="P3329" s="18"/>
      <c r="Q3329" s="18"/>
      <c r="R3329" s="18"/>
      <c r="S3329" s="18"/>
      <c r="T3329" s="18"/>
      <c r="U3329" s="18"/>
      <c r="V3329" s="18"/>
      <c r="W3329" s="18"/>
      <c r="X3329" s="18"/>
    </row>
    <row r="3330" spans="13:24">
      <c r="M3330" s="558">
        <f t="shared" si="158"/>
        <v>3328</v>
      </c>
      <c r="N3330" s="15">
        <f t="shared" si="156"/>
        <v>0.30593234353396676</v>
      </c>
      <c r="O3330" s="165">
        <f t="shared" si="157"/>
        <v>0.30593234353396676</v>
      </c>
      <c r="P3330" s="18"/>
      <c r="Q3330" s="18"/>
      <c r="R3330" s="18"/>
      <c r="S3330" s="18"/>
      <c r="T3330" s="18"/>
      <c r="U3330" s="18"/>
      <c r="V3330" s="18"/>
      <c r="W3330" s="18"/>
      <c r="X3330" s="18"/>
    </row>
    <row r="3331" spans="13:24">
      <c r="M3331" s="558">
        <f t="shared" si="158"/>
        <v>3329</v>
      </c>
      <c r="N3331" s="15">
        <f t="shared" si="156"/>
        <v>0.30587232570858647</v>
      </c>
      <c r="O3331" s="165">
        <f t="shared" si="157"/>
        <v>0.30587232570858647</v>
      </c>
      <c r="P3331" s="18"/>
      <c r="Q3331" s="18"/>
      <c r="R3331" s="18"/>
      <c r="S3331" s="18"/>
      <c r="T3331" s="18"/>
      <c r="U3331" s="18"/>
      <c r="V3331" s="18"/>
      <c r="W3331" s="18"/>
      <c r="X3331" s="18"/>
    </row>
    <row r="3332" spans="13:24">
      <c r="M3332" s="558">
        <f t="shared" si="158"/>
        <v>3330</v>
      </c>
      <c r="N3332" s="15">
        <f t="shared" ref="N3332:N3395" si="159">IF(M3332&lt;$B$31+1,$B$32+$B$33/$B$31*(8760-M3332)+$B$34*IF(M3332&lt;$B$36-$B$31/(2*$B$35),1,IF(M3332&lt;$B$36+$B$31/(2*$B$35),COS(PI()/2*(M3332-($B$36-$B$31/(2*$B$35)))*$B$35/$B$31)^2,0))+$B$37*EXP((8760-M3332)/8760*$B$38)/EXP($B$38)-(8760-$B$31)*$B$33/$B$31,0)</f>
        <v>0.30581231873570436</v>
      </c>
      <c r="O3332" s="165">
        <f t="shared" ref="O3332:O3395" si="160">MIN(N3332,C$24)</f>
        <v>0.30581231873570436</v>
      </c>
      <c r="P3332" s="18"/>
      <c r="Q3332" s="18"/>
      <c r="R3332" s="18"/>
      <c r="S3332" s="18"/>
      <c r="T3332" s="18"/>
      <c r="U3332" s="18"/>
      <c r="V3332" s="18"/>
      <c r="W3332" s="18"/>
      <c r="X3332" s="18"/>
    </row>
    <row r="3333" spans="13:24">
      <c r="M3333" s="558">
        <f t="shared" ref="M3333:M3396" si="161">M3332+1</f>
        <v>3331</v>
      </c>
      <c r="N3333" s="15">
        <f t="shared" si="159"/>
        <v>0.30575232260170154</v>
      </c>
      <c r="O3333" s="165">
        <f t="shared" si="160"/>
        <v>0.30575232260170154</v>
      </c>
      <c r="P3333" s="18"/>
      <c r="Q3333" s="18"/>
      <c r="R3333" s="18"/>
      <c r="S3333" s="18"/>
      <c r="T3333" s="18"/>
      <c r="U3333" s="18"/>
      <c r="V3333" s="18"/>
      <c r="W3333" s="18"/>
      <c r="X3333" s="18"/>
    </row>
    <row r="3334" spans="13:24">
      <c r="M3334" s="558">
        <f t="shared" si="161"/>
        <v>3332</v>
      </c>
      <c r="N3334" s="15">
        <f t="shared" si="159"/>
        <v>0.30569233729297607</v>
      </c>
      <c r="O3334" s="165">
        <f t="shared" si="160"/>
        <v>0.30569233729297607</v>
      </c>
      <c r="P3334" s="18"/>
      <c r="Q3334" s="18"/>
      <c r="R3334" s="18"/>
      <c r="S3334" s="18"/>
      <c r="T3334" s="18"/>
      <c r="U3334" s="18"/>
      <c r="V3334" s="18"/>
      <c r="W3334" s="18"/>
      <c r="X3334" s="18"/>
    </row>
    <row r="3335" spans="13:24">
      <c r="M3335" s="558">
        <f t="shared" si="161"/>
        <v>3333</v>
      </c>
      <c r="N3335" s="15">
        <f t="shared" si="159"/>
        <v>0.30563236279594308</v>
      </c>
      <c r="O3335" s="165">
        <f t="shared" si="160"/>
        <v>0.30563236279594308</v>
      </c>
      <c r="P3335" s="18"/>
      <c r="Q3335" s="18"/>
      <c r="R3335" s="18"/>
      <c r="S3335" s="18"/>
      <c r="T3335" s="18"/>
      <c r="U3335" s="18"/>
      <c r="V3335" s="18"/>
      <c r="W3335" s="18"/>
      <c r="X3335" s="18"/>
    </row>
    <row r="3336" spans="13:24">
      <c r="M3336" s="558">
        <f t="shared" si="161"/>
        <v>3334</v>
      </c>
      <c r="N3336" s="15">
        <f t="shared" si="159"/>
        <v>0.30557239909703465</v>
      </c>
      <c r="O3336" s="165">
        <f t="shared" si="160"/>
        <v>0.30557239909703465</v>
      </c>
      <c r="P3336" s="18"/>
      <c r="Q3336" s="18"/>
      <c r="R3336" s="18"/>
      <c r="S3336" s="18"/>
      <c r="T3336" s="18"/>
      <c r="U3336" s="18"/>
      <c r="V3336" s="18"/>
      <c r="W3336" s="18"/>
      <c r="X3336" s="18"/>
    </row>
    <row r="3337" spans="13:24">
      <c r="M3337" s="558">
        <f t="shared" si="161"/>
        <v>3335</v>
      </c>
      <c r="N3337" s="15">
        <f t="shared" si="159"/>
        <v>0.30551244618270024</v>
      </c>
      <c r="O3337" s="165">
        <f t="shared" si="160"/>
        <v>0.30551244618270024</v>
      </c>
      <c r="P3337" s="18"/>
      <c r="Q3337" s="18"/>
      <c r="R3337" s="18"/>
      <c r="S3337" s="18"/>
      <c r="T3337" s="18"/>
      <c r="U3337" s="18"/>
      <c r="V3337" s="18"/>
      <c r="W3337" s="18"/>
      <c r="X3337" s="18"/>
    </row>
    <row r="3338" spans="13:24">
      <c r="M3338" s="558">
        <f t="shared" si="161"/>
        <v>3336</v>
      </c>
      <c r="N3338" s="15">
        <f t="shared" si="159"/>
        <v>0.30545250403940588</v>
      </c>
      <c r="O3338" s="165">
        <f t="shared" si="160"/>
        <v>0.30545250403940588</v>
      </c>
      <c r="P3338" s="18"/>
      <c r="Q3338" s="18"/>
      <c r="R3338" s="18"/>
      <c r="S3338" s="18"/>
      <c r="T3338" s="18"/>
      <c r="U3338" s="18"/>
      <c r="V3338" s="18"/>
      <c r="W3338" s="18"/>
      <c r="X3338" s="18"/>
    </row>
    <row r="3339" spans="13:24">
      <c r="M3339" s="558">
        <f t="shared" si="161"/>
        <v>3337</v>
      </c>
      <c r="N3339" s="15">
        <f t="shared" si="159"/>
        <v>0.30539257265363484</v>
      </c>
      <c r="O3339" s="165">
        <f t="shared" si="160"/>
        <v>0.30539257265363484</v>
      </c>
      <c r="P3339" s="18"/>
      <c r="Q3339" s="18"/>
      <c r="R3339" s="18"/>
      <c r="S3339" s="18"/>
      <c r="T3339" s="18"/>
      <c r="U3339" s="18"/>
      <c r="V3339" s="18"/>
      <c r="W3339" s="18"/>
      <c r="X3339" s="18"/>
    </row>
    <row r="3340" spans="13:24">
      <c r="M3340" s="558">
        <f t="shared" si="161"/>
        <v>3338</v>
      </c>
      <c r="N3340" s="15">
        <f t="shared" si="159"/>
        <v>0.30533265201188736</v>
      </c>
      <c r="O3340" s="165">
        <f t="shared" si="160"/>
        <v>0.30533265201188736</v>
      </c>
      <c r="P3340" s="18"/>
      <c r="Q3340" s="18"/>
      <c r="R3340" s="18"/>
      <c r="S3340" s="18"/>
      <c r="T3340" s="18"/>
      <c r="U3340" s="18"/>
      <c r="V3340" s="18"/>
      <c r="W3340" s="18"/>
      <c r="X3340" s="18"/>
    </row>
    <row r="3341" spans="13:24">
      <c r="M3341" s="558">
        <f t="shared" si="161"/>
        <v>3339</v>
      </c>
      <c r="N3341" s="15">
        <f t="shared" si="159"/>
        <v>0.30527274210068045</v>
      </c>
      <c r="O3341" s="165">
        <f t="shared" si="160"/>
        <v>0.30527274210068045</v>
      </c>
      <c r="P3341" s="18"/>
      <c r="Q3341" s="18"/>
      <c r="R3341" s="18"/>
      <c r="S3341" s="18"/>
      <c r="T3341" s="18"/>
      <c r="U3341" s="18"/>
      <c r="V3341" s="18"/>
      <c r="W3341" s="18"/>
      <c r="X3341" s="18"/>
    </row>
    <row r="3342" spans="13:24">
      <c r="M3342" s="558">
        <f t="shared" si="161"/>
        <v>3340</v>
      </c>
      <c r="N3342" s="15">
        <f t="shared" si="159"/>
        <v>0.30521284290654821</v>
      </c>
      <c r="O3342" s="165">
        <f t="shared" si="160"/>
        <v>0.30521284290654821</v>
      </c>
      <c r="P3342" s="18"/>
      <c r="Q3342" s="18"/>
      <c r="R3342" s="18"/>
      <c r="S3342" s="18"/>
      <c r="T3342" s="18"/>
      <c r="U3342" s="18"/>
      <c r="V3342" s="18"/>
      <c r="W3342" s="18"/>
      <c r="X3342" s="18"/>
    </row>
    <row r="3343" spans="13:24">
      <c r="M3343" s="558">
        <f t="shared" si="161"/>
        <v>3341</v>
      </c>
      <c r="N3343" s="15">
        <f t="shared" si="159"/>
        <v>0.30515295441604146</v>
      </c>
      <c r="O3343" s="165">
        <f t="shared" si="160"/>
        <v>0.30515295441604146</v>
      </c>
      <c r="P3343" s="18"/>
      <c r="Q3343" s="18"/>
      <c r="R3343" s="18"/>
      <c r="S3343" s="18"/>
      <c r="T3343" s="18"/>
      <c r="U3343" s="18"/>
      <c r="V3343" s="18"/>
      <c r="W3343" s="18"/>
      <c r="X3343" s="18"/>
    </row>
    <row r="3344" spans="13:24">
      <c r="M3344" s="558">
        <f t="shared" si="161"/>
        <v>3342</v>
      </c>
      <c r="N3344" s="15">
        <f t="shared" si="159"/>
        <v>0.30509307661572815</v>
      </c>
      <c r="O3344" s="165">
        <f t="shared" si="160"/>
        <v>0.30509307661572815</v>
      </c>
      <c r="P3344" s="18"/>
      <c r="Q3344" s="18"/>
      <c r="R3344" s="18"/>
      <c r="S3344" s="18"/>
      <c r="T3344" s="18"/>
      <c r="U3344" s="18"/>
      <c r="V3344" s="18"/>
      <c r="W3344" s="18"/>
      <c r="X3344" s="18"/>
    </row>
    <row r="3345" spans="13:24">
      <c r="M3345" s="558">
        <f t="shared" si="161"/>
        <v>3343</v>
      </c>
      <c r="N3345" s="15">
        <f t="shared" si="159"/>
        <v>0.30503320949219292</v>
      </c>
      <c r="O3345" s="165">
        <f t="shared" si="160"/>
        <v>0.30503320949219292</v>
      </c>
      <c r="P3345" s="18"/>
      <c r="Q3345" s="18"/>
      <c r="R3345" s="18"/>
      <c r="S3345" s="18"/>
      <c r="T3345" s="18"/>
      <c r="U3345" s="18"/>
      <c r="V3345" s="18"/>
      <c r="W3345" s="18"/>
      <c r="X3345" s="18"/>
    </row>
    <row r="3346" spans="13:24">
      <c r="M3346" s="558">
        <f t="shared" si="161"/>
        <v>3344</v>
      </c>
      <c r="N3346" s="15">
        <f t="shared" si="159"/>
        <v>0.30497335303203721</v>
      </c>
      <c r="O3346" s="165">
        <f t="shared" si="160"/>
        <v>0.30497335303203721</v>
      </c>
      <c r="P3346" s="18"/>
      <c r="Q3346" s="18"/>
      <c r="R3346" s="18"/>
      <c r="S3346" s="18"/>
      <c r="T3346" s="18"/>
      <c r="U3346" s="18"/>
      <c r="V3346" s="18"/>
      <c r="W3346" s="18"/>
      <c r="X3346" s="18"/>
    </row>
    <row r="3347" spans="13:24">
      <c r="M3347" s="558">
        <f t="shared" si="161"/>
        <v>3345</v>
      </c>
      <c r="N3347" s="15">
        <f t="shared" si="159"/>
        <v>0.30491350722187938</v>
      </c>
      <c r="O3347" s="165">
        <f t="shared" si="160"/>
        <v>0.30491350722187938</v>
      </c>
      <c r="P3347" s="18"/>
      <c r="Q3347" s="18"/>
      <c r="R3347" s="18"/>
      <c r="S3347" s="18"/>
      <c r="T3347" s="18"/>
      <c r="U3347" s="18"/>
      <c r="V3347" s="18"/>
      <c r="W3347" s="18"/>
      <c r="X3347" s="18"/>
    </row>
    <row r="3348" spans="13:24">
      <c r="M3348" s="558">
        <f t="shared" si="161"/>
        <v>3346</v>
      </c>
      <c r="N3348" s="15">
        <f t="shared" si="159"/>
        <v>0.30485367204835451</v>
      </c>
      <c r="O3348" s="165">
        <f t="shared" si="160"/>
        <v>0.30485367204835451</v>
      </c>
      <c r="P3348" s="18"/>
      <c r="Q3348" s="18"/>
      <c r="R3348" s="18"/>
      <c r="S3348" s="18"/>
      <c r="T3348" s="18"/>
      <c r="U3348" s="18"/>
      <c r="V3348" s="18"/>
      <c r="W3348" s="18"/>
      <c r="X3348" s="18"/>
    </row>
    <row r="3349" spans="13:24">
      <c r="M3349" s="558">
        <f t="shared" si="161"/>
        <v>3347</v>
      </c>
      <c r="N3349" s="15">
        <f t="shared" si="159"/>
        <v>0.3047938474981145</v>
      </c>
      <c r="O3349" s="165">
        <f t="shared" si="160"/>
        <v>0.3047938474981145</v>
      </c>
      <c r="P3349" s="18"/>
      <c r="Q3349" s="18"/>
      <c r="R3349" s="18"/>
      <c r="S3349" s="18"/>
      <c r="T3349" s="18"/>
      <c r="U3349" s="18"/>
      <c r="V3349" s="18"/>
      <c r="W3349" s="18"/>
      <c r="X3349" s="18"/>
    </row>
    <row r="3350" spans="13:24">
      <c r="M3350" s="558">
        <f t="shared" si="161"/>
        <v>3348</v>
      </c>
      <c r="N3350" s="15">
        <f t="shared" si="159"/>
        <v>0.30473403355782802</v>
      </c>
      <c r="O3350" s="165">
        <f t="shared" si="160"/>
        <v>0.30473403355782802</v>
      </c>
      <c r="P3350" s="18"/>
      <c r="Q3350" s="18"/>
      <c r="R3350" s="18"/>
      <c r="S3350" s="18"/>
      <c r="T3350" s="18"/>
      <c r="U3350" s="18"/>
      <c r="V3350" s="18"/>
      <c r="W3350" s="18"/>
      <c r="X3350" s="18"/>
    </row>
    <row r="3351" spans="13:24">
      <c r="M3351" s="558">
        <f t="shared" si="161"/>
        <v>3349</v>
      </c>
      <c r="N3351" s="15">
        <f t="shared" si="159"/>
        <v>0.30467423021418033</v>
      </c>
      <c r="O3351" s="165">
        <f t="shared" si="160"/>
        <v>0.30467423021418033</v>
      </c>
      <c r="P3351" s="18"/>
      <c r="Q3351" s="18"/>
      <c r="R3351" s="18"/>
      <c r="S3351" s="18"/>
      <c r="T3351" s="18"/>
      <c r="U3351" s="18"/>
      <c r="V3351" s="18"/>
      <c r="W3351" s="18"/>
      <c r="X3351" s="18"/>
    </row>
    <row r="3352" spans="13:24">
      <c r="M3352" s="558">
        <f t="shared" si="161"/>
        <v>3350</v>
      </c>
      <c r="N3352" s="15">
        <f t="shared" si="159"/>
        <v>0.30461443745387357</v>
      </c>
      <c r="O3352" s="165">
        <f t="shared" si="160"/>
        <v>0.30461443745387357</v>
      </c>
      <c r="P3352" s="18"/>
      <c r="Q3352" s="18"/>
      <c r="R3352" s="18"/>
      <c r="S3352" s="18"/>
      <c r="T3352" s="18"/>
      <c r="U3352" s="18"/>
      <c r="V3352" s="18"/>
      <c r="W3352" s="18"/>
      <c r="X3352" s="18"/>
    </row>
    <row r="3353" spans="13:24">
      <c r="M3353" s="558">
        <f t="shared" si="161"/>
        <v>3351</v>
      </c>
      <c r="N3353" s="15">
        <f t="shared" si="159"/>
        <v>0.30455465526362646</v>
      </c>
      <c r="O3353" s="165">
        <f t="shared" si="160"/>
        <v>0.30455465526362646</v>
      </c>
      <c r="P3353" s="18"/>
      <c r="Q3353" s="18"/>
      <c r="R3353" s="18"/>
      <c r="S3353" s="18"/>
      <c r="T3353" s="18"/>
      <c r="U3353" s="18"/>
      <c r="V3353" s="18"/>
      <c r="W3353" s="18"/>
      <c r="X3353" s="18"/>
    </row>
    <row r="3354" spans="13:24">
      <c r="M3354" s="558">
        <f t="shared" si="161"/>
        <v>3352</v>
      </c>
      <c r="N3354" s="15">
        <f t="shared" si="159"/>
        <v>0.30449488363017446</v>
      </c>
      <c r="O3354" s="165">
        <f t="shared" si="160"/>
        <v>0.30449488363017446</v>
      </c>
      <c r="P3354" s="18"/>
      <c r="Q3354" s="18"/>
      <c r="R3354" s="18"/>
      <c r="S3354" s="18"/>
      <c r="T3354" s="18"/>
      <c r="U3354" s="18"/>
      <c r="V3354" s="18"/>
      <c r="W3354" s="18"/>
      <c r="X3354" s="18"/>
    </row>
    <row r="3355" spans="13:24">
      <c r="M3355" s="558">
        <f t="shared" si="161"/>
        <v>3353</v>
      </c>
      <c r="N3355" s="15">
        <f t="shared" si="159"/>
        <v>0.30443512254026966</v>
      </c>
      <c r="O3355" s="165">
        <f t="shared" si="160"/>
        <v>0.30443512254026966</v>
      </c>
      <c r="P3355" s="18"/>
      <c r="Q3355" s="18"/>
      <c r="R3355" s="18"/>
      <c r="S3355" s="18"/>
      <c r="T3355" s="18"/>
      <c r="U3355" s="18"/>
      <c r="V3355" s="18"/>
      <c r="W3355" s="18"/>
      <c r="X3355" s="18"/>
    </row>
    <row r="3356" spans="13:24">
      <c r="M3356" s="558">
        <f t="shared" si="161"/>
        <v>3354</v>
      </c>
      <c r="N3356" s="15">
        <f t="shared" si="159"/>
        <v>0.30437537198068071</v>
      </c>
      <c r="O3356" s="165">
        <f t="shared" si="160"/>
        <v>0.30437537198068071</v>
      </c>
      <c r="P3356" s="18"/>
      <c r="Q3356" s="18"/>
      <c r="R3356" s="18"/>
      <c r="S3356" s="18"/>
      <c r="T3356" s="18"/>
      <c r="U3356" s="18"/>
      <c r="V3356" s="18"/>
      <c r="W3356" s="18"/>
      <c r="X3356" s="18"/>
    </row>
    <row r="3357" spans="13:24">
      <c r="M3357" s="558">
        <f t="shared" si="161"/>
        <v>3355</v>
      </c>
      <c r="N3357" s="15">
        <f t="shared" si="159"/>
        <v>0.30431563193819289</v>
      </c>
      <c r="O3357" s="165">
        <f t="shared" si="160"/>
        <v>0.30431563193819289</v>
      </c>
      <c r="P3357" s="18"/>
      <c r="Q3357" s="18"/>
      <c r="R3357" s="18"/>
      <c r="S3357" s="18"/>
      <c r="T3357" s="18"/>
      <c r="U3357" s="18"/>
      <c r="V3357" s="18"/>
      <c r="W3357" s="18"/>
      <c r="X3357" s="18"/>
    </row>
    <row r="3358" spans="13:24">
      <c r="M3358" s="558">
        <f t="shared" si="161"/>
        <v>3356</v>
      </c>
      <c r="N3358" s="15">
        <f t="shared" si="159"/>
        <v>0.30425590239960809</v>
      </c>
      <c r="O3358" s="165">
        <f t="shared" si="160"/>
        <v>0.30425590239960809</v>
      </c>
      <c r="P3358" s="18"/>
      <c r="Q3358" s="18"/>
      <c r="R3358" s="18"/>
      <c r="S3358" s="18"/>
      <c r="T3358" s="18"/>
      <c r="U3358" s="18"/>
      <c r="V3358" s="18"/>
      <c r="W3358" s="18"/>
      <c r="X3358" s="18"/>
    </row>
    <row r="3359" spans="13:24">
      <c r="M3359" s="558">
        <f t="shared" si="161"/>
        <v>3357</v>
      </c>
      <c r="N3359" s="15">
        <f t="shared" si="159"/>
        <v>0.30419618335174486</v>
      </c>
      <c r="O3359" s="165">
        <f t="shared" si="160"/>
        <v>0.30419618335174486</v>
      </c>
      <c r="P3359" s="18"/>
      <c r="Q3359" s="18"/>
      <c r="R3359" s="18"/>
      <c r="S3359" s="18"/>
      <c r="T3359" s="18"/>
      <c r="U3359" s="18"/>
      <c r="V3359" s="18"/>
      <c r="W3359" s="18"/>
      <c r="X3359" s="18"/>
    </row>
    <row r="3360" spans="13:24">
      <c r="M3360" s="558">
        <f t="shared" si="161"/>
        <v>3358</v>
      </c>
      <c r="N3360" s="15">
        <f t="shared" si="159"/>
        <v>0.30413647478143807</v>
      </c>
      <c r="O3360" s="165">
        <f t="shared" si="160"/>
        <v>0.30413647478143807</v>
      </c>
      <c r="P3360" s="18"/>
      <c r="Q3360" s="18"/>
      <c r="R3360" s="18"/>
      <c r="S3360" s="18"/>
      <c r="T3360" s="18"/>
      <c r="U3360" s="18"/>
      <c r="V3360" s="18"/>
      <c r="W3360" s="18"/>
      <c r="X3360" s="18"/>
    </row>
    <row r="3361" spans="13:24">
      <c r="M3361" s="558">
        <f t="shared" si="161"/>
        <v>3359</v>
      </c>
      <c r="N3361" s="15">
        <f t="shared" si="159"/>
        <v>0.30407677667553928</v>
      </c>
      <c r="O3361" s="165">
        <f t="shared" si="160"/>
        <v>0.30407677667553928</v>
      </c>
      <c r="P3361" s="18"/>
      <c r="Q3361" s="18"/>
      <c r="R3361" s="18"/>
      <c r="S3361" s="18"/>
      <c r="T3361" s="18"/>
      <c r="U3361" s="18"/>
      <c r="V3361" s="18"/>
      <c r="W3361" s="18"/>
      <c r="X3361" s="18"/>
    </row>
    <row r="3362" spans="13:24">
      <c r="M3362" s="558">
        <f t="shared" si="161"/>
        <v>3360</v>
      </c>
      <c r="N3362" s="15">
        <f t="shared" si="159"/>
        <v>0.3040170890209164</v>
      </c>
      <c r="O3362" s="165">
        <f t="shared" si="160"/>
        <v>0.3040170890209164</v>
      </c>
      <c r="P3362" s="18"/>
      <c r="Q3362" s="18"/>
      <c r="R3362" s="18"/>
      <c r="S3362" s="18"/>
      <c r="T3362" s="18"/>
      <c r="U3362" s="18"/>
      <c r="V3362" s="18"/>
      <c r="W3362" s="18"/>
      <c r="X3362" s="18"/>
    </row>
    <row r="3363" spans="13:24">
      <c r="M3363" s="558">
        <f t="shared" si="161"/>
        <v>3361</v>
      </c>
      <c r="N3363" s="15">
        <f t="shared" si="159"/>
        <v>0.30395741180445407</v>
      </c>
      <c r="O3363" s="165">
        <f t="shared" si="160"/>
        <v>0.30395741180445407</v>
      </c>
      <c r="P3363" s="18"/>
      <c r="Q3363" s="18"/>
      <c r="R3363" s="18"/>
      <c r="S3363" s="18"/>
      <c r="T3363" s="18"/>
      <c r="U3363" s="18"/>
      <c r="V3363" s="18"/>
      <c r="W3363" s="18"/>
      <c r="X3363" s="18"/>
    </row>
    <row r="3364" spans="13:24">
      <c r="M3364" s="558">
        <f t="shared" si="161"/>
        <v>3362</v>
      </c>
      <c r="N3364" s="15">
        <f t="shared" si="159"/>
        <v>0.30389774501305317</v>
      </c>
      <c r="O3364" s="165">
        <f t="shared" si="160"/>
        <v>0.30389774501305317</v>
      </c>
      <c r="P3364" s="18"/>
      <c r="Q3364" s="18"/>
      <c r="R3364" s="18"/>
      <c r="S3364" s="18"/>
      <c r="T3364" s="18"/>
      <c r="U3364" s="18"/>
      <c r="V3364" s="18"/>
      <c r="W3364" s="18"/>
      <c r="X3364" s="18"/>
    </row>
    <row r="3365" spans="13:24">
      <c r="M3365" s="558">
        <f t="shared" si="161"/>
        <v>3363</v>
      </c>
      <c r="N3365" s="15">
        <f t="shared" si="159"/>
        <v>0.3038380886336311</v>
      </c>
      <c r="O3365" s="165">
        <f t="shared" si="160"/>
        <v>0.3038380886336311</v>
      </c>
      <c r="P3365" s="18"/>
      <c r="Q3365" s="18"/>
      <c r="R3365" s="18"/>
      <c r="S3365" s="18"/>
      <c r="T3365" s="18"/>
      <c r="U3365" s="18"/>
      <c r="V3365" s="18"/>
      <c r="W3365" s="18"/>
      <c r="X3365" s="18"/>
    </row>
    <row r="3366" spans="13:24">
      <c r="M3366" s="558">
        <f t="shared" si="161"/>
        <v>3364</v>
      </c>
      <c r="N3366" s="15">
        <f t="shared" si="159"/>
        <v>0.30377844265312159</v>
      </c>
      <c r="O3366" s="165">
        <f t="shared" si="160"/>
        <v>0.30377844265312159</v>
      </c>
      <c r="P3366" s="18"/>
      <c r="Q3366" s="18"/>
      <c r="R3366" s="18"/>
      <c r="S3366" s="18"/>
      <c r="T3366" s="18"/>
      <c r="U3366" s="18"/>
      <c r="V3366" s="18"/>
      <c r="W3366" s="18"/>
      <c r="X3366" s="18"/>
    </row>
    <row r="3367" spans="13:24">
      <c r="M3367" s="558">
        <f t="shared" si="161"/>
        <v>3365</v>
      </c>
      <c r="N3367" s="15">
        <f t="shared" si="159"/>
        <v>0.30371880705847493</v>
      </c>
      <c r="O3367" s="165">
        <f t="shared" si="160"/>
        <v>0.30371880705847493</v>
      </c>
      <c r="P3367" s="18"/>
      <c r="Q3367" s="18"/>
      <c r="R3367" s="18"/>
      <c r="S3367" s="18"/>
      <c r="T3367" s="18"/>
      <c r="U3367" s="18"/>
      <c r="V3367" s="18"/>
      <c r="W3367" s="18"/>
      <c r="X3367" s="18"/>
    </row>
    <row r="3368" spans="13:24">
      <c r="M3368" s="558">
        <f t="shared" si="161"/>
        <v>3366</v>
      </c>
      <c r="N3368" s="15">
        <f t="shared" si="159"/>
        <v>0.30365918183665763</v>
      </c>
      <c r="O3368" s="165">
        <f t="shared" si="160"/>
        <v>0.30365918183665763</v>
      </c>
      <c r="P3368" s="18"/>
      <c r="Q3368" s="18"/>
      <c r="R3368" s="18"/>
      <c r="S3368" s="18"/>
      <c r="T3368" s="18"/>
      <c r="U3368" s="18"/>
      <c r="V3368" s="18"/>
      <c r="W3368" s="18"/>
      <c r="X3368" s="18"/>
    </row>
    <row r="3369" spans="13:24">
      <c r="M3369" s="558">
        <f t="shared" si="161"/>
        <v>3367</v>
      </c>
      <c r="N3369" s="15">
        <f t="shared" si="159"/>
        <v>0.30359956697465262</v>
      </c>
      <c r="O3369" s="165">
        <f t="shared" si="160"/>
        <v>0.30359956697465262</v>
      </c>
      <c r="P3369" s="18"/>
      <c r="Q3369" s="18"/>
      <c r="R3369" s="18"/>
      <c r="S3369" s="18"/>
      <c r="T3369" s="18"/>
      <c r="U3369" s="18"/>
      <c r="V3369" s="18"/>
      <c r="W3369" s="18"/>
      <c r="X3369" s="18"/>
    </row>
    <row r="3370" spans="13:24">
      <c r="M3370" s="558">
        <f t="shared" si="161"/>
        <v>3368</v>
      </c>
      <c r="N3370" s="15">
        <f t="shared" si="159"/>
        <v>0.3035399624594593</v>
      </c>
      <c r="O3370" s="165">
        <f t="shared" si="160"/>
        <v>0.3035399624594593</v>
      </c>
      <c r="P3370" s="18"/>
      <c r="Q3370" s="18"/>
      <c r="R3370" s="18"/>
      <c r="S3370" s="18"/>
      <c r="T3370" s="18"/>
      <c r="U3370" s="18"/>
      <c r="V3370" s="18"/>
      <c r="W3370" s="18"/>
      <c r="X3370" s="18"/>
    </row>
    <row r="3371" spans="13:24">
      <c r="M3371" s="558">
        <f t="shared" si="161"/>
        <v>3369</v>
      </c>
      <c r="N3371" s="15">
        <f t="shared" si="159"/>
        <v>0.3034803682780931</v>
      </c>
      <c r="O3371" s="165">
        <f t="shared" si="160"/>
        <v>0.3034803682780931</v>
      </c>
      <c r="P3371" s="18"/>
      <c r="Q3371" s="18"/>
      <c r="R3371" s="18"/>
      <c r="S3371" s="18"/>
      <c r="T3371" s="18"/>
      <c r="U3371" s="18"/>
      <c r="V3371" s="18"/>
      <c r="W3371" s="18"/>
      <c r="X3371" s="18"/>
    </row>
    <row r="3372" spans="13:24">
      <c r="M3372" s="558">
        <f t="shared" si="161"/>
        <v>3370</v>
      </c>
      <c r="N3372" s="15">
        <f t="shared" si="159"/>
        <v>0.30342078441758596</v>
      </c>
      <c r="O3372" s="165">
        <f t="shared" si="160"/>
        <v>0.30342078441758596</v>
      </c>
      <c r="P3372" s="18"/>
      <c r="Q3372" s="18"/>
      <c r="R3372" s="18"/>
      <c r="S3372" s="18"/>
      <c r="T3372" s="18"/>
      <c r="U3372" s="18"/>
      <c r="V3372" s="18"/>
      <c r="W3372" s="18"/>
      <c r="X3372" s="18"/>
    </row>
    <row r="3373" spans="13:24">
      <c r="M3373" s="558">
        <f t="shared" si="161"/>
        <v>3371</v>
      </c>
      <c r="N3373" s="15">
        <f t="shared" si="159"/>
        <v>0.30336121086498596</v>
      </c>
      <c r="O3373" s="165">
        <f t="shared" si="160"/>
        <v>0.30336121086498596</v>
      </c>
      <c r="P3373" s="18"/>
      <c r="Q3373" s="18"/>
      <c r="R3373" s="18"/>
      <c r="S3373" s="18"/>
      <c r="T3373" s="18"/>
      <c r="U3373" s="18"/>
      <c r="V3373" s="18"/>
      <c r="W3373" s="18"/>
      <c r="X3373" s="18"/>
    </row>
    <row r="3374" spans="13:24">
      <c r="M3374" s="558">
        <f t="shared" si="161"/>
        <v>3372</v>
      </c>
      <c r="N3374" s="15">
        <f t="shared" si="159"/>
        <v>0.30330164760735767</v>
      </c>
      <c r="O3374" s="165">
        <f t="shared" si="160"/>
        <v>0.30330164760735767</v>
      </c>
      <c r="P3374" s="18"/>
      <c r="Q3374" s="18"/>
      <c r="R3374" s="18"/>
      <c r="S3374" s="18"/>
      <c r="T3374" s="18"/>
      <c r="U3374" s="18"/>
      <c r="V3374" s="18"/>
      <c r="W3374" s="18"/>
      <c r="X3374" s="18"/>
    </row>
    <row r="3375" spans="13:24">
      <c r="M3375" s="558">
        <f t="shared" si="161"/>
        <v>3373</v>
      </c>
      <c r="N3375" s="15">
        <f t="shared" si="159"/>
        <v>0.30324209463178159</v>
      </c>
      <c r="O3375" s="165">
        <f t="shared" si="160"/>
        <v>0.30324209463178159</v>
      </c>
      <c r="P3375" s="18"/>
      <c r="Q3375" s="18"/>
      <c r="R3375" s="18"/>
      <c r="S3375" s="18"/>
      <c r="T3375" s="18"/>
      <c r="U3375" s="18"/>
      <c r="V3375" s="18"/>
      <c r="W3375" s="18"/>
      <c r="X3375" s="18"/>
    </row>
    <row r="3376" spans="13:24">
      <c r="M3376" s="558">
        <f t="shared" si="161"/>
        <v>3374</v>
      </c>
      <c r="N3376" s="15">
        <f t="shared" si="159"/>
        <v>0.30318255192535459</v>
      </c>
      <c r="O3376" s="165">
        <f t="shared" si="160"/>
        <v>0.30318255192535459</v>
      </c>
      <c r="P3376" s="18"/>
      <c r="Q3376" s="18"/>
      <c r="R3376" s="18"/>
      <c r="S3376" s="18"/>
      <c r="T3376" s="18"/>
      <c r="U3376" s="18"/>
      <c r="V3376" s="18"/>
      <c r="W3376" s="18"/>
      <c r="X3376" s="18"/>
    </row>
    <row r="3377" spans="13:24">
      <c r="M3377" s="558">
        <f t="shared" si="161"/>
        <v>3375</v>
      </c>
      <c r="N3377" s="15">
        <f t="shared" si="159"/>
        <v>0.30312301947518966</v>
      </c>
      <c r="O3377" s="165">
        <f t="shared" si="160"/>
        <v>0.30312301947518966</v>
      </c>
      <c r="P3377" s="18"/>
      <c r="Q3377" s="18"/>
      <c r="R3377" s="18"/>
      <c r="S3377" s="18"/>
      <c r="T3377" s="18"/>
      <c r="U3377" s="18"/>
      <c r="V3377" s="18"/>
      <c r="W3377" s="18"/>
      <c r="X3377" s="18"/>
    </row>
    <row r="3378" spans="13:24">
      <c r="M3378" s="558">
        <f t="shared" si="161"/>
        <v>3376</v>
      </c>
      <c r="N3378" s="15">
        <f t="shared" si="159"/>
        <v>0.30306349726841614</v>
      </c>
      <c r="O3378" s="165">
        <f t="shared" si="160"/>
        <v>0.30306349726841614</v>
      </c>
      <c r="P3378" s="18"/>
      <c r="Q3378" s="18"/>
      <c r="R3378" s="18"/>
      <c r="S3378" s="18"/>
      <c r="T3378" s="18"/>
      <c r="U3378" s="18"/>
      <c r="V3378" s="18"/>
      <c r="W3378" s="18"/>
      <c r="X3378" s="18"/>
    </row>
    <row r="3379" spans="13:24">
      <c r="M3379" s="558">
        <f t="shared" si="161"/>
        <v>3377</v>
      </c>
      <c r="N3379" s="15">
        <f t="shared" si="159"/>
        <v>0.30300398529217937</v>
      </c>
      <c r="O3379" s="165">
        <f t="shared" si="160"/>
        <v>0.30300398529217937</v>
      </c>
      <c r="P3379" s="18"/>
      <c r="Q3379" s="18"/>
      <c r="R3379" s="18"/>
      <c r="S3379" s="18"/>
      <c r="T3379" s="18"/>
      <c r="U3379" s="18"/>
      <c r="V3379" s="18"/>
      <c r="W3379" s="18"/>
      <c r="X3379" s="18"/>
    </row>
    <row r="3380" spans="13:24">
      <c r="M3380" s="558">
        <f t="shared" si="161"/>
        <v>3378</v>
      </c>
      <c r="N3380" s="15">
        <f t="shared" si="159"/>
        <v>0.30294448353364078</v>
      </c>
      <c r="O3380" s="165">
        <f t="shared" si="160"/>
        <v>0.30294448353364078</v>
      </c>
      <c r="P3380" s="18"/>
      <c r="Q3380" s="18"/>
      <c r="R3380" s="18"/>
      <c r="S3380" s="18"/>
      <c r="T3380" s="18"/>
      <c r="U3380" s="18"/>
      <c r="V3380" s="18"/>
      <c r="W3380" s="18"/>
      <c r="X3380" s="18"/>
    </row>
    <row r="3381" spans="13:24">
      <c r="M3381" s="558">
        <f t="shared" si="161"/>
        <v>3379</v>
      </c>
      <c r="N3381" s="15">
        <f t="shared" si="159"/>
        <v>0.30288499197997798</v>
      </c>
      <c r="O3381" s="165">
        <f t="shared" si="160"/>
        <v>0.30288499197997798</v>
      </c>
      <c r="P3381" s="18"/>
      <c r="Q3381" s="18"/>
      <c r="R3381" s="18"/>
      <c r="S3381" s="18"/>
      <c r="T3381" s="18"/>
      <c r="U3381" s="18"/>
      <c r="V3381" s="18"/>
      <c r="W3381" s="18"/>
      <c r="X3381" s="18"/>
    </row>
    <row r="3382" spans="13:24">
      <c r="M3382" s="558">
        <f t="shared" si="161"/>
        <v>3380</v>
      </c>
      <c r="N3382" s="15">
        <f t="shared" si="159"/>
        <v>0.3028255106183847</v>
      </c>
      <c r="O3382" s="165">
        <f t="shared" si="160"/>
        <v>0.3028255106183847</v>
      </c>
      <c r="P3382" s="18"/>
      <c r="Q3382" s="18"/>
      <c r="R3382" s="18"/>
      <c r="S3382" s="18"/>
      <c r="T3382" s="18"/>
      <c r="U3382" s="18"/>
      <c r="V3382" s="18"/>
      <c r="W3382" s="18"/>
      <c r="X3382" s="18"/>
    </row>
    <row r="3383" spans="13:24">
      <c r="M3383" s="558">
        <f t="shared" si="161"/>
        <v>3381</v>
      </c>
      <c r="N3383" s="15">
        <f t="shared" si="159"/>
        <v>0.30276603943607078</v>
      </c>
      <c r="O3383" s="165">
        <f t="shared" si="160"/>
        <v>0.30276603943607078</v>
      </c>
      <c r="P3383" s="18"/>
      <c r="Q3383" s="18"/>
      <c r="R3383" s="18"/>
      <c r="S3383" s="18"/>
      <c r="T3383" s="18"/>
      <c r="U3383" s="18"/>
      <c r="V3383" s="18"/>
      <c r="W3383" s="18"/>
      <c r="X3383" s="18"/>
    </row>
    <row r="3384" spans="13:24">
      <c r="M3384" s="558">
        <f t="shared" si="161"/>
        <v>3382</v>
      </c>
      <c r="N3384" s="15">
        <f t="shared" si="159"/>
        <v>0.30270657842026188</v>
      </c>
      <c r="O3384" s="165">
        <f t="shared" si="160"/>
        <v>0.30270657842026188</v>
      </c>
      <c r="P3384" s="18"/>
      <c r="Q3384" s="18"/>
      <c r="R3384" s="18"/>
      <c r="S3384" s="18"/>
      <c r="T3384" s="18"/>
      <c r="U3384" s="18"/>
      <c r="V3384" s="18"/>
      <c r="W3384" s="18"/>
      <c r="X3384" s="18"/>
    </row>
    <row r="3385" spans="13:24">
      <c r="M3385" s="558">
        <f t="shared" si="161"/>
        <v>3383</v>
      </c>
      <c r="N3385" s="15">
        <f t="shared" si="159"/>
        <v>0.30264712755820006</v>
      </c>
      <c r="O3385" s="165">
        <f t="shared" si="160"/>
        <v>0.30264712755820006</v>
      </c>
      <c r="P3385" s="18"/>
      <c r="Q3385" s="18"/>
      <c r="R3385" s="18"/>
      <c r="S3385" s="18"/>
      <c r="T3385" s="18"/>
      <c r="U3385" s="18"/>
      <c r="V3385" s="18"/>
      <c r="W3385" s="18"/>
      <c r="X3385" s="18"/>
    </row>
    <row r="3386" spans="13:24">
      <c r="M3386" s="558">
        <f t="shared" si="161"/>
        <v>3384</v>
      </c>
      <c r="N3386" s="15">
        <f t="shared" si="159"/>
        <v>0.30258768683714304</v>
      </c>
      <c r="O3386" s="165">
        <f t="shared" si="160"/>
        <v>0.30258768683714304</v>
      </c>
      <c r="P3386" s="18"/>
      <c r="Q3386" s="18"/>
      <c r="R3386" s="18"/>
      <c r="S3386" s="18"/>
      <c r="T3386" s="18"/>
      <c r="U3386" s="18"/>
      <c r="V3386" s="18"/>
      <c r="W3386" s="18"/>
      <c r="X3386" s="18"/>
    </row>
    <row r="3387" spans="13:24">
      <c r="M3387" s="558">
        <f t="shared" si="161"/>
        <v>3385</v>
      </c>
      <c r="N3387" s="15">
        <f t="shared" si="159"/>
        <v>0.30252825624436469</v>
      </c>
      <c r="O3387" s="165">
        <f t="shared" si="160"/>
        <v>0.30252825624436469</v>
      </c>
      <c r="P3387" s="18"/>
      <c r="Q3387" s="18"/>
      <c r="R3387" s="18"/>
      <c r="S3387" s="18"/>
      <c r="T3387" s="18"/>
      <c r="U3387" s="18"/>
      <c r="V3387" s="18"/>
      <c r="W3387" s="18"/>
      <c r="X3387" s="18"/>
    </row>
    <row r="3388" spans="13:24">
      <c r="M3388" s="558">
        <f t="shared" si="161"/>
        <v>3386</v>
      </c>
      <c r="N3388" s="15">
        <f t="shared" si="159"/>
        <v>0.30246883576715478</v>
      </c>
      <c r="O3388" s="165">
        <f t="shared" si="160"/>
        <v>0.30246883576715478</v>
      </c>
      <c r="P3388" s="18"/>
      <c r="Q3388" s="18"/>
      <c r="R3388" s="18"/>
      <c r="S3388" s="18"/>
      <c r="T3388" s="18"/>
      <c r="U3388" s="18"/>
      <c r="V3388" s="18"/>
      <c r="W3388" s="18"/>
      <c r="X3388" s="18"/>
    </row>
    <row r="3389" spans="13:24">
      <c r="M3389" s="558">
        <f t="shared" si="161"/>
        <v>3387</v>
      </c>
      <c r="N3389" s="15">
        <f t="shared" si="159"/>
        <v>0.30240942539281929</v>
      </c>
      <c r="O3389" s="165">
        <f t="shared" si="160"/>
        <v>0.30240942539281929</v>
      </c>
      <c r="P3389" s="18"/>
      <c r="Q3389" s="18"/>
      <c r="R3389" s="18"/>
      <c r="S3389" s="18"/>
      <c r="T3389" s="18"/>
      <c r="U3389" s="18"/>
      <c r="V3389" s="18"/>
      <c r="W3389" s="18"/>
      <c r="X3389" s="18"/>
    </row>
    <row r="3390" spans="13:24">
      <c r="M3390" s="558">
        <f t="shared" si="161"/>
        <v>3388</v>
      </c>
      <c r="N3390" s="15">
        <f t="shared" si="159"/>
        <v>0.3023500251086797</v>
      </c>
      <c r="O3390" s="165">
        <f t="shared" si="160"/>
        <v>0.3023500251086797</v>
      </c>
      <c r="P3390" s="18"/>
      <c r="Q3390" s="18"/>
      <c r="R3390" s="18"/>
      <c r="S3390" s="18"/>
      <c r="T3390" s="18"/>
      <c r="U3390" s="18"/>
      <c r="V3390" s="18"/>
      <c r="W3390" s="18"/>
      <c r="X3390" s="18"/>
    </row>
    <row r="3391" spans="13:24">
      <c r="M3391" s="558">
        <f t="shared" si="161"/>
        <v>3389</v>
      </c>
      <c r="N3391" s="15">
        <f t="shared" si="159"/>
        <v>0.30229063490207375</v>
      </c>
      <c r="O3391" s="165">
        <f t="shared" si="160"/>
        <v>0.30229063490207375</v>
      </c>
      <c r="P3391" s="18"/>
      <c r="Q3391" s="18"/>
      <c r="R3391" s="18"/>
      <c r="S3391" s="18"/>
      <c r="T3391" s="18"/>
      <c r="U3391" s="18"/>
      <c r="V3391" s="18"/>
      <c r="W3391" s="18"/>
      <c r="X3391" s="18"/>
    </row>
    <row r="3392" spans="13:24">
      <c r="M3392" s="558">
        <f t="shared" si="161"/>
        <v>3390</v>
      </c>
      <c r="N3392" s="15">
        <f t="shared" si="159"/>
        <v>0.30223125476035484</v>
      </c>
      <c r="O3392" s="165">
        <f t="shared" si="160"/>
        <v>0.30223125476035484</v>
      </c>
      <c r="P3392" s="18"/>
      <c r="Q3392" s="18"/>
      <c r="R3392" s="18"/>
      <c r="S3392" s="18"/>
      <c r="T3392" s="18"/>
      <c r="U3392" s="18"/>
      <c r="V3392" s="18"/>
      <c r="W3392" s="18"/>
      <c r="X3392" s="18"/>
    </row>
    <row r="3393" spans="13:24">
      <c r="M3393" s="558">
        <f t="shared" si="161"/>
        <v>3391</v>
      </c>
      <c r="N3393" s="15">
        <f t="shared" si="159"/>
        <v>0.30217188467089245</v>
      </c>
      <c r="O3393" s="165">
        <f t="shared" si="160"/>
        <v>0.30217188467089245</v>
      </c>
      <c r="P3393" s="18"/>
      <c r="Q3393" s="18"/>
      <c r="R3393" s="18"/>
      <c r="S3393" s="18"/>
      <c r="T3393" s="18"/>
      <c r="U3393" s="18"/>
      <c r="V3393" s="18"/>
      <c r="W3393" s="18"/>
      <c r="X3393" s="18"/>
    </row>
    <row r="3394" spans="13:24">
      <c r="M3394" s="558">
        <f t="shared" si="161"/>
        <v>3392</v>
      </c>
      <c r="N3394" s="15">
        <f t="shared" si="159"/>
        <v>0.3021125246210718</v>
      </c>
      <c r="O3394" s="165">
        <f t="shared" si="160"/>
        <v>0.3021125246210718</v>
      </c>
      <c r="P3394" s="18"/>
      <c r="Q3394" s="18"/>
      <c r="R3394" s="18"/>
      <c r="S3394" s="18"/>
      <c r="T3394" s="18"/>
      <c r="U3394" s="18"/>
      <c r="V3394" s="18"/>
      <c r="W3394" s="18"/>
      <c r="X3394" s="18"/>
    </row>
    <row r="3395" spans="13:24">
      <c r="M3395" s="558">
        <f t="shared" si="161"/>
        <v>3393</v>
      </c>
      <c r="N3395" s="15">
        <f t="shared" si="159"/>
        <v>0.30205317459829389</v>
      </c>
      <c r="O3395" s="165">
        <f t="shared" si="160"/>
        <v>0.30205317459829389</v>
      </c>
      <c r="P3395" s="18"/>
      <c r="Q3395" s="18"/>
      <c r="R3395" s="18"/>
      <c r="S3395" s="18"/>
      <c r="T3395" s="18"/>
      <c r="U3395" s="18"/>
      <c r="V3395" s="18"/>
      <c r="W3395" s="18"/>
      <c r="X3395" s="18"/>
    </row>
    <row r="3396" spans="13:24">
      <c r="M3396" s="558">
        <f t="shared" si="161"/>
        <v>3394</v>
      </c>
      <c r="N3396" s="15">
        <f t="shared" ref="N3396:N3459" si="162">IF(M3396&lt;$B$31+1,$B$32+$B$33/$B$31*(8760-M3396)+$B$34*IF(M3396&lt;$B$36-$B$31/(2*$B$35),1,IF(M3396&lt;$B$36+$B$31/(2*$B$35),COS(PI()/2*(M3396-($B$36-$B$31/(2*$B$35)))*$B$35/$B$31)^2,0))+$B$37*EXP((8760-M3396)/8760*$B$38)/EXP($B$38)-(8760-$B$31)*$B$33/$B$31,0)</f>
        <v>0.30199383458997558</v>
      </c>
      <c r="O3396" s="165">
        <f t="shared" ref="O3396:O3459" si="163">MIN(N3396,C$24)</f>
        <v>0.30199383458997558</v>
      </c>
      <c r="P3396" s="18"/>
      <c r="Q3396" s="18"/>
      <c r="R3396" s="18"/>
      <c r="S3396" s="18"/>
      <c r="T3396" s="18"/>
      <c r="U3396" s="18"/>
      <c r="V3396" s="18"/>
      <c r="W3396" s="18"/>
      <c r="X3396" s="18"/>
    </row>
    <row r="3397" spans="13:24">
      <c r="M3397" s="558">
        <f t="shared" ref="M3397:M3460" si="164">M3396+1</f>
        <v>3395</v>
      </c>
      <c r="N3397" s="15">
        <f t="shared" si="162"/>
        <v>0.30193450458354959</v>
      </c>
      <c r="O3397" s="165">
        <f t="shared" si="163"/>
        <v>0.30193450458354959</v>
      </c>
      <c r="P3397" s="18"/>
      <c r="Q3397" s="18"/>
      <c r="R3397" s="18"/>
      <c r="S3397" s="18"/>
      <c r="T3397" s="18"/>
      <c r="U3397" s="18"/>
      <c r="V3397" s="18"/>
      <c r="W3397" s="18"/>
      <c r="X3397" s="18"/>
    </row>
    <row r="3398" spans="13:24">
      <c r="M3398" s="558">
        <f t="shared" si="164"/>
        <v>3396</v>
      </c>
      <c r="N3398" s="15">
        <f t="shared" si="162"/>
        <v>0.30187518456646434</v>
      </c>
      <c r="O3398" s="165">
        <f t="shared" si="163"/>
        <v>0.30187518456646434</v>
      </c>
      <c r="P3398" s="18"/>
      <c r="Q3398" s="18"/>
      <c r="R3398" s="18"/>
      <c r="S3398" s="18"/>
      <c r="T3398" s="18"/>
      <c r="U3398" s="18"/>
      <c r="V3398" s="18"/>
      <c r="W3398" s="18"/>
      <c r="X3398" s="18"/>
    </row>
    <row r="3399" spans="13:24">
      <c r="M3399" s="558">
        <f t="shared" si="164"/>
        <v>3397</v>
      </c>
      <c r="N3399" s="15">
        <f t="shared" si="162"/>
        <v>0.30181587452618391</v>
      </c>
      <c r="O3399" s="165">
        <f t="shared" si="163"/>
        <v>0.30181587452618391</v>
      </c>
      <c r="P3399" s="18"/>
      <c r="Q3399" s="18"/>
      <c r="R3399" s="18"/>
      <c r="S3399" s="18"/>
      <c r="T3399" s="18"/>
      <c r="U3399" s="18"/>
      <c r="V3399" s="18"/>
      <c r="W3399" s="18"/>
      <c r="X3399" s="18"/>
    </row>
    <row r="3400" spans="13:24">
      <c r="M3400" s="558">
        <f t="shared" si="164"/>
        <v>3398</v>
      </c>
      <c r="N3400" s="15">
        <f t="shared" si="162"/>
        <v>0.30175657445018833</v>
      </c>
      <c r="O3400" s="165">
        <f t="shared" si="163"/>
        <v>0.30175657445018833</v>
      </c>
      <c r="P3400" s="18"/>
      <c r="Q3400" s="18"/>
      <c r="R3400" s="18"/>
      <c r="S3400" s="18"/>
      <c r="T3400" s="18"/>
      <c r="U3400" s="18"/>
      <c r="V3400" s="18"/>
      <c r="W3400" s="18"/>
      <c r="X3400" s="18"/>
    </row>
    <row r="3401" spans="13:24">
      <c r="M3401" s="558">
        <f t="shared" si="164"/>
        <v>3399</v>
      </c>
      <c r="N3401" s="15">
        <f t="shared" si="162"/>
        <v>0.3016972843259732</v>
      </c>
      <c r="O3401" s="165">
        <f t="shared" si="163"/>
        <v>0.3016972843259732</v>
      </c>
      <c r="P3401" s="18"/>
      <c r="Q3401" s="18"/>
      <c r="R3401" s="18"/>
      <c r="S3401" s="18"/>
      <c r="T3401" s="18"/>
      <c r="U3401" s="18"/>
      <c r="V3401" s="18"/>
      <c r="W3401" s="18"/>
      <c r="X3401" s="18"/>
    </row>
    <row r="3402" spans="13:24">
      <c r="M3402" s="558">
        <f t="shared" si="164"/>
        <v>3400</v>
      </c>
      <c r="N3402" s="15">
        <f t="shared" si="162"/>
        <v>0.3016380041410498</v>
      </c>
      <c r="O3402" s="165">
        <f t="shared" si="163"/>
        <v>0.3016380041410498</v>
      </c>
      <c r="P3402" s="18"/>
      <c r="Q3402" s="18"/>
      <c r="R3402" s="18"/>
      <c r="S3402" s="18"/>
      <c r="T3402" s="18"/>
      <c r="U3402" s="18"/>
      <c r="V3402" s="18"/>
      <c r="W3402" s="18"/>
      <c r="X3402" s="18"/>
    </row>
    <row r="3403" spans="13:24">
      <c r="M3403" s="558">
        <f t="shared" si="164"/>
        <v>3401</v>
      </c>
      <c r="N3403" s="15">
        <f t="shared" si="162"/>
        <v>0.30157873388294509</v>
      </c>
      <c r="O3403" s="165">
        <f t="shared" si="163"/>
        <v>0.30157873388294509</v>
      </c>
      <c r="P3403" s="18"/>
      <c r="Q3403" s="18"/>
      <c r="R3403" s="18"/>
      <c r="S3403" s="18"/>
      <c r="T3403" s="18"/>
      <c r="U3403" s="18"/>
      <c r="V3403" s="18"/>
      <c r="W3403" s="18"/>
      <c r="X3403" s="18"/>
    </row>
    <row r="3404" spans="13:24">
      <c r="M3404" s="558">
        <f t="shared" si="164"/>
        <v>3402</v>
      </c>
      <c r="N3404" s="15">
        <f t="shared" si="162"/>
        <v>0.30151947353920178</v>
      </c>
      <c r="O3404" s="165">
        <f t="shared" si="163"/>
        <v>0.30151947353920178</v>
      </c>
      <c r="P3404" s="18"/>
      <c r="Q3404" s="18"/>
      <c r="R3404" s="18"/>
      <c r="S3404" s="18"/>
      <c r="T3404" s="18"/>
      <c r="U3404" s="18"/>
      <c r="V3404" s="18"/>
      <c r="W3404" s="18"/>
      <c r="X3404" s="18"/>
    </row>
    <row r="3405" spans="13:24">
      <c r="M3405" s="558">
        <f t="shared" si="164"/>
        <v>3403</v>
      </c>
      <c r="N3405" s="15">
        <f t="shared" si="162"/>
        <v>0.30146022309737813</v>
      </c>
      <c r="O3405" s="165">
        <f t="shared" si="163"/>
        <v>0.30146022309737813</v>
      </c>
      <c r="P3405" s="18"/>
      <c r="Q3405" s="18"/>
      <c r="R3405" s="18"/>
      <c r="S3405" s="18"/>
      <c r="T3405" s="18"/>
      <c r="U3405" s="18"/>
      <c r="V3405" s="18"/>
      <c r="W3405" s="18"/>
      <c r="X3405" s="18"/>
    </row>
    <row r="3406" spans="13:24">
      <c r="M3406" s="558">
        <f t="shared" si="164"/>
        <v>3404</v>
      </c>
      <c r="N3406" s="15">
        <f t="shared" si="162"/>
        <v>0.30140098254504799</v>
      </c>
      <c r="O3406" s="165">
        <f t="shared" si="163"/>
        <v>0.30140098254504799</v>
      </c>
      <c r="P3406" s="18"/>
      <c r="Q3406" s="18"/>
      <c r="R3406" s="18"/>
      <c r="S3406" s="18"/>
      <c r="T3406" s="18"/>
      <c r="U3406" s="18"/>
      <c r="V3406" s="18"/>
      <c r="W3406" s="18"/>
      <c r="X3406" s="18"/>
    </row>
    <row r="3407" spans="13:24">
      <c r="M3407" s="558">
        <f t="shared" si="164"/>
        <v>3405</v>
      </c>
      <c r="N3407" s="15">
        <f t="shared" si="162"/>
        <v>0.30134175186980083</v>
      </c>
      <c r="O3407" s="165">
        <f t="shared" si="163"/>
        <v>0.30134175186980083</v>
      </c>
      <c r="P3407" s="18"/>
      <c r="Q3407" s="18"/>
      <c r="R3407" s="18"/>
      <c r="S3407" s="18"/>
      <c r="T3407" s="18"/>
      <c r="U3407" s="18"/>
      <c r="V3407" s="18"/>
      <c r="W3407" s="18"/>
      <c r="X3407" s="18"/>
    </row>
    <row r="3408" spans="13:24">
      <c r="M3408" s="558">
        <f t="shared" si="164"/>
        <v>3406</v>
      </c>
      <c r="N3408" s="15">
        <f t="shared" si="162"/>
        <v>0.3012825310592418</v>
      </c>
      <c r="O3408" s="165">
        <f t="shared" si="163"/>
        <v>0.3012825310592418</v>
      </c>
      <c r="P3408" s="18"/>
      <c r="Q3408" s="18"/>
      <c r="R3408" s="18"/>
      <c r="S3408" s="18"/>
      <c r="T3408" s="18"/>
      <c r="U3408" s="18"/>
      <c r="V3408" s="18"/>
      <c r="W3408" s="18"/>
      <c r="X3408" s="18"/>
    </row>
    <row r="3409" spans="13:24">
      <c r="M3409" s="558">
        <f t="shared" si="164"/>
        <v>3407</v>
      </c>
      <c r="N3409" s="15">
        <f t="shared" si="162"/>
        <v>0.3012233201009914</v>
      </c>
      <c r="O3409" s="165">
        <f t="shared" si="163"/>
        <v>0.3012233201009914</v>
      </c>
      <c r="P3409" s="18"/>
      <c r="Q3409" s="18"/>
      <c r="R3409" s="18"/>
      <c r="S3409" s="18"/>
      <c r="T3409" s="18"/>
      <c r="U3409" s="18"/>
      <c r="V3409" s="18"/>
      <c r="W3409" s="18"/>
      <c r="X3409" s="18"/>
    </row>
    <row r="3410" spans="13:24">
      <c r="M3410" s="558">
        <f t="shared" si="164"/>
        <v>3408</v>
      </c>
      <c r="N3410" s="15">
        <f t="shared" si="162"/>
        <v>0.30116411898268586</v>
      </c>
      <c r="O3410" s="165">
        <f t="shared" si="163"/>
        <v>0.30116411898268586</v>
      </c>
      <c r="P3410" s="18"/>
      <c r="Q3410" s="18"/>
      <c r="R3410" s="18"/>
      <c r="S3410" s="18"/>
      <c r="T3410" s="18"/>
      <c r="U3410" s="18"/>
      <c r="V3410" s="18"/>
      <c r="W3410" s="18"/>
      <c r="X3410" s="18"/>
    </row>
    <row r="3411" spans="13:24">
      <c r="M3411" s="558">
        <f t="shared" si="164"/>
        <v>3409</v>
      </c>
      <c r="N3411" s="15">
        <f t="shared" si="162"/>
        <v>0.30110492769197666</v>
      </c>
      <c r="O3411" s="165">
        <f t="shared" si="163"/>
        <v>0.30110492769197666</v>
      </c>
      <c r="P3411" s="18"/>
      <c r="Q3411" s="18"/>
      <c r="R3411" s="18"/>
      <c r="S3411" s="18"/>
      <c r="T3411" s="18"/>
      <c r="U3411" s="18"/>
      <c r="V3411" s="18"/>
      <c r="W3411" s="18"/>
      <c r="X3411" s="18"/>
    </row>
    <row r="3412" spans="13:24">
      <c r="M3412" s="558">
        <f t="shared" si="164"/>
        <v>3410</v>
      </c>
      <c r="N3412" s="15">
        <f t="shared" si="162"/>
        <v>0.30104574621653124</v>
      </c>
      <c r="O3412" s="165">
        <f t="shared" si="163"/>
        <v>0.30104574621653124</v>
      </c>
      <c r="P3412" s="18"/>
      <c r="Q3412" s="18"/>
      <c r="R3412" s="18"/>
      <c r="S3412" s="18"/>
      <c r="T3412" s="18"/>
      <c r="U3412" s="18"/>
      <c r="V3412" s="18"/>
      <c r="W3412" s="18"/>
      <c r="X3412" s="18"/>
    </row>
    <row r="3413" spans="13:24">
      <c r="M3413" s="558">
        <f t="shared" si="164"/>
        <v>3411</v>
      </c>
      <c r="N3413" s="15">
        <f t="shared" si="162"/>
        <v>0.30098657454403205</v>
      </c>
      <c r="O3413" s="165">
        <f t="shared" si="163"/>
        <v>0.30098657454403205</v>
      </c>
      <c r="P3413" s="18"/>
      <c r="Q3413" s="18"/>
      <c r="R3413" s="18"/>
      <c r="S3413" s="18"/>
      <c r="T3413" s="18"/>
      <c r="U3413" s="18"/>
      <c r="V3413" s="18"/>
      <c r="W3413" s="18"/>
      <c r="X3413" s="18"/>
    </row>
    <row r="3414" spans="13:24">
      <c r="M3414" s="558">
        <f t="shared" si="164"/>
        <v>3412</v>
      </c>
      <c r="N3414" s="15">
        <f t="shared" si="162"/>
        <v>0.30092741266217715</v>
      </c>
      <c r="O3414" s="165">
        <f t="shared" si="163"/>
        <v>0.30092741266217715</v>
      </c>
      <c r="P3414" s="18"/>
      <c r="Q3414" s="18"/>
      <c r="R3414" s="18"/>
      <c r="S3414" s="18"/>
      <c r="T3414" s="18"/>
      <c r="U3414" s="18"/>
      <c r="V3414" s="18"/>
      <c r="W3414" s="18"/>
      <c r="X3414" s="18"/>
    </row>
    <row r="3415" spans="13:24">
      <c r="M3415" s="558">
        <f t="shared" si="164"/>
        <v>3413</v>
      </c>
      <c r="N3415" s="15">
        <f t="shared" si="162"/>
        <v>0.30086826055868016</v>
      </c>
      <c r="O3415" s="165">
        <f t="shared" si="163"/>
        <v>0.30086826055868016</v>
      </c>
      <c r="P3415" s="18"/>
      <c r="Q3415" s="18"/>
      <c r="R3415" s="18"/>
      <c r="S3415" s="18"/>
      <c r="T3415" s="18"/>
      <c r="U3415" s="18"/>
      <c r="V3415" s="18"/>
      <c r="W3415" s="18"/>
      <c r="X3415" s="18"/>
    </row>
    <row r="3416" spans="13:24">
      <c r="M3416" s="558">
        <f t="shared" si="164"/>
        <v>3414</v>
      </c>
      <c r="N3416" s="15">
        <f t="shared" si="162"/>
        <v>0.30080911822126999</v>
      </c>
      <c r="O3416" s="165">
        <f t="shared" si="163"/>
        <v>0.30080911822126999</v>
      </c>
      <c r="P3416" s="18"/>
      <c r="Q3416" s="18"/>
      <c r="R3416" s="18"/>
      <c r="S3416" s="18"/>
      <c r="T3416" s="18"/>
      <c r="U3416" s="18"/>
      <c r="V3416" s="18"/>
      <c r="W3416" s="18"/>
      <c r="X3416" s="18"/>
    </row>
    <row r="3417" spans="13:24">
      <c r="M3417" s="558">
        <f t="shared" si="164"/>
        <v>3415</v>
      </c>
      <c r="N3417" s="15">
        <f t="shared" si="162"/>
        <v>0.30074998563769106</v>
      </c>
      <c r="O3417" s="165">
        <f t="shared" si="163"/>
        <v>0.30074998563769106</v>
      </c>
      <c r="P3417" s="18"/>
      <c r="Q3417" s="18"/>
      <c r="R3417" s="18"/>
      <c r="S3417" s="18"/>
      <c r="T3417" s="18"/>
      <c r="U3417" s="18"/>
      <c r="V3417" s="18"/>
      <c r="W3417" s="18"/>
      <c r="X3417" s="18"/>
    </row>
    <row r="3418" spans="13:24">
      <c r="M3418" s="558">
        <f t="shared" si="164"/>
        <v>3416</v>
      </c>
      <c r="N3418" s="15">
        <f t="shared" si="162"/>
        <v>0.3006908627957029</v>
      </c>
      <c r="O3418" s="165">
        <f t="shared" si="163"/>
        <v>0.3006908627957029</v>
      </c>
      <c r="P3418" s="18"/>
      <c r="Q3418" s="18"/>
      <c r="R3418" s="18"/>
      <c r="S3418" s="18"/>
      <c r="T3418" s="18"/>
      <c r="U3418" s="18"/>
      <c r="V3418" s="18"/>
      <c r="W3418" s="18"/>
      <c r="X3418" s="18"/>
    </row>
    <row r="3419" spans="13:24">
      <c r="M3419" s="558">
        <f t="shared" si="164"/>
        <v>3417</v>
      </c>
      <c r="N3419" s="15">
        <f t="shared" si="162"/>
        <v>0.30063174968308082</v>
      </c>
      <c r="O3419" s="165">
        <f t="shared" si="163"/>
        <v>0.30063174968308082</v>
      </c>
      <c r="P3419" s="18"/>
      <c r="Q3419" s="18"/>
      <c r="R3419" s="18"/>
      <c r="S3419" s="18"/>
      <c r="T3419" s="18"/>
      <c r="U3419" s="18"/>
      <c r="V3419" s="18"/>
      <c r="W3419" s="18"/>
      <c r="X3419" s="18"/>
    </row>
    <row r="3420" spans="13:24">
      <c r="M3420" s="558">
        <f t="shared" si="164"/>
        <v>3418</v>
      </c>
      <c r="N3420" s="15">
        <f t="shared" si="162"/>
        <v>0.30057264628761515</v>
      </c>
      <c r="O3420" s="165">
        <f t="shared" si="163"/>
        <v>0.30057264628761515</v>
      </c>
      <c r="P3420" s="18"/>
      <c r="Q3420" s="18"/>
      <c r="R3420" s="18"/>
      <c r="S3420" s="18"/>
      <c r="T3420" s="18"/>
      <c r="U3420" s="18"/>
      <c r="V3420" s="18"/>
      <c r="W3420" s="18"/>
      <c r="X3420" s="18"/>
    </row>
    <row r="3421" spans="13:24">
      <c r="M3421" s="558">
        <f t="shared" si="164"/>
        <v>3419</v>
      </c>
      <c r="N3421" s="15">
        <f t="shared" si="162"/>
        <v>0.3005135525971116</v>
      </c>
      <c r="O3421" s="165">
        <f t="shared" si="163"/>
        <v>0.3005135525971116</v>
      </c>
      <c r="P3421" s="18"/>
      <c r="Q3421" s="18"/>
      <c r="R3421" s="18"/>
      <c r="S3421" s="18"/>
      <c r="T3421" s="18"/>
      <c r="U3421" s="18"/>
      <c r="V3421" s="18"/>
      <c r="W3421" s="18"/>
      <c r="X3421" s="18"/>
    </row>
    <row r="3422" spans="13:24">
      <c r="M3422" s="558">
        <f t="shared" si="164"/>
        <v>3420</v>
      </c>
      <c r="N3422" s="15">
        <f t="shared" si="162"/>
        <v>0.30045446859939123</v>
      </c>
      <c r="O3422" s="165">
        <f t="shared" si="163"/>
        <v>0.30045446859939123</v>
      </c>
      <c r="P3422" s="18"/>
      <c r="Q3422" s="18"/>
      <c r="R3422" s="18"/>
      <c r="S3422" s="18"/>
      <c r="T3422" s="18"/>
      <c r="U3422" s="18"/>
      <c r="V3422" s="18"/>
      <c r="W3422" s="18"/>
      <c r="X3422" s="18"/>
    </row>
    <row r="3423" spans="13:24">
      <c r="M3423" s="558">
        <f t="shared" si="164"/>
        <v>3421</v>
      </c>
      <c r="N3423" s="15">
        <f t="shared" si="162"/>
        <v>0.30039539428229051</v>
      </c>
      <c r="O3423" s="165">
        <f t="shared" si="163"/>
        <v>0.30039539428229051</v>
      </c>
      <c r="P3423" s="18"/>
      <c r="Q3423" s="18"/>
      <c r="R3423" s="18"/>
      <c r="S3423" s="18"/>
      <c r="T3423" s="18"/>
      <c r="U3423" s="18"/>
      <c r="V3423" s="18"/>
      <c r="W3423" s="18"/>
      <c r="X3423" s="18"/>
    </row>
    <row r="3424" spans="13:24">
      <c r="M3424" s="558">
        <f t="shared" si="164"/>
        <v>3422</v>
      </c>
      <c r="N3424" s="15">
        <f t="shared" si="162"/>
        <v>0.30033632963366086</v>
      </c>
      <c r="O3424" s="165">
        <f t="shared" si="163"/>
        <v>0.30033632963366086</v>
      </c>
      <c r="P3424" s="18"/>
      <c r="Q3424" s="18"/>
      <c r="R3424" s="18"/>
      <c r="S3424" s="18"/>
      <c r="T3424" s="18"/>
      <c r="U3424" s="18"/>
      <c r="V3424" s="18"/>
      <c r="W3424" s="18"/>
      <c r="X3424" s="18"/>
    </row>
    <row r="3425" spans="13:24">
      <c r="M3425" s="558">
        <f t="shared" si="164"/>
        <v>3423</v>
      </c>
      <c r="N3425" s="15">
        <f t="shared" si="162"/>
        <v>0.30027727464136922</v>
      </c>
      <c r="O3425" s="165">
        <f t="shared" si="163"/>
        <v>0.30027727464136922</v>
      </c>
      <c r="P3425" s="18"/>
      <c r="Q3425" s="18"/>
      <c r="R3425" s="18"/>
      <c r="S3425" s="18"/>
      <c r="T3425" s="18"/>
      <c r="U3425" s="18"/>
      <c r="V3425" s="18"/>
      <c r="W3425" s="18"/>
      <c r="X3425" s="18"/>
    </row>
    <row r="3426" spans="13:24">
      <c r="M3426" s="558">
        <f t="shared" si="164"/>
        <v>3424</v>
      </c>
      <c r="N3426" s="15">
        <f t="shared" si="162"/>
        <v>0.30021822929329761</v>
      </c>
      <c r="O3426" s="165">
        <f t="shared" si="163"/>
        <v>0.30021822929329761</v>
      </c>
      <c r="P3426" s="18"/>
      <c r="Q3426" s="18"/>
      <c r="R3426" s="18"/>
      <c r="S3426" s="18"/>
      <c r="T3426" s="18"/>
      <c r="U3426" s="18"/>
      <c r="V3426" s="18"/>
      <c r="W3426" s="18"/>
      <c r="X3426" s="18"/>
    </row>
    <row r="3427" spans="13:24">
      <c r="M3427" s="558">
        <f t="shared" si="164"/>
        <v>3425</v>
      </c>
      <c r="N3427" s="15">
        <f t="shared" si="162"/>
        <v>0.30015919357734339</v>
      </c>
      <c r="O3427" s="165">
        <f t="shared" si="163"/>
        <v>0.30015919357734339</v>
      </c>
      <c r="P3427" s="18"/>
      <c r="Q3427" s="18"/>
      <c r="R3427" s="18"/>
      <c r="S3427" s="18"/>
      <c r="T3427" s="18"/>
      <c r="U3427" s="18"/>
      <c r="V3427" s="18"/>
      <c r="W3427" s="18"/>
      <c r="X3427" s="18"/>
    </row>
    <row r="3428" spans="13:24">
      <c r="M3428" s="558">
        <f t="shared" si="164"/>
        <v>3426</v>
      </c>
      <c r="N3428" s="15">
        <f t="shared" si="162"/>
        <v>0.30010016748141899</v>
      </c>
      <c r="O3428" s="165">
        <f t="shared" si="163"/>
        <v>0.30010016748141899</v>
      </c>
      <c r="P3428" s="18"/>
      <c r="Q3428" s="18"/>
      <c r="R3428" s="18"/>
      <c r="S3428" s="18"/>
      <c r="T3428" s="18"/>
      <c r="U3428" s="18"/>
      <c r="V3428" s="18"/>
      <c r="W3428" s="18"/>
      <c r="X3428" s="18"/>
    </row>
    <row r="3429" spans="13:24">
      <c r="M3429" s="558">
        <f t="shared" si="164"/>
        <v>3427</v>
      </c>
      <c r="N3429" s="15">
        <f t="shared" si="162"/>
        <v>0.30004115099345197</v>
      </c>
      <c r="O3429" s="165">
        <f t="shared" si="163"/>
        <v>0.30004115099345197</v>
      </c>
      <c r="P3429" s="18"/>
      <c r="Q3429" s="18"/>
      <c r="R3429" s="18"/>
      <c r="S3429" s="18"/>
      <c r="T3429" s="18"/>
      <c r="U3429" s="18"/>
      <c r="V3429" s="18"/>
      <c r="W3429" s="18"/>
      <c r="X3429" s="18"/>
    </row>
    <row r="3430" spans="13:24">
      <c r="M3430" s="558">
        <f t="shared" si="164"/>
        <v>3428</v>
      </c>
      <c r="N3430" s="15">
        <f t="shared" si="162"/>
        <v>0.29998214410138518</v>
      </c>
      <c r="O3430" s="165">
        <f t="shared" si="163"/>
        <v>0.29998214410138518</v>
      </c>
      <c r="P3430" s="18"/>
      <c r="Q3430" s="18"/>
      <c r="R3430" s="18"/>
      <c r="S3430" s="18"/>
      <c r="T3430" s="18"/>
      <c r="U3430" s="18"/>
      <c r="V3430" s="18"/>
      <c r="W3430" s="18"/>
      <c r="X3430" s="18"/>
    </row>
    <row r="3431" spans="13:24">
      <c r="M3431" s="558">
        <f t="shared" si="164"/>
        <v>3429</v>
      </c>
      <c r="N3431" s="15">
        <f t="shared" si="162"/>
        <v>0.29992314679317661</v>
      </c>
      <c r="O3431" s="165">
        <f t="shared" si="163"/>
        <v>0.29992314679317661</v>
      </c>
      <c r="P3431" s="18"/>
      <c r="Q3431" s="18"/>
      <c r="R3431" s="18"/>
      <c r="S3431" s="18"/>
      <c r="T3431" s="18"/>
      <c r="U3431" s="18"/>
      <c r="V3431" s="18"/>
      <c r="W3431" s="18"/>
      <c r="X3431" s="18"/>
    </row>
    <row r="3432" spans="13:24">
      <c r="M3432" s="558">
        <f t="shared" si="164"/>
        <v>3430</v>
      </c>
      <c r="N3432" s="15">
        <f t="shared" si="162"/>
        <v>0.29986415905679914</v>
      </c>
      <c r="O3432" s="165">
        <f t="shared" si="163"/>
        <v>0.29986415905679914</v>
      </c>
      <c r="P3432" s="18"/>
      <c r="Q3432" s="18"/>
      <c r="R3432" s="18"/>
      <c r="S3432" s="18"/>
      <c r="T3432" s="18"/>
      <c r="U3432" s="18"/>
      <c r="V3432" s="18"/>
      <c r="W3432" s="18"/>
      <c r="X3432" s="18"/>
    </row>
    <row r="3433" spans="13:24">
      <c r="M3433" s="558">
        <f t="shared" si="164"/>
        <v>3431</v>
      </c>
      <c r="N3433" s="15">
        <f t="shared" si="162"/>
        <v>0.29980518088024094</v>
      </c>
      <c r="O3433" s="165">
        <f t="shared" si="163"/>
        <v>0.29980518088024094</v>
      </c>
      <c r="P3433" s="18"/>
      <c r="Q3433" s="18"/>
      <c r="R3433" s="18"/>
      <c r="S3433" s="18"/>
      <c r="T3433" s="18"/>
      <c r="U3433" s="18"/>
      <c r="V3433" s="18"/>
      <c r="W3433" s="18"/>
      <c r="X3433" s="18"/>
    </row>
    <row r="3434" spans="13:24">
      <c r="M3434" s="558">
        <f t="shared" si="164"/>
        <v>3432</v>
      </c>
      <c r="N3434" s="15">
        <f t="shared" si="162"/>
        <v>0.29974621225150527</v>
      </c>
      <c r="O3434" s="165">
        <f t="shared" si="163"/>
        <v>0.29974621225150527</v>
      </c>
      <c r="P3434" s="18"/>
      <c r="Q3434" s="18"/>
      <c r="R3434" s="18"/>
      <c r="S3434" s="18"/>
      <c r="T3434" s="18"/>
      <c r="U3434" s="18"/>
      <c r="V3434" s="18"/>
      <c r="W3434" s="18"/>
      <c r="X3434" s="18"/>
    </row>
    <row r="3435" spans="13:24">
      <c r="M3435" s="558">
        <f t="shared" si="164"/>
        <v>3433</v>
      </c>
      <c r="N3435" s="15">
        <f t="shared" si="162"/>
        <v>0.29968725315861039</v>
      </c>
      <c r="O3435" s="165">
        <f t="shared" si="163"/>
        <v>0.29968725315861039</v>
      </c>
      <c r="P3435" s="18"/>
      <c r="Q3435" s="18"/>
      <c r="R3435" s="18"/>
      <c r="S3435" s="18"/>
      <c r="T3435" s="18"/>
      <c r="U3435" s="18"/>
      <c r="V3435" s="18"/>
      <c r="W3435" s="18"/>
      <c r="X3435" s="18"/>
    </row>
    <row r="3436" spans="13:24">
      <c r="M3436" s="558">
        <f t="shared" si="164"/>
        <v>3434</v>
      </c>
      <c r="N3436" s="15">
        <f t="shared" si="162"/>
        <v>0.29962830358958947</v>
      </c>
      <c r="O3436" s="165">
        <f t="shared" si="163"/>
        <v>0.29962830358958947</v>
      </c>
      <c r="P3436" s="18"/>
      <c r="Q3436" s="18"/>
      <c r="R3436" s="18"/>
      <c r="S3436" s="18"/>
      <c r="T3436" s="18"/>
      <c r="U3436" s="18"/>
      <c r="V3436" s="18"/>
      <c r="W3436" s="18"/>
      <c r="X3436" s="18"/>
    </row>
    <row r="3437" spans="13:24">
      <c r="M3437" s="558">
        <f t="shared" si="164"/>
        <v>3435</v>
      </c>
      <c r="N3437" s="15">
        <f t="shared" si="162"/>
        <v>0.29956936353249081</v>
      </c>
      <c r="O3437" s="165">
        <f t="shared" si="163"/>
        <v>0.29956936353249081</v>
      </c>
      <c r="P3437" s="18"/>
      <c r="Q3437" s="18"/>
      <c r="R3437" s="18"/>
      <c r="S3437" s="18"/>
      <c r="T3437" s="18"/>
      <c r="U3437" s="18"/>
      <c r="V3437" s="18"/>
      <c r="W3437" s="18"/>
      <c r="X3437" s="18"/>
    </row>
    <row r="3438" spans="13:24">
      <c r="M3438" s="558">
        <f t="shared" si="164"/>
        <v>3436</v>
      </c>
      <c r="N3438" s="15">
        <f t="shared" si="162"/>
        <v>0.29951043297537788</v>
      </c>
      <c r="O3438" s="165">
        <f t="shared" si="163"/>
        <v>0.29951043297537788</v>
      </c>
      <c r="P3438" s="18"/>
      <c r="Q3438" s="18"/>
      <c r="R3438" s="18"/>
      <c r="S3438" s="18"/>
      <c r="T3438" s="18"/>
      <c r="U3438" s="18"/>
      <c r="V3438" s="18"/>
      <c r="W3438" s="18"/>
      <c r="X3438" s="18"/>
    </row>
    <row r="3439" spans="13:24">
      <c r="M3439" s="558">
        <f t="shared" si="164"/>
        <v>3437</v>
      </c>
      <c r="N3439" s="15">
        <f t="shared" si="162"/>
        <v>0.29945151190632885</v>
      </c>
      <c r="O3439" s="165">
        <f t="shared" si="163"/>
        <v>0.29945151190632885</v>
      </c>
      <c r="P3439" s="18"/>
      <c r="Q3439" s="18"/>
      <c r="R3439" s="18"/>
      <c r="S3439" s="18"/>
      <c r="T3439" s="18"/>
      <c r="U3439" s="18"/>
      <c r="V3439" s="18"/>
      <c r="W3439" s="18"/>
      <c r="X3439" s="18"/>
    </row>
    <row r="3440" spans="13:24">
      <c r="M3440" s="558">
        <f t="shared" si="164"/>
        <v>3438</v>
      </c>
      <c r="N3440" s="15">
        <f t="shared" si="162"/>
        <v>0.29939260031343695</v>
      </c>
      <c r="O3440" s="165">
        <f t="shared" si="163"/>
        <v>0.29939260031343695</v>
      </c>
      <c r="P3440" s="18"/>
      <c r="Q3440" s="18"/>
      <c r="R3440" s="18"/>
      <c r="S3440" s="18"/>
      <c r="T3440" s="18"/>
      <c r="U3440" s="18"/>
      <c r="V3440" s="18"/>
      <c r="W3440" s="18"/>
      <c r="X3440" s="18"/>
    </row>
    <row r="3441" spans="13:24">
      <c r="M3441" s="558">
        <f t="shared" si="164"/>
        <v>3439</v>
      </c>
      <c r="N3441" s="15">
        <f t="shared" si="162"/>
        <v>0.29933369818481032</v>
      </c>
      <c r="O3441" s="165">
        <f t="shared" si="163"/>
        <v>0.29933369818481032</v>
      </c>
      <c r="P3441" s="18"/>
      <c r="Q3441" s="18"/>
      <c r="R3441" s="18"/>
      <c r="S3441" s="18"/>
      <c r="T3441" s="18"/>
      <c r="U3441" s="18"/>
      <c r="V3441" s="18"/>
      <c r="W3441" s="18"/>
      <c r="X3441" s="18"/>
    </row>
    <row r="3442" spans="13:24">
      <c r="M3442" s="558">
        <f t="shared" si="164"/>
        <v>3440</v>
      </c>
      <c r="N3442" s="15">
        <f t="shared" si="162"/>
        <v>0.29927480550857216</v>
      </c>
      <c r="O3442" s="165">
        <f t="shared" si="163"/>
        <v>0.29927480550857216</v>
      </c>
      <c r="P3442" s="18"/>
      <c r="Q3442" s="18"/>
      <c r="R3442" s="18"/>
      <c r="S3442" s="18"/>
      <c r="T3442" s="18"/>
      <c r="U3442" s="18"/>
      <c r="V3442" s="18"/>
      <c r="W3442" s="18"/>
      <c r="X3442" s="18"/>
    </row>
    <row r="3443" spans="13:24">
      <c r="M3443" s="558">
        <f t="shared" si="164"/>
        <v>3441</v>
      </c>
      <c r="N3443" s="15">
        <f t="shared" si="162"/>
        <v>0.29921592227286048</v>
      </c>
      <c r="O3443" s="165">
        <f t="shared" si="163"/>
        <v>0.29921592227286048</v>
      </c>
      <c r="P3443" s="18"/>
      <c r="Q3443" s="18"/>
      <c r="R3443" s="18"/>
      <c r="S3443" s="18"/>
      <c r="T3443" s="18"/>
      <c r="U3443" s="18"/>
      <c r="V3443" s="18"/>
      <c r="W3443" s="18"/>
      <c r="X3443" s="18"/>
    </row>
    <row r="3444" spans="13:24">
      <c r="M3444" s="558">
        <f t="shared" si="164"/>
        <v>3442</v>
      </c>
      <c r="N3444" s="15">
        <f t="shared" si="162"/>
        <v>0.29915704846582813</v>
      </c>
      <c r="O3444" s="165">
        <f t="shared" si="163"/>
        <v>0.29915704846582813</v>
      </c>
      <c r="P3444" s="18"/>
      <c r="Q3444" s="18"/>
      <c r="R3444" s="18"/>
      <c r="S3444" s="18"/>
      <c r="T3444" s="18"/>
      <c r="U3444" s="18"/>
      <c r="V3444" s="18"/>
      <c r="W3444" s="18"/>
      <c r="X3444" s="18"/>
    </row>
    <row r="3445" spans="13:24">
      <c r="M3445" s="558">
        <f t="shared" si="164"/>
        <v>3443</v>
      </c>
      <c r="N3445" s="15">
        <f t="shared" si="162"/>
        <v>0.29909818407564293</v>
      </c>
      <c r="O3445" s="165">
        <f t="shared" si="163"/>
        <v>0.29909818407564293</v>
      </c>
      <c r="P3445" s="18"/>
      <c r="Q3445" s="18"/>
      <c r="R3445" s="18"/>
      <c r="S3445" s="18"/>
      <c r="T3445" s="18"/>
      <c r="U3445" s="18"/>
      <c r="V3445" s="18"/>
      <c r="W3445" s="18"/>
      <c r="X3445" s="18"/>
    </row>
    <row r="3446" spans="13:24">
      <c r="M3446" s="558">
        <f t="shared" si="164"/>
        <v>3444</v>
      </c>
      <c r="N3446" s="15">
        <f t="shared" si="162"/>
        <v>0.29903932909048742</v>
      </c>
      <c r="O3446" s="165">
        <f t="shared" si="163"/>
        <v>0.29903932909048742</v>
      </c>
      <c r="P3446" s="18"/>
      <c r="Q3446" s="18"/>
      <c r="R3446" s="18"/>
      <c r="S3446" s="18"/>
      <c r="T3446" s="18"/>
      <c r="U3446" s="18"/>
      <c r="V3446" s="18"/>
      <c r="W3446" s="18"/>
      <c r="X3446" s="18"/>
    </row>
    <row r="3447" spans="13:24">
      <c r="M3447" s="558">
        <f t="shared" si="164"/>
        <v>3445</v>
      </c>
      <c r="N3447" s="15">
        <f t="shared" si="162"/>
        <v>0.2989804834985591</v>
      </c>
      <c r="O3447" s="165">
        <f t="shared" si="163"/>
        <v>0.2989804834985591</v>
      </c>
      <c r="P3447" s="18"/>
      <c r="Q3447" s="18"/>
      <c r="R3447" s="18"/>
      <c r="S3447" s="18"/>
      <c r="T3447" s="18"/>
      <c r="U3447" s="18"/>
      <c r="V3447" s="18"/>
      <c r="W3447" s="18"/>
      <c r="X3447" s="18"/>
    </row>
    <row r="3448" spans="13:24">
      <c r="M3448" s="558">
        <f t="shared" si="164"/>
        <v>3446</v>
      </c>
      <c r="N3448" s="15">
        <f t="shared" si="162"/>
        <v>0.29892164728807014</v>
      </c>
      <c r="O3448" s="165">
        <f t="shared" si="163"/>
        <v>0.29892164728807014</v>
      </c>
      <c r="P3448" s="18"/>
      <c r="Q3448" s="18"/>
      <c r="R3448" s="18"/>
      <c r="S3448" s="18"/>
      <c r="T3448" s="18"/>
      <c r="U3448" s="18"/>
      <c r="V3448" s="18"/>
      <c r="W3448" s="18"/>
      <c r="X3448" s="18"/>
    </row>
    <row r="3449" spans="13:24">
      <c r="M3449" s="558">
        <f t="shared" si="164"/>
        <v>3447</v>
      </c>
      <c r="N3449" s="15">
        <f t="shared" si="162"/>
        <v>0.29886282044724771</v>
      </c>
      <c r="O3449" s="165">
        <f t="shared" si="163"/>
        <v>0.29886282044724771</v>
      </c>
      <c r="P3449" s="18"/>
      <c r="Q3449" s="18"/>
      <c r="R3449" s="18"/>
      <c r="S3449" s="18"/>
      <c r="T3449" s="18"/>
      <c r="U3449" s="18"/>
      <c r="V3449" s="18"/>
      <c r="W3449" s="18"/>
      <c r="X3449" s="18"/>
    </row>
    <row r="3450" spans="13:24">
      <c r="M3450" s="558">
        <f t="shared" si="164"/>
        <v>3448</v>
      </c>
      <c r="N3450" s="15">
        <f t="shared" si="162"/>
        <v>0.29880400296433357</v>
      </c>
      <c r="O3450" s="165">
        <f t="shared" si="163"/>
        <v>0.29880400296433357</v>
      </c>
      <c r="P3450" s="18"/>
      <c r="Q3450" s="18"/>
      <c r="R3450" s="18"/>
      <c r="S3450" s="18"/>
      <c r="T3450" s="18"/>
      <c r="U3450" s="18"/>
      <c r="V3450" s="18"/>
      <c r="W3450" s="18"/>
      <c r="X3450" s="18"/>
    </row>
    <row r="3451" spans="13:24">
      <c r="M3451" s="558">
        <f t="shared" si="164"/>
        <v>3449</v>
      </c>
      <c r="N3451" s="15">
        <f t="shared" si="162"/>
        <v>0.29874519482758427</v>
      </c>
      <c r="O3451" s="165">
        <f t="shared" si="163"/>
        <v>0.29874519482758427</v>
      </c>
      <c r="P3451" s="18"/>
      <c r="Q3451" s="18"/>
      <c r="R3451" s="18"/>
      <c r="S3451" s="18"/>
      <c r="T3451" s="18"/>
      <c r="U3451" s="18"/>
      <c r="V3451" s="18"/>
      <c r="W3451" s="18"/>
      <c r="X3451" s="18"/>
    </row>
    <row r="3452" spans="13:24">
      <c r="M3452" s="558">
        <f t="shared" si="164"/>
        <v>3450</v>
      </c>
      <c r="N3452" s="15">
        <f t="shared" si="162"/>
        <v>0.29868639602527114</v>
      </c>
      <c r="O3452" s="165">
        <f t="shared" si="163"/>
        <v>0.29868639602527114</v>
      </c>
      <c r="P3452" s="18"/>
      <c r="Q3452" s="18"/>
      <c r="R3452" s="18"/>
      <c r="S3452" s="18"/>
      <c r="T3452" s="18"/>
      <c r="U3452" s="18"/>
      <c r="V3452" s="18"/>
      <c r="W3452" s="18"/>
      <c r="X3452" s="18"/>
    </row>
    <row r="3453" spans="13:24">
      <c r="M3453" s="558">
        <f t="shared" si="164"/>
        <v>3451</v>
      </c>
      <c r="N3453" s="15">
        <f t="shared" si="162"/>
        <v>0.29862760654568027</v>
      </c>
      <c r="O3453" s="165">
        <f t="shared" si="163"/>
        <v>0.29862760654568027</v>
      </c>
      <c r="P3453" s="18"/>
      <c r="Q3453" s="18"/>
      <c r="R3453" s="18"/>
      <c r="S3453" s="18"/>
      <c r="T3453" s="18"/>
      <c r="U3453" s="18"/>
      <c r="V3453" s="18"/>
      <c r="W3453" s="18"/>
      <c r="X3453" s="18"/>
    </row>
    <row r="3454" spans="13:24">
      <c r="M3454" s="558">
        <f t="shared" si="164"/>
        <v>3452</v>
      </c>
      <c r="N3454" s="15">
        <f t="shared" si="162"/>
        <v>0.29856882637711235</v>
      </c>
      <c r="O3454" s="165">
        <f t="shared" si="163"/>
        <v>0.29856882637711235</v>
      </c>
      <c r="P3454" s="18"/>
      <c r="Q3454" s="18"/>
      <c r="R3454" s="18"/>
      <c r="S3454" s="18"/>
      <c r="T3454" s="18"/>
      <c r="U3454" s="18"/>
      <c r="V3454" s="18"/>
      <c r="W3454" s="18"/>
      <c r="X3454" s="18"/>
    </row>
    <row r="3455" spans="13:24">
      <c r="M3455" s="558">
        <f t="shared" si="164"/>
        <v>3453</v>
      </c>
      <c r="N3455" s="15">
        <f t="shared" si="162"/>
        <v>0.29851005550788279</v>
      </c>
      <c r="O3455" s="165">
        <f t="shared" si="163"/>
        <v>0.29851005550788279</v>
      </c>
      <c r="P3455" s="18"/>
      <c r="Q3455" s="18"/>
      <c r="R3455" s="18"/>
      <c r="S3455" s="18"/>
      <c r="T3455" s="18"/>
      <c r="U3455" s="18"/>
      <c r="V3455" s="18"/>
      <c r="W3455" s="18"/>
      <c r="X3455" s="18"/>
    </row>
    <row r="3456" spans="13:24">
      <c r="M3456" s="558">
        <f t="shared" si="164"/>
        <v>3454</v>
      </c>
      <c r="N3456" s="15">
        <f t="shared" si="162"/>
        <v>0.29845129392632158</v>
      </c>
      <c r="O3456" s="165">
        <f t="shared" si="163"/>
        <v>0.29845129392632158</v>
      </c>
      <c r="P3456" s="18"/>
      <c r="Q3456" s="18"/>
      <c r="R3456" s="18"/>
      <c r="S3456" s="18"/>
      <c r="T3456" s="18"/>
      <c r="U3456" s="18"/>
      <c r="V3456" s="18"/>
      <c r="W3456" s="18"/>
      <c r="X3456" s="18"/>
    </row>
    <row r="3457" spans="13:24">
      <c r="M3457" s="558">
        <f t="shared" si="164"/>
        <v>3455</v>
      </c>
      <c r="N3457" s="15">
        <f t="shared" si="162"/>
        <v>0.29839254162077361</v>
      </c>
      <c r="O3457" s="165">
        <f t="shared" si="163"/>
        <v>0.29839254162077361</v>
      </c>
      <c r="P3457" s="18"/>
      <c r="Q3457" s="18"/>
      <c r="R3457" s="18"/>
      <c r="S3457" s="18"/>
      <c r="T3457" s="18"/>
      <c r="U3457" s="18"/>
      <c r="V3457" s="18"/>
      <c r="W3457" s="18"/>
      <c r="X3457" s="18"/>
    </row>
    <row r="3458" spans="13:24">
      <c r="M3458" s="558">
        <f t="shared" si="164"/>
        <v>3456</v>
      </c>
      <c r="N3458" s="15">
        <f t="shared" si="162"/>
        <v>0.29833379857959813</v>
      </c>
      <c r="O3458" s="165">
        <f t="shared" si="163"/>
        <v>0.29833379857959813</v>
      </c>
      <c r="P3458" s="18"/>
      <c r="Q3458" s="18"/>
      <c r="R3458" s="18"/>
      <c r="S3458" s="18"/>
      <c r="T3458" s="18"/>
      <c r="U3458" s="18"/>
      <c r="V3458" s="18"/>
      <c r="W3458" s="18"/>
      <c r="X3458" s="18"/>
    </row>
    <row r="3459" spans="13:24">
      <c r="M3459" s="558">
        <f t="shared" si="164"/>
        <v>3457</v>
      </c>
      <c r="N3459" s="15">
        <f t="shared" si="162"/>
        <v>0.29827506479116905</v>
      </c>
      <c r="O3459" s="165">
        <f t="shared" si="163"/>
        <v>0.29827506479116905</v>
      </c>
      <c r="P3459" s="18"/>
      <c r="Q3459" s="18"/>
      <c r="R3459" s="18"/>
      <c r="S3459" s="18"/>
      <c r="T3459" s="18"/>
      <c r="U3459" s="18"/>
      <c r="V3459" s="18"/>
      <c r="W3459" s="18"/>
      <c r="X3459" s="18"/>
    </row>
    <row r="3460" spans="13:24">
      <c r="M3460" s="558">
        <f t="shared" si="164"/>
        <v>3458</v>
      </c>
      <c r="N3460" s="15">
        <f t="shared" ref="N3460:N3523" si="165">IF(M3460&lt;$B$31+1,$B$32+$B$33/$B$31*(8760-M3460)+$B$34*IF(M3460&lt;$B$36-$B$31/(2*$B$35),1,IF(M3460&lt;$B$36+$B$31/(2*$B$35),COS(PI()/2*(M3460-($B$36-$B$31/(2*$B$35)))*$B$35/$B$31)^2,0))+$B$37*EXP((8760-M3460)/8760*$B$38)/EXP($B$38)-(8760-$B$31)*$B$33/$B$31,0)</f>
        <v>0.29821634024387506</v>
      </c>
      <c r="O3460" s="165">
        <f t="shared" ref="O3460:O3523" si="166">MIN(N3460,C$24)</f>
        <v>0.29821634024387506</v>
      </c>
      <c r="P3460" s="18"/>
      <c r="Q3460" s="18"/>
      <c r="R3460" s="18"/>
      <c r="S3460" s="18"/>
      <c r="T3460" s="18"/>
      <c r="U3460" s="18"/>
      <c r="V3460" s="18"/>
      <c r="W3460" s="18"/>
      <c r="X3460" s="18"/>
    </row>
    <row r="3461" spans="13:24">
      <c r="M3461" s="558">
        <f t="shared" ref="M3461:M3524" si="167">M3460+1</f>
        <v>3459</v>
      </c>
      <c r="N3461" s="15">
        <f t="shared" si="165"/>
        <v>0.29815762492611925</v>
      </c>
      <c r="O3461" s="165">
        <f t="shared" si="166"/>
        <v>0.29815762492611925</v>
      </c>
      <c r="P3461" s="18"/>
      <c r="Q3461" s="18"/>
      <c r="R3461" s="18"/>
      <c r="S3461" s="18"/>
      <c r="T3461" s="18"/>
      <c r="U3461" s="18"/>
      <c r="V3461" s="18"/>
      <c r="W3461" s="18"/>
      <c r="X3461" s="18"/>
    </row>
    <row r="3462" spans="13:24">
      <c r="M3462" s="558">
        <f t="shared" si="167"/>
        <v>3460</v>
      </c>
      <c r="N3462" s="15">
        <f t="shared" si="165"/>
        <v>0.29809891882631917</v>
      </c>
      <c r="O3462" s="165">
        <f t="shared" si="166"/>
        <v>0.29809891882631917</v>
      </c>
      <c r="P3462" s="18"/>
      <c r="Q3462" s="18"/>
      <c r="R3462" s="18"/>
      <c r="S3462" s="18"/>
      <c r="T3462" s="18"/>
      <c r="U3462" s="18"/>
      <c r="V3462" s="18"/>
      <c r="W3462" s="18"/>
      <c r="X3462" s="18"/>
    </row>
    <row r="3463" spans="13:24">
      <c r="M3463" s="558">
        <f t="shared" si="167"/>
        <v>3461</v>
      </c>
      <c r="N3463" s="15">
        <f t="shared" si="165"/>
        <v>0.29804022193290702</v>
      </c>
      <c r="O3463" s="165">
        <f t="shared" si="166"/>
        <v>0.29804022193290702</v>
      </c>
      <c r="P3463" s="18"/>
      <c r="Q3463" s="18"/>
      <c r="R3463" s="18"/>
      <c r="S3463" s="18"/>
      <c r="T3463" s="18"/>
      <c r="U3463" s="18"/>
      <c r="V3463" s="18"/>
      <c r="W3463" s="18"/>
      <c r="X3463" s="18"/>
    </row>
    <row r="3464" spans="13:24">
      <c r="M3464" s="558">
        <f t="shared" si="167"/>
        <v>3462</v>
      </c>
      <c r="N3464" s="15">
        <f t="shared" si="165"/>
        <v>0.29798153423432971</v>
      </c>
      <c r="O3464" s="165">
        <f t="shared" si="166"/>
        <v>0.29798153423432971</v>
      </c>
      <c r="P3464" s="18"/>
      <c r="Q3464" s="18"/>
      <c r="R3464" s="18"/>
      <c r="S3464" s="18"/>
      <c r="T3464" s="18"/>
      <c r="U3464" s="18"/>
      <c r="V3464" s="18"/>
      <c r="W3464" s="18"/>
      <c r="X3464" s="18"/>
    </row>
    <row r="3465" spans="13:24">
      <c r="M3465" s="558">
        <f t="shared" si="167"/>
        <v>3463</v>
      </c>
      <c r="N3465" s="15">
        <f t="shared" si="165"/>
        <v>0.29792285571904831</v>
      </c>
      <c r="O3465" s="165">
        <f t="shared" si="166"/>
        <v>0.29792285571904831</v>
      </c>
      <c r="P3465" s="18"/>
      <c r="Q3465" s="18"/>
      <c r="R3465" s="18"/>
      <c r="S3465" s="18"/>
      <c r="T3465" s="18"/>
      <c r="U3465" s="18"/>
      <c r="V3465" s="18"/>
      <c r="W3465" s="18"/>
      <c r="X3465" s="18"/>
    </row>
    <row r="3466" spans="13:24">
      <c r="M3466" s="558">
        <f t="shared" si="167"/>
        <v>3464</v>
      </c>
      <c r="N3466" s="15">
        <f t="shared" si="165"/>
        <v>0.29786418637553858</v>
      </c>
      <c r="O3466" s="165">
        <f t="shared" si="166"/>
        <v>0.29786418637553858</v>
      </c>
      <c r="P3466" s="18"/>
      <c r="Q3466" s="18"/>
      <c r="R3466" s="18"/>
      <c r="S3466" s="18"/>
      <c r="T3466" s="18"/>
      <c r="U3466" s="18"/>
      <c r="V3466" s="18"/>
      <c r="W3466" s="18"/>
      <c r="X3466" s="18"/>
    </row>
    <row r="3467" spans="13:24">
      <c r="M3467" s="558">
        <f t="shared" si="167"/>
        <v>3465</v>
      </c>
      <c r="N3467" s="15">
        <f t="shared" si="165"/>
        <v>0.29780552619229061</v>
      </c>
      <c r="O3467" s="165">
        <f t="shared" si="166"/>
        <v>0.29780552619229061</v>
      </c>
      <c r="P3467" s="18"/>
      <c r="Q3467" s="18"/>
      <c r="R3467" s="18"/>
      <c r="S3467" s="18"/>
      <c r="T3467" s="18"/>
      <c r="U3467" s="18"/>
      <c r="V3467" s="18"/>
      <c r="W3467" s="18"/>
      <c r="X3467" s="18"/>
    </row>
    <row r="3468" spans="13:24">
      <c r="M3468" s="558">
        <f t="shared" si="167"/>
        <v>3466</v>
      </c>
      <c r="N3468" s="15">
        <f t="shared" si="165"/>
        <v>0.29774687515780907</v>
      </c>
      <c r="O3468" s="165">
        <f t="shared" si="166"/>
        <v>0.29774687515780907</v>
      </c>
      <c r="P3468" s="18"/>
      <c r="Q3468" s="18"/>
      <c r="R3468" s="18"/>
      <c r="S3468" s="18"/>
      <c r="T3468" s="18"/>
      <c r="U3468" s="18"/>
      <c r="V3468" s="18"/>
      <c r="W3468" s="18"/>
      <c r="X3468" s="18"/>
    </row>
    <row r="3469" spans="13:24">
      <c r="M3469" s="558">
        <f t="shared" si="167"/>
        <v>3467</v>
      </c>
      <c r="N3469" s="15">
        <f t="shared" si="165"/>
        <v>0.297688233260613</v>
      </c>
      <c r="O3469" s="165">
        <f t="shared" si="166"/>
        <v>0.297688233260613</v>
      </c>
      <c r="P3469" s="18"/>
      <c r="Q3469" s="18"/>
      <c r="R3469" s="18"/>
      <c r="S3469" s="18"/>
      <c r="T3469" s="18"/>
      <c r="U3469" s="18"/>
      <c r="V3469" s="18"/>
      <c r="W3469" s="18"/>
      <c r="X3469" s="18"/>
    </row>
    <row r="3470" spans="13:24">
      <c r="M3470" s="558">
        <f t="shared" si="167"/>
        <v>3468</v>
      </c>
      <c r="N3470" s="15">
        <f t="shared" si="165"/>
        <v>0.29762960048923587</v>
      </c>
      <c r="O3470" s="165">
        <f t="shared" si="166"/>
        <v>0.29762960048923587</v>
      </c>
      <c r="P3470" s="18"/>
      <c r="Q3470" s="18"/>
      <c r="R3470" s="18"/>
      <c r="S3470" s="18"/>
      <c r="T3470" s="18"/>
      <c r="U3470" s="18"/>
      <c r="V3470" s="18"/>
      <c r="W3470" s="18"/>
      <c r="X3470" s="18"/>
    </row>
    <row r="3471" spans="13:24">
      <c r="M3471" s="558">
        <f t="shared" si="167"/>
        <v>3469</v>
      </c>
      <c r="N3471" s="15">
        <f t="shared" si="165"/>
        <v>0.29757097683222539</v>
      </c>
      <c r="O3471" s="165">
        <f t="shared" si="166"/>
        <v>0.29757097683222539</v>
      </c>
      <c r="P3471" s="18"/>
      <c r="Q3471" s="18"/>
      <c r="R3471" s="18"/>
      <c r="S3471" s="18"/>
      <c r="T3471" s="18"/>
      <c r="U3471" s="18"/>
      <c r="V3471" s="18"/>
      <c r="W3471" s="18"/>
      <c r="X3471" s="18"/>
    </row>
    <row r="3472" spans="13:24">
      <c r="M3472" s="558">
        <f t="shared" si="167"/>
        <v>3470</v>
      </c>
      <c r="N3472" s="15">
        <f t="shared" si="165"/>
        <v>0.29751236227814387</v>
      </c>
      <c r="O3472" s="165">
        <f t="shared" si="166"/>
        <v>0.29751236227814387</v>
      </c>
      <c r="P3472" s="18"/>
      <c r="Q3472" s="18"/>
      <c r="R3472" s="18"/>
      <c r="S3472" s="18"/>
      <c r="T3472" s="18"/>
      <c r="U3472" s="18"/>
      <c r="V3472" s="18"/>
      <c r="W3472" s="18"/>
      <c r="X3472" s="18"/>
    </row>
    <row r="3473" spans="13:24">
      <c r="M3473" s="558">
        <f t="shared" si="167"/>
        <v>3471</v>
      </c>
      <c r="N3473" s="15">
        <f t="shared" si="165"/>
        <v>0.29745375681556779</v>
      </c>
      <c r="O3473" s="165">
        <f t="shared" si="166"/>
        <v>0.29745375681556779</v>
      </c>
      <c r="P3473" s="18"/>
      <c r="Q3473" s="18"/>
      <c r="R3473" s="18"/>
      <c r="S3473" s="18"/>
      <c r="T3473" s="18"/>
      <c r="U3473" s="18"/>
      <c r="V3473" s="18"/>
      <c r="W3473" s="18"/>
      <c r="X3473" s="18"/>
    </row>
    <row r="3474" spans="13:24">
      <c r="M3474" s="558">
        <f t="shared" si="167"/>
        <v>3472</v>
      </c>
      <c r="N3474" s="15">
        <f t="shared" si="165"/>
        <v>0.29739516043308811</v>
      </c>
      <c r="O3474" s="165">
        <f t="shared" si="166"/>
        <v>0.29739516043308811</v>
      </c>
      <c r="P3474" s="18"/>
      <c r="Q3474" s="18"/>
      <c r="R3474" s="18"/>
      <c r="S3474" s="18"/>
      <c r="T3474" s="18"/>
      <c r="U3474" s="18"/>
      <c r="V3474" s="18"/>
      <c r="W3474" s="18"/>
      <c r="X3474" s="18"/>
    </row>
    <row r="3475" spans="13:24">
      <c r="M3475" s="558">
        <f t="shared" si="167"/>
        <v>3473</v>
      </c>
      <c r="N3475" s="15">
        <f t="shared" si="165"/>
        <v>0.29733657311931</v>
      </c>
      <c r="O3475" s="165">
        <f t="shared" si="166"/>
        <v>0.29733657311931</v>
      </c>
      <c r="P3475" s="18"/>
      <c r="Q3475" s="18"/>
      <c r="R3475" s="18"/>
      <c r="S3475" s="18"/>
      <c r="T3475" s="18"/>
      <c r="U3475" s="18"/>
      <c r="V3475" s="18"/>
      <c r="W3475" s="18"/>
      <c r="X3475" s="18"/>
    </row>
    <row r="3476" spans="13:24">
      <c r="M3476" s="558">
        <f t="shared" si="167"/>
        <v>3474</v>
      </c>
      <c r="N3476" s="15">
        <f t="shared" si="165"/>
        <v>0.297277994862853</v>
      </c>
      <c r="O3476" s="165">
        <f t="shared" si="166"/>
        <v>0.297277994862853</v>
      </c>
      <c r="P3476" s="18"/>
      <c r="Q3476" s="18"/>
      <c r="R3476" s="18"/>
      <c r="S3476" s="18"/>
      <c r="T3476" s="18"/>
      <c r="U3476" s="18"/>
      <c r="V3476" s="18"/>
      <c r="W3476" s="18"/>
      <c r="X3476" s="18"/>
    </row>
    <row r="3477" spans="13:24">
      <c r="M3477" s="558">
        <f t="shared" si="167"/>
        <v>3475</v>
      </c>
      <c r="N3477" s="15">
        <f t="shared" si="165"/>
        <v>0.29721942565235088</v>
      </c>
      <c r="O3477" s="165">
        <f t="shared" si="166"/>
        <v>0.29721942565235088</v>
      </c>
      <c r="P3477" s="18"/>
      <c r="Q3477" s="18"/>
      <c r="R3477" s="18"/>
      <c r="S3477" s="18"/>
      <c r="T3477" s="18"/>
      <c r="U3477" s="18"/>
      <c r="V3477" s="18"/>
      <c r="W3477" s="18"/>
      <c r="X3477" s="18"/>
    </row>
    <row r="3478" spans="13:24">
      <c r="M3478" s="558">
        <f t="shared" si="167"/>
        <v>3476</v>
      </c>
      <c r="N3478" s="15">
        <f t="shared" si="165"/>
        <v>0.2971608654764516</v>
      </c>
      <c r="O3478" s="165">
        <f t="shared" si="166"/>
        <v>0.2971608654764516</v>
      </c>
      <c r="P3478" s="18"/>
      <c r="Q3478" s="18"/>
      <c r="R3478" s="18"/>
      <c r="S3478" s="18"/>
      <c r="T3478" s="18"/>
      <c r="U3478" s="18"/>
      <c r="V3478" s="18"/>
      <c r="W3478" s="18"/>
      <c r="X3478" s="18"/>
    </row>
    <row r="3479" spans="13:24">
      <c r="M3479" s="558">
        <f t="shared" si="167"/>
        <v>3477</v>
      </c>
      <c r="N3479" s="15">
        <f t="shared" si="165"/>
        <v>0.29710231432381767</v>
      </c>
      <c r="O3479" s="165">
        <f t="shared" si="166"/>
        <v>0.29710231432381767</v>
      </c>
      <c r="P3479" s="18"/>
      <c r="Q3479" s="18"/>
      <c r="R3479" s="18"/>
      <c r="S3479" s="18"/>
      <c r="T3479" s="18"/>
      <c r="U3479" s="18"/>
      <c r="V3479" s="18"/>
      <c r="W3479" s="18"/>
      <c r="X3479" s="18"/>
    </row>
    <row r="3480" spans="13:24">
      <c r="M3480" s="558">
        <f t="shared" si="167"/>
        <v>3478</v>
      </c>
      <c r="N3480" s="15">
        <f t="shared" si="165"/>
        <v>0.29704377218312544</v>
      </c>
      <c r="O3480" s="165">
        <f t="shared" si="166"/>
        <v>0.29704377218312544</v>
      </c>
      <c r="P3480" s="18"/>
      <c r="Q3480" s="18"/>
      <c r="R3480" s="18"/>
      <c r="S3480" s="18"/>
      <c r="T3480" s="18"/>
      <c r="U3480" s="18"/>
      <c r="V3480" s="18"/>
      <c r="W3480" s="18"/>
      <c r="X3480" s="18"/>
    </row>
    <row r="3481" spans="13:24">
      <c r="M3481" s="558">
        <f t="shared" si="167"/>
        <v>3479</v>
      </c>
      <c r="N3481" s="15">
        <f t="shared" si="165"/>
        <v>0.29698523904306573</v>
      </c>
      <c r="O3481" s="165">
        <f t="shared" si="166"/>
        <v>0.29698523904306573</v>
      </c>
      <c r="P3481" s="18"/>
      <c r="Q3481" s="18"/>
      <c r="R3481" s="18"/>
      <c r="S3481" s="18"/>
      <c r="T3481" s="18"/>
      <c r="U3481" s="18"/>
      <c r="V3481" s="18"/>
      <c r="W3481" s="18"/>
      <c r="X3481" s="18"/>
    </row>
    <row r="3482" spans="13:24">
      <c r="M3482" s="558">
        <f t="shared" si="167"/>
        <v>3480</v>
      </c>
      <c r="N3482" s="15">
        <f t="shared" si="165"/>
        <v>0.29692671489234335</v>
      </c>
      <c r="O3482" s="165">
        <f t="shared" si="166"/>
        <v>0.29692671489234335</v>
      </c>
      <c r="P3482" s="18"/>
      <c r="Q3482" s="18"/>
      <c r="R3482" s="18"/>
      <c r="S3482" s="18"/>
      <c r="T3482" s="18"/>
      <c r="U3482" s="18"/>
      <c r="V3482" s="18"/>
      <c r="W3482" s="18"/>
      <c r="X3482" s="18"/>
    </row>
    <row r="3483" spans="13:24">
      <c r="M3483" s="558">
        <f t="shared" si="167"/>
        <v>3481</v>
      </c>
      <c r="N3483" s="15">
        <f t="shared" si="165"/>
        <v>0.29686819971967754</v>
      </c>
      <c r="O3483" s="165">
        <f t="shared" si="166"/>
        <v>0.29686819971967754</v>
      </c>
      <c r="P3483" s="18"/>
      <c r="Q3483" s="18"/>
      <c r="R3483" s="18"/>
      <c r="S3483" s="18"/>
      <c r="T3483" s="18"/>
      <c r="U3483" s="18"/>
      <c r="V3483" s="18"/>
      <c r="W3483" s="18"/>
      <c r="X3483" s="18"/>
    </row>
    <row r="3484" spans="13:24">
      <c r="M3484" s="558">
        <f t="shared" si="167"/>
        <v>3482</v>
      </c>
      <c r="N3484" s="15">
        <f t="shared" si="165"/>
        <v>0.29680969351380154</v>
      </c>
      <c r="O3484" s="165">
        <f t="shared" si="166"/>
        <v>0.29680969351380154</v>
      </c>
      <c r="P3484" s="18"/>
      <c r="Q3484" s="18"/>
      <c r="R3484" s="18"/>
      <c r="S3484" s="18"/>
      <c r="T3484" s="18"/>
      <c r="U3484" s="18"/>
      <c r="V3484" s="18"/>
      <c r="W3484" s="18"/>
      <c r="X3484" s="18"/>
    </row>
    <row r="3485" spans="13:24">
      <c r="M3485" s="558">
        <f t="shared" si="167"/>
        <v>3483</v>
      </c>
      <c r="N3485" s="15">
        <f t="shared" si="165"/>
        <v>0.29675119626346275</v>
      </c>
      <c r="O3485" s="165">
        <f t="shared" si="166"/>
        <v>0.29675119626346275</v>
      </c>
      <c r="P3485" s="18"/>
      <c r="Q3485" s="18"/>
      <c r="R3485" s="18"/>
      <c r="S3485" s="18"/>
      <c r="T3485" s="18"/>
      <c r="U3485" s="18"/>
      <c r="V3485" s="18"/>
      <c r="W3485" s="18"/>
      <c r="X3485" s="18"/>
    </row>
    <row r="3486" spans="13:24">
      <c r="M3486" s="558">
        <f t="shared" si="167"/>
        <v>3484</v>
      </c>
      <c r="N3486" s="15">
        <f t="shared" si="165"/>
        <v>0.29669270795742259</v>
      </c>
      <c r="O3486" s="165">
        <f t="shared" si="166"/>
        <v>0.29669270795742259</v>
      </c>
      <c r="P3486" s="18"/>
      <c r="Q3486" s="18"/>
      <c r="R3486" s="18"/>
      <c r="S3486" s="18"/>
      <c r="T3486" s="18"/>
      <c r="U3486" s="18"/>
      <c r="V3486" s="18"/>
      <c r="W3486" s="18"/>
      <c r="X3486" s="18"/>
    </row>
    <row r="3487" spans="13:24">
      <c r="M3487" s="558">
        <f t="shared" si="167"/>
        <v>3485</v>
      </c>
      <c r="N3487" s="15">
        <f t="shared" si="165"/>
        <v>0.29663422858445682</v>
      </c>
      <c r="O3487" s="165">
        <f t="shared" si="166"/>
        <v>0.29663422858445682</v>
      </c>
      <c r="P3487" s="18"/>
      <c r="Q3487" s="18"/>
      <c r="R3487" s="18"/>
      <c r="S3487" s="18"/>
      <c r="T3487" s="18"/>
      <c r="U3487" s="18"/>
      <c r="V3487" s="18"/>
      <c r="W3487" s="18"/>
      <c r="X3487" s="18"/>
    </row>
    <row r="3488" spans="13:24">
      <c r="M3488" s="558">
        <f t="shared" si="167"/>
        <v>3486</v>
      </c>
      <c r="N3488" s="15">
        <f t="shared" si="165"/>
        <v>0.29657575813335507</v>
      </c>
      <c r="O3488" s="165">
        <f t="shared" si="166"/>
        <v>0.29657575813335507</v>
      </c>
      <c r="P3488" s="18"/>
      <c r="Q3488" s="18"/>
      <c r="R3488" s="18"/>
      <c r="S3488" s="18"/>
      <c r="T3488" s="18"/>
      <c r="U3488" s="18"/>
      <c r="V3488" s="18"/>
      <c r="W3488" s="18"/>
      <c r="X3488" s="18"/>
    </row>
    <row r="3489" spans="13:24">
      <c r="M3489" s="558">
        <f t="shared" si="167"/>
        <v>3487</v>
      </c>
      <c r="N3489" s="15">
        <f t="shared" si="165"/>
        <v>0.29651729659292114</v>
      </c>
      <c r="O3489" s="165">
        <f t="shared" si="166"/>
        <v>0.29651729659292114</v>
      </c>
      <c r="P3489" s="18"/>
      <c r="Q3489" s="18"/>
      <c r="R3489" s="18"/>
      <c r="S3489" s="18"/>
      <c r="T3489" s="18"/>
      <c r="U3489" s="18"/>
      <c r="V3489" s="18"/>
      <c r="W3489" s="18"/>
      <c r="X3489" s="18"/>
    </row>
    <row r="3490" spans="13:24">
      <c r="M3490" s="558">
        <f t="shared" si="167"/>
        <v>3488</v>
      </c>
      <c r="N3490" s="15">
        <f t="shared" si="165"/>
        <v>0.29645884395197281</v>
      </c>
      <c r="O3490" s="165">
        <f t="shared" si="166"/>
        <v>0.29645884395197281</v>
      </c>
      <c r="P3490" s="18"/>
      <c r="Q3490" s="18"/>
      <c r="R3490" s="18"/>
      <c r="S3490" s="18"/>
      <c r="T3490" s="18"/>
      <c r="U3490" s="18"/>
      <c r="V3490" s="18"/>
      <c r="W3490" s="18"/>
      <c r="X3490" s="18"/>
    </row>
    <row r="3491" spans="13:24">
      <c r="M3491" s="558">
        <f t="shared" si="167"/>
        <v>3489</v>
      </c>
      <c r="N3491" s="15">
        <f t="shared" si="165"/>
        <v>0.296400400199342</v>
      </c>
      <c r="O3491" s="165">
        <f t="shared" si="166"/>
        <v>0.296400400199342</v>
      </c>
      <c r="P3491" s="18"/>
      <c r="Q3491" s="18"/>
      <c r="R3491" s="18"/>
      <c r="S3491" s="18"/>
      <c r="T3491" s="18"/>
      <c r="U3491" s="18"/>
      <c r="V3491" s="18"/>
      <c r="W3491" s="18"/>
      <c r="X3491" s="18"/>
    </row>
    <row r="3492" spans="13:24">
      <c r="M3492" s="558">
        <f t="shared" si="167"/>
        <v>3490</v>
      </c>
      <c r="N3492" s="15">
        <f t="shared" si="165"/>
        <v>0.29634196532387458</v>
      </c>
      <c r="O3492" s="165">
        <f t="shared" si="166"/>
        <v>0.29634196532387458</v>
      </c>
      <c r="P3492" s="18"/>
      <c r="Q3492" s="18"/>
      <c r="R3492" s="18"/>
      <c r="S3492" s="18"/>
      <c r="T3492" s="18"/>
      <c r="U3492" s="18"/>
      <c r="V3492" s="18"/>
      <c r="W3492" s="18"/>
      <c r="X3492" s="18"/>
    </row>
    <row r="3493" spans="13:24">
      <c r="M3493" s="558">
        <f t="shared" si="167"/>
        <v>3491</v>
      </c>
      <c r="N3493" s="15">
        <f t="shared" si="165"/>
        <v>0.29628353931443036</v>
      </c>
      <c r="O3493" s="165">
        <f t="shared" si="166"/>
        <v>0.29628353931443036</v>
      </c>
      <c r="P3493" s="18"/>
      <c r="Q3493" s="18"/>
      <c r="R3493" s="18"/>
      <c r="S3493" s="18"/>
      <c r="T3493" s="18"/>
      <c r="U3493" s="18"/>
      <c r="V3493" s="18"/>
      <c r="W3493" s="18"/>
      <c r="X3493" s="18"/>
    </row>
    <row r="3494" spans="13:24">
      <c r="M3494" s="558">
        <f t="shared" si="167"/>
        <v>3492</v>
      </c>
      <c r="N3494" s="15">
        <f t="shared" si="165"/>
        <v>0.29622512215988328</v>
      </c>
      <c r="O3494" s="165">
        <f t="shared" si="166"/>
        <v>0.29622512215988328</v>
      </c>
      <c r="P3494" s="18"/>
      <c r="Q3494" s="18"/>
      <c r="R3494" s="18"/>
      <c r="S3494" s="18"/>
      <c r="T3494" s="18"/>
      <c r="U3494" s="18"/>
      <c r="V3494" s="18"/>
      <c r="W3494" s="18"/>
      <c r="X3494" s="18"/>
    </row>
    <row r="3495" spans="13:24">
      <c r="M3495" s="558">
        <f t="shared" si="167"/>
        <v>3493</v>
      </c>
      <c r="N3495" s="15">
        <f t="shared" si="165"/>
        <v>0.29616671384912113</v>
      </c>
      <c r="O3495" s="165">
        <f t="shared" si="166"/>
        <v>0.29616671384912113</v>
      </c>
      <c r="P3495" s="18"/>
      <c r="Q3495" s="18"/>
      <c r="R3495" s="18"/>
      <c r="S3495" s="18"/>
      <c r="T3495" s="18"/>
      <c r="U3495" s="18"/>
      <c r="V3495" s="18"/>
      <c r="W3495" s="18"/>
      <c r="X3495" s="18"/>
    </row>
    <row r="3496" spans="13:24">
      <c r="M3496" s="558">
        <f t="shared" si="167"/>
        <v>3494</v>
      </c>
      <c r="N3496" s="15">
        <f t="shared" si="165"/>
        <v>0.29610831437104562</v>
      </c>
      <c r="O3496" s="165">
        <f t="shared" si="166"/>
        <v>0.29610831437104562</v>
      </c>
      <c r="P3496" s="18"/>
      <c r="Q3496" s="18"/>
      <c r="R3496" s="18"/>
      <c r="S3496" s="18"/>
      <c r="T3496" s="18"/>
      <c r="U3496" s="18"/>
      <c r="V3496" s="18"/>
      <c r="W3496" s="18"/>
      <c r="X3496" s="18"/>
    </row>
    <row r="3497" spans="13:24">
      <c r="M3497" s="558">
        <f t="shared" si="167"/>
        <v>3495</v>
      </c>
      <c r="N3497" s="15">
        <f t="shared" si="165"/>
        <v>0.2960499237145725</v>
      </c>
      <c r="O3497" s="165">
        <f t="shared" si="166"/>
        <v>0.2960499237145725</v>
      </c>
      <c r="P3497" s="18"/>
      <c r="Q3497" s="18"/>
      <c r="R3497" s="18"/>
      <c r="S3497" s="18"/>
      <c r="T3497" s="18"/>
      <c r="U3497" s="18"/>
      <c r="V3497" s="18"/>
      <c r="W3497" s="18"/>
      <c r="X3497" s="18"/>
    </row>
    <row r="3498" spans="13:24">
      <c r="M3498" s="558">
        <f t="shared" si="167"/>
        <v>3496</v>
      </c>
      <c r="N3498" s="15">
        <f t="shared" si="165"/>
        <v>0.29599154186863136</v>
      </c>
      <c r="O3498" s="165">
        <f t="shared" si="166"/>
        <v>0.29599154186863136</v>
      </c>
      <c r="P3498" s="18"/>
      <c r="Q3498" s="18"/>
      <c r="R3498" s="18"/>
      <c r="S3498" s="18"/>
      <c r="T3498" s="18"/>
      <c r="U3498" s="18"/>
      <c r="V3498" s="18"/>
      <c r="W3498" s="18"/>
      <c r="X3498" s="18"/>
    </row>
    <row r="3499" spans="13:24">
      <c r="M3499" s="558">
        <f t="shared" si="167"/>
        <v>3497</v>
      </c>
      <c r="N3499" s="15">
        <f t="shared" si="165"/>
        <v>0.29593316882216564</v>
      </c>
      <c r="O3499" s="165">
        <f t="shared" si="166"/>
        <v>0.29593316882216564</v>
      </c>
      <c r="P3499" s="18"/>
      <c r="Q3499" s="18"/>
      <c r="R3499" s="18"/>
      <c r="S3499" s="18"/>
      <c r="T3499" s="18"/>
      <c r="U3499" s="18"/>
      <c r="V3499" s="18"/>
      <c r="W3499" s="18"/>
      <c r="X3499" s="18"/>
    </row>
    <row r="3500" spans="13:24">
      <c r="M3500" s="558">
        <f t="shared" si="167"/>
        <v>3498</v>
      </c>
      <c r="N3500" s="15">
        <f t="shared" si="165"/>
        <v>0.29587480456413279</v>
      </c>
      <c r="O3500" s="165">
        <f t="shared" si="166"/>
        <v>0.29587480456413279</v>
      </c>
      <c r="P3500" s="18"/>
      <c r="Q3500" s="18"/>
      <c r="R3500" s="18"/>
      <c r="S3500" s="18"/>
      <c r="T3500" s="18"/>
      <c r="U3500" s="18"/>
      <c r="V3500" s="18"/>
      <c r="W3500" s="18"/>
      <c r="X3500" s="18"/>
    </row>
    <row r="3501" spans="13:24">
      <c r="M3501" s="558">
        <f t="shared" si="167"/>
        <v>3499</v>
      </c>
      <c r="N3501" s="15">
        <f t="shared" si="165"/>
        <v>0.29581644908350385</v>
      </c>
      <c r="O3501" s="165">
        <f t="shared" si="166"/>
        <v>0.29581644908350385</v>
      </c>
      <c r="P3501" s="18"/>
      <c r="Q3501" s="18"/>
      <c r="R3501" s="18"/>
      <c r="S3501" s="18"/>
      <c r="T3501" s="18"/>
      <c r="U3501" s="18"/>
      <c r="V3501" s="18"/>
      <c r="W3501" s="18"/>
      <c r="X3501" s="18"/>
    </row>
    <row r="3502" spans="13:24">
      <c r="M3502" s="558">
        <f t="shared" si="167"/>
        <v>3500</v>
      </c>
      <c r="N3502" s="15">
        <f t="shared" si="165"/>
        <v>0.29575810236926414</v>
      </c>
      <c r="O3502" s="165">
        <f t="shared" si="166"/>
        <v>0.29575810236926414</v>
      </c>
      <c r="P3502" s="18"/>
      <c r="Q3502" s="18"/>
      <c r="R3502" s="18"/>
      <c r="S3502" s="18"/>
      <c r="T3502" s="18"/>
      <c r="U3502" s="18"/>
      <c r="V3502" s="18"/>
      <c r="W3502" s="18"/>
      <c r="X3502" s="18"/>
    </row>
    <row r="3503" spans="13:24">
      <c r="M3503" s="558">
        <f t="shared" si="167"/>
        <v>3501</v>
      </c>
      <c r="N3503" s="15">
        <f t="shared" si="165"/>
        <v>0.2956997644104124</v>
      </c>
      <c r="O3503" s="165">
        <f t="shared" si="166"/>
        <v>0.2956997644104124</v>
      </c>
      <c r="P3503" s="18"/>
      <c r="Q3503" s="18"/>
      <c r="R3503" s="18"/>
      <c r="S3503" s="18"/>
      <c r="T3503" s="18"/>
      <c r="U3503" s="18"/>
      <c r="V3503" s="18"/>
      <c r="W3503" s="18"/>
      <c r="X3503" s="18"/>
    </row>
    <row r="3504" spans="13:24">
      <c r="M3504" s="558">
        <f t="shared" si="167"/>
        <v>3502</v>
      </c>
      <c r="N3504" s="15">
        <f t="shared" si="165"/>
        <v>0.29564143519596131</v>
      </c>
      <c r="O3504" s="165">
        <f t="shared" si="166"/>
        <v>0.29564143519596131</v>
      </c>
      <c r="P3504" s="18"/>
      <c r="Q3504" s="18"/>
      <c r="R3504" s="18"/>
      <c r="S3504" s="18"/>
      <c r="T3504" s="18"/>
      <c r="U3504" s="18"/>
      <c r="V3504" s="18"/>
      <c r="W3504" s="18"/>
      <c r="X3504" s="18"/>
    </row>
    <row r="3505" spans="13:24">
      <c r="M3505" s="558">
        <f t="shared" si="167"/>
        <v>3503</v>
      </c>
      <c r="N3505" s="15">
        <f t="shared" si="165"/>
        <v>0.29558311471493731</v>
      </c>
      <c r="O3505" s="165">
        <f t="shared" si="166"/>
        <v>0.29558311471493731</v>
      </c>
      <c r="P3505" s="18"/>
      <c r="Q3505" s="18"/>
      <c r="R3505" s="18"/>
      <c r="S3505" s="18"/>
      <c r="T3505" s="18"/>
      <c r="U3505" s="18"/>
      <c r="V3505" s="18"/>
      <c r="W3505" s="18"/>
      <c r="X3505" s="18"/>
    </row>
    <row r="3506" spans="13:24">
      <c r="M3506" s="558">
        <f t="shared" si="167"/>
        <v>3504</v>
      </c>
      <c r="N3506" s="15">
        <f t="shared" si="165"/>
        <v>0.29552480295638084</v>
      </c>
      <c r="O3506" s="165">
        <f t="shared" si="166"/>
        <v>0.29552480295638084</v>
      </c>
      <c r="P3506" s="18"/>
      <c r="Q3506" s="18"/>
      <c r="R3506" s="18"/>
      <c r="S3506" s="18"/>
      <c r="T3506" s="18"/>
      <c r="U3506" s="18"/>
      <c r="V3506" s="18"/>
      <c r="W3506" s="18"/>
      <c r="X3506" s="18"/>
    </row>
    <row r="3507" spans="13:24">
      <c r="M3507" s="558">
        <f t="shared" si="167"/>
        <v>3505</v>
      </c>
      <c r="N3507" s="15">
        <f t="shared" si="165"/>
        <v>0.29546649990934576</v>
      </c>
      <c r="O3507" s="165">
        <f t="shared" si="166"/>
        <v>0.29546649990934576</v>
      </c>
      <c r="P3507" s="18"/>
      <c r="Q3507" s="18"/>
      <c r="R3507" s="18"/>
      <c r="S3507" s="18"/>
      <c r="T3507" s="18"/>
      <c r="U3507" s="18"/>
      <c r="V3507" s="18"/>
      <c r="W3507" s="18"/>
      <c r="X3507" s="18"/>
    </row>
    <row r="3508" spans="13:24">
      <c r="M3508" s="558">
        <f t="shared" si="167"/>
        <v>3506</v>
      </c>
      <c r="N3508" s="15">
        <f t="shared" si="165"/>
        <v>0.29540820556289976</v>
      </c>
      <c r="O3508" s="165">
        <f t="shared" si="166"/>
        <v>0.29540820556289976</v>
      </c>
      <c r="P3508" s="18"/>
      <c r="Q3508" s="18"/>
      <c r="R3508" s="18"/>
      <c r="S3508" s="18"/>
      <c r="T3508" s="18"/>
      <c r="U3508" s="18"/>
      <c r="V3508" s="18"/>
      <c r="W3508" s="18"/>
      <c r="X3508" s="18"/>
    </row>
    <row r="3509" spans="13:24">
      <c r="M3509" s="558">
        <f t="shared" si="167"/>
        <v>3507</v>
      </c>
      <c r="N3509" s="15">
        <f t="shared" si="165"/>
        <v>0.29534991990612441</v>
      </c>
      <c r="O3509" s="165">
        <f t="shared" si="166"/>
        <v>0.29534991990612441</v>
      </c>
      <c r="P3509" s="18"/>
      <c r="Q3509" s="18"/>
      <c r="R3509" s="18"/>
      <c r="S3509" s="18"/>
      <c r="T3509" s="18"/>
      <c r="U3509" s="18"/>
      <c r="V3509" s="18"/>
      <c r="W3509" s="18"/>
      <c r="X3509" s="18"/>
    </row>
    <row r="3510" spans="13:24">
      <c r="M3510" s="558">
        <f t="shared" si="167"/>
        <v>3508</v>
      </c>
      <c r="N3510" s="15">
        <f t="shared" si="165"/>
        <v>0.29529164292811488</v>
      </c>
      <c r="O3510" s="165">
        <f t="shared" si="166"/>
        <v>0.29529164292811488</v>
      </c>
      <c r="P3510" s="18"/>
      <c r="Q3510" s="18"/>
      <c r="R3510" s="18"/>
      <c r="S3510" s="18"/>
      <c r="T3510" s="18"/>
      <c r="U3510" s="18"/>
      <c r="V3510" s="18"/>
      <c r="W3510" s="18"/>
      <c r="X3510" s="18"/>
    </row>
    <row r="3511" spans="13:24">
      <c r="M3511" s="558">
        <f t="shared" si="167"/>
        <v>3509</v>
      </c>
      <c r="N3511" s="15">
        <f t="shared" si="165"/>
        <v>0.29523337461797994</v>
      </c>
      <c r="O3511" s="165">
        <f t="shared" si="166"/>
        <v>0.29523337461797994</v>
      </c>
      <c r="P3511" s="18"/>
      <c r="Q3511" s="18"/>
      <c r="R3511" s="18"/>
      <c r="S3511" s="18"/>
      <c r="T3511" s="18"/>
      <c r="U3511" s="18"/>
      <c r="V3511" s="18"/>
      <c r="W3511" s="18"/>
      <c r="X3511" s="18"/>
    </row>
    <row r="3512" spans="13:24">
      <c r="M3512" s="558">
        <f t="shared" si="167"/>
        <v>3510</v>
      </c>
      <c r="N3512" s="15">
        <f t="shared" si="165"/>
        <v>0.29517511496484206</v>
      </c>
      <c r="O3512" s="165">
        <f t="shared" si="166"/>
        <v>0.29517511496484206</v>
      </c>
      <c r="P3512" s="18"/>
      <c r="Q3512" s="18"/>
      <c r="R3512" s="18"/>
      <c r="S3512" s="18"/>
      <c r="T3512" s="18"/>
      <c r="U3512" s="18"/>
      <c r="V3512" s="18"/>
      <c r="W3512" s="18"/>
      <c r="X3512" s="18"/>
    </row>
    <row r="3513" spans="13:24">
      <c r="M3513" s="558">
        <f t="shared" si="167"/>
        <v>3511</v>
      </c>
      <c r="N3513" s="15">
        <f t="shared" si="165"/>
        <v>0.29511686395783759</v>
      </c>
      <c r="O3513" s="165">
        <f t="shared" si="166"/>
        <v>0.29511686395783759</v>
      </c>
      <c r="P3513" s="18"/>
      <c r="Q3513" s="18"/>
      <c r="R3513" s="18"/>
      <c r="S3513" s="18"/>
      <c r="T3513" s="18"/>
      <c r="U3513" s="18"/>
      <c r="V3513" s="18"/>
      <c r="W3513" s="18"/>
      <c r="X3513" s="18"/>
    </row>
    <row r="3514" spans="13:24">
      <c r="M3514" s="558">
        <f t="shared" si="167"/>
        <v>3512</v>
      </c>
      <c r="N3514" s="15">
        <f t="shared" si="165"/>
        <v>0.29505862158611618</v>
      </c>
      <c r="O3514" s="165">
        <f t="shared" si="166"/>
        <v>0.29505862158611618</v>
      </c>
      <c r="P3514" s="18"/>
      <c r="Q3514" s="18"/>
      <c r="R3514" s="18"/>
      <c r="S3514" s="18"/>
      <c r="T3514" s="18"/>
      <c r="U3514" s="18"/>
      <c r="V3514" s="18"/>
      <c r="W3514" s="18"/>
      <c r="X3514" s="18"/>
    </row>
    <row r="3515" spans="13:24">
      <c r="M3515" s="558">
        <f t="shared" si="167"/>
        <v>3513</v>
      </c>
      <c r="N3515" s="15">
        <f t="shared" si="165"/>
        <v>0.2950003878388413</v>
      </c>
      <c r="O3515" s="165">
        <f t="shared" si="166"/>
        <v>0.2950003878388413</v>
      </c>
      <c r="P3515" s="18"/>
      <c r="Q3515" s="18"/>
      <c r="R3515" s="18"/>
      <c r="S3515" s="18"/>
      <c r="T3515" s="18"/>
      <c r="U3515" s="18"/>
      <c r="V3515" s="18"/>
      <c r="W3515" s="18"/>
      <c r="X3515" s="18"/>
    </row>
    <row r="3516" spans="13:24">
      <c r="M3516" s="558">
        <f t="shared" si="167"/>
        <v>3514</v>
      </c>
      <c r="N3516" s="15">
        <f t="shared" si="165"/>
        <v>0.29494216270518986</v>
      </c>
      <c r="O3516" s="165">
        <f t="shared" si="166"/>
        <v>0.29494216270518986</v>
      </c>
      <c r="P3516" s="18"/>
      <c r="Q3516" s="18"/>
      <c r="R3516" s="18"/>
      <c r="S3516" s="18"/>
      <c r="T3516" s="18"/>
      <c r="U3516" s="18"/>
      <c r="V3516" s="18"/>
      <c r="W3516" s="18"/>
      <c r="X3516" s="18"/>
    </row>
    <row r="3517" spans="13:24">
      <c r="M3517" s="558">
        <f t="shared" si="167"/>
        <v>3515</v>
      </c>
      <c r="N3517" s="15">
        <f t="shared" si="165"/>
        <v>0.2948839461743526</v>
      </c>
      <c r="O3517" s="165">
        <f t="shared" si="166"/>
        <v>0.2948839461743526</v>
      </c>
      <c r="P3517" s="18"/>
      <c r="Q3517" s="18"/>
      <c r="R3517" s="18"/>
      <c r="S3517" s="18"/>
      <c r="T3517" s="18"/>
      <c r="U3517" s="18"/>
      <c r="V3517" s="18"/>
      <c r="W3517" s="18"/>
      <c r="X3517" s="18"/>
    </row>
    <row r="3518" spans="13:24">
      <c r="M3518" s="558">
        <f t="shared" si="167"/>
        <v>3516</v>
      </c>
      <c r="N3518" s="15">
        <f t="shared" si="165"/>
        <v>0.2948257382355336</v>
      </c>
      <c r="O3518" s="165">
        <f t="shared" si="166"/>
        <v>0.2948257382355336</v>
      </c>
      <c r="P3518" s="18"/>
      <c r="Q3518" s="18"/>
      <c r="R3518" s="18"/>
      <c r="S3518" s="18"/>
      <c r="T3518" s="18"/>
      <c r="U3518" s="18"/>
      <c r="V3518" s="18"/>
      <c r="W3518" s="18"/>
      <c r="X3518" s="18"/>
    </row>
    <row r="3519" spans="13:24">
      <c r="M3519" s="558">
        <f t="shared" si="167"/>
        <v>3517</v>
      </c>
      <c r="N3519" s="15">
        <f t="shared" si="165"/>
        <v>0.29476753887795054</v>
      </c>
      <c r="O3519" s="165">
        <f t="shared" si="166"/>
        <v>0.29476753887795054</v>
      </c>
      <c r="P3519" s="18"/>
      <c r="Q3519" s="18"/>
      <c r="R3519" s="18"/>
      <c r="S3519" s="18"/>
      <c r="T3519" s="18"/>
      <c r="U3519" s="18"/>
      <c r="V3519" s="18"/>
      <c r="W3519" s="18"/>
      <c r="X3519" s="18"/>
    </row>
    <row r="3520" spans="13:24">
      <c r="M3520" s="558">
        <f t="shared" si="167"/>
        <v>3518</v>
      </c>
      <c r="N3520" s="15">
        <f t="shared" si="165"/>
        <v>0.29470934809083471</v>
      </c>
      <c r="O3520" s="165">
        <f t="shared" si="166"/>
        <v>0.29470934809083471</v>
      </c>
      <c r="P3520" s="18"/>
      <c r="Q3520" s="18"/>
      <c r="R3520" s="18"/>
      <c r="S3520" s="18"/>
      <c r="T3520" s="18"/>
      <c r="U3520" s="18"/>
      <c r="V3520" s="18"/>
      <c r="W3520" s="18"/>
      <c r="X3520" s="18"/>
    </row>
    <row r="3521" spans="13:24">
      <c r="M3521" s="558">
        <f t="shared" si="167"/>
        <v>3519</v>
      </c>
      <c r="N3521" s="15">
        <f t="shared" si="165"/>
        <v>0.29465116586343088</v>
      </c>
      <c r="O3521" s="165">
        <f t="shared" si="166"/>
        <v>0.29465116586343088</v>
      </c>
      <c r="P3521" s="18"/>
      <c r="Q3521" s="18"/>
      <c r="R3521" s="18"/>
      <c r="S3521" s="18"/>
      <c r="T3521" s="18"/>
      <c r="U3521" s="18"/>
      <c r="V3521" s="18"/>
      <c r="W3521" s="18"/>
      <c r="X3521" s="18"/>
    </row>
    <row r="3522" spans="13:24">
      <c r="M3522" s="558">
        <f t="shared" si="167"/>
        <v>3520</v>
      </c>
      <c r="N3522" s="15">
        <f t="shared" si="165"/>
        <v>0.29459299218499729</v>
      </c>
      <c r="O3522" s="165">
        <f t="shared" si="166"/>
        <v>0.29459299218499729</v>
      </c>
      <c r="P3522" s="18"/>
      <c r="Q3522" s="18"/>
      <c r="R3522" s="18"/>
      <c r="S3522" s="18"/>
      <c r="T3522" s="18"/>
      <c r="U3522" s="18"/>
      <c r="V3522" s="18"/>
      <c r="W3522" s="18"/>
      <c r="X3522" s="18"/>
    </row>
    <row r="3523" spans="13:24">
      <c r="M3523" s="558">
        <f t="shared" si="167"/>
        <v>3521</v>
      </c>
      <c r="N3523" s="15">
        <f t="shared" si="165"/>
        <v>0.29453482704480555</v>
      </c>
      <c r="O3523" s="165">
        <f t="shared" si="166"/>
        <v>0.29453482704480555</v>
      </c>
      <c r="P3523" s="18"/>
      <c r="Q3523" s="18"/>
      <c r="R3523" s="18"/>
      <c r="S3523" s="18"/>
      <c r="T3523" s="18"/>
      <c r="U3523" s="18"/>
      <c r="V3523" s="18"/>
      <c r="W3523" s="18"/>
      <c r="X3523" s="18"/>
    </row>
    <row r="3524" spans="13:24">
      <c r="M3524" s="558">
        <f t="shared" si="167"/>
        <v>3522</v>
      </c>
      <c r="N3524" s="15">
        <f t="shared" ref="N3524:N3587" si="168">IF(M3524&lt;$B$31+1,$B$32+$B$33/$B$31*(8760-M3524)+$B$34*IF(M3524&lt;$B$36-$B$31/(2*$B$35),1,IF(M3524&lt;$B$36+$B$31/(2*$B$35),COS(PI()/2*(M3524-($B$36-$B$31/(2*$B$35)))*$B$35/$B$31)^2,0))+$B$37*EXP((8760-M3524)/8760*$B$38)/EXP($B$38)-(8760-$B$31)*$B$33/$B$31,0)</f>
        <v>0.29447667043214104</v>
      </c>
      <c r="O3524" s="165">
        <f t="shared" ref="O3524:O3587" si="169">MIN(N3524,C$24)</f>
        <v>0.29447667043214104</v>
      </c>
      <c r="P3524" s="18"/>
      <c r="Q3524" s="18"/>
      <c r="R3524" s="18"/>
      <c r="S3524" s="18"/>
      <c r="T3524" s="18"/>
      <c r="U3524" s="18"/>
      <c r="V3524" s="18"/>
      <c r="W3524" s="18"/>
      <c r="X3524" s="18"/>
    </row>
    <row r="3525" spans="13:24">
      <c r="M3525" s="558">
        <f t="shared" ref="M3525:M3588" si="170">M3524+1</f>
        <v>3523</v>
      </c>
      <c r="N3525" s="15">
        <f t="shared" si="168"/>
        <v>0.29441852233630228</v>
      </c>
      <c r="O3525" s="165">
        <f t="shared" si="169"/>
        <v>0.29441852233630228</v>
      </c>
      <c r="P3525" s="18"/>
      <c r="Q3525" s="18"/>
      <c r="R3525" s="18"/>
      <c r="S3525" s="18"/>
      <c r="T3525" s="18"/>
      <c r="U3525" s="18"/>
      <c r="V3525" s="18"/>
      <c r="W3525" s="18"/>
      <c r="X3525" s="18"/>
    </row>
    <row r="3526" spans="13:24">
      <c r="M3526" s="558">
        <f t="shared" si="170"/>
        <v>3524</v>
      </c>
      <c r="N3526" s="15">
        <f t="shared" si="168"/>
        <v>0.29436038274660137</v>
      </c>
      <c r="O3526" s="165">
        <f t="shared" si="169"/>
        <v>0.29436038274660137</v>
      </c>
      <c r="P3526" s="18"/>
      <c r="Q3526" s="18"/>
      <c r="R3526" s="18"/>
      <c r="S3526" s="18"/>
      <c r="T3526" s="18"/>
      <c r="U3526" s="18"/>
      <c r="V3526" s="18"/>
      <c r="W3526" s="18"/>
      <c r="X3526" s="18"/>
    </row>
    <row r="3527" spans="13:24">
      <c r="M3527" s="558">
        <f t="shared" si="170"/>
        <v>3525</v>
      </c>
      <c r="N3527" s="15">
        <f t="shared" si="168"/>
        <v>0.29430225165236373</v>
      </c>
      <c r="O3527" s="165">
        <f t="shared" si="169"/>
        <v>0.29430225165236373</v>
      </c>
      <c r="P3527" s="18"/>
      <c r="Q3527" s="18"/>
      <c r="R3527" s="18"/>
      <c r="S3527" s="18"/>
      <c r="T3527" s="18"/>
      <c r="U3527" s="18"/>
      <c r="V3527" s="18"/>
      <c r="W3527" s="18"/>
      <c r="X3527" s="18"/>
    </row>
    <row r="3528" spans="13:24">
      <c r="M3528" s="558">
        <f t="shared" si="170"/>
        <v>3526</v>
      </c>
      <c r="N3528" s="15">
        <f t="shared" si="168"/>
        <v>0.2942441290429284</v>
      </c>
      <c r="O3528" s="165">
        <f t="shared" si="169"/>
        <v>0.2942441290429284</v>
      </c>
      <c r="P3528" s="18"/>
      <c r="Q3528" s="18"/>
      <c r="R3528" s="18"/>
      <c r="S3528" s="18"/>
      <c r="T3528" s="18"/>
      <c r="U3528" s="18"/>
      <c r="V3528" s="18"/>
      <c r="W3528" s="18"/>
      <c r="X3528" s="18"/>
    </row>
    <row r="3529" spans="13:24">
      <c r="M3529" s="558">
        <f t="shared" si="170"/>
        <v>3527</v>
      </c>
      <c r="N3529" s="15">
        <f t="shared" si="168"/>
        <v>0.29418601490764745</v>
      </c>
      <c r="O3529" s="165">
        <f t="shared" si="169"/>
        <v>0.29418601490764745</v>
      </c>
      <c r="P3529" s="18"/>
      <c r="Q3529" s="18"/>
      <c r="R3529" s="18"/>
      <c r="S3529" s="18"/>
      <c r="T3529" s="18"/>
      <c r="U3529" s="18"/>
      <c r="V3529" s="18"/>
      <c r="W3529" s="18"/>
      <c r="X3529" s="18"/>
    </row>
    <row r="3530" spans="13:24">
      <c r="M3530" s="558">
        <f t="shared" si="170"/>
        <v>3528</v>
      </c>
      <c r="N3530" s="15">
        <f t="shared" si="168"/>
        <v>0.29412790923588661</v>
      </c>
      <c r="O3530" s="165">
        <f t="shared" si="169"/>
        <v>0.29412790923588661</v>
      </c>
      <c r="P3530" s="18"/>
      <c r="Q3530" s="18"/>
      <c r="R3530" s="18"/>
      <c r="S3530" s="18"/>
      <c r="T3530" s="18"/>
      <c r="U3530" s="18"/>
      <c r="V3530" s="18"/>
      <c r="W3530" s="18"/>
      <c r="X3530" s="18"/>
    </row>
    <row r="3531" spans="13:24">
      <c r="M3531" s="558">
        <f t="shared" si="170"/>
        <v>3529</v>
      </c>
      <c r="N3531" s="15">
        <f t="shared" si="168"/>
        <v>0.29406981201702476</v>
      </c>
      <c r="O3531" s="165">
        <f t="shared" si="169"/>
        <v>0.29406981201702476</v>
      </c>
      <c r="P3531" s="18"/>
      <c r="Q3531" s="18"/>
      <c r="R3531" s="18"/>
      <c r="S3531" s="18"/>
      <c r="T3531" s="18"/>
      <c r="U3531" s="18"/>
      <c r="V3531" s="18"/>
      <c r="W3531" s="18"/>
      <c r="X3531" s="18"/>
    </row>
    <row r="3532" spans="13:24">
      <c r="M3532" s="558">
        <f t="shared" si="170"/>
        <v>3530</v>
      </c>
      <c r="N3532" s="15">
        <f t="shared" si="168"/>
        <v>0.29401172324045427</v>
      </c>
      <c r="O3532" s="165">
        <f t="shared" si="169"/>
        <v>0.29401172324045427</v>
      </c>
      <c r="P3532" s="18"/>
      <c r="Q3532" s="18"/>
      <c r="R3532" s="18"/>
      <c r="S3532" s="18"/>
      <c r="T3532" s="18"/>
      <c r="U3532" s="18"/>
      <c r="V3532" s="18"/>
      <c r="W3532" s="18"/>
      <c r="X3532" s="18"/>
    </row>
    <row r="3533" spans="13:24">
      <c r="M3533" s="558">
        <f t="shared" si="170"/>
        <v>3531</v>
      </c>
      <c r="N3533" s="15">
        <f t="shared" si="168"/>
        <v>0.29395364289558074</v>
      </c>
      <c r="O3533" s="165">
        <f t="shared" si="169"/>
        <v>0.29395364289558074</v>
      </c>
      <c r="P3533" s="18"/>
      <c r="Q3533" s="18"/>
      <c r="R3533" s="18"/>
      <c r="S3533" s="18"/>
      <c r="T3533" s="18"/>
      <c r="U3533" s="18"/>
      <c r="V3533" s="18"/>
      <c r="W3533" s="18"/>
      <c r="X3533" s="18"/>
    </row>
    <row r="3534" spans="13:24">
      <c r="M3534" s="558">
        <f t="shared" si="170"/>
        <v>3532</v>
      </c>
      <c r="N3534" s="15">
        <f t="shared" si="168"/>
        <v>0.29389557097182295</v>
      </c>
      <c r="O3534" s="165">
        <f t="shared" si="169"/>
        <v>0.29389557097182295</v>
      </c>
      <c r="P3534" s="18"/>
      <c r="Q3534" s="18"/>
      <c r="R3534" s="18"/>
      <c r="S3534" s="18"/>
      <c r="T3534" s="18"/>
      <c r="U3534" s="18"/>
      <c r="V3534" s="18"/>
      <c r="W3534" s="18"/>
      <c r="X3534" s="18"/>
    </row>
    <row r="3535" spans="13:24">
      <c r="M3535" s="558">
        <f t="shared" si="170"/>
        <v>3533</v>
      </c>
      <c r="N3535" s="15">
        <f t="shared" si="168"/>
        <v>0.2938375074586132</v>
      </c>
      <c r="O3535" s="165">
        <f t="shared" si="169"/>
        <v>0.2938375074586132</v>
      </c>
      <c r="P3535" s="18"/>
      <c r="Q3535" s="18"/>
      <c r="R3535" s="18"/>
      <c r="S3535" s="18"/>
      <c r="T3535" s="18"/>
      <c r="U3535" s="18"/>
      <c r="V3535" s="18"/>
      <c r="W3535" s="18"/>
      <c r="X3535" s="18"/>
    </row>
    <row r="3536" spans="13:24">
      <c r="M3536" s="558">
        <f t="shared" si="170"/>
        <v>3534</v>
      </c>
      <c r="N3536" s="15">
        <f t="shared" si="168"/>
        <v>0.29377945234539693</v>
      </c>
      <c r="O3536" s="165">
        <f t="shared" si="169"/>
        <v>0.29377945234539693</v>
      </c>
      <c r="P3536" s="18"/>
      <c r="Q3536" s="18"/>
      <c r="R3536" s="18"/>
      <c r="S3536" s="18"/>
      <c r="T3536" s="18"/>
      <c r="U3536" s="18"/>
      <c r="V3536" s="18"/>
      <c r="W3536" s="18"/>
      <c r="X3536" s="18"/>
    </row>
    <row r="3537" spans="13:24">
      <c r="M3537" s="558">
        <f t="shared" si="170"/>
        <v>3535</v>
      </c>
      <c r="N3537" s="15">
        <f t="shared" si="168"/>
        <v>0.29372140562163274</v>
      </c>
      <c r="O3537" s="165">
        <f t="shared" si="169"/>
        <v>0.29372140562163274</v>
      </c>
      <c r="P3537" s="18"/>
      <c r="Q3537" s="18"/>
      <c r="R3537" s="18"/>
      <c r="S3537" s="18"/>
      <c r="T3537" s="18"/>
      <c r="U3537" s="18"/>
      <c r="V3537" s="18"/>
      <c r="W3537" s="18"/>
      <c r="X3537" s="18"/>
    </row>
    <row r="3538" spans="13:24">
      <c r="M3538" s="558">
        <f t="shared" si="170"/>
        <v>3536</v>
      </c>
      <c r="N3538" s="15">
        <f t="shared" si="168"/>
        <v>0.29366336727679254</v>
      </c>
      <c r="O3538" s="165">
        <f t="shared" si="169"/>
        <v>0.29366336727679254</v>
      </c>
      <c r="P3538" s="18"/>
      <c r="Q3538" s="18"/>
      <c r="R3538" s="18"/>
      <c r="S3538" s="18"/>
      <c r="T3538" s="18"/>
      <c r="U3538" s="18"/>
      <c r="V3538" s="18"/>
      <c r="W3538" s="18"/>
      <c r="X3538" s="18"/>
    </row>
    <row r="3539" spans="13:24">
      <c r="M3539" s="558">
        <f t="shared" si="170"/>
        <v>3537</v>
      </c>
      <c r="N3539" s="15">
        <f t="shared" si="168"/>
        <v>0.29360533730036154</v>
      </c>
      <c r="O3539" s="165">
        <f t="shared" si="169"/>
        <v>0.29360533730036154</v>
      </c>
      <c r="P3539" s="18"/>
      <c r="Q3539" s="18"/>
      <c r="R3539" s="18"/>
      <c r="S3539" s="18"/>
      <c r="T3539" s="18"/>
      <c r="U3539" s="18"/>
      <c r="V3539" s="18"/>
      <c r="W3539" s="18"/>
      <c r="X3539" s="18"/>
    </row>
    <row r="3540" spans="13:24">
      <c r="M3540" s="558">
        <f t="shared" si="170"/>
        <v>3538</v>
      </c>
      <c r="N3540" s="15">
        <f t="shared" si="168"/>
        <v>0.29354731568183806</v>
      </c>
      <c r="O3540" s="165">
        <f t="shared" si="169"/>
        <v>0.29354731568183806</v>
      </c>
      <c r="P3540" s="18"/>
      <c r="Q3540" s="18"/>
      <c r="R3540" s="18"/>
      <c r="S3540" s="18"/>
      <c r="T3540" s="18"/>
      <c r="U3540" s="18"/>
      <c r="V3540" s="18"/>
      <c r="W3540" s="18"/>
      <c r="X3540" s="18"/>
    </row>
    <row r="3541" spans="13:24">
      <c r="M3541" s="558">
        <f t="shared" si="170"/>
        <v>3539</v>
      </c>
      <c r="N3541" s="15">
        <f t="shared" si="168"/>
        <v>0.29348930241073351</v>
      </c>
      <c r="O3541" s="165">
        <f t="shared" si="169"/>
        <v>0.29348930241073351</v>
      </c>
      <c r="P3541" s="18"/>
      <c r="Q3541" s="18"/>
      <c r="R3541" s="18"/>
      <c r="S3541" s="18"/>
      <c r="T3541" s="18"/>
      <c r="U3541" s="18"/>
      <c r="V3541" s="18"/>
      <c r="W3541" s="18"/>
      <c r="X3541" s="18"/>
    </row>
    <row r="3542" spans="13:24">
      <c r="M3542" s="558">
        <f t="shared" si="170"/>
        <v>3540</v>
      </c>
      <c r="N3542" s="15">
        <f t="shared" si="168"/>
        <v>0.29343129747657254</v>
      </c>
      <c r="O3542" s="165">
        <f t="shared" si="169"/>
        <v>0.29343129747657254</v>
      </c>
      <c r="P3542" s="18"/>
      <c r="Q3542" s="18"/>
      <c r="R3542" s="18"/>
      <c r="S3542" s="18"/>
      <c r="T3542" s="18"/>
      <c r="U3542" s="18"/>
      <c r="V3542" s="18"/>
      <c r="W3542" s="18"/>
      <c r="X3542" s="18"/>
    </row>
    <row r="3543" spans="13:24">
      <c r="M3543" s="558">
        <f t="shared" si="170"/>
        <v>3541</v>
      </c>
      <c r="N3543" s="15">
        <f t="shared" si="168"/>
        <v>0.29337330086889313</v>
      </c>
      <c r="O3543" s="165">
        <f t="shared" si="169"/>
        <v>0.29337330086889313</v>
      </c>
      <c r="P3543" s="18"/>
      <c r="Q3543" s="18"/>
      <c r="R3543" s="18"/>
      <c r="S3543" s="18"/>
      <c r="T3543" s="18"/>
      <c r="U3543" s="18"/>
      <c r="V3543" s="18"/>
      <c r="W3543" s="18"/>
      <c r="X3543" s="18"/>
    </row>
    <row r="3544" spans="13:24">
      <c r="M3544" s="558">
        <f t="shared" si="170"/>
        <v>3542</v>
      </c>
      <c r="N3544" s="15">
        <f t="shared" si="168"/>
        <v>0.29331531257724602</v>
      </c>
      <c r="O3544" s="165">
        <f t="shared" si="169"/>
        <v>0.29331531257724602</v>
      </c>
      <c r="P3544" s="18"/>
      <c r="Q3544" s="18"/>
      <c r="R3544" s="18"/>
      <c r="S3544" s="18"/>
      <c r="T3544" s="18"/>
      <c r="U3544" s="18"/>
      <c r="V3544" s="18"/>
      <c r="W3544" s="18"/>
      <c r="X3544" s="18"/>
    </row>
    <row r="3545" spans="13:24">
      <c r="M3545" s="558">
        <f t="shared" si="170"/>
        <v>3543</v>
      </c>
      <c r="N3545" s="15">
        <f t="shared" si="168"/>
        <v>0.29325733259119535</v>
      </c>
      <c r="O3545" s="165">
        <f t="shared" si="169"/>
        <v>0.29325733259119535</v>
      </c>
      <c r="P3545" s="18"/>
      <c r="Q3545" s="18"/>
      <c r="R3545" s="18"/>
      <c r="S3545" s="18"/>
      <c r="T3545" s="18"/>
      <c r="U3545" s="18"/>
      <c r="V3545" s="18"/>
      <c r="W3545" s="18"/>
      <c r="X3545" s="18"/>
    </row>
    <row r="3546" spans="13:24">
      <c r="M3546" s="558">
        <f t="shared" si="170"/>
        <v>3544</v>
      </c>
      <c r="N3546" s="15">
        <f t="shared" si="168"/>
        <v>0.29319936090031817</v>
      </c>
      <c r="O3546" s="165">
        <f t="shared" si="169"/>
        <v>0.29319936090031817</v>
      </c>
      <c r="P3546" s="18"/>
      <c r="Q3546" s="18"/>
      <c r="R3546" s="18"/>
      <c r="S3546" s="18"/>
      <c r="T3546" s="18"/>
      <c r="U3546" s="18"/>
      <c r="V3546" s="18"/>
      <c r="W3546" s="18"/>
      <c r="X3546" s="18"/>
    </row>
    <row r="3547" spans="13:24">
      <c r="M3547" s="558">
        <f t="shared" si="170"/>
        <v>3545</v>
      </c>
      <c r="N3547" s="15">
        <f t="shared" si="168"/>
        <v>0.29314139749420481</v>
      </c>
      <c r="O3547" s="165">
        <f t="shared" si="169"/>
        <v>0.29314139749420481</v>
      </c>
      <c r="P3547" s="18"/>
      <c r="Q3547" s="18"/>
      <c r="R3547" s="18"/>
      <c r="S3547" s="18"/>
      <c r="T3547" s="18"/>
      <c r="U3547" s="18"/>
      <c r="V3547" s="18"/>
      <c r="W3547" s="18"/>
      <c r="X3547" s="18"/>
    </row>
    <row r="3548" spans="13:24">
      <c r="M3548" s="558">
        <f t="shared" si="170"/>
        <v>3546</v>
      </c>
      <c r="N3548" s="15">
        <f t="shared" si="168"/>
        <v>0.29308344236245859</v>
      </c>
      <c r="O3548" s="165">
        <f t="shared" si="169"/>
        <v>0.29308344236245859</v>
      </c>
      <c r="P3548" s="18"/>
      <c r="Q3548" s="18"/>
      <c r="R3548" s="18"/>
      <c r="S3548" s="18"/>
      <c r="T3548" s="18"/>
      <c r="U3548" s="18"/>
      <c r="V3548" s="18"/>
      <c r="W3548" s="18"/>
      <c r="X3548" s="18"/>
    </row>
    <row r="3549" spans="13:24">
      <c r="M3549" s="558">
        <f t="shared" si="170"/>
        <v>3547</v>
      </c>
      <c r="N3549" s="15">
        <f t="shared" si="168"/>
        <v>0.29302549549469575</v>
      </c>
      <c r="O3549" s="165">
        <f t="shared" si="169"/>
        <v>0.29302549549469575</v>
      </c>
      <c r="P3549" s="18"/>
      <c r="Q3549" s="18"/>
      <c r="R3549" s="18"/>
      <c r="S3549" s="18"/>
      <c r="T3549" s="18"/>
      <c r="U3549" s="18"/>
      <c r="V3549" s="18"/>
      <c r="W3549" s="18"/>
      <c r="X3549" s="18"/>
    </row>
    <row r="3550" spans="13:24">
      <c r="M3550" s="558">
        <f t="shared" si="170"/>
        <v>3548</v>
      </c>
      <c r="N3550" s="15">
        <f t="shared" si="168"/>
        <v>0.2929675568805456</v>
      </c>
      <c r="O3550" s="165">
        <f t="shared" si="169"/>
        <v>0.2929675568805456</v>
      </c>
      <c r="P3550" s="18"/>
      <c r="Q3550" s="18"/>
      <c r="R3550" s="18"/>
      <c r="S3550" s="18"/>
      <c r="T3550" s="18"/>
      <c r="U3550" s="18"/>
      <c r="V3550" s="18"/>
      <c r="W3550" s="18"/>
      <c r="X3550" s="18"/>
    </row>
    <row r="3551" spans="13:24">
      <c r="M3551" s="558">
        <f t="shared" si="170"/>
        <v>3549</v>
      </c>
      <c r="N3551" s="15">
        <f t="shared" si="168"/>
        <v>0.29290962650965069</v>
      </c>
      <c r="O3551" s="165">
        <f t="shared" si="169"/>
        <v>0.29290962650965069</v>
      </c>
      <c r="P3551" s="18"/>
      <c r="Q3551" s="18"/>
      <c r="R3551" s="18"/>
      <c r="S3551" s="18"/>
      <c r="T3551" s="18"/>
      <c r="U3551" s="18"/>
      <c r="V3551" s="18"/>
      <c r="W3551" s="18"/>
      <c r="X3551" s="18"/>
    </row>
    <row r="3552" spans="13:24">
      <c r="M3552" s="558">
        <f t="shared" si="170"/>
        <v>3550</v>
      </c>
      <c r="N3552" s="15">
        <f t="shared" si="168"/>
        <v>0.29285170437166624</v>
      </c>
      <c r="O3552" s="165">
        <f t="shared" si="169"/>
        <v>0.29285170437166624</v>
      </c>
      <c r="P3552" s="18"/>
      <c r="Q3552" s="18"/>
      <c r="R3552" s="18"/>
      <c r="S3552" s="18"/>
      <c r="T3552" s="18"/>
      <c r="U3552" s="18"/>
      <c r="V3552" s="18"/>
      <c r="W3552" s="18"/>
      <c r="X3552" s="18"/>
    </row>
    <row r="3553" spans="13:24">
      <c r="M3553" s="558">
        <f t="shared" si="170"/>
        <v>3551</v>
      </c>
      <c r="N3553" s="15">
        <f t="shared" si="168"/>
        <v>0.29279379045626069</v>
      </c>
      <c r="O3553" s="165">
        <f t="shared" si="169"/>
        <v>0.29279379045626069</v>
      </c>
      <c r="P3553" s="18"/>
      <c r="Q3553" s="18"/>
      <c r="R3553" s="18"/>
      <c r="S3553" s="18"/>
      <c r="T3553" s="18"/>
      <c r="U3553" s="18"/>
      <c r="V3553" s="18"/>
      <c r="W3553" s="18"/>
      <c r="X3553" s="18"/>
    </row>
    <row r="3554" spans="13:24">
      <c r="M3554" s="558">
        <f t="shared" si="170"/>
        <v>3552</v>
      </c>
      <c r="N3554" s="15">
        <f t="shared" si="168"/>
        <v>0.29273588475311541</v>
      </c>
      <c r="O3554" s="165">
        <f t="shared" si="169"/>
        <v>0.29273588475311541</v>
      </c>
      <c r="P3554" s="18"/>
      <c r="Q3554" s="18"/>
      <c r="R3554" s="18"/>
      <c r="S3554" s="18"/>
      <c r="T3554" s="18"/>
      <c r="U3554" s="18"/>
      <c r="V3554" s="18"/>
      <c r="W3554" s="18"/>
      <c r="X3554" s="18"/>
    </row>
    <row r="3555" spans="13:24">
      <c r="M3555" s="558">
        <f t="shared" si="170"/>
        <v>3553</v>
      </c>
      <c r="N3555" s="15">
        <f t="shared" si="168"/>
        <v>0.29267798725192457</v>
      </c>
      <c r="O3555" s="165">
        <f t="shared" si="169"/>
        <v>0.29267798725192457</v>
      </c>
      <c r="P3555" s="18"/>
      <c r="Q3555" s="18"/>
      <c r="R3555" s="18"/>
      <c r="S3555" s="18"/>
      <c r="T3555" s="18"/>
      <c r="U3555" s="18"/>
      <c r="V3555" s="18"/>
      <c r="W3555" s="18"/>
      <c r="X3555" s="18"/>
    </row>
    <row r="3556" spans="13:24">
      <c r="M3556" s="558">
        <f t="shared" si="170"/>
        <v>3554</v>
      </c>
      <c r="N3556" s="15">
        <f t="shared" si="168"/>
        <v>0.29262009794239541</v>
      </c>
      <c r="O3556" s="165">
        <f t="shared" si="169"/>
        <v>0.29262009794239541</v>
      </c>
      <c r="P3556" s="18"/>
      <c r="Q3556" s="18"/>
      <c r="R3556" s="18"/>
      <c r="S3556" s="18"/>
      <c r="T3556" s="18"/>
      <c r="U3556" s="18"/>
      <c r="V3556" s="18"/>
      <c r="W3556" s="18"/>
      <c r="X3556" s="18"/>
    </row>
    <row r="3557" spans="13:24">
      <c r="M3557" s="558">
        <f t="shared" si="170"/>
        <v>3555</v>
      </c>
      <c r="N3557" s="15">
        <f t="shared" si="168"/>
        <v>0.29256221681424804</v>
      </c>
      <c r="O3557" s="165">
        <f t="shared" si="169"/>
        <v>0.29256221681424804</v>
      </c>
      <c r="P3557" s="18"/>
      <c r="Q3557" s="18"/>
      <c r="R3557" s="18"/>
      <c r="S3557" s="18"/>
      <c r="T3557" s="18"/>
      <c r="U3557" s="18"/>
      <c r="V3557" s="18"/>
      <c r="W3557" s="18"/>
      <c r="X3557" s="18"/>
    </row>
    <row r="3558" spans="13:24">
      <c r="M3558" s="558">
        <f t="shared" si="170"/>
        <v>3556</v>
      </c>
      <c r="N3558" s="15">
        <f t="shared" si="168"/>
        <v>0.29250434385721552</v>
      </c>
      <c r="O3558" s="165">
        <f t="shared" si="169"/>
        <v>0.29250434385721552</v>
      </c>
      <c r="P3558" s="18"/>
      <c r="Q3558" s="18"/>
      <c r="R3558" s="18"/>
      <c r="S3558" s="18"/>
      <c r="T3558" s="18"/>
      <c r="U3558" s="18"/>
      <c r="V3558" s="18"/>
      <c r="W3558" s="18"/>
      <c r="X3558" s="18"/>
    </row>
    <row r="3559" spans="13:24">
      <c r="M3559" s="558">
        <f t="shared" si="170"/>
        <v>3557</v>
      </c>
      <c r="N3559" s="15">
        <f t="shared" si="168"/>
        <v>0.29244647906104376</v>
      </c>
      <c r="O3559" s="165">
        <f t="shared" si="169"/>
        <v>0.29244647906104376</v>
      </c>
      <c r="P3559" s="18"/>
      <c r="Q3559" s="18"/>
      <c r="R3559" s="18"/>
      <c r="S3559" s="18"/>
      <c r="T3559" s="18"/>
      <c r="U3559" s="18"/>
      <c r="V3559" s="18"/>
      <c r="W3559" s="18"/>
      <c r="X3559" s="18"/>
    </row>
    <row r="3560" spans="13:24">
      <c r="M3560" s="558">
        <f t="shared" si="170"/>
        <v>3558</v>
      </c>
      <c r="N3560" s="15">
        <f t="shared" si="168"/>
        <v>0.29238862241549152</v>
      </c>
      <c r="O3560" s="165">
        <f t="shared" si="169"/>
        <v>0.29238862241549152</v>
      </c>
      <c r="P3560" s="18"/>
      <c r="Q3560" s="18"/>
      <c r="R3560" s="18"/>
      <c r="S3560" s="18"/>
      <c r="T3560" s="18"/>
      <c r="U3560" s="18"/>
      <c r="V3560" s="18"/>
      <c r="W3560" s="18"/>
      <c r="X3560" s="18"/>
    </row>
    <row r="3561" spans="13:24">
      <c r="M3561" s="558">
        <f t="shared" si="170"/>
        <v>3559</v>
      </c>
      <c r="N3561" s="15">
        <f t="shared" si="168"/>
        <v>0.29233077391033035</v>
      </c>
      <c r="O3561" s="165">
        <f t="shared" si="169"/>
        <v>0.29233077391033035</v>
      </c>
      <c r="P3561" s="18"/>
      <c r="Q3561" s="18"/>
      <c r="R3561" s="18"/>
      <c r="S3561" s="18"/>
      <c r="T3561" s="18"/>
      <c r="U3561" s="18"/>
      <c r="V3561" s="18"/>
      <c r="W3561" s="18"/>
      <c r="X3561" s="18"/>
    </row>
    <row r="3562" spans="13:24">
      <c r="M3562" s="558">
        <f t="shared" si="170"/>
        <v>3560</v>
      </c>
      <c r="N3562" s="15">
        <f t="shared" si="168"/>
        <v>0.29227293353534484</v>
      </c>
      <c r="O3562" s="165">
        <f t="shared" si="169"/>
        <v>0.29227293353534484</v>
      </c>
      <c r="P3562" s="18"/>
      <c r="Q3562" s="18"/>
      <c r="R3562" s="18"/>
      <c r="S3562" s="18"/>
      <c r="T3562" s="18"/>
      <c r="U3562" s="18"/>
      <c r="V3562" s="18"/>
      <c r="W3562" s="18"/>
      <c r="X3562" s="18"/>
    </row>
    <row r="3563" spans="13:24">
      <c r="M3563" s="558">
        <f t="shared" si="170"/>
        <v>3561</v>
      </c>
      <c r="N3563" s="15">
        <f t="shared" si="168"/>
        <v>0.29221510128033223</v>
      </c>
      <c r="O3563" s="165">
        <f t="shared" si="169"/>
        <v>0.29221510128033223</v>
      </c>
      <c r="P3563" s="18"/>
      <c r="Q3563" s="18"/>
      <c r="R3563" s="18"/>
      <c r="S3563" s="18"/>
      <c r="T3563" s="18"/>
      <c r="U3563" s="18"/>
      <c r="V3563" s="18"/>
      <c r="W3563" s="18"/>
      <c r="X3563" s="18"/>
    </row>
    <row r="3564" spans="13:24">
      <c r="M3564" s="558">
        <f t="shared" si="170"/>
        <v>3562</v>
      </c>
      <c r="N3564" s="15">
        <f t="shared" si="168"/>
        <v>0.29215727713510259</v>
      </c>
      <c r="O3564" s="165">
        <f t="shared" si="169"/>
        <v>0.29215727713510259</v>
      </c>
      <c r="P3564" s="18"/>
      <c r="Q3564" s="18"/>
      <c r="R3564" s="18"/>
      <c r="S3564" s="18"/>
      <c r="T3564" s="18"/>
      <c r="U3564" s="18"/>
      <c r="V3564" s="18"/>
      <c r="W3564" s="18"/>
      <c r="X3564" s="18"/>
    </row>
    <row r="3565" spans="13:24">
      <c r="M3565" s="558">
        <f t="shared" si="170"/>
        <v>3563</v>
      </c>
      <c r="N3565" s="15">
        <f t="shared" si="168"/>
        <v>0.29209946108947876</v>
      </c>
      <c r="O3565" s="165">
        <f t="shared" si="169"/>
        <v>0.29209946108947876</v>
      </c>
      <c r="P3565" s="18"/>
      <c r="Q3565" s="18"/>
      <c r="R3565" s="18"/>
      <c r="S3565" s="18"/>
      <c r="T3565" s="18"/>
      <c r="U3565" s="18"/>
      <c r="V3565" s="18"/>
      <c r="W3565" s="18"/>
      <c r="X3565" s="18"/>
    </row>
    <row r="3566" spans="13:24">
      <c r="M3566" s="558">
        <f t="shared" si="170"/>
        <v>3564</v>
      </c>
      <c r="N3566" s="15">
        <f t="shared" si="168"/>
        <v>0.29204165313329644</v>
      </c>
      <c r="O3566" s="165">
        <f t="shared" si="169"/>
        <v>0.29204165313329644</v>
      </c>
      <c r="P3566" s="18"/>
      <c r="Q3566" s="18"/>
      <c r="R3566" s="18"/>
      <c r="S3566" s="18"/>
      <c r="T3566" s="18"/>
      <c r="U3566" s="18"/>
      <c r="V3566" s="18"/>
      <c r="W3566" s="18"/>
      <c r="X3566" s="18"/>
    </row>
    <row r="3567" spans="13:24">
      <c r="M3567" s="558">
        <f t="shared" si="170"/>
        <v>3565</v>
      </c>
      <c r="N3567" s="15">
        <f t="shared" si="168"/>
        <v>0.29198385325640408</v>
      </c>
      <c r="O3567" s="165">
        <f t="shared" si="169"/>
        <v>0.29198385325640408</v>
      </c>
      <c r="P3567" s="18"/>
      <c r="Q3567" s="18"/>
      <c r="R3567" s="18"/>
      <c r="S3567" s="18"/>
      <c r="T3567" s="18"/>
      <c r="U3567" s="18"/>
      <c r="V3567" s="18"/>
      <c r="W3567" s="18"/>
      <c r="X3567" s="18"/>
    </row>
    <row r="3568" spans="13:24">
      <c r="M3568" s="558">
        <f t="shared" si="170"/>
        <v>3566</v>
      </c>
      <c r="N3568" s="15">
        <f t="shared" si="168"/>
        <v>0.29192606144866262</v>
      </c>
      <c r="O3568" s="165">
        <f t="shared" si="169"/>
        <v>0.29192606144866262</v>
      </c>
      <c r="P3568" s="18"/>
      <c r="Q3568" s="18"/>
      <c r="R3568" s="18"/>
      <c r="S3568" s="18"/>
      <c r="T3568" s="18"/>
      <c r="U3568" s="18"/>
      <c r="V3568" s="18"/>
      <c r="W3568" s="18"/>
      <c r="X3568" s="18"/>
    </row>
    <row r="3569" spans="13:24">
      <c r="M3569" s="558">
        <f t="shared" si="170"/>
        <v>3567</v>
      </c>
      <c r="N3569" s="15">
        <f t="shared" si="168"/>
        <v>0.29186827769994617</v>
      </c>
      <c r="O3569" s="165">
        <f t="shared" si="169"/>
        <v>0.29186827769994617</v>
      </c>
      <c r="P3569" s="18"/>
      <c r="Q3569" s="18"/>
      <c r="R3569" s="18"/>
      <c r="S3569" s="18"/>
      <c r="T3569" s="18"/>
      <c r="U3569" s="18"/>
      <c r="V3569" s="18"/>
      <c r="W3569" s="18"/>
      <c r="X3569" s="18"/>
    </row>
    <row r="3570" spans="13:24">
      <c r="M3570" s="558">
        <f t="shared" si="170"/>
        <v>3568</v>
      </c>
      <c r="N3570" s="15">
        <f t="shared" si="168"/>
        <v>0.29181050200014114</v>
      </c>
      <c r="O3570" s="165">
        <f t="shared" si="169"/>
        <v>0.29181050200014114</v>
      </c>
      <c r="P3570" s="18"/>
      <c r="Q3570" s="18"/>
      <c r="R3570" s="18"/>
      <c r="S3570" s="18"/>
      <c r="T3570" s="18"/>
      <c r="U3570" s="18"/>
      <c r="V3570" s="18"/>
      <c r="W3570" s="18"/>
      <c r="X3570" s="18"/>
    </row>
    <row r="3571" spans="13:24">
      <c r="M3571" s="558">
        <f t="shared" si="170"/>
        <v>3569</v>
      </c>
      <c r="N3571" s="15">
        <f t="shared" si="168"/>
        <v>0.29175273433914689</v>
      </c>
      <c r="O3571" s="165">
        <f t="shared" si="169"/>
        <v>0.29175273433914689</v>
      </c>
      <c r="P3571" s="18"/>
      <c r="Q3571" s="18"/>
      <c r="R3571" s="18"/>
      <c r="S3571" s="18"/>
      <c r="T3571" s="18"/>
      <c r="U3571" s="18"/>
      <c r="V3571" s="18"/>
      <c r="W3571" s="18"/>
      <c r="X3571" s="18"/>
    </row>
    <row r="3572" spans="13:24">
      <c r="M3572" s="558">
        <f t="shared" si="170"/>
        <v>3570</v>
      </c>
      <c r="N3572" s="15">
        <f t="shared" si="168"/>
        <v>0.29169497470687522</v>
      </c>
      <c r="O3572" s="165">
        <f t="shared" si="169"/>
        <v>0.29169497470687522</v>
      </c>
      <c r="P3572" s="18"/>
      <c r="Q3572" s="18"/>
      <c r="R3572" s="18"/>
      <c r="S3572" s="18"/>
      <c r="T3572" s="18"/>
      <c r="U3572" s="18"/>
      <c r="V3572" s="18"/>
      <c r="W3572" s="18"/>
      <c r="X3572" s="18"/>
    </row>
    <row r="3573" spans="13:24">
      <c r="M3573" s="558">
        <f t="shared" si="170"/>
        <v>3571</v>
      </c>
      <c r="N3573" s="15">
        <f t="shared" si="168"/>
        <v>0.29163722309325085</v>
      </c>
      <c r="O3573" s="165">
        <f t="shared" si="169"/>
        <v>0.29163722309325085</v>
      </c>
      <c r="P3573" s="18"/>
      <c r="Q3573" s="18"/>
      <c r="R3573" s="18"/>
      <c r="S3573" s="18"/>
      <c r="T3573" s="18"/>
      <c r="U3573" s="18"/>
      <c r="V3573" s="18"/>
      <c r="W3573" s="18"/>
      <c r="X3573" s="18"/>
    </row>
    <row r="3574" spans="13:24">
      <c r="M3574" s="558">
        <f t="shared" si="170"/>
        <v>3572</v>
      </c>
      <c r="N3574" s="15">
        <f t="shared" si="168"/>
        <v>0.291579479488211</v>
      </c>
      <c r="O3574" s="165">
        <f t="shared" si="169"/>
        <v>0.291579479488211</v>
      </c>
      <c r="P3574" s="18"/>
      <c r="Q3574" s="18"/>
      <c r="R3574" s="18"/>
      <c r="S3574" s="18"/>
      <c r="T3574" s="18"/>
      <c r="U3574" s="18"/>
      <c r="V3574" s="18"/>
      <c r="W3574" s="18"/>
      <c r="X3574" s="18"/>
    </row>
    <row r="3575" spans="13:24">
      <c r="M3575" s="558">
        <f t="shared" si="170"/>
        <v>3573</v>
      </c>
      <c r="N3575" s="15">
        <f t="shared" si="168"/>
        <v>0.29152174388170554</v>
      </c>
      <c r="O3575" s="165">
        <f t="shared" si="169"/>
        <v>0.29152174388170554</v>
      </c>
      <c r="P3575" s="18"/>
      <c r="Q3575" s="18"/>
      <c r="R3575" s="18"/>
      <c r="S3575" s="18"/>
      <c r="T3575" s="18"/>
      <c r="U3575" s="18"/>
      <c r="V3575" s="18"/>
      <c r="W3575" s="18"/>
      <c r="X3575" s="18"/>
    </row>
    <row r="3576" spans="13:24">
      <c r="M3576" s="558">
        <f t="shared" si="170"/>
        <v>3574</v>
      </c>
      <c r="N3576" s="15">
        <f t="shared" si="168"/>
        <v>0.29146401626369689</v>
      </c>
      <c r="O3576" s="165">
        <f t="shared" si="169"/>
        <v>0.29146401626369689</v>
      </c>
      <c r="P3576" s="18"/>
      <c r="Q3576" s="18"/>
      <c r="R3576" s="18"/>
      <c r="S3576" s="18"/>
      <c r="T3576" s="18"/>
      <c r="U3576" s="18"/>
      <c r="V3576" s="18"/>
      <c r="W3576" s="18"/>
      <c r="X3576" s="18"/>
    </row>
    <row r="3577" spans="13:24">
      <c r="M3577" s="558">
        <f t="shared" si="170"/>
        <v>3575</v>
      </c>
      <c r="N3577" s="15">
        <f t="shared" si="168"/>
        <v>0.29140629662416023</v>
      </c>
      <c r="O3577" s="165">
        <f t="shared" si="169"/>
        <v>0.29140629662416023</v>
      </c>
      <c r="P3577" s="18"/>
      <c r="Q3577" s="18"/>
      <c r="R3577" s="18"/>
      <c r="S3577" s="18"/>
      <c r="T3577" s="18"/>
      <c r="U3577" s="18"/>
      <c r="V3577" s="18"/>
      <c r="W3577" s="18"/>
      <c r="X3577" s="18"/>
    </row>
    <row r="3578" spans="13:24">
      <c r="M3578" s="558">
        <f t="shared" si="170"/>
        <v>3576</v>
      </c>
      <c r="N3578" s="15">
        <f t="shared" si="168"/>
        <v>0.29134858495308313</v>
      </c>
      <c r="O3578" s="165">
        <f t="shared" si="169"/>
        <v>0.29134858495308313</v>
      </c>
      <c r="P3578" s="18"/>
      <c r="Q3578" s="18"/>
      <c r="R3578" s="18"/>
      <c r="S3578" s="18"/>
      <c r="T3578" s="18"/>
      <c r="U3578" s="18"/>
      <c r="V3578" s="18"/>
      <c r="W3578" s="18"/>
      <c r="X3578" s="18"/>
    </row>
    <row r="3579" spans="13:24">
      <c r="M3579" s="558">
        <f t="shared" si="170"/>
        <v>3577</v>
      </c>
      <c r="N3579" s="15">
        <f t="shared" si="168"/>
        <v>0.29129088124046593</v>
      </c>
      <c r="O3579" s="165">
        <f t="shared" si="169"/>
        <v>0.29129088124046593</v>
      </c>
      <c r="P3579" s="18"/>
      <c r="Q3579" s="18"/>
      <c r="R3579" s="18"/>
      <c r="S3579" s="18"/>
      <c r="T3579" s="18"/>
      <c r="U3579" s="18"/>
      <c r="V3579" s="18"/>
      <c r="W3579" s="18"/>
      <c r="X3579" s="18"/>
    </row>
    <row r="3580" spans="13:24">
      <c r="M3580" s="558">
        <f t="shared" si="170"/>
        <v>3578</v>
      </c>
      <c r="N3580" s="15">
        <f t="shared" si="168"/>
        <v>0.29123318547632121</v>
      </c>
      <c r="O3580" s="165">
        <f t="shared" si="169"/>
        <v>0.29123318547632121</v>
      </c>
      <c r="P3580" s="18"/>
      <c r="Q3580" s="18"/>
      <c r="R3580" s="18"/>
      <c r="S3580" s="18"/>
      <c r="T3580" s="18"/>
      <c r="U3580" s="18"/>
      <c r="V3580" s="18"/>
      <c r="W3580" s="18"/>
      <c r="X3580" s="18"/>
    </row>
    <row r="3581" spans="13:24">
      <c r="M3581" s="558">
        <f t="shared" si="170"/>
        <v>3579</v>
      </c>
      <c r="N3581" s="15">
        <f t="shared" si="168"/>
        <v>0.29117549765067441</v>
      </c>
      <c r="O3581" s="165">
        <f t="shared" si="169"/>
        <v>0.29117549765067441</v>
      </c>
      <c r="P3581" s="18"/>
      <c r="Q3581" s="18"/>
      <c r="R3581" s="18"/>
      <c r="S3581" s="18"/>
      <c r="T3581" s="18"/>
      <c r="U3581" s="18"/>
      <c r="V3581" s="18"/>
      <c r="W3581" s="18"/>
      <c r="X3581" s="18"/>
    </row>
    <row r="3582" spans="13:24">
      <c r="M3582" s="558">
        <f t="shared" si="170"/>
        <v>3580</v>
      </c>
      <c r="N3582" s="15">
        <f t="shared" si="168"/>
        <v>0.29111781775356338</v>
      </c>
      <c r="O3582" s="165">
        <f t="shared" si="169"/>
        <v>0.29111781775356338</v>
      </c>
      <c r="P3582" s="18"/>
      <c r="Q3582" s="18"/>
      <c r="R3582" s="18"/>
      <c r="S3582" s="18"/>
      <c r="T3582" s="18"/>
      <c r="U3582" s="18"/>
      <c r="V3582" s="18"/>
      <c r="W3582" s="18"/>
      <c r="X3582" s="18"/>
    </row>
    <row r="3583" spans="13:24">
      <c r="M3583" s="558">
        <f t="shared" si="170"/>
        <v>3581</v>
      </c>
      <c r="N3583" s="15">
        <f t="shared" si="168"/>
        <v>0.2910601457750383</v>
      </c>
      <c r="O3583" s="165">
        <f t="shared" si="169"/>
        <v>0.2910601457750383</v>
      </c>
      <c r="P3583" s="18"/>
      <c r="Q3583" s="18"/>
      <c r="R3583" s="18"/>
      <c r="S3583" s="18"/>
      <c r="T3583" s="18"/>
      <c r="U3583" s="18"/>
      <c r="V3583" s="18"/>
      <c r="W3583" s="18"/>
      <c r="X3583" s="18"/>
    </row>
    <row r="3584" spans="13:24">
      <c r="M3584" s="558">
        <f t="shared" si="170"/>
        <v>3582</v>
      </c>
      <c r="N3584" s="15">
        <f t="shared" si="168"/>
        <v>0.29100248170516213</v>
      </c>
      <c r="O3584" s="165">
        <f t="shared" si="169"/>
        <v>0.29100248170516213</v>
      </c>
      <c r="P3584" s="18"/>
      <c r="Q3584" s="18"/>
      <c r="R3584" s="18"/>
      <c r="S3584" s="18"/>
      <c r="T3584" s="18"/>
      <c r="U3584" s="18"/>
      <c r="V3584" s="18"/>
      <c r="W3584" s="18"/>
      <c r="X3584" s="18"/>
    </row>
    <row r="3585" spans="13:24">
      <c r="M3585" s="558">
        <f t="shared" si="170"/>
        <v>3583</v>
      </c>
      <c r="N3585" s="15">
        <f t="shared" si="168"/>
        <v>0.29094482553401013</v>
      </c>
      <c r="O3585" s="165">
        <f t="shared" si="169"/>
        <v>0.29094482553401013</v>
      </c>
      <c r="P3585" s="18"/>
      <c r="Q3585" s="18"/>
      <c r="R3585" s="18"/>
      <c r="S3585" s="18"/>
      <c r="T3585" s="18"/>
      <c r="U3585" s="18"/>
      <c r="V3585" s="18"/>
      <c r="W3585" s="18"/>
      <c r="X3585" s="18"/>
    </row>
    <row r="3586" spans="13:24">
      <c r="M3586" s="558">
        <f t="shared" si="170"/>
        <v>3584</v>
      </c>
      <c r="N3586" s="15">
        <f t="shared" si="168"/>
        <v>0.29088717725166996</v>
      </c>
      <c r="O3586" s="165">
        <f t="shared" si="169"/>
        <v>0.29088717725166996</v>
      </c>
      <c r="P3586" s="18"/>
      <c r="Q3586" s="18"/>
      <c r="R3586" s="18"/>
      <c r="S3586" s="18"/>
      <c r="T3586" s="18"/>
      <c r="U3586" s="18"/>
      <c r="V3586" s="18"/>
      <c r="W3586" s="18"/>
      <c r="X3586" s="18"/>
    </row>
    <row r="3587" spans="13:24">
      <c r="M3587" s="558">
        <f t="shared" si="170"/>
        <v>3585</v>
      </c>
      <c r="N3587" s="15">
        <f t="shared" si="168"/>
        <v>0.29082953684824181</v>
      </c>
      <c r="O3587" s="165">
        <f t="shared" si="169"/>
        <v>0.29082953684824181</v>
      </c>
      <c r="P3587" s="18"/>
      <c r="Q3587" s="18"/>
      <c r="R3587" s="18"/>
      <c r="S3587" s="18"/>
      <c r="T3587" s="18"/>
      <c r="U3587" s="18"/>
      <c r="V3587" s="18"/>
      <c r="W3587" s="18"/>
      <c r="X3587" s="18"/>
    </row>
    <row r="3588" spans="13:24">
      <c r="M3588" s="558">
        <f t="shared" si="170"/>
        <v>3586</v>
      </c>
      <c r="N3588" s="15">
        <f t="shared" ref="N3588:N3651" si="171">IF(M3588&lt;$B$31+1,$B$32+$B$33/$B$31*(8760-M3588)+$B$34*IF(M3588&lt;$B$36-$B$31/(2*$B$35),1,IF(M3588&lt;$B$36+$B$31/(2*$B$35),COS(PI()/2*(M3588-($B$36-$B$31/(2*$B$35)))*$B$35/$B$31)^2,0))+$B$37*EXP((8760-M3588)/8760*$B$38)/EXP($B$38)-(8760-$B$31)*$B$33/$B$31,0)</f>
        <v>0.29077190431383837</v>
      </c>
      <c r="O3588" s="165">
        <f t="shared" ref="O3588:O3651" si="172">MIN(N3588,C$24)</f>
        <v>0.29077190431383837</v>
      </c>
      <c r="P3588" s="18"/>
      <c r="Q3588" s="18"/>
      <c r="R3588" s="18"/>
      <c r="S3588" s="18"/>
      <c r="T3588" s="18"/>
      <c r="U3588" s="18"/>
      <c r="V3588" s="18"/>
      <c r="W3588" s="18"/>
      <c r="X3588" s="18"/>
    </row>
    <row r="3589" spans="13:24">
      <c r="M3589" s="558">
        <f t="shared" ref="M3589:M3652" si="173">M3588+1</f>
        <v>3587</v>
      </c>
      <c r="N3589" s="15">
        <f t="shared" si="171"/>
        <v>0.29071427963858454</v>
      </c>
      <c r="O3589" s="165">
        <f t="shared" si="172"/>
        <v>0.29071427963858454</v>
      </c>
      <c r="P3589" s="18"/>
      <c r="Q3589" s="18"/>
      <c r="R3589" s="18"/>
      <c r="S3589" s="18"/>
      <c r="T3589" s="18"/>
      <c r="U3589" s="18"/>
      <c r="V3589" s="18"/>
      <c r="W3589" s="18"/>
      <c r="X3589" s="18"/>
    </row>
    <row r="3590" spans="13:24">
      <c r="M3590" s="558">
        <f t="shared" si="173"/>
        <v>3588</v>
      </c>
      <c r="N3590" s="15">
        <f t="shared" si="171"/>
        <v>0.29065666281261776</v>
      </c>
      <c r="O3590" s="165">
        <f t="shared" si="172"/>
        <v>0.29065666281261776</v>
      </c>
      <c r="P3590" s="18"/>
      <c r="Q3590" s="18"/>
      <c r="R3590" s="18"/>
      <c r="S3590" s="18"/>
      <c r="T3590" s="18"/>
      <c r="U3590" s="18"/>
      <c r="V3590" s="18"/>
      <c r="W3590" s="18"/>
      <c r="X3590" s="18"/>
    </row>
    <row r="3591" spans="13:24">
      <c r="M3591" s="558">
        <f t="shared" si="173"/>
        <v>3589</v>
      </c>
      <c r="N3591" s="15">
        <f t="shared" si="171"/>
        <v>0.29059905382608775</v>
      </c>
      <c r="O3591" s="165">
        <f t="shared" si="172"/>
        <v>0.29059905382608775</v>
      </c>
      <c r="P3591" s="18"/>
      <c r="Q3591" s="18"/>
      <c r="R3591" s="18"/>
      <c r="S3591" s="18"/>
      <c r="T3591" s="18"/>
      <c r="U3591" s="18"/>
      <c r="V3591" s="18"/>
      <c r="W3591" s="18"/>
      <c r="X3591" s="18"/>
    </row>
    <row r="3592" spans="13:24">
      <c r="M3592" s="558">
        <f t="shared" si="173"/>
        <v>3590</v>
      </c>
      <c r="N3592" s="15">
        <f t="shared" si="171"/>
        <v>0.29054145266915676</v>
      </c>
      <c r="O3592" s="165">
        <f t="shared" si="172"/>
        <v>0.29054145266915676</v>
      </c>
      <c r="P3592" s="18"/>
      <c r="Q3592" s="18"/>
      <c r="R3592" s="18"/>
      <c r="S3592" s="18"/>
      <c r="T3592" s="18"/>
      <c r="U3592" s="18"/>
      <c r="V3592" s="18"/>
      <c r="W3592" s="18"/>
      <c r="X3592" s="18"/>
    </row>
    <row r="3593" spans="13:24">
      <c r="M3593" s="558">
        <f t="shared" si="173"/>
        <v>3591</v>
      </c>
      <c r="N3593" s="15">
        <f t="shared" si="171"/>
        <v>0.29048385933199922</v>
      </c>
      <c r="O3593" s="165">
        <f t="shared" si="172"/>
        <v>0.29048385933199922</v>
      </c>
      <c r="P3593" s="18"/>
      <c r="Q3593" s="18"/>
      <c r="R3593" s="18"/>
      <c r="S3593" s="18"/>
      <c r="T3593" s="18"/>
      <c r="U3593" s="18"/>
      <c r="V3593" s="18"/>
      <c r="W3593" s="18"/>
      <c r="X3593" s="18"/>
    </row>
    <row r="3594" spans="13:24">
      <c r="M3594" s="558">
        <f t="shared" si="173"/>
        <v>3592</v>
      </c>
      <c r="N3594" s="15">
        <f t="shared" si="171"/>
        <v>0.2904262738048019</v>
      </c>
      <c r="O3594" s="165">
        <f t="shared" si="172"/>
        <v>0.2904262738048019</v>
      </c>
      <c r="P3594" s="18"/>
      <c r="Q3594" s="18"/>
      <c r="R3594" s="18"/>
      <c r="S3594" s="18"/>
      <c r="T3594" s="18"/>
      <c r="U3594" s="18"/>
      <c r="V3594" s="18"/>
      <c r="W3594" s="18"/>
      <c r="X3594" s="18"/>
    </row>
    <row r="3595" spans="13:24">
      <c r="M3595" s="558">
        <f t="shared" si="173"/>
        <v>3593</v>
      </c>
      <c r="N3595" s="15">
        <f t="shared" si="171"/>
        <v>0.29036869607776394</v>
      </c>
      <c r="O3595" s="165">
        <f t="shared" si="172"/>
        <v>0.29036869607776394</v>
      </c>
      <c r="P3595" s="18"/>
      <c r="Q3595" s="18"/>
      <c r="R3595" s="18"/>
      <c r="S3595" s="18"/>
      <c r="T3595" s="18"/>
      <c r="U3595" s="18"/>
      <c r="V3595" s="18"/>
      <c r="W3595" s="18"/>
      <c r="X3595" s="18"/>
    </row>
    <row r="3596" spans="13:24">
      <c r="M3596" s="558">
        <f t="shared" si="173"/>
        <v>3594</v>
      </c>
      <c r="N3596" s="15">
        <f t="shared" si="171"/>
        <v>0.29031112614109683</v>
      </c>
      <c r="O3596" s="165">
        <f t="shared" si="172"/>
        <v>0.29031112614109683</v>
      </c>
      <c r="P3596" s="18"/>
      <c r="Q3596" s="18"/>
      <c r="R3596" s="18"/>
      <c r="S3596" s="18"/>
      <c r="T3596" s="18"/>
      <c r="U3596" s="18"/>
      <c r="V3596" s="18"/>
      <c r="W3596" s="18"/>
      <c r="X3596" s="18"/>
    </row>
    <row r="3597" spans="13:24">
      <c r="M3597" s="558">
        <f t="shared" si="173"/>
        <v>3595</v>
      </c>
      <c r="N3597" s="15">
        <f t="shared" si="171"/>
        <v>0.29025356398502428</v>
      </c>
      <c r="O3597" s="165">
        <f t="shared" si="172"/>
        <v>0.29025356398502428</v>
      </c>
      <c r="P3597" s="18"/>
      <c r="Q3597" s="18"/>
      <c r="R3597" s="18"/>
      <c r="S3597" s="18"/>
      <c r="T3597" s="18"/>
      <c r="U3597" s="18"/>
      <c r="V3597" s="18"/>
      <c r="W3597" s="18"/>
      <c r="X3597" s="18"/>
    </row>
    <row r="3598" spans="13:24">
      <c r="M3598" s="558">
        <f t="shared" si="173"/>
        <v>3596</v>
      </c>
      <c r="N3598" s="15">
        <f t="shared" si="171"/>
        <v>0.29019600959978209</v>
      </c>
      <c r="O3598" s="165">
        <f t="shared" si="172"/>
        <v>0.29019600959978209</v>
      </c>
      <c r="P3598" s="18"/>
      <c r="Q3598" s="18"/>
      <c r="R3598" s="18"/>
      <c r="S3598" s="18"/>
      <c r="T3598" s="18"/>
      <c r="U3598" s="18"/>
      <c r="V3598" s="18"/>
      <c r="W3598" s="18"/>
      <c r="X3598" s="18"/>
    </row>
    <row r="3599" spans="13:24">
      <c r="M3599" s="558">
        <f t="shared" si="173"/>
        <v>3597</v>
      </c>
      <c r="N3599" s="15">
        <f t="shared" si="171"/>
        <v>0.29013846297561874</v>
      </c>
      <c r="O3599" s="165">
        <f t="shared" si="172"/>
        <v>0.29013846297561874</v>
      </c>
      <c r="P3599" s="18"/>
      <c r="Q3599" s="18"/>
      <c r="R3599" s="18"/>
      <c r="S3599" s="18"/>
      <c r="T3599" s="18"/>
      <c r="U3599" s="18"/>
      <c r="V3599" s="18"/>
      <c r="W3599" s="18"/>
      <c r="X3599" s="18"/>
    </row>
    <row r="3600" spans="13:24">
      <c r="M3600" s="558">
        <f t="shared" si="173"/>
        <v>3598</v>
      </c>
      <c r="N3600" s="15">
        <f t="shared" si="171"/>
        <v>0.29008092410279457</v>
      </c>
      <c r="O3600" s="165">
        <f t="shared" si="172"/>
        <v>0.29008092410279457</v>
      </c>
      <c r="P3600" s="18"/>
      <c r="Q3600" s="18"/>
      <c r="R3600" s="18"/>
      <c r="S3600" s="18"/>
      <c r="T3600" s="18"/>
      <c r="U3600" s="18"/>
      <c r="V3600" s="18"/>
      <c r="W3600" s="18"/>
      <c r="X3600" s="18"/>
    </row>
    <row r="3601" spans="13:24">
      <c r="M3601" s="558">
        <f t="shared" si="173"/>
        <v>3599</v>
      </c>
      <c r="N3601" s="15">
        <f t="shared" si="171"/>
        <v>0.29002339297158225</v>
      </c>
      <c r="O3601" s="165">
        <f t="shared" si="172"/>
        <v>0.29002339297158225</v>
      </c>
      <c r="P3601" s="18"/>
      <c r="Q3601" s="18"/>
      <c r="R3601" s="18"/>
      <c r="S3601" s="18"/>
      <c r="T3601" s="18"/>
      <c r="U3601" s="18"/>
      <c r="V3601" s="18"/>
      <c r="W3601" s="18"/>
      <c r="X3601" s="18"/>
    </row>
    <row r="3602" spans="13:24">
      <c r="M3602" s="558">
        <f t="shared" si="173"/>
        <v>3600</v>
      </c>
      <c r="N3602" s="15">
        <f t="shared" si="171"/>
        <v>0.28996586957226672</v>
      </c>
      <c r="O3602" s="165">
        <f t="shared" si="172"/>
        <v>0.28996586957226672</v>
      </c>
      <c r="P3602" s="18"/>
      <c r="Q3602" s="18"/>
      <c r="R3602" s="18"/>
      <c r="S3602" s="18"/>
      <c r="T3602" s="18"/>
      <c r="U3602" s="18"/>
      <c r="V3602" s="18"/>
      <c r="W3602" s="18"/>
      <c r="X3602" s="18"/>
    </row>
    <row r="3603" spans="13:24">
      <c r="M3603" s="558">
        <f t="shared" si="173"/>
        <v>3601</v>
      </c>
      <c r="N3603" s="15">
        <f t="shared" si="171"/>
        <v>0.28990835389514508</v>
      </c>
      <c r="O3603" s="165">
        <f t="shared" si="172"/>
        <v>0.28990835389514508</v>
      </c>
      <c r="P3603" s="18"/>
      <c r="Q3603" s="18"/>
      <c r="R3603" s="18"/>
      <c r="S3603" s="18"/>
      <c r="T3603" s="18"/>
      <c r="U3603" s="18"/>
      <c r="V3603" s="18"/>
      <c r="W3603" s="18"/>
      <c r="X3603" s="18"/>
    </row>
    <row r="3604" spans="13:24">
      <c r="M3604" s="558">
        <f t="shared" si="173"/>
        <v>3602</v>
      </c>
      <c r="N3604" s="15">
        <f t="shared" si="171"/>
        <v>0.28985084593052657</v>
      </c>
      <c r="O3604" s="165">
        <f t="shared" si="172"/>
        <v>0.28985084593052657</v>
      </c>
      <c r="P3604" s="18"/>
      <c r="Q3604" s="18"/>
      <c r="R3604" s="18"/>
      <c r="S3604" s="18"/>
      <c r="T3604" s="18"/>
      <c r="U3604" s="18"/>
      <c r="V3604" s="18"/>
      <c r="W3604" s="18"/>
      <c r="X3604" s="18"/>
    </row>
    <row r="3605" spans="13:24">
      <c r="M3605" s="558">
        <f t="shared" si="173"/>
        <v>3603</v>
      </c>
      <c r="N3605" s="15">
        <f t="shared" si="171"/>
        <v>0.28979334566873266</v>
      </c>
      <c r="O3605" s="165">
        <f t="shared" si="172"/>
        <v>0.28979334566873266</v>
      </c>
      <c r="P3605" s="18"/>
      <c r="Q3605" s="18"/>
      <c r="R3605" s="18"/>
      <c r="S3605" s="18"/>
      <c r="T3605" s="18"/>
      <c r="U3605" s="18"/>
      <c r="V3605" s="18"/>
      <c r="W3605" s="18"/>
      <c r="X3605" s="18"/>
    </row>
    <row r="3606" spans="13:24">
      <c r="M3606" s="558">
        <f t="shared" si="173"/>
        <v>3604</v>
      </c>
      <c r="N3606" s="15">
        <f t="shared" si="171"/>
        <v>0.28973585310009686</v>
      </c>
      <c r="O3606" s="165">
        <f t="shared" si="172"/>
        <v>0.28973585310009686</v>
      </c>
      <c r="P3606" s="18"/>
      <c r="Q3606" s="18"/>
      <c r="R3606" s="18"/>
      <c r="S3606" s="18"/>
      <c r="T3606" s="18"/>
      <c r="U3606" s="18"/>
      <c r="V3606" s="18"/>
      <c r="W3606" s="18"/>
      <c r="X3606" s="18"/>
    </row>
    <row r="3607" spans="13:24">
      <c r="M3607" s="558">
        <f t="shared" si="173"/>
        <v>3605</v>
      </c>
      <c r="N3607" s="15">
        <f t="shared" si="171"/>
        <v>0.28967836821496495</v>
      </c>
      <c r="O3607" s="165">
        <f t="shared" si="172"/>
        <v>0.28967836821496495</v>
      </c>
      <c r="P3607" s="18"/>
      <c r="Q3607" s="18"/>
      <c r="R3607" s="18"/>
      <c r="S3607" s="18"/>
      <c r="T3607" s="18"/>
      <c r="U3607" s="18"/>
      <c r="V3607" s="18"/>
      <c r="W3607" s="18"/>
      <c r="X3607" s="18"/>
    </row>
    <row r="3608" spans="13:24">
      <c r="M3608" s="558">
        <f t="shared" si="173"/>
        <v>3606</v>
      </c>
      <c r="N3608" s="15">
        <f t="shared" si="171"/>
        <v>0.2896208910036947</v>
      </c>
      <c r="O3608" s="165">
        <f t="shared" si="172"/>
        <v>0.2896208910036947</v>
      </c>
      <c r="P3608" s="18"/>
      <c r="Q3608" s="18"/>
      <c r="R3608" s="18"/>
      <c r="S3608" s="18"/>
      <c r="T3608" s="18"/>
      <c r="U3608" s="18"/>
      <c r="V3608" s="18"/>
      <c r="W3608" s="18"/>
      <c r="X3608" s="18"/>
    </row>
    <row r="3609" spans="13:24">
      <c r="M3609" s="558">
        <f t="shared" si="173"/>
        <v>3607</v>
      </c>
      <c r="N3609" s="15">
        <f t="shared" si="171"/>
        <v>0.28956342145665603</v>
      </c>
      <c r="O3609" s="165">
        <f t="shared" si="172"/>
        <v>0.28956342145665603</v>
      </c>
      <c r="P3609" s="18"/>
      <c r="Q3609" s="18"/>
      <c r="R3609" s="18"/>
      <c r="S3609" s="18"/>
      <c r="T3609" s="18"/>
      <c r="U3609" s="18"/>
      <c r="V3609" s="18"/>
      <c r="W3609" s="18"/>
      <c r="X3609" s="18"/>
    </row>
    <row r="3610" spans="13:24">
      <c r="M3610" s="558">
        <f t="shared" si="173"/>
        <v>3608</v>
      </c>
      <c r="N3610" s="15">
        <f t="shared" si="171"/>
        <v>0.28950595956423092</v>
      </c>
      <c r="O3610" s="165">
        <f t="shared" si="172"/>
        <v>0.28950595956423092</v>
      </c>
      <c r="P3610" s="18"/>
      <c r="Q3610" s="18"/>
      <c r="R3610" s="18"/>
      <c r="S3610" s="18"/>
      <c r="T3610" s="18"/>
      <c r="U3610" s="18"/>
      <c r="V3610" s="18"/>
      <c r="W3610" s="18"/>
      <c r="X3610" s="18"/>
    </row>
    <row r="3611" spans="13:24">
      <c r="M3611" s="558">
        <f t="shared" si="173"/>
        <v>3609</v>
      </c>
      <c r="N3611" s="15">
        <f t="shared" si="171"/>
        <v>0.28944850531681354</v>
      </c>
      <c r="O3611" s="165">
        <f t="shared" si="172"/>
        <v>0.28944850531681354</v>
      </c>
      <c r="P3611" s="18"/>
      <c r="Q3611" s="18"/>
      <c r="R3611" s="18"/>
      <c r="S3611" s="18"/>
      <c r="T3611" s="18"/>
      <c r="U3611" s="18"/>
      <c r="V3611" s="18"/>
      <c r="W3611" s="18"/>
      <c r="X3611" s="18"/>
    </row>
    <row r="3612" spans="13:24">
      <c r="M3612" s="558">
        <f t="shared" si="173"/>
        <v>3610</v>
      </c>
      <c r="N3612" s="15">
        <f t="shared" si="171"/>
        <v>0.28939105870480997</v>
      </c>
      <c r="O3612" s="165">
        <f t="shared" si="172"/>
        <v>0.28939105870480997</v>
      </c>
      <c r="P3612" s="18"/>
      <c r="Q3612" s="18"/>
      <c r="R3612" s="18"/>
      <c r="S3612" s="18"/>
      <c r="T3612" s="18"/>
      <c r="U3612" s="18"/>
      <c r="V3612" s="18"/>
      <c r="W3612" s="18"/>
      <c r="X3612" s="18"/>
    </row>
    <row r="3613" spans="13:24">
      <c r="M3613" s="558">
        <f t="shared" si="173"/>
        <v>3611</v>
      </c>
      <c r="N3613" s="15">
        <f t="shared" si="171"/>
        <v>0.28933361971863825</v>
      </c>
      <c r="O3613" s="165">
        <f t="shared" si="172"/>
        <v>0.28933361971863825</v>
      </c>
      <c r="P3613" s="18"/>
      <c r="Q3613" s="18"/>
      <c r="R3613" s="18"/>
      <c r="S3613" s="18"/>
      <c r="T3613" s="18"/>
      <c r="U3613" s="18"/>
      <c r="V3613" s="18"/>
      <c r="W3613" s="18"/>
      <c r="X3613" s="18"/>
    </row>
    <row r="3614" spans="13:24">
      <c r="M3614" s="558">
        <f t="shared" si="173"/>
        <v>3612</v>
      </c>
      <c r="N3614" s="15">
        <f t="shared" si="171"/>
        <v>0.28927618834872881</v>
      </c>
      <c r="O3614" s="165">
        <f t="shared" si="172"/>
        <v>0.28927618834872881</v>
      </c>
      <c r="P3614" s="18"/>
      <c r="Q3614" s="18"/>
      <c r="R3614" s="18"/>
      <c r="S3614" s="18"/>
      <c r="T3614" s="18"/>
      <c r="U3614" s="18"/>
      <c r="V3614" s="18"/>
      <c r="W3614" s="18"/>
      <c r="X3614" s="18"/>
    </row>
    <row r="3615" spans="13:24">
      <c r="M3615" s="558">
        <f t="shared" si="173"/>
        <v>3613</v>
      </c>
      <c r="N3615" s="15">
        <f t="shared" si="171"/>
        <v>0.2892187645855237</v>
      </c>
      <c r="O3615" s="165">
        <f t="shared" si="172"/>
        <v>0.2892187645855237</v>
      </c>
      <c r="P3615" s="18"/>
      <c r="Q3615" s="18"/>
      <c r="R3615" s="18"/>
      <c r="S3615" s="18"/>
      <c r="T3615" s="18"/>
      <c r="U3615" s="18"/>
      <c r="V3615" s="18"/>
      <c r="W3615" s="18"/>
      <c r="X3615" s="18"/>
    </row>
    <row r="3616" spans="13:24">
      <c r="M3616" s="558">
        <f t="shared" si="173"/>
        <v>3614</v>
      </c>
      <c r="N3616" s="15">
        <f t="shared" si="171"/>
        <v>0.28916134841947716</v>
      </c>
      <c r="O3616" s="165">
        <f t="shared" si="172"/>
        <v>0.28916134841947716</v>
      </c>
      <c r="P3616" s="18"/>
      <c r="Q3616" s="18"/>
      <c r="R3616" s="18"/>
      <c r="S3616" s="18"/>
      <c r="T3616" s="18"/>
      <c r="U3616" s="18"/>
      <c r="V3616" s="18"/>
      <c r="W3616" s="18"/>
      <c r="X3616" s="18"/>
    </row>
    <row r="3617" spans="13:24">
      <c r="M3617" s="558">
        <f t="shared" si="173"/>
        <v>3615</v>
      </c>
      <c r="N3617" s="15">
        <f t="shared" si="171"/>
        <v>0.28910393984105531</v>
      </c>
      <c r="O3617" s="165">
        <f t="shared" si="172"/>
        <v>0.28910393984105531</v>
      </c>
      <c r="P3617" s="18"/>
      <c r="Q3617" s="18"/>
      <c r="R3617" s="18"/>
      <c r="S3617" s="18"/>
      <c r="T3617" s="18"/>
      <c r="U3617" s="18"/>
      <c r="V3617" s="18"/>
      <c r="W3617" s="18"/>
      <c r="X3617" s="18"/>
    </row>
    <row r="3618" spans="13:24">
      <c r="M3618" s="558">
        <f t="shared" si="173"/>
        <v>3616</v>
      </c>
      <c r="N3618" s="15">
        <f t="shared" si="171"/>
        <v>0.28904653884073639</v>
      </c>
      <c r="O3618" s="165">
        <f t="shared" si="172"/>
        <v>0.28904653884073639</v>
      </c>
      <c r="P3618" s="18"/>
      <c r="Q3618" s="18"/>
      <c r="R3618" s="18"/>
      <c r="S3618" s="18"/>
      <c r="T3618" s="18"/>
      <c r="U3618" s="18"/>
      <c r="V3618" s="18"/>
      <c r="W3618" s="18"/>
      <c r="X3618" s="18"/>
    </row>
    <row r="3619" spans="13:24">
      <c r="M3619" s="558">
        <f t="shared" si="173"/>
        <v>3617</v>
      </c>
      <c r="N3619" s="15">
        <f t="shared" si="171"/>
        <v>0.28898914540901044</v>
      </c>
      <c r="O3619" s="165">
        <f t="shared" si="172"/>
        <v>0.28898914540901044</v>
      </c>
      <c r="P3619" s="18"/>
      <c r="Q3619" s="18"/>
      <c r="R3619" s="18"/>
      <c r="S3619" s="18"/>
      <c r="T3619" s="18"/>
      <c r="U3619" s="18"/>
      <c r="V3619" s="18"/>
      <c r="W3619" s="18"/>
      <c r="X3619" s="18"/>
    </row>
    <row r="3620" spans="13:24">
      <c r="M3620" s="558">
        <f t="shared" si="173"/>
        <v>3618</v>
      </c>
      <c r="N3620" s="15">
        <f t="shared" si="171"/>
        <v>0.28893175953637945</v>
      </c>
      <c r="O3620" s="165">
        <f t="shared" si="172"/>
        <v>0.28893175953637945</v>
      </c>
      <c r="P3620" s="18"/>
      <c r="Q3620" s="18"/>
      <c r="R3620" s="18"/>
      <c r="S3620" s="18"/>
      <c r="T3620" s="18"/>
      <c r="U3620" s="18"/>
      <c r="V3620" s="18"/>
      <c r="W3620" s="18"/>
      <c r="X3620" s="18"/>
    </row>
    <row r="3621" spans="13:24">
      <c r="M3621" s="558">
        <f t="shared" si="173"/>
        <v>3619</v>
      </c>
      <c r="N3621" s="15">
        <f t="shared" si="171"/>
        <v>0.28887438121335735</v>
      </c>
      <c r="O3621" s="165">
        <f t="shared" si="172"/>
        <v>0.28887438121335735</v>
      </c>
      <c r="P3621" s="18"/>
      <c r="Q3621" s="18"/>
      <c r="R3621" s="18"/>
      <c r="S3621" s="18"/>
      <c r="T3621" s="18"/>
      <c r="U3621" s="18"/>
      <c r="V3621" s="18"/>
      <c r="W3621" s="18"/>
      <c r="X3621" s="18"/>
    </row>
    <row r="3622" spans="13:24">
      <c r="M3622" s="558">
        <f t="shared" si="173"/>
        <v>3620</v>
      </c>
      <c r="N3622" s="15">
        <f t="shared" si="171"/>
        <v>0.28881701043047009</v>
      </c>
      <c r="O3622" s="165">
        <f t="shared" si="172"/>
        <v>0.28881701043047009</v>
      </c>
      <c r="P3622" s="18"/>
      <c r="Q3622" s="18"/>
      <c r="R3622" s="18"/>
      <c r="S3622" s="18"/>
      <c r="T3622" s="18"/>
      <c r="U3622" s="18"/>
      <c r="V3622" s="18"/>
      <c r="W3622" s="18"/>
      <c r="X3622" s="18"/>
    </row>
    <row r="3623" spans="13:24">
      <c r="M3623" s="558">
        <f t="shared" si="173"/>
        <v>3621</v>
      </c>
      <c r="N3623" s="15">
        <f t="shared" si="171"/>
        <v>0.28875964717825536</v>
      </c>
      <c r="O3623" s="165">
        <f t="shared" si="172"/>
        <v>0.28875964717825536</v>
      </c>
      <c r="P3623" s="18"/>
      <c r="Q3623" s="18"/>
      <c r="R3623" s="18"/>
      <c r="S3623" s="18"/>
      <c r="T3623" s="18"/>
      <c r="U3623" s="18"/>
      <c r="V3623" s="18"/>
      <c r="W3623" s="18"/>
      <c r="X3623" s="18"/>
    </row>
    <row r="3624" spans="13:24">
      <c r="M3624" s="558">
        <f t="shared" si="173"/>
        <v>3622</v>
      </c>
      <c r="N3624" s="15">
        <f t="shared" si="171"/>
        <v>0.28870229144726273</v>
      </c>
      <c r="O3624" s="165">
        <f t="shared" si="172"/>
        <v>0.28870229144726273</v>
      </c>
      <c r="P3624" s="18"/>
      <c r="Q3624" s="18"/>
      <c r="R3624" s="18"/>
      <c r="S3624" s="18"/>
      <c r="T3624" s="18"/>
      <c r="U3624" s="18"/>
      <c r="V3624" s="18"/>
      <c r="W3624" s="18"/>
      <c r="X3624" s="18"/>
    </row>
    <row r="3625" spans="13:24">
      <c r="M3625" s="558">
        <f t="shared" si="173"/>
        <v>3623</v>
      </c>
      <c r="N3625" s="15">
        <f t="shared" si="171"/>
        <v>0.28864494322805367</v>
      </c>
      <c r="O3625" s="165">
        <f t="shared" si="172"/>
        <v>0.28864494322805367</v>
      </c>
      <c r="P3625" s="18"/>
      <c r="Q3625" s="18"/>
      <c r="R3625" s="18"/>
      <c r="S3625" s="18"/>
      <c r="T3625" s="18"/>
      <c r="U3625" s="18"/>
      <c r="V3625" s="18"/>
      <c r="W3625" s="18"/>
      <c r="X3625" s="18"/>
    </row>
    <row r="3626" spans="13:24">
      <c r="M3626" s="558">
        <f t="shared" si="173"/>
        <v>3624</v>
      </c>
      <c r="N3626" s="15">
        <f t="shared" si="171"/>
        <v>0.28858760251120158</v>
      </c>
      <c r="O3626" s="165">
        <f t="shared" si="172"/>
        <v>0.28858760251120158</v>
      </c>
      <c r="P3626" s="18"/>
      <c r="Q3626" s="18"/>
      <c r="R3626" s="18"/>
      <c r="S3626" s="18"/>
      <c r="T3626" s="18"/>
      <c r="U3626" s="18"/>
      <c r="V3626" s="18"/>
      <c r="W3626" s="18"/>
      <c r="X3626" s="18"/>
    </row>
    <row r="3627" spans="13:24">
      <c r="M3627" s="558">
        <f t="shared" si="173"/>
        <v>3625</v>
      </c>
      <c r="N3627" s="15">
        <f t="shared" si="171"/>
        <v>0.28853026928729153</v>
      </c>
      <c r="O3627" s="165">
        <f t="shared" si="172"/>
        <v>0.28853026928729153</v>
      </c>
      <c r="P3627" s="18"/>
      <c r="Q3627" s="18"/>
      <c r="R3627" s="18"/>
      <c r="S3627" s="18"/>
      <c r="T3627" s="18"/>
      <c r="U3627" s="18"/>
      <c r="V3627" s="18"/>
      <c r="W3627" s="18"/>
      <c r="X3627" s="18"/>
    </row>
    <row r="3628" spans="13:24">
      <c r="M3628" s="558">
        <f t="shared" si="173"/>
        <v>3626</v>
      </c>
      <c r="N3628" s="15">
        <f t="shared" si="171"/>
        <v>0.28847294354692044</v>
      </c>
      <c r="O3628" s="165">
        <f t="shared" si="172"/>
        <v>0.28847294354692044</v>
      </c>
      <c r="P3628" s="18"/>
      <c r="Q3628" s="18"/>
      <c r="R3628" s="18"/>
      <c r="S3628" s="18"/>
      <c r="T3628" s="18"/>
      <c r="U3628" s="18"/>
      <c r="V3628" s="18"/>
      <c r="W3628" s="18"/>
      <c r="X3628" s="18"/>
    </row>
    <row r="3629" spans="13:24">
      <c r="M3629" s="558">
        <f t="shared" si="173"/>
        <v>3627</v>
      </c>
      <c r="N3629" s="15">
        <f t="shared" si="171"/>
        <v>0.2884156252806972</v>
      </c>
      <c r="O3629" s="165">
        <f t="shared" si="172"/>
        <v>0.2884156252806972</v>
      </c>
      <c r="P3629" s="18"/>
      <c r="Q3629" s="18"/>
      <c r="R3629" s="18"/>
      <c r="S3629" s="18"/>
      <c r="T3629" s="18"/>
      <c r="U3629" s="18"/>
      <c r="V3629" s="18"/>
      <c r="W3629" s="18"/>
      <c r="X3629" s="18"/>
    </row>
    <row r="3630" spans="13:24">
      <c r="M3630" s="558">
        <f t="shared" si="173"/>
        <v>3628</v>
      </c>
      <c r="N3630" s="15">
        <f t="shared" si="171"/>
        <v>0.28835831447924226</v>
      </c>
      <c r="O3630" s="165">
        <f t="shared" si="172"/>
        <v>0.28835831447924226</v>
      </c>
      <c r="P3630" s="18"/>
      <c r="Q3630" s="18"/>
      <c r="R3630" s="18"/>
      <c r="S3630" s="18"/>
      <c r="T3630" s="18"/>
      <c r="U3630" s="18"/>
      <c r="V3630" s="18"/>
      <c r="W3630" s="18"/>
      <c r="X3630" s="18"/>
    </row>
    <row r="3631" spans="13:24">
      <c r="M3631" s="558">
        <f t="shared" si="173"/>
        <v>3629</v>
      </c>
      <c r="N3631" s="15">
        <f t="shared" si="171"/>
        <v>0.28830101113318796</v>
      </c>
      <c r="O3631" s="165">
        <f t="shared" si="172"/>
        <v>0.28830101113318796</v>
      </c>
      <c r="P3631" s="18"/>
      <c r="Q3631" s="18"/>
      <c r="R3631" s="18"/>
      <c r="S3631" s="18"/>
      <c r="T3631" s="18"/>
      <c r="U3631" s="18"/>
      <c r="V3631" s="18"/>
      <c r="W3631" s="18"/>
      <c r="X3631" s="18"/>
    </row>
    <row r="3632" spans="13:24">
      <c r="M3632" s="558">
        <f t="shared" si="173"/>
        <v>3630</v>
      </c>
      <c r="N3632" s="15">
        <f t="shared" si="171"/>
        <v>0.28824371523317827</v>
      </c>
      <c r="O3632" s="165">
        <f t="shared" si="172"/>
        <v>0.28824371523317827</v>
      </c>
      <c r="P3632" s="18"/>
      <c r="Q3632" s="18"/>
      <c r="R3632" s="18"/>
      <c r="S3632" s="18"/>
      <c r="T3632" s="18"/>
      <c r="U3632" s="18"/>
      <c r="V3632" s="18"/>
      <c r="W3632" s="18"/>
      <c r="X3632" s="18"/>
    </row>
    <row r="3633" spans="13:24">
      <c r="M3633" s="558">
        <f t="shared" si="173"/>
        <v>3631</v>
      </c>
      <c r="N3633" s="15">
        <f t="shared" si="171"/>
        <v>0.28818642676986922</v>
      </c>
      <c r="O3633" s="165">
        <f t="shared" si="172"/>
        <v>0.28818642676986922</v>
      </c>
      <c r="P3633" s="18"/>
      <c r="Q3633" s="18"/>
      <c r="R3633" s="18"/>
      <c r="S3633" s="18"/>
      <c r="T3633" s="18"/>
      <c r="U3633" s="18"/>
      <c r="V3633" s="18"/>
      <c r="W3633" s="18"/>
      <c r="X3633" s="18"/>
    </row>
    <row r="3634" spans="13:24">
      <c r="M3634" s="558">
        <f t="shared" si="173"/>
        <v>3632</v>
      </c>
      <c r="N3634" s="15">
        <f t="shared" si="171"/>
        <v>0.28812914573392823</v>
      </c>
      <c r="O3634" s="165">
        <f t="shared" si="172"/>
        <v>0.28812914573392823</v>
      </c>
      <c r="P3634" s="18"/>
      <c r="Q3634" s="18"/>
      <c r="R3634" s="18"/>
      <c r="S3634" s="18"/>
      <c r="T3634" s="18"/>
      <c r="U3634" s="18"/>
      <c r="V3634" s="18"/>
      <c r="W3634" s="18"/>
      <c r="X3634" s="18"/>
    </row>
    <row r="3635" spans="13:24">
      <c r="M3635" s="558">
        <f t="shared" si="173"/>
        <v>3633</v>
      </c>
      <c r="N3635" s="15">
        <f t="shared" si="171"/>
        <v>0.28807187211603447</v>
      </c>
      <c r="O3635" s="165">
        <f t="shared" si="172"/>
        <v>0.28807187211603447</v>
      </c>
      <c r="P3635" s="18"/>
      <c r="Q3635" s="18"/>
      <c r="R3635" s="18"/>
      <c r="S3635" s="18"/>
      <c r="T3635" s="18"/>
      <c r="U3635" s="18"/>
      <c r="V3635" s="18"/>
      <c r="W3635" s="18"/>
      <c r="X3635" s="18"/>
    </row>
    <row r="3636" spans="13:24">
      <c r="M3636" s="558">
        <f t="shared" si="173"/>
        <v>3634</v>
      </c>
      <c r="N3636" s="15">
        <f t="shared" si="171"/>
        <v>0.288014605906879</v>
      </c>
      <c r="O3636" s="165">
        <f t="shared" si="172"/>
        <v>0.288014605906879</v>
      </c>
      <c r="P3636" s="18"/>
      <c r="Q3636" s="18"/>
      <c r="R3636" s="18"/>
      <c r="S3636" s="18"/>
      <c r="T3636" s="18"/>
      <c r="U3636" s="18"/>
      <c r="V3636" s="18"/>
      <c r="W3636" s="18"/>
      <c r="X3636" s="18"/>
    </row>
    <row r="3637" spans="13:24">
      <c r="M3637" s="558">
        <f t="shared" si="173"/>
        <v>3635</v>
      </c>
      <c r="N3637" s="15">
        <f t="shared" si="171"/>
        <v>0.28795734709716442</v>
      </c>
      <c r="O3637" s="165">
        <f t="shared" si="172"/>
        <v>0.28795734709716442</v>
      </c>
      <c r="P3637" s="18"/>
      <c r="Q3637" s="18"/>
      <c r="R3637" s="18"/>
      <c r="S3637" s="18"/>
      <c r="T3637" s="18"/>
      <c r="U3637" s="18"/>
      <c r="V3637" s="18"/>
      <c r="W3637" s="18"/>
      <c r="X3637" s="18"/>
    </row>
    <row r="3638" spans="13:24">
      <c r="M3638" s="558">
        <f t="shared" si="173"/>
        <v>3636</v>
      </c>
      <c r="N3638" s="15">
        <f t="shared" si="171"/>
        <v>0.28790009567760499</v>
      </c>
      <c r="O3638" s="165">
        <f t="shared" si="172"/>
        <v>0.28790009567760499</v>
      </c>
      <c r="P3638" s="18"/>
      <c r="Q3638" s="18"/>
      <c r="R3638" s="18"/>
      <c r="S3638" s="18"/>
      <c r="T3638" s="18"/>
      <c r="U3638" s="18"/>
      <c r="V3638" s="18"/>
      <c r="W3638" s="18"/>
      <c r="X3638" s="18"/>
    </row>
    <row r="3639" spans="13:24">
      <c r="M3639" s="558">
        <f t="shared" si="173"/>
        <v>3637</v>
      </c>
      <c r="N3639" s="15">
        <f t="shared" si="171"/>
        <v>0.2878428516389267</v>
      </c>
      <c r="O3639" s="165">
        <f t="shared" si="172"/>
        <v>0.2878428516389267</v>
      </c>
      <c r="P3639" s="18"/>
      <c r="Q3639" s="18"/>
      <c r="R3639" s="18"/>
      <c r="S3639" s="18"/>
      <c r="T3639" s="18"/>
      <c r="U3639" s="18"/>
      <c r="V3639" s="18"/>
      <c r="W3639" s="18"/>
      <c r="X3639" s="18"/>
    </row>
    <row r="3640" spans="13:24">
      <c r="M3640" s="558">
        <f t="shared" si="173"/>
        <v>3638</v>
      </c>
      <c r="N3640" s="15">
        <f t="shared" si="171"/>
        <v>0.28778561497186711</v>
      </c>
      <c r="O3640" s="165">
        <f t="shared" si="172"/>
        <v>0.28778561497186711</v>
      </c>
      <c r="P3640" s="18"/>
      <c r="Q3640" s="18"/>
      <c r="R3640" s="18"/>
      <c r="S3640" s="18"/>
      <c r="T3640" s="18"/>
      <c r="U3640" s="18"/>
      <c r="V3640" s="18"/>
      <c r="W3640" s="18"/>
      <c r="X3640" s="18"/>
    </row>
    <row r="3641" spans="13:24">
      <c r="M3641" s="558">
        <f t="shared" si="173"/>
        <v>3639</v>
      </c>
      <c r="N3641" s="15">
        <f t="shared" si="171"/>
        <v>0.28772838566717546</v>
      </c>
      <c r="O3641" s="165">
        <f t="shared" si="172"/>
        <v>0.28772838566717546</v>
      </c>
      <c r="P3641" s="18"/>
      <c r="Q3641" s="18"/>
      <c r="R3641" s="18"/>
      <c r="S3641" s="18"/>
      <c r="T3641" s="18"/>
      <c r="U3641" s="18"/>
      <c r="V3641" s="18"/>
      <c r="W3641" s="18"/>
      <c r="X3641" s="18"/>
    </row>
    <row r="3642" spans="13:24">
      <c r="M3642" s="558">
        <f t="shared" si="173"/>
        <v>3640</v>
      </c>
      <c r="N3642" s="15">
        <f t="shared" si="171"/>
        <v>0.28767116371561258</v>
      </c>
      <c r="O3642" s="165">
        <f t="shared" si="172"/>
        <v>0.28767116371561258</v>
      </c>
      <c r="P3642" s="18"/>
      <c r="Q3642" s="18"/>
      <c r="R3642" s="18"/>
      <c r="S3642" s="18"/>
      <c r="T3642" s="18"/>
      <c r="U3642" s="18"/>
      <c r="V3642" s="18"/>
      <c r="W3642" s="18"/>
      <c r="X3642" s="18"/>
    </row>
    <row r="3643" spans="13:24">
      <c r="M3643" s="558">
        <f t="shared" si="173"/>
        <v>3641</v>
      </c>
      <c r="N3643" s="15">
        <f t="shared" si="171"/>
        <v>0.28761394910795074</v>
      </c>
      <c r="O3643" s="165">
        <f t="shared" si="172"/>
        <v>0.28761394910795074</v>
      </c>
      <c r="P3643" s="18"/>
      <c r="Q3643" s="18"/>
      <c r="R3643" s="18"/>
      <c r="S3643" s="18"/>
      <c r="T3643" s="18"/>
      <c r="U3643" s="18"/>
      <c r="V3643" s="18"/>
      <c r="W3643" s="18"/>
      <c r="X3643" s="18"/>
    </row>
    <row r="3644" spans="13:24">
      <c r="M3644" s="558">
        <f t="shared" si="173"/>
        <v>3642</v>
      </c>
      <c r="N3644" s="15">
        <f t="shared" si="171"/>
        <v>0.28755674183497415</v>
      </c>
      <c r="O3644" s="165">
        <f t="shared" si="172"/>
        <v>0.28755674183497415</v>
      </c>
      <c r="P3644" s="18"/>
      <c r="Q3644" s="18"/>
      <c r="R3644" s="18"/>
      <c r="S3644" s="18"/>
      <c r="T3644" s="18"/>
      <c r="U3644" s="18"/>
      <c r="V3644" s="18"/>
      <c r="W3644" s="18"/>
      <c r="X3644" s="18"/>
    </row>
    <row r="3645" spans="13:24">
      <c r="M3645" s="558">
        <f t="shared" si="173"/>
        <v>3643</v>
      </c>
      <c r="N3645" s="15">
        <f t="shared" si="171"/>
        <v>0.28749954188747828</v>
      </c>
      <c r="O3645" s="165">
        <f t="shared" si="172"/>
        <v>0.28749954188747828</v>
      </c>
      <c r="P3645" s="18"/>
      <c r="Q3645" s="18"/>
      <c r="R3645" s="18"/>
      <c r="S3645" s="18"/>
      <c r="T3645" s="18"/>
      <c r="U3645" s="18"/>
      <c r="V3645" s="18"/>
      <c r="W3645" s="18"/>
      <c r="X3645" s="18"/>
    </row>
    <row r="3646" spans="13:24">
      <c r="M3646" s="558">
        <f t="shared" si="173"/>
        <v>3644</v>
      </c>
      <c r="N3646" s="15">
        <f t="shared" si="171"/>
        <v>0.28744234925627021</v>
      </c>
      <c r="O3646" s="165">
        <f t="shared" si="172"/>
        <v>0.28744234925627021</v>
      </c>
      <c r="P3646" s="18"/>
      <c r="Q3646" s="18"/>
      <c r="R3646" s="18"/>
      <c r="S3646" s="18"/>
      <c r="T3646" s="18"/>
      <c r="U3646" s="18"/>
      <c r="V3646" s="18"/>
      <c r="W3646" s="18"/>
      <c r="X3646" s="18"/>
    </row>
    <row r="3647" spans="13:24">
      <c r="M3647" s="558">
        <f t="shared" si="173"/>
        <v>3645</v>
      </c>
      <c r="N3647" s="15">
        <f t="shared" si="171"/>
        <v>0.28738516393216856</v>
      </c>
      <c r="O3647" s="165">
        <f t="shared" si="172"/>
        <v>0.28738516393216856</v>
      </c>
      <c r="P3647" s="18"/>
      <c r="Q3647" s="18"/>
      <c r="R3647" s="18"/>
      <c r="S3647" s="18"/>
      <c r="T3647" s="18"/>
      <c r="U3647" s="18"/>
      <c r="V3647" s="18"/>
      <c r="W3647" s="18"/>
      <c r="X3647" s="18"/>
    </row>
    <row r="3648" spans="13:24">
      <c r="M3648" s="558">
        <f t="shared" si="173"/>
        <v>3646</v>
      </c>
      <c r="N3648" s="15">
        <f t="shared" si="171"/>
        <v>0.28732798590600361</v>
      </c>
      <c r="O3648" s="165">
        <f t="shared" si="172"/>
        <v>0.28732798590600361</v>
      </c>
      <c r="P3648" s="18"/>
      <c r="Q3648" s="18"/>
      <c r="R3648" s="18"/>
      <c r="S3648" s="18"/>
      <c r="T3648" s="18"/>
      <c r="U3648" s="18"/>
      <c r="V3648" s="18"/>
      <c r="W3648" s="18"/>
      <c r="X3648" s="18"/>
    </row>
    <row r="3649" spans="13:24">
      <c r="M3649" s="558">
        <f t="shared" si="173"/>
        <v>3647</v>
      </c>
      <c r="N3649" s="15">
        <f t="shared" si="171"/>
        <v>0.28727081516861697</v>
      </c>
      <c r="O3649" s="165">
        <f t="shared" si="172"/>
        <v>0.28727081516861697</v>
      </c>
      <c r="P3649" s="18"/>
      <c r="Q3649" s="18"/>
      <c r="R3649" s="18"/>
      <c r="S3649" s="18"/>
      <c r="T3649" s="18"/>
      <c r="U3649" s="18"/>
      <c r="V3649" s="18"/>
      <c r="W3649" s="18"/>
      <c r="X3649" s="18"/>
    </row>
    <row r="3650" spans="13:24">
      <c r="M3650" s="558">
        <f t="shared" si="173"/>
        <v>3648</v>
      </c>
      <c r="N3650" s="15">
        <f t="shared" si="171"/>
        <v>0.28721365171086177</v>
      </c>
      <c r="O3650" s="165">
        <f t="shared" si="172"/>
        <v>0.28721365171086177</v>
      </c>
      <c r="P3650" s="18"/>
      <c r="Q3650" s="18"/>
      <c r="R3650" s="18"/>
      <c r="S3650" s="18"/>
      <c r="T3650" s="18"/>
      <c r="U3650" s="18"/>
      <c r="V3650" s="18"/>
      <c r="W3650" s="18"/>
      <c r="X3650" s="18"/>
    </row>
    <row r="3651" spans="13:24">
      <c r="M3651" s="558">
        <f t="shared" si="173"/>
        <v>3649</v>
      </c>
      <c r="N3651" s="15">
        <f t="shared" si="171"/>
        <v>0.28715649552360267</v>
      </c>
      <c r="O3651" s="165">
        <f t="shared" si="172"/>
        <v>0.28715649552360267</v>
      </c>
      <c r="P3651" s="18"/>
      <c r="Q3651" s="18"/>
      <c r="R3651" s="18"/>
      <c r="S3651" s="18"/>
      <c r="T3651" s="18"/>
      <c r="U3651" s="18"/>
      <c r="V3651" s="18"/>
      <c r="W3651" s="18"/>
      <c r="X3651" s="18"/>
    </row>
    <row r="3652" spans="13:24">
      <c r="M3652" s="558">
        <f t="shared" si="173"/>
        <v>3650</v>
      </c>
      <c r="N3652" s="15">
        <f t="shared" ref="N3652:N3715" si="174">IF(M3652&lt;$B$31+1,$B$32+$B$33/$B$31*(8760-M3652)+$B$34*IF(M3652&lt;$B$36-$B$31/(2*$B$35),1,IF(M3652&lt;$B$36+$B$31/(2*$B$35),COS(PI()/2*(M3652-($B$36-$B$31/(2*$B$35)))*$B$35/$B$31)^2,0))+$B$37*EXP((8760-M3652)/8760*$B$38)/EXP($B$38)-(8760-$B$31)*$B$33/$B$31,0)</f>
        <v>0.28709934659771585</v>
      </c>
      <c r="O3652" s="165">
        <f t="shared" ref="O3652:O3715" si="175">MIN(N3652,C$24)</f>
        <v>0.28709934659771585</v>
      </c>
      <c r="P3652" s="18"/>
      <c r="Q3652" s="18"/>
      <c r="R3652" s="18"/>
      <c r="S3652" s="18"/>
      <c r="T3652" s="18"/>
      <c r="U3652" s="18"/>
      <c r="V3652" s="18"/>
      <c r="W3652" s="18"/>
      <c r="X3652" s="18"/>
    </row>
    <row r="3653" spans="13:24">
      <c r="M3653" s="558">
        <f t="shared" ref="M3653:M3716" si="176">M3652+1</f>
        <v>3651</v>
      </c>
      <c r="N3653" s="15">
        <f t="shared" si="174"/>
        <v>0.28704220492408888</v>
      </c>
      <c r="O3653" s="165">
        <f t="shared" si="175"/>
        <v>0.28704220492408888</v>
      </c>
      <c r="P3653" s="18"/>
      <c r="Q3653" s="18"/>
      <c r="R3653" s="18"/>
      <c r="S3653" s="18"/>
      <c r="T3653" s="18"/>
      <c r="U3653" s="18"/>
      <c r="V3653" s="18"/>
      <c r="W3653" s="18"/>
      <c r="X3653" s="18"/>
    </row>
    <row r="3654" spans="13:24">
      <c r="M3654" s="558">
        <f t="shared" si="176"/>
        <v>3652</v>
      </c>
      <c r="N3654" s="15">
        <f t="shared" si="174"/>
        <v>0.28698507049362065</v>
      </c>
      <c r="O3654" s="165">
        <f t="shared" si="175"/>
        <v>0.28698507049362065</v>
      </c>
      <c r="P3654" s="18"/>
      <c r="Q3654" s="18"/>
      <c r="R3654" s="18"/>
      <c r="S3654" s="18"/>
      <c r="T3654" s="18"/>
      <c r="U3654" s="18"/>
      <c r="V3654" s="18"/>
      <c r="W3654" s="18"/>
      <c r="X3654" s="18"/>
    </row>
    <row r="3655" spans="13:24">
      <c r="M3655" s="558">
        <f t="shared" si="176"/>
        <v>3653</v>
      </c>
      <c r="N3655" s="15">
        <f t="shared" si="174"/>
        <v>0.2869279432972216</v>
      </c>
      <c r="O3655" s="165">
        <f t="shared" si="175"/>
        <v>0.2869279432972216</v>
      </c>
      <c r="P3655" s="18"/>
      <c r="Q3655" s="18"/>
      <c r="R3655" s="18"/>
      <c r="S3655" s="18"/>
      <c r="T3655" s="18"/>
      <c r="U3655" s="18"/>
      <c r="V3655" s="18"/>
      <c r="W3655" s="18"/>
      <c r="X3655" s="18"/>
    </row>
    <row r="3656" spans="13:24">
      <c r="M3656" s="558">
        <f t="shared" si="176"/>
        <v>3654</v>
      </c>
      <c r="N3656" s="15">
        <f t="shared" si="174"/>
        <v>0.2868708233258136</v>
      </c>
      <c r="O3656" s="165">
        <f t="shared" si="175"/>
        <v>0.2868708233258136</v>
      </c>
      <c r="P3656" s="18"/>
      <c r="Q3656" s="18"/>
      <c r="R3656" s="18"/>
      <c r="S3656" s="18"/>
      <c r="T3656" s="18"/>
      <c r="U3656" s="18"/>
      <c r="V3656" s="18"/>
      <c r="W3656" s="18"/>
      <c r="X3656" s="18"/>
    </row>
    <row r="3657" spans="13:24">
      <c r="M3657" s="558">
        <f t="shared" si="176"/>
        <v>3655</v>
      </c>
      <c r="N3657" s="15">
        <f t="shared" si="174"/>
        <v>0.28681371057032989</v>
      </c>
      <c r="O3657" s="165">
        <f t="shared" si="175"/>
        <v>0.28681371057032989</v>
      </c>
      <c r="P3657" s="18"/>
      <c r="Q3657" s="18"/>
      <c r="R3657" s="18"/>
      <c r="S3657" s="18"/>
      <c r="T3657" s="18"/>
      <c r="U3657" s="18"/>
      <c r="V3657" s="18"/>
      <c r="W3657" s="18"/>
      <c r="X3657" s="18"/>
    </row>
    <row r="3658" spans="13:24">
      <c r="M3658" s="558">
        <f t="shared" si="176"/>
        <v>3656</v>
      </c>
      <c r="N3658" s="15">
        <f t="shared" si="174"/>
        <v>0.28675660502171496</v>
      </c>
      <c r="O3658" s="165">
        <f t="shared" si="175"/>
        <v>0.28675660502171496</v>
      </c>
      <c r="P3658" s="18"/>
      <c r="Q3658" s="18"/>
      <c r="R3658" s="18"/>
      <c r="S3658" s="18"/>
      <c r="T3658" s="18"/>
      <c r="U3658" s="18"/>
      <c r="V3658" s="18"/>
      <c r="W3658" s="18"/>
      <c r="X3658" s="18"/>
    </row>
    <row r="3659" spans="13:24">
      <c r="M3659" s="558">
        <f t="shared" si="176"/>
        <v>3657</v>
      </c>
      <c r="N3659" s="15">
        <f t="shared" si="174"/>
        <v>0.28669950667092486</v>
      </c>
      <c r="O3659" s="165">
        <f t="shared" si="175"/>
        <v>0.28669950667092486</v>
      </c>
      <c r="P3659" s="18"/>
      <c r="Q3659" s="18"/>
      <c r="R3659" s="18"/>
      <c r="S3659" s="18"/>
      <c r="T3659" s="18"/>
      <c r="U3659" s="18"/>
      <c r="V3659" s="18"/>
      <c r="W3659" s="18"/>
      <c r="X3659" s="18"/>
    </row>
    <row r="3660" spans="13:24">
      <c r="M3660" s="558">
        <f t="shared" si="176"/>
        <v>3658</v>
      </c>
      <c r="N3660" s="15">
        <f t="shared" si="174"/>
        <v>0.28664241550892694</v>
      </c>
      <c r="O3660" s="165">
        <f t="shared" si="175"/>
        <v>0.28664241550892694</v>
      </c>
      <c r="P3660" s="18"/>
      <c r="Q3660" s="18"/>
      <c r="R3660" s="18"/>
      <c r="S3660" s="18"/>
      <c r="T3660" s="18"/>
      <c r="U3660" s="18"/>
      <c r="V3660" s="18"/>
      <c r="W3660" s="18"/>
      <c r="X3660" s="18"/>
    </row>
    <row r="3661" spans="13:24">
      <c r="M3661" s="558">
        <f t="shared" si="176"/>
        <v>3659</v>
      </c>
      <c r="N3661" s="15">
        <f t="shared" si="174"/>
        <v>0.28658533152669974</v>
      </c>
      <c r="O3661" s="165">
        <f t="shared" si="175"/>
        <v>0.28658533152669974</v>
      </c>
      <c r="P3661" s="18"/>
      <c r="Q3661" s="18"/>
      <c r="R3661" s="18"/>
      <c r="S3661" s="18"/>
      <c r="T3661" s="18"/>
      <c r="U3661" s="18"/>
      <c r="V3661" s="18"/>
      <c r="W3661" s="18"/>
      <c r="X3661" s="18"/>
    </row>
    <row r="3662" spans="13:24">
      <c r="M3662" s="558">
        <f t="shared" si="176"/>
        <v>3660</v>
      </c>
      <c r="N3662" s="15">
        <f t="shared" si="174"/>
        <v>0.28652825471523319</v>
      </c>
      <c r="O3662" s="165">
        <f t="shared" si="175"/>
        <v>0.28652825471523319</v>
      </c>
      <c r="P3662" s="18"/>
      <c r="Q3662" s="18"/>
      <c r="R3662" s="18"/>
      <c r="S3662" s="18"/>
      <c r="T3662" s="18"/>
      <c r="U3662" s="18"/>
      <c r="V3662" s="18"/>
      <c r="W3662" s="18"/>
      <c r="X3662" s="18"/>
    </row>
    <row r="3663" spans="13:24">
      <c r="M3663" s="558">
        <f t="shared" si="176"/>
        <v>3661</v>
      </c>
      <c r="N3663" s="15">
        <f t="shared" si="174"/>
        <v>0.28647118506552871</v>
      </c>
      <c r="O3663" s="165">
        <f t="shared" si="175"/>
        <v>0.28647118506552871</v>
      </c>
      <c r="P3663" s="18"/>
      <c r="Q3663" s="18"/>
      <c r="R3663" s="18"/>
      <c r="S3663" s="18"/>
      <c r="T3663" s="18"/>
      <c r="U3663" s="18"/>
      <c r="V3663" s="18"/>
      <c r="W3663" s="18"/>
      <c r="X3663" s="18"/>
    </row>
    <row r="3664" spans="13:24">
      <c r="M3664" s="558">
        <f t="shared" si="176"/>
        <v>3662</v>
      </c>
      <c r="N3664" s="15">
        <f t="shared" si="174"/>
        <v>0.28641412256859877</v>
      </c>
      <c r="O3664" s="165">
        <f t="shared" si="175"/>
        <v>0.28641412256859877</v>
      </c>
      <c r="P3664" s="18"/>
      <c r="Q3664" s="18"/>
      <c r="R3664" s="18"/>
      <c r="S3664" s="18"/>
      <c r="T3664" s="18"/>
      <c r="U3664" s="18"/>
      <c r="V3664" s="18"/>
      <c r="W3664" s="18"/>
      <c r="X3664" s="18"/>
    </row>
    <row r="3665" spans="13:24">
      <c r="M3665" s="558">
        <f t="shared" si="176"/>
        <v>3663</v>
      </c>
      <c r="N3665" s="15">
        <f t="shared" si="174"/>
        <v>0.28635706721546722</v>
      </c>
      <c r="O3665" s="165">
        <f t="shared" si="175"/>
        <v>0.28635706721546722</v>
      </c>
      <c r="P3665" s="18"/>
      <c r="Q3665" s="18"/>
      <c r="R3665" s="18"/>
      <c r="S3665" s="18"/>
      <c r="T3665" s="18"/>
      <c r="U3665" s="18"/>
      <c r="V3665" s="18"/>
      <c r="W3665" s="18"/>
      <c r="X3665" s="18"/>
    </row>
    <row r="3666" spans="13:24">
      <c r="M3666" s="558">
        <f t="shared" si="176"/>
        <v>3664</v>
      </c>
      <c r="N3666" s="15">
        <f t="shared" si="174"/>
        <v>0.28630001899716917</v>
      </c>
      <c r="O3666" s="165">
        <f t="shared" si="175"/>
        <v>0.28630001899716917</v>
      </c>
      <c r="P3666" s="18"/>
      <c r="Q3666" s="18"/>
      <c r="R3666" s="18"/>
      <c r="S3666" s="18"/>
      <c r="T3666" s="18"/>
      <c r="U3666" s="18"/>
      <c r="V3666" s="18"/>
      <c r="W3666" s="18"/>
      <c r="X3666" s="18"/>
    </row>
    <row r="3667" spans="13:24">
      <c r="M3667" s="558">
        <f t="shared" si="176"/>
        <v>3665</v>
      </c>
      <c r="N3667" s="15">
        <f t="shared" si="174"/>
        <v>0.28624297790475101</v>
      </c>
      <c r="O3667" s="165">
        <f t="shared" si="175"/>
        <v>0.28624297790475101</v>
      </c>
      <c r="P3667" s="18"/>
      <c r="Q3667" s="18"/>
      <c r="R3667" s="18"/>
      <c r="S3667" s="18"/>
      <c r="T3667" s="18"/>
      <c r="U3667" s="18"/>
      <c r="V3667" s="18"/>
      <c r="W3667" s="18"/>
      <c r="X3667" s="18"/>
    </row>
    <row r="3668" spans="13:24">
      <c r="M3668" s="558">
        <f t="shared" si="176"/>
        <v>3666</v>
      </c>
      <c r="N3668" s="15">
        <f t="shared" si="174"/>
        <v>0.28618594392927027</v>
      </c>
      <c r="O3668" s="165">
        <f t="shared" si="175"/>
        <v>0.28618594392927027</v>
      </c>
      <c r="P3668" s="18"/>
      <c r="Q3668" s="18"/>
      <c r="R3668" s="18"/>
      <c r="S3668" s="18"/>
      <c r="T3668" s="18"/>
      <c r="U3668" s="18"/>
      <c r="V3668" s="18"/>
      <c r="W3668" s="18"/>
      <c r="X3668" s="18"/>
    </row>
    <row r="3669" spans="13:24">
      <c r="M3669" s="558">
        <f t="shared" si="176"/>
        <v>3667</v>
      </c>
      <c r="N3669" s="15">
        <f t="shared" si="174"/>
        <v>0.28612891706179583</v>
      </c>
      <c r="O3669" s="165">
        <f t="shared" si="175"/>
        <v>0.28612891706179583</v>
      </c>
      <c r="P3669" s="18"/>
      <c r="Q3669" s="18"/>
      <c r="R3669" s="18"/>
      <c r="S3669" s="18"/>
      <c r="T3669" s="18"/>
      <c r="U3669" s="18"/>
      <c r="V3669" s="18"/>
      <c r="W3669" s="18"/>
      <c r="X3669" s="18"/>
    </row>
    <row r="3670" spans="13:24">
      <c r="M3670" s="558">
        <f t="shared" si="176"/>
        <v>3668</v>
      </c>
      <c r="N3670" s="15">
        <f t="shared" si="174"/>
        <v>0.2860718972934076</v>
      </c>
      <c r="O3670" s="165">
        <f t="shared" si="175"/>
        <v>0.2860718972934076</v>
      </c>
      <c r="P3670" s="18"/>
      <c r="Q3670" s="18"/>
      <c r="R3670" s="18"/>
      <c r="S3670" s="18"/>
      <c r="T3670" s="18"/>
      <c r="U3670" s="18"/>
      <c r="V3670" s="18"/>
      <c r="W3670" s="18"/>
      <c r="X3670" s="18"/>
    </row>
    <row r="3671" spans="13:24">
      <c r="M3671" s="558">
        <f t="shared" si="176"/>
        <v>3669</v>
      </c>
      <c r="N3671" s="15">
        <f t="shared" si="174"/>
        <v>0.28601488461519697</v>
      </c>
      <c r="O3671" s="165">
        <f t="shared" si="175"/>
        <v>0.28601488461519697</v>
      </c>
      <c r="P3671" s="18"/>
      <c r="Q3671" s="18"/>
      <c r="R3671" s="18"/>
      <c r="S3671" s="18"/>
      <c r="T3671" s="18"/>
      <c r="U3671" s="18"/>
      <c r="V3671" s="18"/>
      <c r="W3671" s="18"/>
      <c r="X3671" s="18"/>
    </row>
    <row r="3672" spans="13:24">
      <c r="M3672" s="558">
        <f t="shared" si="176"/>
        <v>3670</v>
      </c>
      <c r="N3672" s="15">
        <f t="shared" si="174"/>
        <v>0.28595787901826625</v>
      </c>
      <c r="O3672" s="165">
        <f t="shared" si="175"/>
        <v>0.28595787901826625</v>
      </c>
      <c r="P3672" s="18"/>
      <c r="Q3672" s="18"/>
      <c r="R3672" s="18"/>
      <c r="S3672" s="18"/>
      <c r="T3672" s="18"/>
      <c r="U3672" s="18"/>
      <c r="V3672" s="18"/>
      <c r="W3672" s="18"/>
      <c r="X3672" s="18"/>
    </row>
    <row r="3673" spans="13:24">
      <c r="M3673" s="558">
        <f t="shared" si="176"/>
        <v>3671</v>
      </c>
      <c r="N3673" s="15">
        <f t="shared" si="174"/>
        <v>0.28590088049372891</v>
      </c>
      <c r="O3673" s="165">
        <f t="shared" si="175"/>
        <v>0.28590088049372891</v>
      </c>
      <c r="P3673" s="18"/>
      <c r="Q3673" s="18"/>
      <c r="R3673" s="18"/>
      <c r="S3673" s="18"/>
      <c r="T3673" s="18"/>
      <c r="U3673" s="18"/>
      <c r="V3673" s="18"/>
      <c r="W3673" s="18"/>
      <c r="X3673" s="18"/>
    </row>
    <row r="3674" spans="13:24">
      <c r="M3674" s="558">
        <f t="shared" si="176"/>
        <v>3672</v>
      </c>
      <c r="N3674" s="15">
        <f t="shared" si="174"/>
        <v>0.2858438890327098</v>
      </c>
      <c r="O3674" s="165">
        <f t="shared" si="175"/>
        <v>0.2858438890327098</v>
      </c>
      <c r="P3674" s="18"/>
      <c r="Q3674" s="18"/>
      <c r="R3674" s="18"/>
      <c r="S3674" s="18"/>
      <c r="T3674" s="18"/>
      <c r="U3674" s="18"/>
      <c r="V3674" s="18"/>
      <c r="W3674" s="18"/>
      <c r="X3674" s="18"/>
    </row>
    <row r="3675" spans="13:24">
      <c r="M3675" s="558">
        <f t="shared" si="176"/>
        <v>3673</v>
      </c>
      <c r="N3675" s="15">
        <f t="shared" si="174"/>
        <v>0.28578690462634476</v>
      </c>
      <c r="O3675" s="165">
        <f t="shared" si="175"/>
        <v>0.28578690462634476</v>
      </c>
      <c r="P3675" s="18"/>
      <c r="Q3675" s="18"/>
      <c r="R3675" s="18"/>
      <c r="S3675" s="18"/>
      <c r="T3675" s="18"/>
      <c r="U3675" s="18"/>
      <c r="V3675" s="18"/>
      <c r="W3675" s="18"/>
      <c r="X3675" s="18"/>
    </row>
    <row r="3676" spans="13:24">
      <c r="M3676" s="558">
        <f t="shared" si="176"/>
        <v>3674</v>
      </c>
      <c r="N3676" s="15">
        <f t="shared" si="174"/>
        <v>0.28572992726578073</v>
      </c>
      <c r="O3676" s="165">
        <f t="shared" si="175"/>
        <v>0.28572992726578073</v>
      </c>
      <c r="P3676" s="18"/>
      <c r="Q3676" s="18"/>
      <c r="R3676" s="18"/>
      <c r="S3676" s="18"/>
      <c r="T3676" s="18"/>
      <c r="U3676" s="18"/>
      <c r="V3676" s="18"/>
      <c r="W3676" s="18"/>
      <c r="X3676" s="18"/>
    </row>
    <row r="3677" spans="13:24">
      <c r="M3677" s="558">
        <f t="shared" si="176"/>
        <v>3675</v>
      </c>
      <c r="N3677" s="15">
        <f t="shared" si="174"/>
        <v>0.28567295694217576</v>
      </c>
      <c r="O3677" s="165">
        <f t="shared" si="175"/>
        <v>0.28567295694217576</v>
      </c>
      <c r="P3677" s="18"/>
      <c r="Q3677" s="18"/>
      <c r="R3677" s="18"/>
      <c r="S3677" s="18"/>
      <c r="T3677" s="18"/>
      <c r="U3677" s="18"/>
      <c r="V3677" s="18"/>
      <c r="W3677" s="18"/>
      <c r="X3677" s="18"/>
    </row>
    <row r="3678" spans="13:24">
      <c r="M3678" s="558">
        <f t="shared" si="176"/>
        <v>3676</v>
      </c>
      <c r="N3678" s="15">
        <f t="shared" si="174"/>
        <v>0.28561599364669904</v>
      </c>
      <c r="O3678" s="165">
        <f t="shared" si="175"/>
        <v>0.28561599364669904</v>
      </c>
      <c r="P3678" s="18"/>
      <c r="Q3678" s="18"/>
      <c r="R3678" s="18"/>
      <c r="S3678" s="18"/>
      <c r="T3678" s="18"/>
      <c r="U3678" s="18"/>
      <c r="V3678" s="18"/>
      <c r="W3678" s="18"/>
      <c r="X3678" s="18"/>
    </row>
    <row r="3679" spans="13:24">
      <c r="M3679" s="558">
        <f t="shared" si="176"/>
        <v>3677</v>
      </c>
      <c r="N3679" s="15">
        <f t="shared" si="174"/>
        <v>0.28555903737053095</v>
      </c>
      <c r="O3679" s="165">
        <f t="shared" si="175"/>
        <v>0.28555903737053095</v>
      </c>
      <c r="P3679" s="18"/>
      <c r="Q3679" s="18"/>
      <c r="R3679" s="18"/>
      <c r="S3679" s="18"/>
      <c r="T3679" s="18"/>
      <c r="U3679" s="18"/>
      <c r="V3679" s="18"/>
      <c r="W3679" s="18"/>
      <c r="X3679" s="18"/>
    </row>
    <row r="3680" spans="13:24">
      <c r="M3680" s="558">
        <f t="shared" si="176"/>
        <v>3678</v>
      </c>
      <c r="N3680" s="15">
        <f t="shared" si="174"/>
        <v>0.28550208810486266</v>
      </c>
      <c r="O3680" s="165">
        <f t="shared" si="175"/>
        <v>0.28550208810486266</v>
      </c>
      <c r="P3680" s="18"/>
      <c r="Q3680" s="18"/>
      <c r="R3680" s="18"/>
      <c r="S3680" s="18"/>
      <c r="T3680" s="18"/>
      <c r="U3680" s="18"/>
      <c r="V3680" s="18"/>
      <c r="W3680" s="18"/>
      <c r="X3680" s="18"/>
    </row>
    <row r="3681" spans="13:24">
      <c r="M3681" s="558">
        <f t="shared" si="176"/>
        <v>3679</v>
      </c>
      <c r="N3681" s="15">
        <f t="shared" si="174"/>
        <v>0.28544514584089664</v>
      </c>
      <c r="O3681" s="165">
        <f t="shared" si="175"/>
        <v>0.28544514584089664</v>
      </c>
      <c r="P3681" s="18"/>
      <c r="Q3681" s="18"/>
      <c r="R3681" s="18"/>
      <c r="S3681" s="18"/>
      <c r="T3681" s="18"/>
      <c r="U3681" s="18"/>
      <c r="V3681" s="18"/>
      <c r="W3681" s="18"/>
      <c r="X3681" s="18"/>
    </row>
    <row r="3682" spans="13:24">
      <c r="M3682" s="558">
        <f t="shared" si="176"/>
        <v>3680</v>
      </c>
      <c r="N3682" s="15">
        <f t="shared" si="174"/>
        <v>0.28538821056984631</v>
      </c>
      <c r="O3682" s="165">
        <f t="shared" si="175"/>
        <v>0.28538821056984631</v>
      </c>
      <c r="P3682" s="18"/>
      <c r="Q3682" s="18"/>
      <c r="R3682" s="18"/>
      <c r="S3682" s="18"/>
      <c r="T3682" s="18"/>
      <c r="U3682" s="18"/>
      <c r="V3682" s="18"/>
      <c r="W3682" s="18"/>
      <c r="X3682" s="18"/>
    </row>
    <row r="3683" spans="13:24">
      <c r="M3683" s="558">
        <f t="shared" si="176"/>
        <v>3681</v>
      </c>
      <c r="N3683" s="15">
        <f t="shared" si="174"/>
        <v>0.28533128228293614</v>
      </c>
      <c r="O3683" s="165">
        <f t="shared" si="175"/>
        <v>0.28533128228293614</v>
      </c>
      <c r="P3683" s="18"/>
      <c r="Q3683" s="18"/>
      <c r="R3683" s="18"/>
      <c r="S3683" s="18"/>
      <c r="T3683" s="18"/>
      <c r="U3683" s="18"/>
      <c r="V3683" s="18"/>
      <c r="W3683" s="18"/>
      <c r="X3683" s="18"/>
    </row>
    <row r="3684" spans="13:24">
      <c r="M3684" s="558">
        <f t="shared" si="176"/>
        <v>3682</v>
      </c>
      <c r="N3684" s="15">
        <f t="shared" si="174"/>
        <v>0.28527436097140157</v>
      </c>
      <c r="O3684" s="165">
        <f t="shared" si="175"/>
        <v>0.28527436097140157</v>
      </c>
      <c r="P3684" s="18"/>
      <c r="Q3684" s="18"/>
      <c r="R3684" s="18"/>
      <c r="S3684" s="18"/>
      <c r="T3684" s="18"/>
      <c r="U3684" s="18"/>
      <c r="V3684" s="18"/>
      <c r="W3684" s="18"/>
      <c r="X3684" s="18"/>
    </row>
    <row r="3685" spans="13:24">
      <c r="M3685" s="558">
        <f t="shared" si="176"/>
        <v>3683</v>
      </c>
      <c r="N3685" s="15">
        <f t="shared" si="174"/>
        <v>0.28521744662648901</v>
      </c>
      <c r="O3685" s="165">
        <f t="shared" si="175"/>
        <v>0.28521744662648901</v>
      </c>
      <c r="P3685" s="18"/>
      <c r="Q3685" s="18"/>
      <c r="R3685" s="18"/>
      <c r="S3685" s="18"/>
      <c r="T3685" s="18"/>
      <c r="U3685" s="18"/>
      <c r="V3685" s="18"/>
      <c r="W3685" s="18"/>
      <c r="X3685" s="18"/>
    </row>
    <row r="3686" spans="13:24">
      <c r="M3686" s="558">
        <f t="shared" si="176"/>
        <v>3684</v>
      </c>
      <c r="N3686" s="15">
        <f t="shared" si="174"/>
        <v>0.285160539239456</v>
      </c>
      <c r="O3686" s="165">
        <f t="shared" si="175"/>
        <v>0.285160539239456</v>
      </c>
      <c r="P3686" s="18"/>
      <c r="Q3686" s="18"/>
      <c r="R3686" s="18"/>
      <c r="S3686" s="18"/>
      <c r="T3686" s="18"/>
      <c r="U3686" s="18"/>
      <c r="V3686" s="18"/>
      <c r="W3686" s="18"/>
      <c r="X3686" s="18"/>
    </row>
    <row r="3687" spans="13:24">
      <c r="M3687" s="558">
        <f t="shared" si="176"/>
        <v>3685</v>
      </c>
      <c r="N3687" s="15">
        <f t="shared" si="174"/>
        <v>0.28510363880157091</v>
      </c>
      <c r="O3687" s="165">
        <f t="shared" si="175"/>
        <v>0.28510363880157091</v>
      </c>
      <c r="P3687" s="18"/>
      <c r="Q3687" s="18"/>
      <c r="R3687" s="18"/>
      <c r="S3687" s="18"/>
      <c r="T3687" s="18"/>
      <c r="U3687" s="18"/>
      <c r="V3687" s="18"/>
      <c r="W3687" s="18"/>
      <c r="X3687" s="18"/>
    </row>
    <row r="3688" spans="13:24">
      <c r="M3688" s="558">
        <f t="shared" si="176"/>
        <v>3686</v>
      </c>
      <c r="N3688" s="15">
        <f t="shared" si="174"/>
        <v>0.28504674530411311</v>
      </c>
      <c r="O3688" s="165">
        <f t="shared" si="175"/>
        <v>0.28504674530411311</v>
      </c>
      <c r="P3688" s="18"/>
      <c r="Q3688" s="18"/>
      <c r="R3688" s="18"/>
      <c r="S3688" s="18"/>
      <c r="T3688" s="18"/>
      <c r="U3688" s="18"/>
      <c r="V3688" s="18"/>
      <c r="W3688" s="18"/>
      <c r="X3688" s="18"/>
    </row>
    <row r="3689" spans="13:24">
      <c r="M3689" s="558">
        <f t="shared" si="176"/>
        <v>3687</v>
      </c>
      <c r="N3689" s="15">
        <f t="shared" si="174"/>
        <v>0.28498985873837301</v>
      </c>
      <c r="O3689" s="165">
        <f t="shared" si="175"/>
        <v>0.28498985873837301</v>
      </c>
      <c r="P3689" s="18"/>
      <c r="Q3689" s="18"/>
      <c r="R3689" s="18"/>
      <c r="S3689" s="18"/>
      <c r="T3689" s="18"/>
      <c r="U3689" s="18"/>
      <c r="V3689" s="18"/>
      <c r="W3689" s="18"/>
      <c r="X3689" s="18"/>
    </row>
    <row r="3690" spans="13:24">
      <c r="M3690" s="558">
        <f t="shared" si="176"/>
        <v>3688</v>
      </c>
      <c r="N3690" s="15">
        <f t="shared" si="174"/>
        <v>0.28493297909565174</v>
      </c>
      <c r="O3690" s="165">
        <f t="shared" si="175"/>
        <v>0.28493297909565174</v>
      </c>
      <c r="P3690" s="18"/>
      <c r="Q3690" s="18"/>
      <c r="R3690" s="18"/>
      <c r="S3690" s="18"/>
      <c r="T3690" s="18"/>
      <c r="U3690" s="18"/>
      <c r="V3690" s="18"/>
      <c r="W3690" s="18"/>
      <c r="X3690" s="18"/>
    </row>
    <row r="3691" spans="13:24">
      <c r="M3691" s="558">
        <f t="shared" si="176"/>
        <v>3689</v>
      </c>
      <c r="N3691" s="15">
        <f t="shared" si="174"/>
        <v>0.28487610636726157</v>
      </c>
      <c r="O3691" s="165">
        <f t="shared" si="175"/>
        <v>0.28487610636726157</v>
      </c>
      <c r="P3691" s="18"/>
      <c r="Q3691" s="18"/>
      <c r="R3691" s="18"/>
      <c r="S3691" s="18"/>
      <c r="T3691" s="18"/>
      <c r="U3691" s="18"/>
      <c r="V3691" s="18"/>
      <c r="W3691" s="18"/>
      <c r="X3691" s="18"/>
    </row>
    <row r="3692" spans="13:24">
      <c r="M3692" s="558">
        <f t="shared" si="176"/>
        <v>3690</v>
      </c>
      <c r="N3692" s="15">
        <f t="shared" si="174"/>
        <v>0.28481924054452545</v>
      </c>
      <c r="O3692" s="165">
        <f t="shared" si="175"/>
        <v>0.28481924054452545</v>
      </c>
      <c r="P3692" s="18"/>
      <c r="Q3692" s="18"/>
      <c r="R3692" s="18"/>
      <c r="S3692" s="18"/>
      <c r="T3692" s="18"/>
      <c r="U3692" s="18"/>
      <c r="V3692" s="18"/>
      <c r="W3692" s="18"/>
      <c r="X3692" s="18"/>
    </row>
    <row r="3693" spans="13:24">
      <c r="M3693" s="558">
        <f t="shared" si="176"/>
        <v>3691</v>
      </c>
      <c r="N3693" s="15">
        <f t="shared" si="174"/>
        <v>0.28476238161877748</v>
      </c>
      <c r="O3693" s="165">
        <f t="shared" si="175"/>
        <v>0.28476238161877748</v>
      </c>
      <c r="P3693" s="18"/>
      <c r="Q3693" s="18"/>
      <c r="R3693" s="18"/>
      <c r="S3693" s="18"/>
      <c r="T3693" s="18"/>
      <c r="U3693" s="18"/>
      <c r="V3693" s="18"/>
      <c r="W3693" s="18"/>
      <c r="X3693" s="18"/>
    </row>
    <row r="3694" spans="13:24">
      <c r="M3694" s="558">
        <f t="shared" si="176"/>
        <v>3692</v>
      </c>
      <c r="N3694" s="15">
        <f t="shared" si="174"/>
        <v>0.28470552958136236</v>
      </c>
      <c r="O3694" s="165">
        <f t="shared" si="175"/>
        <v>0.28470552958136236</v>
      </c>
      <c r="P3694" s="18"/>
      <c r="Q3694" s="18"/>
      <c r="R3694" s="18"/>
      <c r="S3694" s="18"/>
      <c r="T3694" s="18"/>
      <c r="U3694" s="18"/>
      <c r="V3694" s="18"/>
      <c r="W3694" s="18"/>
      <c r="X3694" s="18"/>
    </row>
    <row r="3695" spans="13:24">
      <c r="M3695" s="558">
        <f t="shared" si="176"/>
        <v>3693</v>
      </c>
      <c r="N3695" s="15">
        <f t="shared" si="174"/>
        <v>0.28464868442363594</v>
      </c>
      <c r="O3695" s="165">
        <f t="shared" si="175"/>
        <v>0.28464868442363594</v>
      </c>
      <c r="P3695" s="18"/>
      <c r="Q3695" s="18"/>
      <c r="R3695" s="18"/>
      <c r="S3695" s="18"/>
      <c r="T3695" s="18"/>
      <c r="U3695" s="18"/>
      <c r="V3695" s="18"/>
      <c r="W3695" s="18"/>
      <c r="X3695" s="18"/>
    </row>
    <row r="3696" spans="13:24">
      <c r="M3696" s="558">
        <f t="shared" si="176"/>
        <v>3694</v>
      </c>
      <c r="N3696" s="15">
        <f t="shared" si="174"/>
        <v>0.28459184613696453</v>
      </c>
      <c r="O3696" s="165">
        <f t="shared" si="175"/>
        <v>0.28459184613696453</v>
      </c>
      <c r="P3696" s="18"/>
      <c r="Q3696" s="18"/>
      <c r="R3696" s="18"/>
      <c r="S3696" s="18"/>
      <c r="T3696" s="18"/>
      <c r="U3696" s="18"/>
      <c r="V3696" s="18"/>
      <c r="W3696" s="18"/>
      <c r="X3696" s="18"/>
    </row>
    <row r="3697" spans="13:24">
      <c r="M3697" s="558">
        <f t="shared" si="176"/>
        <v>3695</v>
      </c>
      <c r="N3697" s="15">
        <f t="shared" si="174"/>
        <v>0.28453501471272574</v>
      </c>
      <c r="O3697" s="165">
        <f t="shared" si="175"/>
        <v>0.28453501471272574</v>
      </c>
      <c r="P3697" s="18"/>
      <c r="Q3697" s="18"/>
      <c r="R3697" s="18"/>
      <c r="S3697" s="18"/>
      <c r="T3697" s="18"/>
      <c r="U3697" s="18"/>
      <c r="V3697" s="18"/>
      <c r="W3697" s="18"/>
      <c r="X3697" s="18"/>
    </row>
    <row r="3698" spans="13:24">
      <c r="M3698" s="558">
        <f t="shared" si="176"/>
        <v>3696</v>
      </c>
      <c r="N3698" s="15">
        <f t="shared" si="174"/>
        <v>0.28447819014230769</v>
      </c>
      <c r="O3698" s="165">
        <f t="shared" si="175"/>
        <v>0.28447819014230769</v>
      </c>
      <c r="P3698" s="18"/>
      <c r="Q3698" s="18"/>
      <c r="R3698" s="18"/>
      <c r="S3698" s="18"/>
      <c r="T3698" s="18"/>
      <c r="U3698" s="18"/>
      <c r="V3698" s="18"/>
      <c r="W3698" s="18"/>
      <c r="X3698" s="18"/>
    </row>
    <row r="3699" spans="13:24">
      <c r="M3699" s="558">
        <f t="shared" si="176"/>
        <v>3697</v>
      </c>
      <c r="N3699" s="15">
        <f t="shared" si="174"/>
        <v>0.28442137241710941</v>
      </c>
      <c r="O3699" s="165">
        <f t="shared" si="175"/>
        <v>0.28442137241710941</v>
      </c>
      <c r="P3699" s="18"/>
      <c r="Q3699" s="18"/>
      <c r="R3699" s="18"/>
      <c r="S3699" s="18"/>
      <c r="T3699" s="18"/>
      <c r="U3699" s="18"/>
      <c r="V3699" s="18"/>
      <c r="W3699" s="18"/>
      <c r="X3699" s="18"/>
    </row>
    <row r="3700" spans="13:24">
      <c r="M3700" s="558">
        <f t="shared" si="176"/>
        <v>3698</v>
      </c>
      <c r="N3700" s="15">
        <f t="shared" si="174"/>
        <v>0.2843645615285405</v>
      </c>
      <c r="O3700" s="165">
        <f t="shared" si="175"/>
        <v>0.2843645615285405</v>
      </c>
      <c r="P3700" s="18"/>
      <c r="Q3700" s="18"/>
      <c r="R3700" s="18"/>
      <c r="S3700" s="18"/>
      <c r="T3700" s="18"/>
      <c r="U3700" s="18"/>
      <c r="V3700" s="18"/>
      <c r="W3700" s="18"/>
      <c r="X3700" s="18"/>
    </row>
    <row r="3701" spans="13:24">
      <c r="M3701" s="558">
        <f t="shared" si="176"/>
        <v>3699</v>
      </c>
      <c r="N3701" s="15">
        <f t="shared" si="174"/>
        <v>0.28430775746802184</v>
      </c>
      <c r="O3701" s="165">
        <f t="shared" si="175"/>
        <v>0.28430775746802184</v>
      </c>
      <c r="P3701" s="18"/>
      <c r="Q3701" s="18"/>
      <c r="R3701" s="18"/>
      <c r="S3701" s="18"/>
      <c r="T3701" s="18"/>
      <c r="U3701" s="18"/>
      <c r="V3701" s="18"/>
      <c r="W3701" s="18"/>
      <c r="X3701" s="18"/>
    </row>
    <row r="3702" spans="13:24">
      <c r="M3702" s="558">
        <f t="shared" si="176"/>
        <v>3700</v>
      </c>
      <c r="N3702" s="15">
        <f t="shared" si="174"/>
        <v>0.28425096022698465</v>
      </c>
      <c r="O3702" s="165">
        <f t="shared" si="175"/>
        <v>0.28425096022698465</v>
      </c>
      <c r="P3702" s="18"/>
      <c r="Q3702" s="18"/>
      <c r="R3702" s="18"/>
      <c r="S3702" s="18"/>
      <c r="T3702" s="18"/>
      <c r="U3702" s="18"/>
      <c r="V3702" s="18"/>
      <c r="W3702" s="18"/>
      <c r="X3702" s="18"/>
    </row>
    <row r="3703" spans="13:24">
      <c r="M3703" s="558">
        <f t="shared" si="176"/>
        <v>3701</v>
      </c>
      <c r="N3703" s="15">
        <f t="shared" si="174"/>
        <v>0.28419416979687095</v>
      </c>
      <c r="O3703" s="165">
        <f t="shared" si="175"/>
        <v>0.28419416979687095</v>
      </c>
      <c r="P3703" s="18"/>
      <c r="Q3703" s="18"/>
      <c r="R3703" s="18"/>
      <c r="S3703" s="18"/>
      <c r="T3703" s="18"/>
      <c r="U3703" s="18"/>
      <c r="V3703" s="18"/>
      <c r="W3703" s="18"/>
      <c r="X3703" s="18"/>
    </row>
    <row r="3704" spans="13:24">
      <c r="M3704" s="558">
        <f t="shared" si="176"/>
        <v>3702</v>
      </c>
      <c r="N3704" s="15">
        <f t="shared" si="174"/>
        <v>0.28413738616913364</v>
      </c>
      <c r="O3704" s="165">
        <f t="shared" si="175"/>
        <v>0.28413738616913364</v>
      </c>
      <c r="P3704" s="18"/>
      <c r="Q3704" s="18"/>
      <c r="R3704" s="18"/>
      <c r="S3704" s="18"/>
      <c r="T3704" s="18"/>
      <c r="U3704" s="18"/>
      <c r="V3704" s="18"/>
      <c r="W3704" s="18"/>
      <c r="X3704" s="18"/>
    </row>
    <row r="3705" spans="13:24">
      <c r="M3705" s="558">
        <f t="shared" si="176"/>
        <v>3703</v>
      </c>
      <c r="N3705" s="15">
        <f t="shared" si="174"/>
        <v>0.28408060933523632</v>
      </c>
      <c r="O3705" s="165">
        <f t="shared" si="175"/>
        <v>0.28408060933523632</v>
      </c>
      <c r="P3705" s="18"/>
      <c r="Q3705" s="18"/>
      <c r="R3705" s="18"/>
      <c r="S3705" s="18"/>
      <c r="T3705" s="18"/>
      <c r="U3705" s="18"/>
      <c r="V3705" s="18"/>
      <c r="W3705" s="18"/>
      <c r="X3705" s="18"/>
    </row>
    <row r="3706" spans="13:24">
      <c r="M3706" s="558">
        <f t="shared" si="176"/>
        <v>3704</v>
      </c>
      <c r="N3706" s="15">
        <f t="shared" si="174"/>
        <v>0.2840238392866532</v>
      </c>
      <c r="O3706" s="165">
        <f t="shared" si="175"/>
        <v>0.2840238392866532</v>
      </c>
      <c r="P3706" s="18"/>
      <c r="Q3706" s="18"/>
      <c r="R3706" s="18"/>
      <c r="S3706" s="18"/>
      <c r="T3706" s="18"/>
      <c r="U3706" s="18"/>
      <c r="V3706" s="18"/>
      <c r="W3706" s="18"/>
      <c r="X3706" s="18"/>
    </row>
    <row r="3707" spans="13:24">
      <c r="M3707" s="558">
        <f t="shared" si="176"/>
        <v>3705</v>
      </c>
      <c r="N3707" s="15">
        <f t="shared" si="174"/>
        <v>0.28396707601486926</v>
      </c>
      <c r="O3707" s="165">
        <f t="shared" si="175"/>
        <v>0.28396707601486926</v>
      </c>
      <c r="P3707" s="18"/>
      <c r="Q3707" s="18"/>
      <c r="R3707" s="18"/>
      <c r="S3707" s="18"/>
      <c r="T3707" s="18"/>
      <c r="U3707" s="18"/>
      <c r="V3707" s="18"/>
      <c r="W3707" s="18"/>
      <c r="X3707" s="18"/>
    </row>
    <row r="3708" spans="13:24">
      <c r="M3708" s="558">
        <f t="shared" si="176"/>
        <v>3706</v>
      </c>
      <c r="N3708" s="15">
        <f t="shared" si="174"/>
        <v>0.28391031951138029</v>
      </c>
      <c r="O3708" s="165">
        <f t="shared" si="175"/>
        <v>0.28391031951138029</v>
      </c>
      <c r="P3708" s="18"/>
      <c r="Q3708" s="18"/>
      <c r="R3708" s="18"/>
      <c r="S3708" s="18"/>
      <c r="T3708" s="18"/>
      <c r="U3708" s="18"/>
      <c r="V3708" s="18"/>
      <c r="W3708" s="18"/>
      <c r="X3708" s="18"/>
    </row>
    <row r="3709" spans="13:24">
      <c r="M3709" s="558">
        <f t="shared" si="176"/>
        <v>3707</v>
      </c>
      <c r="N3709" s="15">
        <f t="shared" si="174"/>
        <v>0.28385356976769244</v>
      </c>
      <c r="O3709" s="165">
        <f t="shared" si="175"/>
        <v>0.28385356976769244</v>
      </c>
      <c r="P3709" s="18"/>
      <c r="Q3709" s="18"/>
      <c r="R3709" s="18"/>
      <c r="S3709" s="18"/>
      <c r="T3709" s="18"/>
      <c r="U3709" s="18"/>
      <c r="V3709" s="18"/>
      <c r="W3709" s="18"/>
      <c r="X3709" s="18"/>
    </row>
    <row r="3710" spans="13:24">
      <c r="M3710" s="558">
        <f t="shared" si="176"/>
        <v>3708</v>
      </c>
      <c r="N3710" s="15">
        <f t="shared" si="174"/>
        <v>0.28379682677532286</v>
      </c>
      <c r="O3710" s="165">
        <f t="shared" si="175"/>
        <v>0.28379682677532286</v>
      </c>
      <c r="P3710" s="18"/>
      <c r="Q3710" s="18"/>
      <c r="R3710" s="18"/>
      <c r="S3710" s="18"/>
      <c r="T3710" s="18"/>
      <c r="U3710" s="18"/>
      <c r="V3710" s="18"/>
      <c r="W3710" s="18"/>
      <c r="X3710" s="18"/>
    </row>
    <row r="3711" spans="13:24">
      <c r="M3711" s="558">
        <f t="shared" si="176"/>
        <v>3709</v>
      </c>
      <c r="N3711" s="15">
        <f t="shared" si="174"/>
        <v>0.28374009052579902</v>
      </c>
      <c r="O3711" s="165">
        <f t="shared" si="175"/>
        <v>0.28374009052579902</v>
      </c>
      <c r="P3711" s="18"/>
      <c r="Q3711" s="18"/>
      <c r="R3711" s="18"/>
      <c r="S3711" s="18"/>
      <c r="T3711" s="18"/>
      <c r="U3711" s="18"/>
      <c r="V3711" s="18"/>
      <c r="W3711" s="18"/>
      <c r="X3711" s="18"/>
    </row>
    <row r="3712" spans="13:24">
      <c r="M3712" s="558">
        <f t="shared" si="176"/>
        <v>3710</v>
      </c>
      <c r="N3712" s="15">
        <f t="shared" si="174"/>
        <v>0.28368336101065933</v>
      </c>
      <c r="O3712" s="165">
        <f t="shared" si="175"/>
        <v>0.28368336101065933</v>
      </c>
      <c r="P3712" s="18"/>
      <c r="Q3712" s="18"/>
      <c r="R3712" s="18"/>
      <c r="S3712" s="18"/>
      <c r="T3712" s="18"/>
      <c r="U3712" s="18"/>
      <c r="V3712" s="18"/>
      <c r="W3712" s="18"/>
      <c r="X3712" s="18"/>
    </row>
    <row r="3713" spans="13:24">
      <c r="M3713" s="558">
        <f t="shared" si="176"/>
        <v>3711</v>
      </c>
      <c r="N3713" s="15">
        <f t="shared" si="174"/>
        <v>0.28362663822145268</v>
      </c>
      <c r="O3713" s="165">
        <f t="shared" si="175"/>
        <v>0.28362663822145268</v>
      </c>
      <c r="P3713" s="18"/>
      <c r="Q3713" s="18"/>
      <c r="R3713" s="18"/>
      <c r="S3713" s="18"/>
      <c r="T3713" s="18"/>
      <c r="U3713" s="18"/>
      <c r="V3713" s="18"/>
      <c r="W3713" s="18"/>
      <c r="X3713" s="18"/>
    </row>
    <row r="3714" spans="13:24">
      <c r="M3714" s="558">
        <f t="shared" si="176"/>
        <v>3712</v>
      </c>
      <c r="N3714" s="15">
        <f t="shared" si="174"/>
        <v>0.28356992214973847</v>
      </c>
      <c r="O3714" s="165">
        <f t="shared" si="175"/>
        <v>0.28356992214973847</v>
      </c>
      <c r="P3714" s="18"/>
      <c r="Q3714" s="18"/>
      <c r="R3714" s="18"/>
      <c r="S3714" s="18"/>
      <c r="T3714" s="18"/>
      <c r="U3714" s="18"/>
      <c r="V3714" s="18"/>
      <c r="W3714" s="18"/>
      <c r="X3714" s="18"/>
    </row>
    <row r="3715" spans="13:24">
      <c r="M3715" s="558">
        <f t="shared" si="176"/>
        <v>3713</v>
      </c>
      <c r="N3715" s="15">
        <f t="shared" si="174"/>
        <v>0.2835132127870868</v>
      </c>
      <c r="O3715" s="165">
        <f t="shared" si="175"/>
        <v>0.2835132127870868</v>
      </c>
      <c r="P3715" s="18"/>
      <c r="Q3715" s="18"/>
      <c r="R3715" s="18"/>
      <c r="S3715" s="18"/>
      <c r="T3715" s="18"/>
      <c r="U3715" s="18"/>
      <c r="V3715" s="18"/>
      <c r="W3715" s="18"/>
      <c r="X3715" s="18"/>
    </row>
    <row r="3716" spans="13:24">
      <c r="M3716" s="558">
        <f t="shared" si="176"/>
        <v>3714</v>
      </c>
      <c r="N3716" s="15">
        <f t="shared" ref="N3716:N3779" si="177">IF(M3716&lt;$B$31+1,$B$32+$B$33/$B$31*(8760-M3716)+$B$34*IF(M3716&lt;$B$36-$B$31/(2*$B$35),1,IF(M3716&lt;$B$36+$B$31/(2*$B$35),COS(PI()/2*(M3716-($B$36-$B$31/(2*$B$35)))*$B$35/$B$31)^2,0))+$B$37*EXP((8760-M3716)/8760*$B$38)/EXP($B$38)-(8760-$B$31)*$B$33/$B$31,0)</f>
        <v>0.28345651012507839</v>
      </c>
      <c r="O3716" s="165">
        <f t="shared" ref="O3716:O3779" si="178">MIN(N3716,C$24)</f>
        <v>0.28345651012507839</v>
      </c>
      <c r="P3716" s="18"/>
      <c r="Q3716" s="18"/>
      <c r="R3716" s="18"/>
      <c r="S3716" s="18"/>
      <c r="T3716" s="18"/>
      <c r="U3716" s="18"/>
      <c r="V3716" s="18"/>
      <c r="W3716" s="18"/>
      <c r="X3716" s="18"/>
    </row>
    <row r="3717" spans="13:24">
      <c r="M3717" s="558">
        <f t="shared" ref="M3717:M3780" si="179">M3716+1</f>
        <v>3715</v>
      </c>
      <c r="N3717" s="15">
        <f t="shared" si="177"/>
        <v>0.28339981415530446</v>
      </c>
      <c r="O3717" s="165">
        <f t="shared" si="178"/>
        <v>0.28339981415530446</v>
      </c>
      <c r="P3717" s="18"/>
      <c r="Q3717" s="18"/>
      <c r="R3717" s="18"/>
      <c r="S3717" s="18"/>
      <c r="T3717" s="18"/>
      <c r="U3717" s="18"/>
      <c r="V3717" s="18"/>
      <c r="W3717" s="18"/>
      <c r="X3717" s="18"/>
    </row>
    <row r="3718" spans="13:24">
      <c r="M3718" s="558">
        <f t="shared" si="179"/>
        <v>3716</v>
      </c>
      <c r="N3718" s="15">
        <f t="shared" si="177"/>
        <v>0.2833431248693668</v>
      </c>
      <c r="O3718" s="165">
        <f t="shared" si="178"/>
        <v>0.2833431248693668</v>
      </c>
      <c r="P3718" s="18"/>
      <c r="Q3718" s="18"/>
      <c r="R3718" s="18"/>
      <c r="S3718" s="18"/>
      <c r="T3718" s="18"/>
      <c r="U3718" s="18"/>
      <c r="V3718" s="18"/>
      <c r="W3718" s="18"/>
      <c r="X3718" s="18"/>
    </row>
    <row r="3719" spans="13:24">
      <c r="M3719" s="558">
        <f t="shared" si="179"/>
        <v>3717</v>
      </c>
      <c r="N3719" s="15">
        <f t="shared" si="177"/>
        <v>0.28328644225887767</v>
      </c>
      <c r="O3719" s="165">
        <f t="shared" si="178"/>
        <v>0.28328644225887767</v>
      </c>
      <c r="P3719" s="18"/>
      <c r="Q3719" s="18"/>
      <c r="R3719" s="18"/>
      <c r="S3719" s="18"/>
      <c r="T3719" s="18"/>
      <c r="U3719" s="18"/>
      <c r="V3719" s="18"/>
      <c r="W3719" s="18"/>
      <c r="X3719" s="18"/>
    </row>
    <row r="3720" spans="13:24">
      <c r="M3720" s="558">
        <f t="shared" si="179"/>
        <v>3718</v>
      </c>
      <c r="N3720" s="15">
        <f t="shared" si="177"/>
        <v>0.28322976631545999</v>
      </c>
      <c r="O3720" s="165">
        <f t="shared" si="178"/>
        <v>0.28322976631545999</v>
      </c>
      <c r="P3720" s="18"/>
      <c r="Q3720" s="18"/>
      <c r="R3720" s="18"/>
      <c r="S3720" s="18"/>
      <c r="T3720" s="18"/>
      <c r="U3720" s="18"/>
      <c r="V3720" s="18"/>
      <c r="W3720" s="18"/>
      <c r="X3720" s="18"/>
    </row>
    <row r="3721" spans="13:24">
      <c r="M3721" s="558">
        <f t="shared" si="179"/>
        <v>3719</v>
      </c>
      <c r="N3721" s="15">
        <f t="shared" si="177"/>
        <v>0.28317309703074711</v>
      </c>
      <c r="O3721" s="165">
        <f t="shared" si="178"/>
        <v>0.28317309703074711</v>
      </c>
      <c r="P3721" s="18"/>
      <c r="Q3721" s="18"/>
      <c r="R3721" s="18"/>
      <c r="S3721" s="18"/>
      <c r="T3721" s="18"/>
      <c r="U3721" s="18"/>
      <c r="V3721" s="18"/>
      <c r="W3721" s="18"/>
      <c r="X3721" s="18"/>
    </row>
    <row r="3722" spans="13:24">
      <c r="M3722" s="558">
        <f t="shared" si="179"/>
        <v>3720</v>
      </c>
      <c r="N3722" s="15">
        <f t="shared" si="177"/>
        <v>0.28311643439638284</v>
      </c>
      <c r="O3722" s="165">
        <f t="shared" si="178"/>
        <v>0.28311643439638284</v>
      </c>
      <c r="P3722" s="18"/>
      <c r="Q3722" s="18"/>
      <c r="R3722" s="18"/>
      <c r="S3722" s="18"/>
      <c r="T3722" s="18"/>
      <c r="U3722" s="18"/>
      <c r="V3722" s="18"/>
      <c r="W3722" s="18"/>
      <c r="X3722" s="18"/>
    </row>
    <row r="3723" spans="13:24">
      <c r="M3723" s="558">
        <f t="shared" si="179"/>
        <v>3721</v>
      </c>
      <c r="N3723" s="15">
        <f t="shared" si="177"/>
        <v>0.28305977840402158</v>
      </c>
      <c r="O3723" s="165">
        <f t="shared" si="178"/>
        <v>0.28305977840402158</v>
      </c>
      <c r="P3723" s="18"/>
      <c r="Q3723" s="18"/>
      <c r="R3723" s="18"/>
      <c r="S3723" s="18"/>
      <c r="T3723" s="18"/>
      <c r="U3723" s="18"/>
      <c r="V3723" s="18"/>
      <c r="W3723" s="18"/>
      <c r="X3723" s="18"/>
    </row>
    <row r="3724" spans="13:24">
      <c r="M3724" s="558">
        <f t="shared" si="179"/>
        <v>3722</v>
      </c>
      <c r="N3724" s="15">
        <f t="shared" si="177"/>
        <v>0.28300312904532815</v>
      </c>
      <c r="O3724" s="165">
        <f t="shared" si="178"/>
        <v>0.28300312904532815</v>
      </c>
      <c r="P3724" s="18"/>
      <c r="Q3724" s="18"/>
      <c r="R3724" s="18"/>
      <c r="S3724" s="18"/>
      <c r="T3724" s="18"/>
      <c r="U3724" s="18"/>
      <c r="V3724" s="18"/>
      <c r="W3724" s="18"/>
      <c r="X3724" s="18"/>
    </row>
    <row r="3725" spans="13:24">
      <c r="M3725" s="558">
        <f t="shared" si="179"/>
        <v>3723</v>
      </c>
      <c r="N3725" s="15">
        <f t="shared" si="177"/>
        <v>0.28294648631197777</v>
      </c>
      <c r="O3725" s="165">
        <f t="shared" si="178"/>
        <v>0.28294648631197777</v>
      </c>
      <c r="P3725" s="18"/>
      <c r="Q3725" s="18"/>
      <c r="R3725" s="18"/>
      <c r="S3725" s="18"/>
      <c r="T3725" s="18"/>
      <c r="U3725" s="18"/>
      <c r="V3725" s="18"/>
      <c r="W3725" s="18"/>
      <c r="X3725" s="18"/>
    </row>
    <row r="3726" spans="13:24">
      <c r="M3726" s="558">
        <f t="shared" si="179"/>
        <v>3724</v>
      </c>
      <c r="N3726" s="15">
        <f t="shared" si="177"/>
        <v>0.28288985019565621</v>
      </c>
      <c r="O3726" s="165">
        <f t="shared" si="178"/>
        <v>0.28288985019565621</v>
      </c>
      <c r="P3726" s="18"/>
      <c r="Q3726" s="18"/>
      <c r="R3726" s="18"/>
      <c r="S3726" s="18"/>
      <c r="T3726" s="18"/>
      <c r="U3726" s="18"/>
      <c r="V3726" s="18"/>
      <c r="W3726" s="18"/>
      <c r="X3726" s="18"/>
    </row>
    <row r="3727" spans="13:24">
      <c r="M3727" s="558">
        <f t="shared" si="179"/>
        <v>3725</v>
      </c>
      <c r="N3727" s="15">
        <f t="shared" si="177"/>
        <v>0.28283322068805966</v>
      </c>
      <c r="O3727" s="165">
        <f t="shared" si="178"/>
        <v>0.28283322068805966</v>
      </c>
      <c r="P3727" s="18"/>
      <c r="Q3727" s="18"/>
      <c r="R3727" s="18"/>
      <c r="S3727" s="18"/>
      <c r="T3727" s="18"/>
      <c r="U3727" s="18"/>
      <c r="V3727" s="18"/>
      <c r="W3727" s="18"/>
      <c r="X3727" s="18"/>
    </row>
    <row r="3728" spans="13:24">
      <c r="M3728" s="558">
        <f t="shared" si="179"/>
        <v>3726</v>
      </c>
      <c r="N3728" s="15">
        <f t="shared" si="177"/>
        <v>0.28277659778089465</v>
      </c>
      <c r="O3728" s="165">
        <f t="shared" si="178"/>
        <v>0.28277659778089465</v>
      </c>
      <c r="P3728" s="18"/>
      <c r="Q3728" s="18"/>
      <c r="R3728" s="18"/>
      <c r="S3728" s="18"/>
      <c r="T3728" s="18"/>
      <c r="U3728" s="18"/>
      <c r="V3728" s="18"/>
      <c r="W3728" s="18"/>
      <c r="X3728" s="18"/>
    </row>
    <row r="3729" spans="13:24">
      <c r="M3729" s="558">
        <f t="shared" si="179"/>
        <v>3727</v>
      </c>
      <c r="N3729" s="15">
        <f t="shared" si="177"/>
        <v>0.28271998146587818</v>
      </c>
      <c r="O3729" s="165">
        <f t="shared" si="178"/>
        <v>0.28271998146587818</v>
      </c>
      <c r="P3729" s="18"/>
      <c r="Q3729" s="18"/>
      <c r="R3729" s="18"/>
      <c r="S3729" s="18"/>
      <c r="T3729" s="18"/>
      <c r="U3729" s="18"/>
      <c r="V3729" s="18"/>
      <c r="W3729" s="18"/>
      <c r="X3729" s="18"/>
    </row>
    <row r="3730" spans="13:24">
      <c r="M3730" s="558">
        <f t="shared" si="179"/>
        <v>3728</v>
      </c>
      <c r="N3730" s="15">
        <f t="shared" si="177"/>
        <v>0.2826633717347376</v>
      </c>
      <c r="O3730" s="165">
        <f t="shared" si="178"/>
        <v>0.2826633717347376</v>
      </c>
      <c r="P3730" s="18"/>
      <c r="Q3730" s="18"/>
      <c r="R3730" s="18"/>
      <c r="S3730" s="18"/>
      <c r="T3730" s="18"/>
      <c r="U3730" s="18"/>
      <c r="V3730" s="18"/>
      <c r="W3730" s="18"/>
      <c r="X3730" s="18"/>
    </row>
    <row r="3731" spans="13:24">
      <c r="M3731" s="558">
        <f t="shared" si="179"/>
        <v>3729</v>
      </c>
      <c r="N3731" s="15">
        <f t="shared" si="177"/>
        <v>0.2826067685792108</v>
      </c>
      <c r="O3731" s="165">
        <f t="shared" si="178"/>
        <v>0.2826067685792108</v>
      </c>
      <c r="P3731" s="18"/>
      <c r="Q3731" s="18"/>
      <c r="R3731" s="18"/>
      <c r="S3731" s="18"/>
      <c r="T3731" s="18"/>
      <c r="U3731" s="18"/>
      <c r="V3731" s="18"/>
      <c r="W3731" s="18"/>
      <c r="X3731" s="18"/>
    </row>
    <row r="3732" spans="13:24">
      <c r="M3732" s="558">
        <f t="shared" si="179"/>
        <v>3730</v>
      </c>
      <c r="N3732" s="15">
        <f t="shared" si="177"/>
        <v>0.28255017199104576</v>
      </c>
      <c r="O3732" s="165">
        <f t="shared" si="178"/>
        <v>0.28255017199104576</v>
      </c>
      <c r="P3732" s="18"/>
      <c r="Q3732" s="18"/>
      <c r="R3732" s="18"/>
      <c r="S3732" s="18"/>
      <c r="T3732" s="18"/>
      <c r="U3732" s="18"/>
      <c r="V3732" s="18"/>
      <c r="W3732" s="18"/>
      <c r="X3732" s="18"/>
    </row>
    <row r="3733" spans="13:24">
      <c r="M3733" s="558">
        <f t="shared" si="179"/>
        <v>3731</v>
      </c>
      <c r="N3733" s="15">
        <f t="shared" si="177"/>
        <v>0.28249358196200108</v>
      </c>
      <c r="O3733" s="165">
        <f t="shared" si="178"/>
        <v>0.28249358196200108</v>
      </c>
      <c r="P3733" s="18"/>
      <c r="Q3733" s="18"/>
      <c r="R3733" s="18"/>
      <c r="S3733" s="18"/>
      <c r="T3733" s="18"/>
      <c r="U3733" s="18"/>
      <c r="V3733" s="18"/>
      <c r="W3733" s="18"/>
      <c r="X3733" s="18"/>
    </row>
    <row r="3734" spans="13:24">
      <c r="M3734" s="558">
        <f t="shared" si="179"/>
        <v>3732</v>
      </c>
      <c r="N3734" s="15">
        <f t="shared" si="177"/>
        <v>0.28243699848384551</v>
      </c>
      <c r="O3734" s="165">
        <f t="shared" si="178"/>
        <v>0.28243699848384551</v>
      </c>
      <c r="P3734" s="18"/>
      <c r="Q3734" s="18"/>
      <c r="R3734" s="18"/>
      <c r="S3734" s="18"/>
      <c r="T3734" s="18"/>
      <c r="U3734" s="18"/>
      <c r="V3734" s="18"/>
      <c r="W3734" s="18"/>
      <c r="X3734" s="18"/>
    </row>
    <row r="3735" spans="13:24">
      <c r="M3735" s="558">
        <f t="shared" si="179"/>
        <v>3733</v>
      </c>
      <c r="N3735" s="15">
        <f t="shared" si="177"/>
        <v>0.28238042154835824</v>
      </c>
      <c r="O3735" s="165">
        <f t="shared" si="178"/>
        <v>0.28238042154835824</v>
      </c>
      <c r="P3735" s="18"/>
      <c r="Q3735" s="18"/>
      <c r="R3735" s="18"/>
      <c r="S3735" s="18"/>
      <c r="T3735" s="18"/>
      <c r="U3735" s="18"/>
      <c r="V3735" s="18"/>
      <c r="W3735" s="18"/>
      <c r="X3735" s="18"/>
    </row>
    <row r="3736" spans="13:24">
      <c r="M3736" s="558">
        <f t="shared" si="179"/>
        <v>3734</v>
      </c>
      <c r="N3736" s="15">
        <f t="shared" si="177"/>
        <v>0.28232385114732877</v>
      </c>
      <c r="O3736" s="165">
        <f t="shared" si="178"/>
        <v>0.28232385114732877</v>
      </c>
      <c r="P3736" s="18"/>
      <c r="Q3736" s="18"/>
      <c r="R3736" s="18"/>
      <c r="S3736" s="18"/>
      <c r="T3736" s="18"/>
      <c r="U3736" s="18"/>
      <c r="V3736" s="18"/>
      <c r="W3736" s="18"/>
      <c r="X3736" s="18"/>
    </row>
    <row r="3737" spans="13:24">
      <c r="M3737" s="558">
        <f t="shared" si="179"/>
        <v>3735</v>
      </c>
      <c r="N3737" s="15">
        <f t="shared" si="177"/>
        <v>0.28226728727255684</v>
      </c>
      <c r="O3737" s="165">
        <f t="shared" si="178"/>
        <v>0.28226728727255684</v>
      </c>
      <c r="P3737" s="18"/>
      <c r="Q3737" s="18"/>
      <c r="R3737" s="18"/>
      <c r="S3737" s="18"/>
      <c r="T3737" s="18"/>
      <c r="U3737" s="18"/>
      <c r="V3737" s="18"/>
      <c r="W3737" s="18"/>
      <c r="X3737" s="18"/>
    </row>
    <row r="3738" spans="13:24">
      <c r="M3738" s="558">
        <f t="shared" si="179"/>
        <v>3736</v>
      </c>
      <c r="N3738" s="15">
        <f t="shared" si="177"/>
        <v>0.28221072991585255</v>
      </c>
      <c r="O3738" s="165">
        <f t="shared" si="178"/>
        <v>0.28221072991585255</v>
      </c>
      <c r="P3738" s="18"/>
      <c r="Q3738" s="18"/>
      <c r="R3738" s="18"/>
      <c r="S3738" s="18"/>
      <c r="T3738" s="18"/>
      <c r="U3738" s="18"/>
      <c r="V3738" s="18"/>
      <c r="W3738" s="18"/>
      <c r="X3738" s="18"/>
    </row>
    <row r="3739" spans="13:24">
      <c r="M3739" s="558">
        <f t="shared" si="179"/>
        <v>3737</v>
      </c>
      <c r="N3739" s="15">
        <f t="shared" si="177"/>
        <v>0.28215417906903628</v>
      </c>
      <c r="O3739" s="165">
        <f t="shared" si="178"/>
        <v>0.28215417906903628</v>
      </c>
      <c r="P3739" s="18"/>
      <c r="Q3739" s="18"/>
      <c r="R3739" s="18"/>
      <c r="S3739" s="18"/>
      <c r="T3739" s="18"/>
      <c r="U3739" s="18"/>
      <c r="V3739" s="18"/>
      <c r="W3739" s="18"/>
      <c r="X3739" s="18"/>
    </row>
    <row r="3740" spans="13:24">
      <c r="M3740" s="558">
        <f t="shared" si="179"/>
        <v>3738</v>
      </c>
      <c r="N3740" s="15">
        <f t="shared" si="177"/>
        <v>0.28209763472393862</v>
      </c>
      <c r="O3740" s="165">
        <f t="shared" si="178"/>
        <v>0.28209763472393862</v>
      </c>
      <c r="P3740" s="18"/>
      <c r="Q3740" s="18"/>
      <c r="R3740" s="18"/>
      <c r="S3740" s="18"/>
      <c r="T3740" s="18"/>
      <c r="U3740" s="18"/>
      <c r="V3740" s="18"/>
      <c r="W3740" s="18"/>
      <c r="X3740" s="18"/>
    </row>
    <row r="3741" spans="13:24">
      <c r="M3741" s="558">
        <f t="shared" si="179"/>
        <v>3739</v>
      </c>
      <c r="N3741" s="15">
        <f t="shared" si="177"/>
        <v>0.28204109687240031</v>
      </c>
      <c r="O3741" s="165">
        <f t="shared" si="178"/>
        <v>0.28204109687240031</v>
      </c>
      <c r="P3741" s="18"/>
      <c r="Q3741" s="18"/>
      <c r="R3741" s="18"/>
      <c r="S3741" s="18"/>
      <c r="T3741" s="18"/>
      <c r="U3741" s="18"/>
      <c r="V3741" s="18"/>
      <c r="W3741" s="18"/>
      <c r="X3741" s="18"/>
    </row>
    <row r="3742" spans="13:24">
      <c r="M3742" s="558">
        <f t="shared" si="179"/>
        <v>3740</v>
      </c>
      <c r="N3742" s="15">
        <f t="shared" si="177"/>
        <v>0.28198456550627266</v>
      </c>
      <c r="O3742" s="165">
        <f t="shared" si="178"/>
        <v>0.28198456550627266</v>
      </c>
      <c r="P3742" s="18"/>
      <c r="Q3742" s="18"/>
      <c r="R3742" s="18"/>
      <c r="S3742" s="18"/>
      <c r="T3742" s="18"/>
      <c r="U3742" s="18"/>
      <c r="V3742" s="18"/>
      <c r="W3742" s="18"/>
      <c r="X3742" s="18"/>
    </row>
    <row r="3743" spans="13:24">
      <c r="M3743" s="558">
        <f t="shared" si="179"/>
        <v>3741</v>
      </c>
      <c r="N3743" s="15">
        <f t="shared" si="177"/>
        <v>0.28192804061741689</v>
      </c>
      <c r="O3743" s="165">
        <f t="shared" si="178"/>
        <v>0.28192804061741689</v>
      </c>
      <c r="P3743" s="18"/>
      <c r="Q3743" s="18"/>
      <c r="R3743" s="18"/>
      <c r="S3743" s="18"/>
      <c r="T3743" s="18"/>
      <c r="U3743" s="18"/>
      <c r="V3743" s="18"/>
      <c r="W3743" s="18"/>
      <c r="X3743" s="18"/>
    </row>
    <row r="3744" spans="13:24">
      <c r="M3744" s="558">
        <f t="shared" si="179"/>
        <v>3742</v>
      </c>
      <c r="N3744" s="15">
        <f t="shared" si="177"/>
        <v>0.28187152219770456</v>
      </c>
      <c r="O3744" s="165">
        <f t="shared" si="178"/>
        <v>0.28187152219770456</v>
      </c>
      <c r="P3744" s="18"/>
      <c r="Q3744" s="18"/>
      <c r="R3744" s="18"/>
      <c r="S3744" s="18"/>
      <c r="T3744" s="18"/>
      <c r="U3744" s="18"/>
      <c r="V3744" s="18"/>
      <c r="W3744" s="18"/>
      <c r="X3744" s="18"/>
    </row>
    <row r="3745" spans="13:24">
      <c r="M3745" s="558">
        <f t="shared" si="179"/>
        <v>3743</v>
      </c>
      <c r="N3745" s="15">
        <f t="shared" si="177"/>
        <v>0.28181501023901734</v>
      </c>
      <c r="O3745" s="165">
        <f t="shared" si="178"/>
        <v>0.28181501023901734</v>
      </c>
      <c r="P3745" s="18"/>
      <c r="Q3745" s="18"/>
      <c r="R3745" s="18"/>
      <c r="S3745" s="18"/>
      <c r="T3745" s="18"/>
      <c r="U3745" s="18"/>
      <c r="V3745" s="18"/>
      <c r="W3745" s="18"/>
      <c r="X3745" s="18"/>
    </row>
    <row r="3746" spans="13:24">
      <c r="M3746" s="558">
        <f t="shared" si="179"/>
        <v>3744</v>
      </c>
      <c r="N3746" s="15">
        <f t="shared" si="177"/>
        <v>0.28175850473324732</v>
      </c>
      <c r="O3746" s="165">
        <f t="shared" si="178"/>
        <v>0.28175850473324732</v>
      </c>
      <c r="P3746" s="18"/>
      <c r="Q3746" s="18"/>
      <c r="R3746" s="18"/>
      <c r="S3746" s="18"/>
      <c r="T3746" s="18"/>
      <c r="U3746" s="18"/>
      <c r="V3746" s="18"/>
      <c r="W3746" s="18"/>
      <c r="X3746" s="18"/>
    </row>
    <row r="3747" spans="13:24">
      <c r="M3747" s="558">
        <f t="shared" si="179"/>
        <v>3745</v>
      </c>
      <c r="N3747" s="15">
        <f t="shared" si="177"/>
        <v>0.28170200567229653</v>
      </c>
      <c r="O3747" s="165">
        <f t="shared" si="178"/>
        <v>0.28170200567229653</v>
      </c>
      <c r="P3747" s="18"/>
      <c r="Q3747" s="18"/>
      <c r="R3747" s="18"/>
      <c r="S3747" s="18"/>
      <c r="T3747" s="18"/>
      <c r="U3747" s="18"/>
      <c r="V3747" s="18"/>
      <c r="W3747" s="18"/>
      <c r="X3747" s="18"/>
    </row>
    <row r="3748" spans="13:24">
      <c r="M3748" s="558">
        <f t="shared" si="179"/>
        <v>3746</v>
      </c>
      <c r="N3748" s="15">
        <f t="shared" si="177"/>
        <v>0.28164551304807722</v>
      </c>
      <c r="O3748" s="165">
        <f t="shared" si="178"/>
        <v>0.28164551304807722</v>
      </c>
      <c r="P3748" s="18"/>
      <c r="Q3748" s="18"/>
      <c r="R3748" s="18"/>
      <c r="S3748" s="18"/>
      <c r="T3748" s="18"/>
      <c r="U3748" s="18"/>
      <c r="V3748" s="18"/>
      <c r="W3748" s="18"/>
      <c r="X3748" s="18"/>
    </row>
    <row r="3749" spans="13:24">
      <c r="M3749" s="558">
        <f t="shared" si="179"/>
        <v>3747</v>
      </c>
      <c r="N3749" s="15">
        <f t="shared" si="177"/>
        <v>0.28158902685251175</v>
      </c>
      <c r="O3749" s="165">
        <f t="shared" si="178"/>
        <v>0.28158902685251175</v>
      </c>
      <c r="P3749" s="18"/>
      <c r="Q3749" s="18"/>
      <c r="R3749" s="18"/>
      <c r="S3749" s="18"/>
      <c r="T3749" s="18"/>
      <c r="U3749" s="18"/>
      <c r="V3749" s="18"/>
      <c r="W3749" s="18"/>
      <c r="X3749" s="18"/>
    </row>
    <row r="3750" spans="13:24">
      <c r="M3750" s="558">
        <f t="shared" si="179"/>
        <v>3748</v>
      </c>
      <c r="N3750" s="15">
        <f t="shared" si="177"/>
        <v>0.28153254707753284</v>
      </c>
      <c r="O3750" s="165">
        <f t="shared" si="178"/>
        <v>0.28153254707753284</v>
      </c>
      <c r="P3750" s="18"/>
      <c r="Q3750" s="18"/>
      <c r="R3750" s="18"/>
      <c r="S3750" s="18"/>
      <c r="T3750" s="18"/>
      <c r="U3750" s="18"/>
      <c r="V3750" s="18"/>
      <c r="W3750" s="18"/>
      <c r="X3750" s="18"/>
    </row>
    <row r="3751" spans="13:24">
      <c r="M3751" s="558">
        <f t="shared" si="179"/>
        <v>3749</v>
      </c>
      <c r="N3751" s="15">
        <f t="shared" si="177"/>
        <v>0.28147607371508304</v>
      </c>
      <c r="O3751" s="165">
        <f t="shared" si="178"/>
        <v>0.28147607371508304</v>
      </c>
      <c r="P3751" s="18"/>
      <c r="Q3751" s="18"/>
      <c r="R3751" s="18"/>
      <c r="S3751" s="18"/>
      <c r="T3751" s="18"/>
      <c r="U3751" s="18"/>
      <c r="V3751" s="18"/>
      <c r="W3751" s="18"/>
      <c r="X3751" s="18"/>
    </row>
    <row r="3752" spans="13:24">
      <c r="M3752" s="558">
        <f t="shared" si="179"/>
        <v>3750</v>
      </c>
      <c r="N3752" s="15">
        <f t="shared" si="177"/>
        <v>0.28141960675711514</v>
      </c>
      <c r="O3752" s="165">
        <f t="shared" si="178"/>
        <v>0.28141960675711514</v>
      </c>
      <c r="P3752" s="18"/>
      <c r="Q3752" s="18"/>
      <c r="R3752" s="18"/>
      <c r="S3752" s="18"/>
      <c r="T3752" s="18"/>
      <c r="U3752" s="18"/>
      <c r="V3752" s="18"/>
      <c r="W3752" s="18"/>
      <c r="X3752" s="18"/>
    </row>
    <row r="3753" spans="13:24">
      <c r="M3753" s="558">
        <f t="shared" si="179"/>
        <v>3751</v>
      </c>
      <c r="N3753" s="15">
        <f t="shared" si="177"/>
        <v>0.28136314619559211</v>
      </c>
      <c r="O3753" s="165">
        <f t="shared" si="178"/>
        <v>0.28136314619559211</v>
      </c>
      <c r="P3753" s="18"/>
      <c r="Q3753" s="18"/>
      <c r="R3753" s="18"/>
      <c r="S3753" s="18"/>
      <c r="T3753" s="18"/>
      <c r="U3753" s="18"/>
      <c r="V3753" s="18"/>
      <c r="W3753" s="18"/>
      <c r="X3753" s="18"/>
    </row>
    <row r="3754" spans="13:24">
      <c r="M3754" s="558">
        <f t="shared" si="179"/>
        <v>3752</v>
      </c>
      <c r="N3754" s="15">
        <f t="shared" si="177"/>
        <v>0.28130669202248687</v>
      </c>
      <c r="O3754" s="165">
        <f t="shared" si="178"/>
        <v>0.28130669202248687</v>
      </c>
      <c r="P3754" s="18"/>
      <c r="Q3754" s="18"/>
      <c r="R3754" s="18"/>
      <c r="S3754" s="18"/>
      <c r="T3754" s="18"/>
      <c r="U3754" s="18"/>
      <c r="V3754" s="18"/>
      <c r="W3754" s="18"/>
      <c r="X3754" s="18"/>
    </row>
    <row r="3755" spans="13:24">
      <c r="M3755" s="558">
        <f t="shared" si="179"/>
        <v>3753</v>
      </c>
      <c r="N3755" s="15">
        <f t="shared" si="177"/>
        <v>0.28125024422978251</v>
      </c>
      <c r="O3755" s="165">
        <f t="shared" si="178"/>
        <v>0.28125024422978251</v>
      </c>
      <c r="P3755" s="18"/>
      <c r="Q3755" s="18"/>
      <c r="R3755" s="18"/>
      <c r="S3755" s="18"/>
      <c r="T3755" s="18"/>
      <c r="U3755" s="18"/>
      <c r="V3755" s="18"/>
      <c r="W3755" s="18"/>
      <c r="X3755" s="18"/>
    </row>
    <row r="3756" spans="13:24">
      <c r="M3756" s="558">
        <f t="shared" si="179"/>
        <v>3754</v>
      </c>
      <c r="N3756" s="15">
        <f t="shared" si="177"/>
        <v>0.28119380280947204</v>
      </c>
      <c r="O3756" s="165">
        <f t="shared" si="178"/>
        <v>0.28119380280947204</v>
      </c>
      <c r="P3756" s="18"/>
      <c r="Q3756" s="18"/>
      <c r="R3756" s="18"/>
      <c r="S3756" s="18"/>
      <c r="T3756" s="18"/>
      <c r="U3756" s="18"/>
      <c r="V3756" s="18"/>
      <c r="W3756" s="18"/>
      <c r="X3756" s="18"/>
    </row>
    <row r="3757" spans="13:24">
      <c r="M3757" s="558">
        <f t="shared" si="179"/>
        <v>3755</v>
      </c>
      <c r="N3757" s="15">
        <f t="shared" si="177"/>
        <v>0.28113736775355874</v>
      </c>
      <c r="O3757" s="165">
        <f t="shared" si="178"/>
        <v>0.28113736775355874</v>
      </c>
      <c r="P3757" s="18"/>
      <c r="Q3757" s="18"/>
      <c r="R3757" s="18"/>
      <c r="S3757" s="18"/>
      <c r="T3757" s="18"/>
      <c r="U3757" s="18"/>
      <c r="V3757" s="18"/>
      <c r="W3757" s="18"/>
      <c r="X3757" s="18"/>
    </row>
    <row r="3758" spans="13:24">
      <c r="M3758" s="558">
        <f t="shared" si="179"/>
        <v>3756</v>
      </c>
      <c r="N3758" s="15">
        <f t="shared" si="177"/>
        <v>0.28108093905405579</v>
      </c>
      <c r="O3758" s="165">
        <f t="shared" si="178"/>
        <v>0.28108093905405579</v>
      </c>
      <c r="P3758" s="18"/>
      <c r="Q3758" s="18"/>
      <c r="R3758" s="18"/>
      <c r="S3758" s="18"/>
      <c r="T3758" s="18"/>
      <c r="U3758" s="18"/>
      <c r="V3758" s="18"/>
      <c r="W3758" s="18"/>
      <c r="X3758" s="18"/>
    </row>
    <row r="3759" spans="13:24">
      <c r="M3759" s="558">
        <f t="shared" si="179"/>
        <v>3757</v>
      </c>
      <c r="N3759" s="15">
        <f t="shared" si="177"/>
        <v>0.28102451670298634</v>
      </c>
      <c r="O3759" s="165">
        <f t="shared" si="178"/>
        <v>0.28102451670298634</v>
      </c>
      <c r="P3759" s="18"/>
      <c r="Q3759" s="18"/>
      <c r="R3759" s="18"/>
      <c r="S3759" s="18"/>
      <c r="T3759" s="18"/>
      <c r="U3759" s="18"/>
      <c r="V3759" s="18"/>
      <c r="W3759" s="18"/>
      <c r="X3759" s="18"/>
    </row>
    <row r="3760" spans="13:24">
      <c r="M3760" s="558">
        <f t="shared" si="179"/>
        <v>3758</v>
      </c>
      <c r="N3760" s="15">
        <f t="shared" si="177"/>
        <v>0.28096810069238359</v>
      </c>
      <c r="O3760" s="165">
        <f t="shared" si="178"/>
        <v>0.28096810069238359</v>
      </c>
      <c r="P3760" s="18"/>
      <c r="Q3760" s="18"/>
      <c r="R3760" s="18"/>
      <c r="S3760" s="18"/>
      <c r="T3760" s="18"/>
      <c r="U3760" s="18"/>
      <c r="V3760" s="18"/>
      <c r="W3760" s="18"/>
      <c r="X3760" s="18"/>
    </row>
    <row r="3761" spans="13:24">
      <c r="M3761" s="558">
        <f t="shared" si="179"/>
        <v>3759</v>
      </c>
      <c r="N3761" s="15">
        <f t="shared" si="177"/>
        <v>0.28091169101429087</v>
      </c>
      <c r="O3761" s="165">
        <f t="shared" si="178"/>
        <v>0.28091169101429087</v>
      </c>
      <c r="P3761" s="18"/>
      <c r="Q3761" s="18"/>
      <c r="R3761" s="18"/>
      <c r="S3761" s="18"/>
      <c r="T3761" s="18"/>
      <c r="U3761" s="18"/>
      <c r="V3761" s="18"/>
      <c r="W3761" s="18"/>
      <c r="X3761" s="18"/>
    </row>
    <row r="3762" spans="13:24">
      <c r="M3762" s="558">
        <f t="shared" si="179"/>
        <v>3760</v>
      </c>
      <c r="N3762" s="15">
        <f t="shared" si="177"/>
        <v>0.28085528766076129</v>
      </c>
      <c r="O3762" s="165">
        <f t="shared" si="178"/>
        <v>0.28085528766076129</v>
      </c>
      <c r="P3762" s="18"/>
      <c r="Q3762" s="18"/>
      <c r="R3762" s="18"/>
      <c r="S3762" s="18"/>
      <c r="T3762" s="18"/>
      <c r="U3762" s="18"/>
      <c r="V3762" s="18"/>
      <c r="W3762" s="18"/>
      <c r="X3762" s="18"/>
    </row>
    <row r="3763" spans="13:24">
      <c r="M3763" s="558">
        <f t="shared" si="179"/>
        <v>3761</v>
      </c>
      <c r="N3763" s="15">
        <f t="shared" si="177"/>
        <v>0.2807988906238581</v>
      </c>
      <c r="O3763" s="165">
        <f t="shared" si="178"/>
        <v>0.2807988906238581</v>
      </c>
      <c r="P3763" s="18"/>
      <c r="Q3763" s="18"/>
      <c r="R3763" s="18"/>
      <c r="S3763" s="18"/>
      <c r="T3763" s="18"/>
      <c r="U3763" s="18"/>
      <c r="V3763" s="18"/>
      <c r="W3763" s="18"/>
      <c r="X3763" s="18"/>
    </row>
    <row r="3764" spans="13:24">
      <c r="M3764" s="558">
        <f t="shared" si="179"/>
        <v>3762</v>
      </c>
      <c r="N3764" s="15">
        <f t="shared" si="177"/>
        <v>0.28074249989565442</v>
      </c>
      <c r="O3764" s="165">
        <f t="shared" si="178"/>
        <v>0.28074249989565442</v>
      </c>
      <c r="P3764" s="18"/>
      <c r="Q3764" s="18"/>
      <c r="R3764" s="18"/>
      <c r="S3764" s="18"/>
      <c r="T3764" s="18"/>
      <c r="U3764" s="18"/>
      <c r="V3764" s="18"/>
      <c r="W3764" s="18"/>
      <c r="X3764" s="18"/>
    </row>
    <row r="3765" spans="13:24">
      <c r="M3765" s="558">
        <f t="shared" si="179"/>
        <v>3763</v>
      </c>
      <c r="N3765" s="15">
        <f t="shared" si="177"/>
        <v>0.2806861154682333</v>
      </c>
      <c r="O3765" s="165">
        <f t="shared" si="178"/>
        <v>0.2806861154682333</v>
      </c>
      <c r="P3765" s="18"/>
      <c r="Q3765" s="18"/>
      <c r="R3765" s="18"/>
      <c r="S3765" s="18"/>
      <c r="T3765" s="18"/>
      <c r="U3765" s="18"/>
      <c r="V3765" s="18"/>
      <c r="W3765" s="18"/>
      <c r="X3765" s="18"/>
    </row>
    <row r="3766" spans="13:24">
      <c r="M3766" s="558">
        <f t="shared" si="179"/>
        <v>3764</v>
      </c>
      <c r="N3766" s="15">
        <f t="shared" si="177"/>
        <v>0.28062973733368785</v>
      </c>
      <c r="O3766" s="165">
        <f t="shared" si="178"/>
        <v>0.28062973733368785</v>
      </c>
      <c r="P3766" s="18"/>
      <c r="Q3766" s="18"/>
      <c r="R3766" s="18"/>
      <c r="S3766" s="18"/>
      <c r="T3766" s="18"/>
      <c r="U3766" s="18"/>
      <c r="V3766" s="18"/>
      <c r="W3766" s="18"/>
      <c r="X3766" s="18"/>
    </row>
    <row r="3767" spans="13:24">
      <c r="M3767" s="558">
        <f t="shared" si="179"/>
        <v>3765</v>
      </c>
      <c r="N3767" s="15">
        <f t="shared" si="177"/>
        <v>0.28057336548412093</v>
      </c>
      <c r="O3767" s="165">
        <f t="shared" si="178"/>
        <v>0.28057336548412093</v>
      </c>
      <c r="P3767" s="18"/>
      <c r="Q3767" s="18"/>
      <c r="R3767" s="18"/>
      <c r="S3767" s="18"/>
      <c r="T3767" s="18"/>
      <c r="U3767" s="18"/>
      <c r="V3767" s="18"/>
      <c r="W3767" s="18"/>
      <c r="X3767" s="18"/>
    </row>
    <row r="3768" spans="13:24">
      <c r="M3768" s="558">
        <f t="shared" si="179"/>
        <v>3766</v>
      </c>
      <c r="N3768" s="15">
        <f t="shared" si="177"/>
        <v>0.28051699991164547</v>
      </c>
      <c r="O3768" s="165">
        <f t="shared" si="178"/>
        <v>0.28051699991164547</v>
      </c>
      <c r="P3768" s="18"/>
      <c r="Q3768" s="18"/>
      <c r="R3768" s="18"/>
      <c r="S3768" s="18"/>
      <c r="T3768" s="18"/>
      <c r="U3768" s="18"/>
      <c r="V3768" s="18"/>
      <c r="W3768" s="18"/>
      <c r="X3768" s="18"/>
    </row>
    <row r="3769" spans="13:24">
      <c r="M3769" s="558">
        <f t="shared" si="179"/>
        <v>3767</v>
      </c>
      <c r="N3769" s="15">
        <f t="shared" si="177"/>
        <v>0.28046064060838416</v>
      </c>
      <c r="O3769" s="165">
        <f t="shared" si="178"/>
        <v>0.28046064060838416</v>
      </c>
      <c r="P3769" s="18"/>
      <c r="Q3769" s="18"/>
      <c r="R3769" s="18"/>
      <c r="S3769" s="18"/>
      <c r="T3769" s="18"/>
      <c r="U3769" s="18"/>
      <c r="V3769" s="18"/>
      <c r="W3769" s="18"/>
      <c r="X3769" s="18"/>
    </row>
    <row r="3770" spans="13:24">
      <c r="M3770" s="558">
        <f t="shared" si="179"/>
        <v>3768</v>
      </c>
      <c r="N3770" s="15">
        <f t="shared" si="177"/>
        <v>0.28040428756646968</v>
      </c>
      <c r="O3770" s="165">
        <f t="shared" si="178"/>
        <v>0.28040428756646968</v>
      </c>
      <c r="P3770" s="18"/>
      <c r="Q3770" s="18"/>
      <c r="R3770" s="18"/>
      <c r="S3770" s="18"/>
      <c r="T3770" s="18"/>
      <c r="U3770" s="18"/>
      <c r="V3770" s="18"/>
      <c r="W3770" s="18"/>
      <c r="X3770" s="18"/>
    </row>
    <row r="3771" spans="13:24">
      <c r="M3771" s="558">
        <f t="shared" si="179"/>
        <v>3769</v>
      </c>
      <c r="N3771" s="15">
        <f t="shared" si="177"/>
        <v>0.28034794077804448</v>
      </c>
      <c r="O3771" s="165">
        <f t="shared" si="178"/>
        <v>0.28034794077804448</v>
      </c>
      <c r="P3771" s="18"/>
      <c r="Q3771" s="18"/>
      <c r="R3771" s="18"/>
      <c r="S3771" s="18"/>
      <c r="T3771" s="18"/>
      <c r="U3771" s="18"/>
      <c r="V3771" s="18"/>
      <c r="W3771" s="18"/>
      <c r="X3771" s="18"/>
    </row>
    <row r="3772" spans="13:24">
      <c r="M3772" s="558">
        <f t="shared" si="179"/>
        <v>3770</v>
      </c>
      <c r="N3772" s="15">
        <f t="shared" si="177"/>
        <v>0.28029160023526106</v>
      </c>
      <c r="O3772" s="165">
        <f t="shared" si="178"/>
        <v>0.28029160023526106</v>
      </c>
      <c r="P3772" s="18"/>
      <c r="Q3772" s="18"/>
      <c r="R3772" s="18"/>
      <c r="S3772" s="18"/>
      <c r="T3772" s="18"/>
      <c r="U3772" s="18"/>
      <c r="V3772" s="18"/>
      <c r="W3772" s="18"/>
      <c r="X3772" s="18"/>
    </row>
    <row r="3773" spans="13:24">
      <c r="M3773" s="558">
        <f t="shared" si="179"/>
        <v>3771</v>
      </c>
      <c r="N3773" s="15">
        <f t="shared" si="177"/>
        <v>0.28023526593028153</v>
      </c>
      <c r="O3773" s="165">
        <f t="shared" si="178"/>
        <v>0.28023526593028153</v>
      </c>
      <c r="P3773" s="18"/>
      <c r="Q3773" s="18"/>
      <c r="R3773" s="18"/>
      <c r="S3773" s="18"/>
      <c r="T3773" s="18"/>
      <c r="U3773" s="18"/>
      <c r="V3773" s="18"/>
      <c r="W3773" s="18"/>
      <c r="X3773" s="18"/>
    </row>
    <row r="3774" spans="13:24">
      <c r="M3774" s="558">
        <f t="shared" si="179"/>
        <v>3772</v>
      </c>
      <c r="N3774" s="15">
        <f t="shared" si="177"/>
        <v>0.28017893785527798</v>
      </c>
      <c r="O3774" s="165">
        <f t="shared" si="178"/>
        <v>0.28017893785527798</v>
      </c>
      <c r="P3774" s="18"/>
      <c r="Q3774" s="18"/>
      <c r="R3774" s="18"/>
      <c r="S3774" s="18"/>
      <c r="T3774" s="18"/>
      <c r="U3774" s="18"/>
      <c r="V3774" s="18"/>
      <c r="W3774" s="18"/>
      <c r="X3774" s="18"/>
    </row>
    <row r="3775" spans="13:24">
      <c r="M3775" s="558">
        <f t="shared" si="179"/>
        <v>3773</v>
      </c>
      <c r="N3775" s="15">
        <f t="shared" si="177"/>
        <v>0.28012261600243221</v>
      </c>
      <c r="O3775" s="165">
        <f t="shared" si="178"/>
        <v>0.28012261600243221</v>
      </c>
      <c r="P3775" s="18"/>
      <c r="Q3775" s="18"/>
      <c r="R3775" s="18"/>
      <c r="S3775" s="18"/>
      <c r="T3775" s="18"/>
      <c r="U3775" s="18"/>
      <c r="V3775" s="18"/>
      <c r="W3775" s="18"/>
      <c r="X3775" s="18"/>
    </row>
    <row r="3776" spans="13:24">
      <c r="M3776" s="558">
        <f t="shared" si="179"/>
        <v>3774</v>
      </c>
      <c r="N3776" s="15">
        <f t="shared" si="177"/>
        <v>0.28006630036393609</v>
      </c>
      <c r="O3776" s="165">
        <f t="shared" si="178"/>
        <v>0.28006630036393609</v>
      </c>
      <c r="P3776" s="18"/>
      <c r="Q3776" s="18"/>
      <c r="R3776" s="18"/>
      <c r="S3776" s="18"/>
      <c r="T3776" s="18"/>
      <c r="U3776" s="18"/>
      <c r="V3776" s="18"/>
      <c r="W3776" s="18"/>
      <c r="X3776" s="18"/>
    </row>
    <row r="3777" spans="13:24">
      <c r="M3777" s="558">
        <f t="shared" si="179"/>
        <v>3775</v>
      </c>
      <c r="N3777" s="15">
        <f t="shared" si="177"/>
        <v>0.28000999093199103</v>
      </c>
      <c r="O3777" s="165">
        <f t="shared" si="178"/>
        <v>0.28000999093199103</v>
      </c>
      <c r="P3777" s="18"/>
      <c r="Q3777" s="18"/>
      <c r="R3777" s="18"/>
      <c r="S3777" s="18"/>
      <c r="T3777" s="18"/>
      <c r="U3777" s="18"/>
      <c r="V3777" s="18"/>
      <c r="W3777" s="18"/>
      <c r="X3777" s="18"/>
    </row>
    <row r="3778" spans="13:24">
      <c r="M3778" s="558">
        <f t="shared" si="179"/>
        <v>3776</v>
      </c>
      <c r="N3778" s="15">
        <f t="shared" si="177"/>
        <v>0.27995368769880824</v>
      </c>
      <c r="O3778" s="165">
        <f t="shared" si="178"/>
        <v>0.27995368769880824</v>
      </c>
      <c r="P3778" s="18"/>
      <c r="Q3778" s="18"/>
      <c r="R3778" s="18"/>
      <c r="S3778" s="18"/>
      <c r="T3778" s="18"/>
      <c r="U3778" s="18"/>
      <c r="V3778" s="18"/>
      <c r="W3778" s="18"/>
      <c r="X3778" s="18"/>
    </row>
    <row r="3779" spans="13:24">
      <c r="M3779" s="558">
        <f t="shared" si="179"/>
        <v>3777</v>
      </c>
      <c r="N3779" s="15">
        <f t="shared" si="177"/>
        <v>0.27989739065660879</v>
      </c>
      <c r="O3779" s="165">
        <f t="shared" si="178"/>
        <v>0.27989739065660879</v>
      </c>
      <c r="P3779" s="18"/>
      <c r="Q3779" s="18"/>
      <c r="R3779" s="18"/>
      <c r="S3779" s="18"/>
      <c r="T3779" s="18"/>
      <c r="U3779" s="18"/>
      <c r="V3779" s="18"/>
      <c r="W3779" s="18"/>
      <c r="X3779" s="18"/>
    </row>
    <row r="3780" spans="13:24">
      <c r="M3780" s="558">
        <f t="shared" si="179"/>
        <v>3778</v>
      </c>
      <c r="N3780" s="15">
        <f t="shared" ref="N3780:N3843" si="180">IF(M3780&lt;$B$31+1,$B$32+$B$33/$B$31*(8760-M3780)+$B$34*IF(M3780&lt;$B$36-$B$31/(2*$B$35),1,IF(M3780&lt;$B$36+$B$31/(2*$B$35),COS(PI()/2*(M3780-($B$36-$B$31/(2*$B$35)))*$B$35/$B$31)^2,0))+$B$37*EXP((8760-M3780)/8760*$B$38)/EXP($B$38)-(8760-$B$31)*$B$33/$B$31,0)</f>
        <v>0.27984109979762356</v>
      </c>
      <c r="O3780" s="165">
        <f t="shared" ref="O3780:O3843" si="181">MIN(N3780,C$24)</f>
        <v>0.27984109979762356</v>
      </c>
      <c r="P3780" s="18"/>
      <c r="Q3780" s="18"/>
      <c r="R3780" s="18"/>
      <c r="S3780" s="18"/>
      <c r="T3780" s="18"/>
      <c r="U3780" s="18"/>
      <c r="V3780" s="18"/>
      <c r="W3780" s="18"/>
      <c r="X3780" s="18"/>
    </row>
    <row r="3781" spans="13:24">
      <c r="M3781" s="558">
        <f t="shared" ref="M3781:M3844" si="182">M3780+1</f>
        <v>3779</v>
      </c>
      <c r="N3781" s="15">
        <f t="shared" si="180"/>
        <v>0.27978481511409314</v>
      </c>
      <c r="O3781" s="165">
        <f t="shared" si="181"/>
        <v>0.27978481511409314</v>
      </c>
      <c r="P3781" s="18"/>
      <c r="Q3781" s="18"/>
      <c r="R3781" s="18"/>
      <c r="S3781" s="18"/>
      <c r="T3781" s="18"/>
      <c r="U3781" s="18"/>
      <c r="V3781" s="18"/>
      <c r="W3781" s="18"/>
      <c r="X3781" s="18"/>
    </row>
    <row r="3782" spans="13:24">
      <c r="M3782" s="558">
        <f t="shared" si="182"/>
        <v>3780</v>
      </c>
      <c r="N3782" s="15">
        <f t="shared" si="180"/>
        <v>0.27972853659826763</v>
      </c>
      <c r="O3782" s="165">
        <f t="shared" si="181"/>
        <v>0.27972853659826763</v>
      </c>
      <c r="P3782" s="18"/>
      <c r="Q3782" s="18"/>
      <c r="R3782" s="18"/>
      <c r="S3782" s="18"/>
      <c r="T3782" s="18"/>
      <c r="U3782" s="18"/>
      <c r="V3782" s="18"/>
      <c r="W3782" s="18"/>
      <c r="X3782" s="18"/>
    </row>
    <row r="3783" spans="13:24">
      <c r="M3783" s="558">
        <f t="shared" si="182"/>
        <v>3781</v>
      </c>
      <c r="N3783" s="15">
        <f t="shared" si="180"/>
        <v>0.27967226424240732</v>
      </c>
      <c r="O3783" s="165">
        <f t="shared" si="181"/>
        <v>0.27967226424240732</v>
      </c>
      <c r="P3783" s="18"/>
      <c r="Q3783" s="18"/>
      <c r="R3783" s="18"/>
      <c r="S3783" s="18"/>
      <c r="T3783" s="18"/>
      <c r="U3783" s="18"/>
      <c r="V3783" s="18"/>
      <c r="W3783" s="18"/>
      <c r="X3783" s="18"/>
    </row>
    <row r="3784" spans="13:24">
      <c r="M3784" s="558">
        <f t="shared" si="182"/>
        <v>3782</v>
      </c>
      <c r="N3784" s="15">
        <f t="shared" si="180"/>
        <v>0.27961599803878173</v>
      </c>
      <c r="O3784" s="165">
        <f t="shared" si="181"/>
        <v>0.27961599803878173</v>
      </c>
      <c r="P3784" s="18"/>
      <c r="Q3784" s="18"/>
      <c r="R3784" s="18"/>
      <c r="S3784" s="18"/>
      <c r="T3784" s="18"/>
      <c r="U3784" s="18"/>
      <c r="V3784" s="18"/>
      <c r="W3784" s="18"/>
      <c r="X3784" s="18"/>
    </row>
    <row r="3785" spans="13:24">
      <c r="M3785" s="558">
        <f t="shared" si="182"/>
        <v>3783</v>
      </c>
      <c r="N3785" s="15">
        <f t="shared" si="180"/>
        <v>0.27955973797967049</v>
      </c>
      <c r="O3785" s="165">
        <f t="shared" si="181"/>
        <v>0.27955973797967049</v>
      </c>
      <c r="P3785" s="18"/>
      <c r="Q3785" s="18"/>
      <c r="R3785" s="18"/>
      <c r="S3785" s="18"/>
      <c r="T3785" s="18"/>
      <c r="U3785" s="18"/>
      <c r="V3785" s="18"/>
      <c r="W3785" s="18"/>
      <c r="X3785" s="18"/>
    </row>
    <row r="3786" spans="13:24">
      <c r="M3786" s="558">
        <f t="shared" si="182"/>
        <v>3784</v>
      </c>
      <c r="N3786" s="15">
        <f t="shared" si="180"/>
        <v>0.27950348405736253</v>
      </c>
      <c r="O3786" s="165">
        <f t="shared" si="181"/>
        <v>0.27950348405736253</v>
      </c>
      <c r="P3786" s="18"/>
      <c r="Q3786" s="18"/>
      <c r="R3786" s="18"/>
      <c r="S3786" s="18"/>
      <c r="T3786" s="18"/>
      <c r="U3786" s="18"/>
      <c r="V3786" s="18"/>
      <c r="W3786" s="18"/>
      <c r="X3786" s="18"/>
    </row>
    <row r="3787" spans="13:24">
      <c r="M3787" s="558">
        <f t="shared" si="182"/>
        <v>3785</v>
      </c>
      <c r="N3787" s="15">
        <f t="shared" si="180"/>
        <v>0.2794472362641568</v>
      </c>
      <c r="O3787" s="165">
        <f t="shared" si="181"/>
        <v>0.2794472362641568</v>
      </c>
      <c r="P3787" s="18"/>
      <c r="Q3787" s="18"/>
      <c r="R3787" s="18"/>
      <c r="S3787" s="18"/>
      <c r="T3787" s="18"/>
      <c r="U3787" s="18"/>
      <c r="V3787" s="18"/>
      <c r="W3787" s="18"/>
      <c r="X3787" s="18"/>
    </row>
    <row r="3788" spans="13:24">
      <c r="M3788" s="558">
        <f t="shared" si="182"/>
        <v>3786</v>
      </c>
      <c r="N3788" s="15">
        <f t="shared" si="180"/>
        <v>0.27939099459236172</v>
      </c>
      <c r="O3788" s="165">
        <f t="shared" si="181"/>
        <v>0.27939099459236172</v>
      </c>
      <c r="P3788" s="18"/>
      <c r="Q3788" s="18"/>
      <c r="R3788" s="18"/>
      <c r="S3788" s="18"/>
      <c r="T3788" s="18"/>
      <c r="U3788" s="18"/>
      <c r="V3788" s="18"/>
      <c r="W3788" s="18"/>
      <c r="X3788" s="18"/>
    </row>
    <row r="3789" spans="13:24">
      <c r="M3789" s="558">
        <f t="shared" si="182"/>
        <v>3787</v>
      </c>
      <c r="N3789" s="15">
        <f t="shared" si="180"/>
        <v>0.27933475903429539</v>
      </c>
      <c r="O3789" s="165">
        <f t="shared" si="181"/>
        <v>0.27933475903429539</v>
      </c>
      <c r="P3789" s="18"/>
      <c r="Q3789" s="18"/>
      <c r="R3789" s="18"/>
      <c r="S3789" s="18"/>
      <c r="T3789" s="18"/>
      <c r="U3789" s="18"/>
      <c r="V3789" s="18"/>
      <c r="W3789" s="18"/>
      <c r="X3789" s="18"/>
    </row>
    <row r="3790" spans="13:24">
      <c r="M3790" s="558">
        <f t="shared" si="182"/>
        <v>3788</v>
      </c>
      <c r="N3790" s="15">
        <f t="shared" si="180"/>
        <v>0.27927852958228555</v>
      </c>
      <c r="O3790" s="165">
        <f t="shared" si="181"/>
        <v>0.27927852958228555</v>
      </c>
      <c r="P3790" s="18"/>
      <c r="Q3790" s="18"/>
      <c r="R3790" s="18"/>
      <c r="S3790" s="18"/>
      <c r="T3790" s="18"/>
      <c r="U3790" s="18"/>
      <c r="V3790" s="18"/>
      <c r="W3790" s="18"/>
      <c r="X3790" s="18"/>
    </row>
    <row r="3791" spans="13:24">
      <c r="M3791" s="558">
        <f t="shared" si="182"/>
        <v>3789</v>
      </c>
      <c r="N3791" s="15">
        <f t="shared" si="180"/>
        <v>0.27922230622866973</v>
      </c>
      <c r="O3791" s="165">
        <f t="shared" si="181"/>
        <v>0.27922230622866973</v>
      </c>
      <c r="P3791" s="18"/>
      <c r="Q3791" s="18"/>
      <c r="R3791" s="18"/>
      <c r="S3791" s="18"/>
      <c r="T3791" s="18"/>
      <c r="U3791" s="18"/>
      <c r="V3791" s="18"/>
      <c r="W3791" s="18"/>
      <c r="X3791" s="18"/>
    </row>
    <row r="3792" spans="13:24">
      <c r="M3792" s="558">
        <f t="shared" si="182"/>
        <v>3790</v>
      </c>
      <c r="N3792" s="15">
        <f t="shared" si="180"/>
        <v>0.27916608896579481</v>
      </c>
      <c r="O3792" s="165">
        <f t="shared" si="181"/>
        <v>0.27916608896579481</v>
      </c>
      <c r="P3792" s="18"/>
      <c r="Q3792" s="18"/>
      <c r="R3792" s="18"/>
      <c r="S3792" s="18"/>
      <c r="T3792" s="18"/>
      <c r="U3792" s="18"/>
      <c r="V3792" s="18"/>
      <c r="W3792" s="18"/>
      <c r="X3792" s="18"/>
    </row>
    <row r="3793" spans="13:24">
      <c r="M3793" s="558">
        <f t="shared" si="182"/>
        <v>3791</v>
      </c>
      <c r="N3793" s="15">
        <f t="shared" si="180"/>
        <v>0.27910987778601742</v>
      </c>
      <c r="O3793" s="165">
        <f t="shared" si="181"/>
        <v>0.27910987778601742</v>
      </c>
      <c r="P3793" s="18"/>
      <c r="Q3793" s="18"/>
      <c r="R3793" s="18"/>
      <c r="S3793" s="18"/>
      <c r="T3793" s="18"/>
      <c r="U3793" s="18"/>
      <c r="V3793" s="18"/>
      <c r="W3793" s="18"/>
      <c r="X3793" s="18"/>
    </row>
    <row r="3794" spans="13:24">
      <c r="M3794" s="558">
        <f t="shared" si="182"/>
        <v>3792</v>
      </c>
      <c r="N3794" s="15">
        <f t="shared" si="180"/>
        <v>0.27905367268170372</v>
      </c>
      <c r="O3794" s="165">
        <f t="shared" si="181"/>
        <v>0.27905367268170372</v>
      </c>
      <c r="P3794" s="18"/>
      <c r="Q3794" s="18"/>
      <c r="R3794" s="18"/>
      <c r="S3794" s="18"/>
      <c r="T3794" s="18"/>
      <c r="U3794" s="18"/>
      <c r="V3794" s="18"/>
      <c r="W3794" s="18"/>
      <c r="X3794" s="18"/>
    </row>
    <row r="3795" spans="13:24">
      <c r="M3795" s="558">
        <f t="shared" si="182"/>
        <v>3793</v>
      </c>
      <c r="N3795" s="15">
        <f t="shared" si="180"/>
        <v>0.27899747364522959</v>
      </c>
      <c r="O3795" s="165">
        <f t="shared" si="181"/>
        <v>0.27899747364522959</v>
      </c>
      <c r="P3795" s="18"/>
      <c r="Q3795" s="18"/>
      <c r="R3795" s="18"/>
      <c r="S3795" s="18"/>
      <c r="T3795" s="18"/>
      <c r="U3795" s="18"/>
      <c r="V3795" s="18"/>
      <c r="W3795" s="18"/>
      <c r="X3795" s="18"/>
    </row>
    <row r="3796" spans="13:24">
      <c r="M3796" s="558">
        <f t="shared" si="182"/>
        <v>3794</v>
      </c>
      <c r="N3796" s="15">
        <f t="shared" si="180"/>
        <v>0.27894128066898038</v>
      </c>
      <c r="O3796" s="165">
        <f t="shared" si="181"/>
        <v>0.27894128066898038</v>
      </c>
      <c r="P3796" s="18"/>
      <c r="Q3796" s="18"/>
      <c r="R3796" s="18"/>
      <c r="S3796" s="18"/>
      <c r="T3796" s="18"/>
      <c r="U3796" s="18"/>
      <c r="V3796" s="18"/>
      <c r="W3796" s="18"/>
      <c r="X3796" s="18"/>
    </row>
    <row r="3797" spans="13:24">
      <c r="M3797" s="558">
        <f t="shared" si="182"/>
        <v>3795</v>
      </c>
      <c r="N3797" s="15">
        <f t="shared" si="180"/>
        <v>0.27888509374535081</v>
      </c>
      <c r="O3797" s="165">
        <f t="shared" si="181"/>
        <v>0.27888509374535081</v>
      </c>
      <c r="P3797" s="18"/>
      <c r="Q3797" s="18"/>
      <c r="R3797" s="18"/>
      <c r="S3797" s="18"/>
      <c r="T3797" s="18"/>
      <c r="U3797" s="18"/>
      <c r="V3797" s="18"/>
      <c r="W3797" s="18"/>
      <c r="X3797" s="18"/>
    </row>
    <row r="3798" spans="13:24">
      <c r="M3798" s="558">
        <f t="shared" si="182"/>
        <v>3796</v>
      </c>
      <c r="N3798" s="15">
        <f t="shared" si="180"/>
        <v>0.2788289128667456</v>
      </c>
      <c r="O3798" s="165">
        <f t="shared" si="181"/>
        <v>0.2788289128667456</v>
      </c>
      <c r="P3798" s="18"/>
      <c r="Q3798" s="18"/>
      <c r="R3798" s="18"/>
      <c r="S3798" s="18"/>
      <c r="T3798" s="18"/>
      <c r="U3798" s="18"/>
      <c r="V3798" s="18"/>
      <c r="W3798" s="18"/>
      <c r="X3798" s="18"/>
    </row>
    <row r="3799" spans="13:24">
      <c r="M3799" s="558">
        <f t="shared" si="182"/>
        <v>3797</v>
      </c>
      <c r="N3799" s="15">
        <f t="shared" si="180"/>
        <v>0.2787727380255785</v>
      </c>
      <c r="O3799" s="165">
        <f t="shared" si="181"/>
        <v>0.2787727380255785</v>
      </c>
      <c r="P3799" s="18"/>
      <c r="Q3799" s="18"/>
      <c r="R3799" s="18"/>
      <c r="S3799" s="18"/>
      <c r="T3799" s="18"/>
      <c r="U3799" s="18"/>
      <c r="V3799" s="18"/>
      <c r="W3799" s="18"/>
      <c r="X3799" s="18"/>
    </row>
    <row r="3800" spans="13:24">
      <c r="M3800" s="558">
        <f t="shared" si="182"/>
        <v>3798</v>
      </c>
      <c r="N3800" s="15">
        <f t="shared" si="180"/>
        <v>0.27871656921427318</v>
      </c>
      <c r="O3800" s="165">
        <f t="shared" si="181"/>
        <v>0.27871656921427318</v>
      </c>
      <c r="P3800" s="18"/>
      <c r="Q3800" s="18"/>
      <c r="R3800" s="18"/>
      <c r="S3800" s="18"/>
      <c r="T3800" s="18"/>
      <c r="U3800" s="18"/>
      <c r="V3800" s="18"/>
      <c r="W3800" s="18"/>
      <c r="X3800" s="18"/>
    </row>
    <row r="3801" spans="13:24">
      <c r="M3801" s="558">
        <f t="shared" si="182"/>
        <v>3799</v>
      </c>
      <c r="N3801" s="15">
        <f t="shared" si="180"/>
        <v>0.27866040642526246</v>
      </c>
      <c r="O3801" s="165">
        <f t="shared" si="181"/>
        <v>0.27866040642526246</v>
      </c>
      <c r="P3801" s="18"/>
      <c r="Q3801" s="18"/>
      <c r="R3801" s="18"/>
      <c r="S3801" s="18"/>
      <c r="T3801" s="18"/>
      <c r="U3801" s="18"/>
      <c r="V3801" s="18"/>
      <c r="W3801" s="18"/>
      <c r="X3801" s="18"/>
    </row>
    <row r="3802" spans="13:24">
      <c r="M3802" s="558">
        <f t="shared" si="182"/>
        <v>3800</v>
      </c>
      <c r="N3802" s="15">
        <f t="shared" si="180"/>
        <v>0.27860424965098907</v>
      </c>
      <c r="O3802" s="165">
        <f t="shared" si="181"/>
        <v>0.27860424965098907</v>
      </c>
      <c r="P3802" s="18"/>
      <c r="Q3802" s="18"/>
      <c r="R3802" s="18"/>
      <c r="S3802" s="18"/>
      <c r="T3802" s="18"/>
      <c r="U3802" s="18"/>
      <c r="V3802" s="18"/>
      <c r="W3802" s="18"/>
      <c r="X3802" s="18"/>
    </row>
    <row r="3803" spans="13:24">
      <c r="M3803" s="558">
        <f t="shared" si="182"/>
        <v>3801</v>
      </c>
      <c r="N3803" s="15">
        <f t="shared" si="180"/>
        <v>0.2785480988839048</v>
      </c>
      <c r="O3803" s="165">
        <f t="shared" si="181"/>
        <v>0.2785480988839048</v>
      </c>
      <c r="P3803" s="18"/>
      <c r="Q3803" s="18"/>
      <c r="R3803" s="18"/>
      <c r="S3803" s="18"/>
      <c r="T3803" s="18"/>
      <c r="U3803" s="18"/>
      <c r="V3803" s="18"/>
      <c r="W3803" s="18"/>
      <c r="X3803" s="18"/>
    </row>
    <row r="3804" spans="13:24">
      <c r="M3804" s="558">
        <f t="shared" si="182"/>
        <v>3802</v>
      </c>
      <c r="N3804" s="15">
        <f t="shared" si="180"/>
        <v>0.27849195411647126</v>
      </c>
      <c r="O3804" s="165">
        <f t="shared" si="181"/>
        <v>0.27849195411647126</v>
      </c>
      <c r="P3804" s="18"/>
      <c r="Q3804" s="18"/>
      <c r="R3804" s="18"/>
      <c r="S3804" s="18"/>
      <c r="T3804" s="18"/>
      <c r="U3804" s="18"/>
      <c r="V3804" s="18"/>
      <c r="W3804" s="18"/>
      <c r="X3804" s="18"/>
    </row>
    <row r="3805" spans="13:24">
      <c r="M3805" s="558">
        <f t="shared" si="182"/>
        <v>3803</v>
      </c>
      <c r="N3805" s="15">
        <f t="shared" si="180"/>
        <v>0.27843581534115919</v>
      </c>
      <c r="O3805" s="165">
        <f t="shared" si="181"/>
        <v>0.27843581534115919</v>
      </c>
      <c r="P3805" s="18"/>
      <c r="Q3805" s="18"/>
      <c r="R3805" s="18"/>
      <c r="S3805" s="18"/>
      <c r="T3805" s="18"/>
      <c r="U3805" s="18"/>
      <c r="V3805" s="18"/>
      <c r="W3805" s="18"/>
      <c r="X3805" s="18"/>
    </row>
    <row r="3806" spans="13:24">
      <c r="M3806" s="558">
        <f t="shared" si="182"/>
        <v>3804</v>
      </c>
      <c r="N3806" s="15">
        <f t="shared" si="180"/>
        <v>0.2783796825504492</v>
      </c>
      <c r="O3806" s="165">
        <f t="shared" si="181"/>
        <v>0.2783796825504492</v>
      </c>
      <c r="P3806" s="18"/>
      <c r="Q3806" s="18"/>
      <c r="R3806" s="18"/>
      <c r="S3806" s="18"/>
      <c r="T3806" s="18"/>
      <c r="U3806" s="18"/>
      <c r="V3806" s="18"/>
      <c r="W3806" s="18"/>
      <c r="X3806" s="18"/>
    </row>
    <row r="3807" spans="13:24">
      <c r="M3807" s="558">
        <f t="shared" si="182"/>
        <v>3805</v>
      </c>
      <c r="N3807" s="15">
        <f t="shared" si="180"/>
        <v>0.27832355573683087</v>
      </c>
      <c r="O3807" s="165">
        <f t="shared" si="181"/>
        <v>0.27832355573683087</v>
      </c>
      <c r="P3807" s="18"/>
      <c r="Q3807" s="18"/>
      <c r="R3807" s="18"/>
      <c r="S3807" s="18"/>
      <c r="T3807" s="18"/>
      <c r="U3807" s="18"/>
      <c r="V3807" s="18"/>
      <c r="W3807" s="18"/>
      <c r="X3807" s="18"/>
    </row>
    <row r="3808" spans="13:24">
      <c r="M3808" s="558">
        <f t="shared" si="182"/>
        <v>3806</v>
      </c>
      <c r="N3808" s="15">
        <f t="shared" si="180"/>
        <v>0.27826743489280359</v>
      </c>
      <c r="O3808" s="165">
        <f t="shared" si="181"/>
        <v>0.27826743489280359</v>
      </c>
      <c r="P3808" s="18"/>
      <c r="Q3808" s="18"/>
      <c r="R3808" s="18"/>
      <c r="S3808" s="18"/>
      <c r="T3808" s="18"/>
      <c r="U3808" s="18"/>
      <c r="V3808" s="18"/>
      <c r="W3808" s="18"/>
      <c r="X3808" s="18"/>
    </row>
    <row r="3809" spans="13:24">
      <c r="M3809" s="558">
        <f t="shared" si="182"/>
        <v>3807</v>
      </c>
      <c r="N3809" s="15">
        <f t="shared" si="180"/>
        <v>0.2782113200108759</v>
      </c>
      <c r="O3809" s="165">
        <f t="shared" si="181"/>
        <v>0.2782113200108759</v>
      </c>
      <c r="P3809" s="18"/>
      <c r="Q3809" s="18"/>
      <c r="R3809" s="18"/>
      <c r="S3809" s="18"/>
      <c r="T3809" s="18"/>
      <c r="U3809" s="18"/>
      <c r="V3809" s="18"/>
      <c r="W3809" s="18"/>
      <c r="X3809" s="18"/>
    </row>
    <row r="3810" spans="13:24">
      <c r="M3810" s="558">
        <f t="shared" si="182"/>
        <v>3808</v>
      </c>
      <c r="N3810" s="15">
        <f t="shared" si="180"/>
        <v>0.27815521108356589</v>
      </c>
      <c r="O3810" s="165">
        <f t="shared" si="181"/>
        <v>0.27815521108356589</v>
      </c>
      <c r="P3810" s="18"/>
      <c r="Q3810" s="18"/>
      <c r="R3810" s="18"/>
      <c r="S3810" s="18"/>
      <c r="T3810" s="18"/>
      <c r="U3810" s="18"/>
      <c r="V3810" s="18"/>
      <c r="W3810" s="18"/>
      <c r="X3810" s="18"/>
    </row>
    <row r="3811" spans="13:24">
      <c r="M3811" s="558">
        <f t="shared" si="182"/>
        <v>3809</v>
      </c>
      <c r="N3811" s="15">
        <f t="shared" si="180"/>
        <v>0.27809910810340099</v>
      </c>
      <c r="O3811" s="165">
        <f t="shared" si="181"/>
        <v>0.27809910810340099</v>
      </c>
      <c r="P3811" s="18"/>
      <c r="Q3811" s="18"/>
      <c r="R3811" s="18"/>
      <c r="S3811" s="18"/>
      <c r="T3811" s="18"/>
      <c r="U3811" s="18"/>
      <c r="V3811" s="18"/>
      <c r="W3811" s="18"/>
      <c r="X3811" s="18"/>
    </row>
    <row r="3812" spans="13:24">
      <c r="M3812" s="558">
        <f t="shared" si="182"/>
        <v>3810</v>
      </c>
      <c r="N3812" s="15">
        <f t="shared" si="180"/>
        <v>0.27804301106291796</v>
      </c>
      <c r="O3812" s="165">
        <f t="shared" si="181"/>
        <v>0.27804301106291796</v>
      </c>
      <c r="P3812" s="18"/>
      <c r="Q3812" s="18"/>
      <c r="R3812" s="18"/>
      <c r="S3812" s="18"/>
      <c r="T3812" s="18"/>
      <c r="U3812" s="18"/>
      <c r="V3812" s="18"/>
      <c r="W3812" s="18"/>
      <c r="X3812" s="18"/>
    </row>
    <row r="3813" spans="13:24">
      <c r="M3813" s="558">
        <f t="shared" si="182"/>
        <v>3811</v>
      </c>
      <c r="N3813" s="15">
        <f t="shared" si="180"/>
        <v>0.27798691995466307</v>
      </c>
      <c r="O3813" s="165">
        <f t="shared" si="181"/>
        <v>0.27798691995466307</v>
      </c>
      <c r="P3813" s="18"/>
      <c r="Q3813" s="18"/>
      <c r="R3813" s="18"/>
      <c r="S3813" s="18"/>
      <c r="T3813" s="18"/>
      <c r="U3813" s="18"/>
      <c r="V3813" s="18"/>
      <c r="W3813" s="18"/>
      <c r="X3813" s="18"/>
    </row>
    <row r="3814" spans="13:24">
      <c r="M3814" s="558">
        <f t="shared" si="182"/>
        <v>3812</v>
      </c>
      <c r="N3814" s="15">
        <f t="shared" si="180"/>
        <v>0.27793083477119179</v>
      </c>
      <c r="O3814" s="165">
        <f t="shared" si="181"/>
        <v>0.27793083477119179</v>
      </c>
      <c r="P3814" s="18"/>
      <c r="Q3814" s="18"/>
      <c r="R3814" s="18"/>
      <c r="S3814" s="18"/>
      <c r="T3814" s="18"/>
      <c r="U3814" s="18"/>
      <c r="V3814" s="18"/>
      <c r="W3814" s="18"/>
      <c r="X3814" s="18"/>
    </row>
    <row r="3815" spans="13:24">
      <c r="M3815" s="558">
        <f t="shared" si="182"/>
        <v>3813</v>
      </c>
      <c r="N3815" s="15">
        <f t="shared" si="180"/>
        <v>0.27787475550506907</v>
      </c>
      <c r="O3815" s="165">
        <f t="shared" si="181"/>
        <v>0.27787475550506907</v>
      </c>
      <c r="P3815" s="18"/>
      <c r="Q3815" s="18"/>
      <c r="R3815" s="18"/>
      <c r="S3815" s="18"/>
      <c r="T3815" s="18"/>
      <c r="U3815" s="18"/>
      <c r="V3815" s="18"/>
      <c r="W3815" s="18"/>
      <c r="X3815" s="18"/>
    </row>
    <row r="3816" spans="13:24">
      <c r="M3816" s="558">
        <f t="shared" si="182"/>
        <v>3814</v>
      </c>
      <c r="N3816" s="15">
        <f t="shared" si="180"/>
        <v>0.2778186821488689</v>
      </c>
      <c r="O3816" s="165">
        <f t="shared" si="181"/>
        <v>0.2778186821488689</v>
      </c>
      <c r="P3816" s="18"/>
      <c r="Q3816" s="18"/>
      <c r="R3816" s="18"/>
      <c r="S3816" s="18"/>
      <c r="T3816" s="18"/>
      <c r="U3816" s="18"/>
      <c r="V3816" s="18"/>
      <c r="W3816" s="18"/>
      <c r="X3816" s="18"/>
    </row>
    <row r="3817" spans="13:24">
      <c r="M3817" s="558">
        <f t="shared" si="182"/>
        <v>3815</v>
      </c>
      <c r="N3817" s="15">
        <f t="shared" si="180"/>
        <v>0.27776261469517505</v>
      </c>
      <c r="O3817" s="165">
        <f t="shared" si="181"/>
        <v>0.27776261469517505</v>
      </c>
      <c r="P3817" s="18"/>
      <c r="Q3817" s="18"/>
      <c r="R3817" s="18"/>
      <c r="S3817" s="18"/>
      <c r="T3817" s="18"/>
      <c r="U3817" s="18"/>
      <c r="V3817" s="18"/>
      <c r="W3817" s="18"/>
      <c r="X3817" s="18"/>
    </row>
    <row r="3818" spans="13:24">
      <c r="M3818" s="558">
        <f t="shared" si="182"/>
        <v>3816</v>
      </c>
      <c r="N3818" s="15">
        <f t="shared" si="180"/>
        <v>0.27770655313658027</v>
      </c>
      <c r="O3818" s="165">
        <f t="shared" si="181"/>
        <v>0.27770655313658027</v>
      </c>
      <c r="P3818" s="18"/>
      <c r="Q3818" s="18"/>
      <c r="R3818" s="18"/>
      <c r="S3818" s="18"/>
      <c r="T3818" s="18"/>
      <c r="U3818" s="18"/>
      <c r="V3818" s="18"/>
      <c r="W3818" s="18"/>
      <c r="X3818" s="18"/>
    </row>
    <row r="3819" spans="13:24">
      <c r="M3819" s="558">
        <f t="shared" si="182"/>
        <v>3817</v>
      </c>
      <c r="N3819" s="15">
        <f t="shared" si="180"/>
        <v>0.2776504974656866</v>
      </c>
      <c r="O3819" s="165">
        <f t="shared" si="181"/>
        <v>0.2776504974656866</v>
      </c>
      <c r="P3819" s="18"/>
      <c r="Q3819" s="18"/>
      <c r="R3819" s="18"/>
      <c r="S3819" s="18"/>
      <c r="T3819" s="18"/>
      <c r="U3819" s="18"/>
      <c r="V3819" s="18"/>
      <c r="W3819" s="18"/>
      <c r="X3819" s="18"/>
    </row>
    <row r="3820" spans="13:24">
      <c r="M3820" s="558">
        <f t="shared" si="182"/>
        <v>3818</v>
      </c>
      <c r="N3820" s="15">
        <f t="shared" si="180"/>
        <v>0.27759444767510549</v>
      </c>
      <c r="O3820" s="165">
        <f t="shared" si="181"/>
        <v>0.27759444767510549</v>
      </c>
      <c r="P3820" s="18"/>
      <c r="Q3820" s="18"/>
      <c r="R3820" s="18"/>
      <c r="S3820" s="18"/>
      <c r="T3820" s="18"/>
      <c r="U3820" s="18"/>
      <c r="V3820" s="18"/>
      <c r="W3820" s="18"/>
      <c r="X3820" s="18"/>
    </row>
    <row r="3821" spans="13:24">
      <c r="M3821" s="558">
        <f t="shared" si="182"/>
        <v>3819</v>
      </c>
      <c r="N3821" s="15">
        <f t="shared" si="180"/>
        <v>0.2775384037574577</v>
      </c>
      <c r="O3821" s="165">
        <f t="shared" si="181"/>
        <v>0.2775384037574577</v>
      </c>
      <c r="P3821" s="18"/>
      <c r="Q3821" s="18"/>
      <c r="R3821" s="18"/>
      <c r="S3821" s="18"/>
      <c r="T3821" s="18"/>
      <c r="U3821" s="18"/>
      <c r="V3821" s="18"/>
      <c r="W3821" s="18"/>
      <c r="X3821" s="18"/>
    </row>
    <row r="3822" spans="13:24">
      <c r="M3822" s="558">
        <f t="shared" si="182"/>
        <v>3820</v>
      </c>
      <c r="N3822" s="15">
        <f t="shared" si="180"/>
        <v>0.2774823657053731</v>
      </c>
      <c r="O3822" s="165">
        <f t="shared" si="181"/>
        <v>0.2774823657053731</v>
      </c>
      <c r="P3822" s="18"/>
      <c r="Q3822" s="18"/>
      <c r="R3822" s="18"/>
      <c r="S3822" s="18"/>
      <c r="T3822" s="18"/>
      <c r="U3822" s="18"/>
      <c r="V3822" s="18"/>
      <c r="W3822" s="18"/>
      <c r="X3822" s="18"/>
    </row>
    <row r="3823" spans="13:24">
      <c r="M3823" s="558">
        <f t="shared" si="182"/>
        <v>3821</v>
      </c>
      <c r="N3823" s="15">
        <f t="shared" si="180"/>
        <v>0.27742633351149087</v>
      </c>
      <c r="O3823" s="165">
        <f t="shared" si="181"/>
        <v>0.27742633351149087</v>
      </c>
      <c r="P3823" s="18"/>
      <c r="Q3823" s="18"/>
      <c r="R3823" s="18"/>
      <c r="S3823" s="18"/>
      <c r="T3823" s="18"/>
      <c r="U3823" s="18"/>
      <c r="V3823" s="18"/>
      <c r="W3823" s="18"/>
      <c r="X3823" s="18"/>
    </row>
    <row r="3824" spans="13:24">
      <c r="M3824" s="558">
        <f t="shared" si="182"/>
        <v>3822</v>
      </c>
      <c r="N3824" s="15">
        <f t="shared" si="180"/>
        <v>0.27737030716845945</v>
      </c>
      <c r="O3824" s="165">
        <f t="shared" si="181"/>
        <v>0.27737030716845945</v>
      </c>
      <c r="P3824" s="18"/>
      <c r="Q3824" s="18"/>
      <c r="R3824" s="18"/>
      <c r="S3824" s="18"/>
      <c r="T3824" s="18"/>
      <c r="U3824" s="18"/>
      <c r="V3824" s="18"/>
      <c r="W3824" s="18"/>
      <c r="X3824" s="18"/>
    </row>
    <row r="3825" spans="13:24">
      <c r="M3825" s="558">
        <f t="shared" si="182"/>
        <v>3823</v>
      </c>
      <c r="N3825" s="15">
        <f t="shared" si="180"/>
        <v>0.27731428666893654</v>
      </c>
      <c r="O3825" s="165">
        <f t="shared" si="181"/>
        <v>0.27731428666893654</v>
      </c>
      <c r="P3825" s="18"/>
      <c r="Q3825" s="18"/>
      <c r="R3825" s="18"/>
      <c r="S3825" s="18"/>
      <c r="T3825" s="18"/>
      <c r="U3825" s="18"/>
      <c r="V3825" s="18"/>
      <c r="W3825" s="18"/>
      <c r="X3825" s="18"/>
    </row>
    <row r="3826" spans="13:24">
      <c r="M3826" s="558">
        <f t="shared" si="182"/>
        <v>3824</v>
      </c>
      <c r="N3826" s="15">
        <f t="shared" si="180"/>
        <v>0.27725827200558895</v>
      </c>
      <c r="O3826" s="165">
        <f t="shared" si="181"/>
        <v>0.27725827200558895</v>
      </c>
      <c r="P3826" s="18"/>
      <c r="Q3826" s="18"/>
      <c r="R3826" s="18"/>
      <c r="S3826" s="18"/>
      <c r="T3826" s="18"/>
      <c r="U3826" s="18"/>
      <c r="V3826" s="18"/>
      <c r="W3826" s="18"/>
      <c r="X3826" s="18"/>
    </row>
    <row r="3827" spans="13:24">
      <c r="M3827" s="558">
        <f t="shared" si="182"/>
        <v>3825</v>
      </c>
      <c r="N3827" s="15">
        <f t="shared" si="180"/>
        <v>0.2772022631710927</v>
      </c>
      <c r="O3827" s="165">
        <f t="shared" si="181"/>
        <v>0.2772022631710927</v>
      </c>
      <c r="P3827" s="18"/>
      <c r="Q3827" s="18"/>
      <c r="R3827" s="18"/>
      <c r="S3827" s="18"/>
      <c r="T3827" s="18"/>
      <c r="U3827" s="18"/>
      <c r="V3827" s="18"/>
      <c r="W3827" s="18"/>
      <c r="X3827" s="18"/>
    </row>
    <row r="3828" spans="13:24">
      <c r="M3828" s="558">
        <f t="shared" si="182"/>
        <v>3826</v>
      </c>
      <c r="N3828" s="15">
        <f t="shared" si="180"/>
        <v>0.27714626015813315</v>
      </c>
      <c r="O3828" s="165">
        <f t="shared" si="181"/>
        <v>0.27714626015813315</v>
      </c>
      <c r="P3828" s="18"/>
      <c r="Q3828" s="18"/>
      <c r="R3828" s="18"/>
      <c r="S3828" s="18"/>
      <c r="T3828" s="18"/>
      <c r="U3828" s="18"/>
      <c r="V3828" s="18"/>
      <c r="W3828" s="18"/>
      <c r="X3828" s="18"/>
    </row>
    <row r="3829" spans="13:24">
      <c r="M3829" s="558">
        <f t="shared" si="182"/>
        <v>3827</v>
      </c>
      <c r="N3829" s="15">
        <f t="shared" si="180"/>
        <v>0.2770902629594047</v>
      </c>
      <c r="O3829" s="165">
        <f t="shared" si="181"/>
        <v>0.2770902629594047</v>
      </c>
      <c r="P3829" s="18"/>
      <c r="Q3829" s="18"/>
      <c r="R3829" s="18"/>
      <c r="S3829" s="18"/>
      <c r="T3829" s="18"/>
      <c r="U3829" s="18"/>
      <c r="V3829" s="18"/>
      <c r="W3829" s="18"/>
      <c r="X3829" s="18"/>
    </row>
    <row r="3830" spans="13:24">
      <c r="M3830" s="558">
        <f t="shared" si="182"/>
        <v>3828</v>
      </c>
      <c r="N3830" s="15">
        <f t="shared" si="180"/>
        <v>0.27703427156761101</v>
      </c>
      <c r="O3830" s="165">
        <f t="shared" si="181"/>
        <v>0.27703427156761101</v>
      </c>
      <c r="P3830" s="18"/>
      <c r="Q3830" s="18"/>
      <c r="R3830" s="18"/>
      <c r="S3830" s="18"/>
      <c r="T3830" s="18"/>
      <c r="U3830" s="18"/>
      <c r="V3830" s="18"/>
      <c r="W3830" s="18"/>
      <c r="X3830" s="18"/>
    </row>
    <row r="3831" spans="13:24">
      <c r="M3831" s="558">
        <f t="shared" si="182"/>
        <v>3829</v>
      </c>
      <c r="N3831" s="15">
        <f t="shared" si="180"/>
        <v>0.2769782859754647</v>
      </c>
      <c r="O3831" s="165">
        <f t="shared" si="181"/>
        <v>0.2769782859754647</v>
      </c>
      <c r="P3831" s="18"/>
      <c r="Q3831" s="18"/>
      <c r="R3831" s="18"/>
      <c r="S3831" s="18"/>
      <c r="T3831" s="18"/>
      <c r="U3831" s="18"/>
      <c r="V3831" s="18"/>
      <c r="W3831" s="18"/>
      <c r="X3831" s="18"/>
    </row>
    <row r="3832" spans="13:24">
      <c r="M3832" s="558">
        <f t="shared" si="182"/>
        <v>3830</v>
      </c>
      <c r="N3832" s="15">
        <f t="shared" si="180"/>
        <v>0.2769223061756878</v>
      </c>
      <c r="O3832" s="165">
        <f t="shared" si="181"/>
        <v>0.2769223061756878</v>
      </c>
      <c r="P3832" s="18"/>
      <c r="Q3832" s="18"/>
      <c r="R3832" s="18"/>
      <c r="S3832" s="18"/>
      <c r="T3832" s="18"/>
      <c r="U3832" s="18"/>
      <c r="V3832" s="18"/>
      <c r="W3832" s="18"/>
      <c r="X3832" s="18"/>
    </row>
    <row r="3833" spans="13:24">
      <c r="M3833" s="558">
        <f t="shared" si="182"/>
        <v>3831</v>
      </c>
      <c r="N3833" s="15">
        <f t="shared" si="180"/>
        <v>0.27686633216101136</v>
      </c>
      <c r="O3833" s="165">
        <f t="shared" si="181"/>
        <v>0.27686633216101136</v>
      </c>
      <c r="P3833" s="18"/>
      <c r="Q3833" s="18"/>
      <c r="R3833" s="18"/>
      <c r="S3833" s="18"/>
      <c r="T3833" s="18"/>
      <c r="U3833" s="18"/>
      <c r="V3833" s="18"/>
      <c r="W3833" s="18"/>
      <c r="X3833" s="18"/>
    </row>
    <row r="3834" spans="13:24">
      <c r="M3834" s="558">
        <f t="shared" si="182"/>
        <v>3832</v>
      </c>
      <c r="N3834" s="15">
        <f t="shared" si="180"/>
        <v>0.27681036392417546</v>
      </c>
      <c r="O3834" s="165">
        <f t="shared" si="181"/>
        <v>0.27681036392417546</v>
      </c>
      <c r="P3834" s="18"/>
      <c r="Q3834" s="18"/>
      <c r="R3834" s="18"/>
      <c r="S3834" s="18"/>
      <c r="T3834" s="18"/>
      <c r="U3834" s="18"/>
      <c r="V3834" s="18"/>
      <c r="W3834" s="18"/>
      <c r="X3834" s="18"/>
    </row>
    <row r="3835" spans="13:24">
      <c r="M3835" s="558">
        <f t="shared" si="182"/>
        <v>3833</v>
      </c>
      <c r="N3835" s="15">
        <f t="shared" si="180"/>
        <v>0.2767544014579294</v>
      </c>
      <c r="O3835" s="165">
        <f t="shared" si="181"/>
        <v>0.2767544014579294</v>
      </c>
      <c r="P3835" s="18"/>
      <c r="Q3835" s="18"/>
      <c r="R3835" s="18"/>
      <c r="S3835" s="18"/>
      <c r="T3835" s="18"/>
      <c r="U3835" s="18"/>
      <c r="V3835" s="18"/>
      <c r="W3835" s="18"/>
      <c r="X3835" s="18"/>
    </row>
    <row r="3836" spans="13:24">
      <c r="M3836" s="558">
        <f t="shared" si="182"/>
        <v>3834</v>
      </c>
      <c r="N3836" s="15">
        <f t="shared" si="180"/>
        <v>0.27669844475503164</v>
      </c>
      <c r="O3836" s="165">
        <f t="shared" si="181"/>
        <v>0.27669844475503164</v>
      </c>
      <c r="P3836" s="18"/>
      <c r="Q3836" s="18"/>
      <c r="R3836" s="18"/>
      <c r="S3836" s="18"/>
      <c r="T3836" s="18"/>
      <c r="U3836" s="18"/>
      <c r="V3836" s="18"/>
      <c r="W3836" s="18"/>
      <c r="X3836" s="18"/>
    </row>
    <row r="3837" spans="13:24">
      <c r="M3837" s="558">
        <f t="shared" si="182"/>
        <v>3835</v>
      </c>
      <c r="N3837" s="15">
        <f t="shared" si="180"/>
        <v>0.27664249380824957</v>
      </c>
      <c r="O3837" s="165">
        <f t="shared" si="181"/>
        <v>0.27664249380824957</v>
      </c>
      <c r="P3837" s="18"/>
      <c r="Q3837" s="18"/>
      <c r="R3837" s="18"/>
      <c r="S3837" s="18"/>
      <c r="T3837" s="18"/>
      <c r="U3837" s="18"/>
      <c r="V3837" s="18"/>
      <c r="W3837" s="18"/>
      <c r="X3837" s="18"/>
    </row>
    <row r="3838" spans="13:24">
      <c r="M3838" s="558">
        <f t="shared" si="182"/>
        <v>3836</v>
      </c>
      <c r="N3838" s="15">
        <f t="shared" si="180"/>
        <v>0.27658654861035969</v>
      </c>
      <c r="O3838" s="165">
        <f t="shared" si="181"/>
        <v>0.27658654861035969</v>
      </c>
      <c r="P3838" s="18"/>
      <c r="Q3838" s="18"/>
      <c r="R3838" s="18"/>
      <c r="S3838" s="18"/>
      <c r="T3838" s="18"/>
      <c r="U3838" s="18"/>
      <c r="V3838" s="18"/>
      <c r="W3838" s="18"/>
      <c r="X3838" s="18"/>
    </row>
    <row r="3839" spans="13:24">
      <c r="M3839" s="558">
        <f t="shared" si="182"/>
        <v>3837</v>
      </c>
      <c r="N3839" s="15">
        <f t="shared" si="180"/>
        <v>0.27653060915414762</v>
      </c>
      <c r="O3839" s="165">
        <f t="shared" si="181"/>
        <v>0.27653060915414762</v>
      </c>
      <c r="P3839" s="18"/>
      <c r="Q3839" s="18"/>
      <c r="R3839" s="18"/>
      <c r="S3839" s="18"/>
      <c r="T3839" s="18"/>
      <c r="U3839" s="18"/>
      <c r="V3839" s="18"/>
      <c r="W3839" s="18"/>
      <c r="X3839" s="18"/>
    </row>
    <row r="3840" spans="13:24">
      <c r="M3840" s="558">
        <f t="shared" si="182"/>
        <v>3838</v>
      </c>
      <c r="N3840" s="15">
        <f t="shared" si="180"/>
        <v>0.27647467543240806</v>
      </c>
      <c r="O3840" s="165">
        <f t="shared" si="181"/>
        <v>0.27647467543240806</v>
      </c>
      <c r="P3840" s="18"/>
      <c r="Q3840" s="18"/>
      <c r="R3840" s="18"/>
      <c r="S3840" s="18"/>
      <c r="T3840" s="18"/>
      <c r="U3840" s="18"/>
      <c r="V3840" s="18"/>
      <c r="W3840" s="18"/>
      <c r="X3840" s="18"/>
    </row>
    <row r="3841" spans="13:24">
      <c r="M3841" s="558">
        <f t="shared" si="182"/>
        <v>3839</v>
      </c>
      <c r="N3841" s="15">
        <f t="shared" si="180"/>
        <v>0.2764187474379447</v>
      </c>
      <c r="O3841" s="165">
        <f t="shared" si="181"/>
        <v>0.2764187474379447</v>
      </c>
      <c r="P3841" s="18"/>
      <c r="Q3841" s="18"/>
      <c r="R3841" s="18"/>
      <c r="S3841" s="18"/>
      <c r="T3841" s="18"/>
      <c r="U3841" s="18"/>
      <c r="V3841" s="18"/>
      <c r="W3841" s="18"/>
      <c r="X3841" s="18"/>
    </row>
    <row r="3842" spans="13:24">
      <c r="M3842" s="558">
        <f t="shared" si="182"/>
        <v>3840</v>
      </c>
      <c r="N3842" s="15">
        <f t="shared" si="180"/>
        <v>0.27636282516357019</v>
      </c>
      <c r="O3842" s="165">
        <f t="shared" si="181"/>
        <v>0.27636282516357019</v>
      </c>
      <c r="P3842" s="18"/>
      <c r="Q3842" s="18"/>
      <c r="R3842" s="18"/>
      <c r="S3842" s="18"/>
      <c r="T3842" s="18"/>
      <c r="U3842" s="18"/>
      <c r="V3842" s="18"/>
      <c r="W3842" s="18"/>
      <c r="X3842" s="18"/>
    </row>
    <row r="3843" spans="13:24">
      <c r="M3843" s="558">
        <f t="shared" si="182"/>
        <v>3841</v>
      </c>
      <c r="N3843" s="15">
        <f t="shared" si="180"/>
        <v>0.27630690860210644</v>
      </c>
      <c r="O3843" s="165">
        <f t="shared" si="181"/>
        <v>0.27630690860210644</v>
      </c>
      <c r="P3843" s="18"/>
      <c r="Q3843" s="18"/>
      <c r="R3843" s="18"/>
      <c r="S3843" s="18"/>
      <c r="T3843" s="18"/>
      <c r="U3843" s="18"/>
      <c r="V3843" s="18"/>
      <c r="W3843" s="18"/>
      <c r="X3843" s="18"/>
    </row>
    <row r="3844" spans="13:24">
      <c r="M3844" s="558">
        <f t="shared" si="182"/>
        <v>3842</v>
      </c>
      <c r="N3844" s="15">
        <f t="shared" ref="N3844:N3907" si="183">IF(M3844&lt;$B$31+1,$B$32+$B$33/$B$31*(8760-M3844)+$B$34*IF(M3844&lt;$B$36-$B$31/(2*$B$35),1,IF(M3844&lt;$B$36+$B$31/(2*$B$35),COS(PI()/2*(M3844-($B$36-$B$31/(2*$B$35)))*$B$35/$B$31)^2,0))+$B$37*EXP((8760-M3844)/8760*$B$38)/EXP($B$38)-(8760-$B$31)*$B$33/$B$31,0)</f>
        <v>0.27625099774638406</v>
      </c>
      <c r="O3844" s="165">
        <f t="shared" ref="O3844:O3907" si="184">MIN(N3844,C$24)</f>
        <v>0.27625099774638406</v>
      </c>
      <c r="P3844" s="18"/>
      <c r="Q3844" s="18"/>
      <c r="R3844" s="18"/>
      <c r="S3844" s="18"/>
      <c r="T3844" s="18"/>
      <c r="U3844" s="18"/>
      <c r="V3844" s="18"/>
      <c r="W3844" s="18"/>
      <c r="X3844" s="18"/>
    </row>
    <row r="3845" spans="13:24">
      <c r="M3845" s="558">
        <f t="shared" ref="M3845:M3908" si="185">M3844+1</f>
        <v>3843</v>
      </c>
      <c r="N3845" s="15">
        <f t="shared" si="183"/>
        <v>0.27619509258924285</v>
      </c>
      <c r="O3845" s="165">
        <f t="shared" si="184"/>
        <v>0.27619509258924285</v>
      </c>
      <c r="P3845" s="18"/>
      <c r="Q3845" s="18"/>
      <c r="R3845" s="18"/>
      <c r="S3845" s="18"/>
      <c r="T3845" s="18"/>
      <c r="U3845" s="18"/>
      <c r="V3845" s="18"/>
      <c r="W3845" s="18"/>
      <c r="X3845" s="18"/>
    </row>
    <row r="3846" spans="13:24">
      <c r="M3846" s="558">
        <f t="shared" si="185"/>
        <v>3844</v>
      </c>
      <c r="N3846" s="15">
        <f t="shared" si="183"/>
        <v>0.27613919312353152</v>
      </c>
      <c r="O3846" s="165">
        <f t="shared" si="184"/>
        <v>0.27613919312353152</v>
      </c>
      <c r="P3846" s="18"/>
      <c r="Q3846" s="18"/>
      <c r="R3846" s="18"/>
      <c r="S3846" s="18"/>
      <c r="T3846" s="18"/>
      <c r="U3846" s="18"/>
      <c r="V3846" s="18"/>
      <c r="W3846" s="18"/>
      <c r="X3846" s="18"/>
    </row>
    <row r="3847" spans="13:24">
      <c r="M3847" s="558">
        <f t="shared" si="185"/>
        <v>3845</v>
      </c>
      <c r="N3847" s="15">
        <f t="shared" si="183"/>
        <v>0.27608329934210785</v>
      </c>
      <c r="O3847" s="165">
        <f t="shared" si="184"/>
        <v>0.27608329934210785</v>
      </c>
      <c r="P3847" s="18"/>
      <c r="Q3847" s="18"/>
      <c r="R3847" s="18"/>
      <c r="S3847" s="18"/>
      <c r="T3847" s="18"/>
      <c r="U3847" s="18"/>
      <c r="V3847" s="18"/>
      <c r="W3847" s="18"/>
      <c r="X3847" s="18"/>
    </row>
    <row r="3848" spans="13:24">
      <c r="M3848" s="558">
        <f t="shared" si="185"/>
        <v>3846</v>
      </c>
      <c r="N3848" s="15">
        <f t="shared" si="183"/>
        <v>0.27602741123783847</v>
      </c>
      <c r="O3848" s="165">
        <f t="shared" si="184"/>
        <v>0.27602741123783847</v>
      </c>
      <c r="P3848" s="18"/>
      <c r="Q3848" s="18"/>
      <c r="R3848" s="18"/>
      <c r="S3848" s="18"/>
      <c r="T3848" s="18"/>
      <c r="U3848" s="18"/>
      <c r="V3848" s="18"/>
      <c r="W3848" s="18"/>
      <c r="X3848" s="18"/>
    </row>
    <row r="3849" spans="13:24">
      <c r="M3849" s="558">
        <f t="shared" si="185"/>
        <v>3847</v>
      </c>
      <c r="N3849" s="15">
        <f t="shared" si="183"/>
        <v>0.27597152880359899</v>
      </c>
      <c r="O3849" s="165">
        <f t="shared" si="184"/>
        <v>0.27597152880359899</v>
      </c>
      <c r="P3849" s="18"/>
      <c r="Q3849" s="18"/>
      <c r="R3849" s="18"/>
      <c r="S3849" s="18"/>
      <c r="T3849" s="18"/>
      <c r="U3849" s="18"/>
      <c r="V3849" s="18"/>
      <c r="W3849" s="18"/>
      <c r="X3849" s="18"/>
    </row>
    <row r="3850" spans="13:24">
      <c r="M3850" s="558">
        <f t="shared" si="185"/>
        <v>3848</v>
      </c>
      <c r="N3850" s="15">
        <f t="shared" si="183"/>
        <v>0.27591565203227397</v>
      </c>
      <c r="O3850" s="165">
        <f t="shared" si="184"/>
        <v>0.27591565203227397</v>
      </c>
      <c r="P3850" s="18"/>
      <c r="Q3850" s="18"/>
      <c r="R3850" s="18"/>
      <c r="S3850" s="18"/>
      <c r="T3850" s="18"/>
      <c r="U3850" s="18"/>
      <c r="V3850" s="18"/>
      <c r="W3850" s="18"/>
      <c r="X3850" s="18"/>
    </row>
    <row r="3851" spans="13:24">
      <c r="M3851" s="558">
        <f t="shared" si="185"/>
        <v>3849</v>
      </c>
      <c r="N3851" s="15">
        <f t="shared" si="183"/>
        <v>0.275859780916757</v>
      </c>
      <c r="O3851" s="165">
        <f t="shared" si="184"/>
        <v>0.275859780916757</v>
      </c>
      <c r="P3851" s="18"/>
      <c r="Q3851" s="18"/>
      <c r="R3851" s="18"/>
      <c r="S3851" s="18"/>
      <c r="T3851" s="18"/>
      <c r="U3851" s="18"/>
      <c r="V3851" s="18"/>
      <c r="W3851" s="18"/>
      <c r="X3851" s="18"/>
    </row>
    <row r="3852" spans="13:24">
      <c r="M3852" s="558">
        <f t="shared" si="185"/>
        <v>3850</v>
      </c>
      <c r="N3852" s="15">
        <f t="shared" si="183"/>
        <v>0.27580391544995042</v>
      </c>
      <c r="O3852" s="165">
        <f t="shared" si="184"/>
        <v>0.27580391544995042</v>
      </c>
      <c r="P3852" s="18"/>
      <c r="Q3852" s="18"/>
      <c r="R3852" s="18"/>
      <c r="S3852" s="18"/>
      <c r="T3852" s="18"/>
      <c r="U3852" s="18"/>
      <c r="V3852" s="18"/>
      <c r="W3852" s="18"/>
      <c r="X3852" s="18"/>
    </row>
    <row r="3853" spans="13:24">
      <c r="M3853" s="558">
        <f t="shared" si="185"/>
        <v>3851</v>
      </c>
      <c r="N3853" s="15">
        <f t="shared" si="183"/>
        <v>0.27574805562476556</v>
      </c>
      <c r="O3853" s="165">
        <f t="shared" si="184"/>
        <v>0.27574805562476556</v>
      </c>
      <c r="P3853" s="18"/>
      <c r="Q3853" s="18"/>
      <c r="R3853" s="18"/>
      <c r="S3853" s="18"/>
      <c r="T3853" s="18"/>
      <c r="U3853" s="18"/>
      <c r="V3853" s="18"/>
      <c r="W3853" s="18"/>
      <c r="X3853" s="18"/>
    </row>
    <row r="3854" spans="13:24">
      <c r="M3854" s="558">
        <f t="shared" si="185"/>
        <v>3852</v>
      </c>
      <c r="N3854" s="15">
        <f t="shared" si="183"/>
        <v>0.2756922014341226</v>
      </c>
      <c r="O3854" s="165">
        <f t="shared" si="184"/>
        <v>0.2756922014341226</v>
      </c>
      <c r="P3854" s="18"/>
      <c r="Q3854" s="18"/>
      <c r="R3854" s="18"/>
      <c r="S3854" s="18"/>
      <c r="T3854" s="18"/>
      <c r="U3854" s="18"/>
      <c r="V3854" s="18"/>
      <c r="W3854" s="18"/>
      <c r="X3854" s="18"/>
    </row>
    <row r="3855" spans="13:24">
      <c r="M3855" s="558">
        <f t="shared" si="185"/>
        <v>3853</v>
      </c>
      <c r="N3855" s="15">
        <f t="shared" si="183"/>
        <v>0.27563635287095078</v>
      </c>
      <c r="O3855" s="165">
        <f t="shared" si="184"/>
        <v>0.27563635287095078</v>
      </c>
      <c r="P3855" s="18"/>
      <c r="Q3855" s="18"/>
      <c r="R3855" s="18"/>
      <c r="S3855" s="18"/>
      <c r="T3855" s="18"/>
      <c r="U3855" s="18"/>
      <c r="V3855" s="18"/>
      <c r="W3855" s="18"/>
      <c r="X3855" s="18"/>
    </row>
    <row r="3856" spans="13:24">
      <c r="M3856" s="558">
        <f t="shared" si="185"/>
        <v>3854</v>
      </c>
      <c r="N3856" s="15">
        <f t="shared" si="183"/>
        <v>0.27558050992818789</v>
      </c>
      <c r="O3856" s="165">
        <f t="shared" si="184"/>
        <v>0.27558050992818789</v>
      </c>
      <c r="P3856" s="18"/>
      <c r="Q3856" s="18"/>
      <c r="R3856" s="18"/>
      <c r="S3856" s="18"/>
      <c r="T3856" s="18"/>
      <c r="U3856" s="18"/>
      <c r="V3856" s="18"/>
      <c r="W3856" s="18"/>
      <c r="X3856" s="18"/>
    </row>
    <row r="3857" spans="13:24">
      <c r="M3857" s="558">
        <f t="shared" si="185"/>
        <v>3855</v>
      </c>
      <c r="N3857" s="15">
        <f t="shared" si="183"/>
        <v>0.27552467259878088</v>
      </c>
      <c r="O3857" s="165">
        <f t="shared" si="184"/>
        <v>0.27552467259878088</v>
      </c>
      <c r="P3857" s="18"/>
      <c r="Q3857" s="18"/>
      <c r="R3857" s="18"/>
      <c r="S3857" s="18"/>
      <c r="T3857" s="18"/>
      <c r="U3857" s="18"/>
      <c r="V3857" s="18"/>
      <c r="W3857" s="18"/>
      <c r="X3857" s="18"/>
    </row>
    <row r="3858" spans="13:24">
      <c r="M3858" s="558">
        <f t="shared" si="185"/>
        <v>3856</v>
      </c>
      <c r="N3858" s="15">
        <f t="shared" si="183"/>
        <v>0.27546884087568546</v>
      </c>
      <c r="O3858" s="165">
        <f t="shared" si="184"/>
        <v>0.27546884087568546</v>
      </c>
      <c r="P3858" s="18"/>
      <c r="Q3858" s="18"/>
      <c r="R3858" s="18"/>
      <c r="S3858" s="18"/>
      <c r="T3858" s="18"/>
      <c r="U3858" s="18"/>
      <c r="V3858" s="18"/>
      <c r="W3858" s="18"/>
      <c r="X3858" s="18"/>
    </row>
    <row r="3859" spans="13:24">
      <c r="M3859" s="558">
        <f t="shared" si="185"/>
        <v>3857</v>
      </c>
      <c r="N3859" s="15">
        <f t="shared" si="183"/>
        <v>0.27541301475186608</v>
      </c>
      <c r="O3859" s="165">
        <f t="shared" si="184"/>
        <v>0.27541301475186608</v>
      </c>
      <c r="P3859" s="18"/>
      <c r="Q3859" s="18"/>
      <c r="R3859" s="18"/>
      <c r="S3859" s="18"/>
      <c r="T3859" s="18"/>
      <c r="U3859" s="18"/>
      <c r="V3859" s="18"/>
      <c r="W3859" s="18"/>
      <c r="X3859" s="18"/>
    </row>
    <row r="3860" spans="13:24">
      <c r="M3860" s="558">
        <f t="shared" si="185"/>
        <v>3858</v>
      </c>
      <c r="N3860" s="15">
        <f t="shared" si="183"/>
        <v>0.27535719422029614</v>
      </c>
      <c r="O3860" s="165">
        <f t="shared" si="184"/>
        <v>0.27535719422029614</v>
      </c>
      <c r="P3860" s="18"/>
      <c r="Q3860" s="18"/>
      <c r="R3860" s="18"/>
      <c r="S3860" s="18"/>
      <c r="T3860" s="18"/>
      <c r="U3860" s="18"/>
      <c r="V3860" s="18"/>
      <c r="W3860" s="18"/>
      <c r="X3860" s="18"/>
    </row>
    <row r="3861" spans="13:24">
      <c r="M3861" s="558">
        <f t="shared" si="185"/>
        <v>3859</v>
      </c>
      <c r="N3861" s="15">
        <f t="shared" si="183"/>
        <v>0.27530137927395781</v>
      </c>
      <c r="O3861" s="165">
        <f t="shared" si="184"/>
        <v>0.27530137927395781</v>
      </c>
      <c r="P3861" s="18"/>
      <c r="Q3861" s="18"/>
      <c r="R3861" s="18"/>
      <c r="S3861" s="18"/>
      <c r="T3861" s="18"/>
      <c r="U3861" s="18"/>
      <c r="V3861" s="18"/>
      <c r="W3861" s="18"/>
      <c r="X3861" s="18"/>
    </row>
    <row r="3862" spans="13:24">
      <c r="M3862" s="558">
        <f t="shared" si="185"/>
        <v>3860</v>
      </c>
      <c r="N3862" s="15">
        <f t="shared" si="183"/>
        <v>0.27524556990584209</v>
      </c>
      <c r="O3862" s="165">
        <f t="shared" si="184"/>
        <v>0.27524556990584209</v>
      </c>
      <c r="P3862" s="18"/>
      <c r="Q3862" s="18"/>
      <c r="R3862" s="18"/>
      <c r="S3862" s="18"/>
      <c r="T3862" s="18"/>
      <c r="U3862" s="18"/>
      <c r="V3862" s="18"/>
      <c r="W3862" s="18"/>
      <c r="X3862" s="18"/>
    </row>
    <row r="3863" spans="13:24">
      <c r="M3863" s="558">
        <f t="shared" si="185"/>
        <v>3861</v>
      </c>
      <c r="N3863" s="15">
        <f t="shared" si="183"/>
        <v>0.27518976610894874</v>
      </c>
      <c r="O3863" s="165">
        <f t="shared" si="184"/>
        <v>0.27518976610894874</v>
      </c>
      <c r="P3863" s="18"/>
      <c r="Q3863" s="18"/>
      <c r="R3863" s="18"/>
      <c r="S3863" s="18"/>
      <c r="T3863" s="18"/>
      <c r="U3863" s="18"/>
      <c r="V3863" s="18"/>
      <c r="W3863" s="18"/>
      <c r="X3863" s="18"/>
    </row>
    <row r="3864" spans="13:24">
      <c r="M3864" s="558">
        <f t="shared" si="185"/>
        <v>3862</v>
      </c>
      <c r="N3864" s="15">
        <f t="shared" si="183"/>
        <v>0.27513396787628636</v>
      </c>
      <c r="O3864" s="165">
        <f t="shared" si="184"/>
        <v>0.27513396787628636</v>
      </c>
      <c r="P3864" s="18"/>
      <c r="Q3864" s="18"/>
      <c r="R3864" s="18"/>
      <c r="S3864" s="18"/>
      <c r="T3864" s="18"/>
      <c r="U3864" s="18"/>
      <c r="V3864" s="18"/>
      <c r="W3864" s="18"/>
      <c r="X3864" s="18"/>
    </row>
    <row r="3865" spans="13:24">
      <c r="M3865" s="558">
        <f t="shared" si="185"/>
        <v>3863</v>
      </c>
      <c r="N3865" s="15">
        <f t="shared" si="183"/>
        <v>0.27507817520087213</v>
      </c>
      <c r="O3865" s="165">
        <f t="shared" si="184"/>
        <v>0.27507817520087213</v>
      </c>
      <c r="P3865" s="18"/>
      <c r="Q3865" s="18"/>
      <c r="R3865" s="18"/>
      <c r="S3865" s="18"/>
      <c r="T3865" s="18"/>
      <c r="U3865" s="18"/>
      <c r="V3865" s="18"/>
      <c r="W3865" s="18"/>
      <c r="X3865" s="18"/>
    </row>
    <row r="3866" spans="13:24">
      <c r="M3866" s="558">
        <f t="shared" si="185"/>
        <v>3864</v>
      </c>
      <c r="N3866" s="15">
        <f t="shared" si="183"/>
        <v>0.27502238807573237</v>
      </c>
      <c r="O3866" s="165">
        <f t="shared" si="184"/>
        <v>0.27502238807573237</v>
      </c>
      <c r="P3866" s="18"/>
      <c r="Q3866" s="18"/>
      <c r="R3866" s="18"/>
      <c r="S3866" s="18"/>
      <c r="T3866" s="18"/>
      <c r="U3866" s="18"/>
      <c r="V3866" s="18"/>
      <c r="W3866" s="18"/>
      <c r="X3866" s="18"/>
    </row>
    <row r="3867" spans="13:24">
      <c r="M3867" s="558">
        <f t="shared" si="185"/>
        <v>3865</v>
      </c>
      <c r="N3867" s="15">
        <f t="shared" si="183"/>
        <v>0.27496660649390187</v>
      </c>
      <c r="O3867" s="165">
        <f t="shared" si="184"/>
        <v>0.27496660649390187</v>
      </c>
      <c r="P3867" s="18"/>
      <c r="Q3867" s="18"/>
      <c r="R3867" s="18"/>
      <c r="S3867" s="18"/>
      <c r="T3867" s="18"/>
      <c r="U3867" s="18"/>
      <c r="V3867" s="18"/>
      <c r="W3867" s="18"/>
      <c r="X3867" s="18"/>
    </row>
    <row r="3868" spans="13:24">
      <c r="M3868" s="558">
        <f t="shared" si="185"/>
        <v>3866</v>
      </c>
      <c r="N3868" s="15">
        <f t="shared" si="183"/>
        <v>0.27491083044842413</v>
      </c>
      <c r="O3868" s="165">
        <f t="shared" si="184"/>
        <v>0.27491083044842413</v>
      </c>
      <c r="P3868" s="18"/>
      <c r="Q3868" s="18"/>
      <c r="R3868" s="18"/>
      <c r="S3868" s="18"/>
      <c r="T3868" s="18"/>
      <c r="U3868" s="18"/>
      <c r="V3868" s="18"/>
      <c r="W3868" s="18"/>
      <c r="X3868" s="18"/>
    </row>
    <row r="3869" spans="13:24">
      <c r="M3869" s="558">
        <f t="shared" si="185"/>
        <v>3867</v>
      </c>
      <c r="N3869" s="15">
        <f t="shared" si="183"/>
        <v>0.27485505993235149</v>
      </c>
      <c r="O3869" s="165">
        <f t="shared" si="184"/>
        <v>0.27485505993235149</v>
      </c>
      <c r="P3869" s="18"/>
      <c r="Q3869" s="18"/>
      <c r="R3869" s="18"/>
      <c r="S3869" s="18"/>
      <c r="T3869" s="18"/>
      <c r="U3869" s="18"/>
      <c r="V3869" s="18"/>
      <c r="W3869" s="18"/>
      <c r="X3869" s="18"/>
    </row>
    <row r="3870" spans="13:24">
      <c r="M3870" s="558">
        <f t="shared" si="185"/>
        <v>3868</v>
      </c>
      <c r="N3870" s="15">
        <f t="shared" si="183"/>
        <v>0.27479929493874511</v>
      </c>
      <c r="O3870" s="165">
        <f t="shared" si="184"/>
        <v>0.27479929493874511</v>
      </c>
      <c r="P3870" s="18"/>
      <c r="Q3870" s="18"/>
      <c r="R3870" s="18"/>
      <c r="S3870" s="18"/>
      <c r="T3870" s="18"/>
      <c r="U3870" s="18"/>
      <c r="V3870" s="18"/>
      <c r="W3870" s="18"/>
      <c r="X3870" s="18"/>
    </row>
    <row r="3871" spans="13:24">
      <c r="M3871" s="558">
        <f t="shared" si="185"/>
        <v>3869</v>
      </c>
      <c r="N3871" s="15">
        <f t="shared" si="183"/>
        <v>0.27474353546067459</v>
      </c>
      <c r="O3871" s="165">
        <f t="shared" si="184"/>
        <v>0.27474353546067459</v>
      </c>
      <c r="P3871" s="18"/>
      <c r="Q3871" s="18"/>
      <c r="R3871" s="18"/>
      <c r="S3871" s="18"/>
      <c r="T3871" s="18"/>
      <c r="U3871" s="18"/>
      <c r="V3871" s="18"/>
      <c r="W3871" s="18"/>
      <c r="X3871" s="18"/>
    </row>
    <row r="3872" spans="13:24">
      <c r="M3872" s="558">
        <f t="shared" si="185"/>
        <v>3870</v>
      </c>
      <c r="N3872" s="15">
        <f t="shared" si="183"/>
        <v>0.27468778149121847</v>
      </c>
      <c r="O3872" s="165">
        <f t="shared" si="184"/>
        <v>0.27468778149121847</v>
      </c>
      <c r="P3872" s="18"/>
      <c r="Q3872" s="18"/>
      <c r="R3872" s="18"/>
      <c r="S3872" s="18"/>
      <c r="T3872" s="18"/>
      <c r="U3872" s="18"/>
      <c r="V3872" s="18"/>
      <c r="W3872" s="18"/>
      <c r="X3872" s="18"/>
    </row>
    <row r="3873" spans="13:24">
      <c r="M3873" s="558">
        <f t="shared" si="185"/>
        <v>3871</v>
      </c>
      <c r="N3873" s="15">
        <f t="shared" si="183"/>
        <v>0.27463203302346384</v>
      </c>
      <c r="O3873" s="165">
        <f t="shared" si="184"/>
        <v>0.27463203302346384</v>
      </c>
      <c r="P3873" s="18"/>
      <c r="Q3873" s="18"/>
      <c r="R3873" s="18"/>
      <c r="S3873" s="18"/>
      <c r="T3873" s="18"/>
      <c r="U3873" s="18"/>
      <c r="V3873" s="18"/>
      <c r="W3873" s="18"/>
      <c r="X3873" s="18"/>
    </row>
    <row r="3874" spans="13:24">
      <c r="M3874" s="558">
        <f t="shared" si="185"/>
        <v>3872</v>
      </c>
      <c r="N3874" s="15">
        <f t="shared" si="183"/>
        <v>0.27457629005050654</v>
      </c>
      <c r="O3874" s="165">
        <f t="shared" si="184"/>
        <v>0.27457629005050654</v>
      </c>
      <c r="P3874" s="18"/>
      <c r="Q3874" s="18"/>
      <c r="R3874" s="18"/>
      <c r="S3874" s="18"/>
      <c r="T3874" s="18"/>
      <c r="U3874" s="18"/>
      <c r="V3874" s="18"/>
      <c r="W3874" s="18"/>
      <c r="X3874" s="18"/>
    </row>
    <row r="3875" spans="13:24">
      <c r="M3875" s="558">
        <f t="shared" si="185"/>
        <v>3873</v>
      </c>
      <c r="N3875" s="15">
        <f t="shared" si="183"/>
        <v>0.27452055256545105</v>
      </c>
      <c r="O3875" s="165">
        <f t="shared" si="184"/>
        <v>0.27452055256545105</v>
      </c>
      <c r="P3875" s="18"/>
      <c r="Q3875" s="18"/>
      <c r="R3875" s="18"/>
      <c r="S3875" s="18"/>
      <c r="T3875" s="18"/>
      <c r="U3875" s="18"/>
      <c r="V3875" s="18"/>
      <c r="W3875" s="18"/>
      <c r="X3875" s="18"/>
    </row>
    <row r="3876" spans="13:24">
      <c r="M3876" s="558">
        <f t="shared" si="185"/>
        <v>3874</v>
      </c>
      <c r="N3876" s="15">
        <f t="shared" si="183"/>
        <v>0.27446482056141042</v>
      </c>
      <c r="O3876" s="165">
        <f t="shared" si="184"/>
        <v>0.27446482056141042</v>
      </c>
      <c r="P3876" s="18"/>
      <c r="Q3876" s="18"/>
      <c r="R3876" s="18"/>
      <c r="S3876" s="18"/>
      <c r="T3876" s="18"/>
      <c r="U3876" s="18"/>
      <c r="V3876" s="18"/>
      <c r="W3876" s="18"/>
      <c r="X3876" s="18"/>
    </row>
    <row r="3877" spans="13:24">
      <c r="M3877" s="558">
        <f t="shared" si="185"/>
        <v>3875</v>
      </c>
      <c r="N3877" s="15">
        <f t="shared" si="183"/>
        <v>0.27440909403150648</v>
      </c>
      <c r="O3877" s="165">
        <f t="shared" si="184"/>
        <v>0.27440909403150648</v>
      </c>
      <c r="P3877" s="18"/>
      <c r="Q3877" s="18"/>
      <c r="R3877" s="18"/>
      <c r="S3877" s="18"/>
      <c r="T3877" s="18"/>
      <c r="U3877" s="18"/>
      <c r="V3877" s="18"/>
      <c r="W3877" s="18"/>
      <c r="X3877" s="18"/>
    </row>
    <row r="3878" spans="13:24">
      <c r="M3878" s="558">
        <f t="shared" si="185"/>
        <v>3876</v>
      </c>
      <c r="N3878" s="15">
        <f t="shared" si="183"/>
        <v>0.27435337296886958</v>
      </c>
      <c r="O3878" s="165">
        <f t="shared" si="184"/>
        <v>0.27435337296886958</v>
      </c>
      <c r="P3878" s="18"/>
      <c r="Q3878" s="18"/>
      <c r="R3878" s="18"/>
      <c r="S3878" s="18"/>
      <c r="T3878" s="18"/>
      <c r="U3878" s="18"/>
      <c r="V3878" s="18"/>
      <c r="W3878" s="18"/>
      <c r="X3878" s="18"/>
    </row>
    <row r="3879" spans="13:24">
      <c r="M3879" s="558">
        <f t="shared" si="185"/>
        <v>3877</v>
      </c>
      <c r="N3879" s="15">
        <f t="shared" si="183"/>
        <v>0.2742976573666388</v>
      </c>
      <c r="O3879" s="165">
        <f t="shared" si="184"/>
        <v>0.2742976573666388</v>
      </c>
      <c r="P3879" s="18"/>
      <c r="Q3879" s="18"/>
      <c r="R3879" s="18"/>
      <c r="S3879" s="18"/>
      <c r="T3879" s="18"/>
      <c r="U3879" s="18"/>
      <c r="V3879" s="18"/>
      <c r="W3879" s="18"/>
      <c r="X3879" s="18"/>
    </row>
    <row r="3880" spans="13:24">
      <c r="M3880" s="558">
        <f t="shared" si="185"/>
        <v>3878</v>
      </c>
      <c r="N3880" s="15">
        <f t="shared" si="183"/>
        <v>0.27424194721796175</v>
      </c>
      <c r="O3880" s="165">
        <f t="shared" si="184"/>
        <v>0.27424194721796175</v>
      </c>
      <c r="P3880" s="18"/>
      <c r="Q3880" s="18"/>
      <c r="R3880" s="18"/>
      <c r="S3880" s="18"/>
      <c r="T3880" s="18"/>
      <c r="U3880" s="18"/>
      <c r="V3880" s="18"/>
      <c r="W3880" s="18"/>
      <c r="X3880" s="18"/>
    </row>
    <row r="3881" spans="13:24">
      <c r="M3881" s="558">
        <f t="shared" si="185"/>
        <v>3879</v>
      </c>
      <c r="N3881" s="15">
        <f t="shared" si="183"/>
        <v>0.2741862425159946</v>
      </c>
      <c r="O3881" s="165">
        <f t="shared" si="184"/>
        <v>0.2741862425159946</v>
      </c>
      <c r="P3881" s="18"/>
      <c r="Q3881" s="18"/>
      <c r="R3881" s="18"/>
      <c r="S3881" s="18"/>
      <c r="T3881" s="18"/>
      <c r="U3881" s="18"/>
      <c r="V3881" s="18"/>
      <c r="W3881" s="18"/>
      <c r="X3881" s="18"/>
    </row>
    <row r="3882" spans="13:24">
      <c r="M3882" s="558">
        <f t="shared" si="185"/>
        <v>3880</v>
      </c>
      <c r="N3882" s="15">
        <f t="shared" si="183"/>
        <v>0.27413054325390224</v>
      </c>
      <c r="O3882" s="165">
        <f t="shared" si="184"/>
        <v>0.27413054325390224</v>
      </c>
      <c r="P3882" s="18"/>
      <c r="Q3882" s="18"/>
      <c r="R3882" s="18"/>
      <c r="S3882" s="18"/>
      <c r="T3882" s="18"/>
      <c r="U3882" s="18"/>
      <c r="V3882" s="18"/>
      <c r="W3882" s="18"/>
      <c r="X3882" s="18"/>
    </row>
    <row r="3883" spans="13:24">
      <c r="M3883" s="558">
        <f t="shared" si="185"/>
        <v>3881</v>
      </c>
      <c r="N3883" s="15">
        <f t="shared" si="183"/>
        <v>0.27407484942485805</v>
      </c>
      <c r="O3883" s="165">
        <f t="shared" si="184"/>
        <v>0.27407484942485805</v>
      </c>
      <c r="P3883" s="18"/>
      <c r="Q3883" s="18"/>
      <c r="R3883" s="18"/>
      <c r="S3883" s="18"/>
      <c r="T3883" s="18"/>
      <c r="U3883" s="18"/>
      <c r="V3883" s="18"/>
      <c r="W3883" s="18"/>
      <c r="X3883" s="18"/>
    </row>
    <row r="3884" spans="13:24">
      <c r="M3884" s="558">
        <f t="shared" si="185"/>
        <v>3882</v>
      </c>
      <c r="N3884" s="15">
        <f t="shared" si="183"/>
        <v>0.27401916102204393</v>
      </c>
      <c r="O3884" s="165">
        <f t="shared" si="184"/>
        <v>0.27401916102204393</v>
      </c>
      <c r="P3884" s="18"/>
      <c r="Q3884" s="18"/>
      <c r="R3884" s="18"/>
      <c r="S3884" s="18"/>
      <c r="T3884" s="18"/>
      <c r="U3884" s="18"/>
      <c r="V3884" s="18"/>
      <c r="W3884" s="18"/>
      <c r="X3884" s="18"/>
    </row>
    <row r="3885" spans="13:24">
      <c r="M3885" s="558">
        <f t="shared" si="185"/>
        <v>3883</v>
      </c>
      <c r="N3885" s="15">
        <f t="shared" si="183"/>
        <v>0.27396347803865051</v>
      </c>
      <c r="O3885" s="165">
        <f t="shared" si="184"/>
        <v>0.27396347803865051</v>
      </c>
      <c r="P3885" s="18"/>
      <c r="Q3885" s="18"/>
      <c r="R3885" s="18"/>
      <c r="S3885" s="18"/>
      <c r="T3885" s="18"/>
      <c r="U3885" s="18"/>
      <c r="V3885" s="18"/>
      <c r="W3885" s="18"/>
      <c r="X3885" s="18"/>
    </row>
    <row r="3886" spans="13:24">
      <c r="M3886" s="558">
        <f t="shared" si="185"/>
        <v>3884</v>
      </c>
      <c r="N3886" s="15">
        <f t="shared" si="183"/>
        <v>0.27390780046787677</v>
      </c>
      <c r="O3886" s="165">
        <f t="shared" si="184"/>
        <v>0.27390780046787677</v>
      </c>
      <c r="P3886" s="18"/>
      <c r="Q3886" s="18"/>
      <c r="R3886" s="18"/>
      <c r="S3886" s="18"/>
      <c r="T3886" s="18"/>
      <c r="U3886" s="18"/>
      <c r="V3886" s="18"/>
      <c r="W3886" s="18"/>
      <c r="X3886" s="18"/>
    </row>
    <row r="3887" spans="13:24">
      <c r="M3887" s="558">
        <f t="shared" si="185"/>
        <v>3885</v>
      </c>
      <c r="N3887" s="15">
        <f t="shared" si="183"/>
        <v>0.27385212830293026</v>
      </c>
      <c r="O3887" s="165">
        <f t="shared" si="184"/>
        <v>0.27385212830293026</v>
      </c>
      <c r="P3887" s="18"/>
      <c r="Q3887" s="18"/>
      <c r="R3887" s="18"/>
      <c r="S3887" s="18"/>
      <c r="T3887" s="18"/>
      <c r="U3887" s="18"/>
      <c r="V3887" s="18"/>
      <c r="W3887" s="18"/>
      <c r="X3887" s="18"/>
    </row>
    <row r="3888" spans="13:24">
      <c r="M3888" s="558">
        <f t="shared" si="185"/>
        <v>3886</v>
      </c>
      <c r="N3888" s="15">
        <f t="shared" si="183"/>
        <v>0.27379646153702719</v>
      </c>
      <c r="O3888" s="165">
        <f t="shared" si="184"/>
        <v>0.27379646153702719</v>
      </c>
      <c r="P3888" s="18"/>
      <c r="Q3888" s="18"/>
      <c r="R3888" s="18"/>
      <c r="S3888" s="18"/>
      <c r="T3888" s="18"/>
      <c r="U3888" s="18"/>
      <c r="V3888" s="18"/>
      <c r="W3888" s="18"/>
      <c r="X3888" s="18"/>
    </row>
    <row r="3889" spans="13:24">
      <c r="M3889" s="558">
        <f t="shared" si="185"/>
        <v>3887</v>
      </c>
      <c r="N3889" s="15">
        <f t="shared" si="183"/>
        <v>0.27374080016339225</v>
      </c>
      <c r="O3889" s="165">
        <f t="shared" si="184"/>
        <v>0.27374080016339225</v>
      </c>
      <c r="P3889" s="18"/>
      <c r="Q3889" s="18"/>
      <c r="R3889" s="18"/>
      <c r="S3889" s="18"/>
      <c r="T3889" s="18"/>
      <c r="U3889" s="18"/>
      <c r="V3889" s="18"/>
      <c r="W3889" s="18"/>
      <c r="X3889" s="18"/>
    </row>
    <row r="3890" spans="13:24">
      <c r="M3890" s="558">
        <f t="shared" si="185"/>
        <v>3888</v>
      </c>
      <c r="N3890" s="15">
        <f t="shared" si="183"/>
        <v>0.27368514417525841</v>
      </c>
      <c r="O3890" s="165">
        <f t="shared" si="184"/>
        <v>0.27368514417525841</v>
      </c>
      <c r="P3890" s="18"/>
      <c r="Q3890" s="18"/>
      <c r="R3890" s="18"/>
      <c r="S3890" s="18"/>
      <c r="T3890" s="18"/>
      <c r="U3890" s="18"/>
      <c r="V3890" s="18"/>
      <c r="W3890" s="18"/>
      <c r="X3890" s="18"/>
    </row>
    <row r="3891" spans="13:24">
      <c r="M3891" s="558">
        <f t="shared" si="185"/>
        <v>3889</v>
      </c>
      <c r="N3891" s="15">
        <f t="shared" si="183"/>
        <v>0.27362949356586735</v>
      </c>
      <c r="O3891" s="165">
        <f t="shared" si="184"/>
        <v>0.27362949356586735</v>
      </c>
      <c r="P3891" s="18"/>
      <c r="Q3891" s="18"/>
      <c r="R3891" s="18"/>
      <c r="S3891" s="18"/>
      <c r="T3891" s="18"/>
      <c r="U3891" s="18"/>
      <c r="V3891" s="18"/>
      <c r="W3891" s="18"/>
      <c r="X3891" s="18"/>
    </row>
    <row r="3892" spans="13:24">
      <c r="M3892" s="558">
        <f t="shared" si="185"/>
        <v>3890</v>
      </c>
      <c r="N3892" s="15">
        <f t="shared" si="183"/>
        <v>0.27357384832846932</v>
      </c>
      <c r="O3892" s="165">
        <f t="shared" si="184"/>
        <v>0.27357384832846932</v>
      </c>
      <c r="P3892" s="18"/>
      <c r="Q3892" s="18"/>
      <c r="R3892" s="18"/>
      <c r="S3892" s="18"/>
      <c r="T3892" s="18"/>
      <c r="U3892" s="18"/>
      <c r="V3892" s="18"/>
      <c r="W3892" s="18"/>
      <c r="X3892" s="18"/>
    </row>
    <row r="3893" spans="13:24">
      <c r="M3893" s="558">
        <f t="shared" si="185"/>
        <v>3891</v>
      </c>
      <c r="N3893" s="15">
        <f t="shared" si="183"/>
        <v>0.27351820845632274</v>
      </c>
      <c r="O3893" s="165">
        <f t="shared" si="184"/>
        <v>0.27351820845632274</v>
      </c>
      <c r="P3893" s="18"/>
      <c r="Q3893" s="18"/>
      <c r="R3893" s="18"/>
      <c r="S3893" s="18"/>
      <c r="T3893" s="18"/>
      <c r="U3893" s="18"/>
      <c r="V3893" s="18"/>
      <c r="W3893" s="18"/>
      <c r="X3893" s="18"/>
    </row>
    <row r="3894" spans="13:24">
      <c r="M3894" s="558">
        <f t="shared" si="185"/>
        <v>3892</v>
      </c>
      <c r="N3894" s="15">
        <f t="shared" si="183"/>
        <v>0.27346257394269474</v>
      </c>
      <c r="O3894" s="165">
        <f t="shared" si="184"/>
        <v>0.27346257394269474</v>
      </c>
      <c r="P3894" s="18"/>
      <c r="Q3894" s="18"/>
      <c r="R3894" s="18"/>
      <c r="S3894" s="18"/>
      <c r="T3894" s="18"/>
      <c r="U3894" s="18"/>
      <c r="V3894" s="18"/>
      <c r="W3894" s="18"/>
      <c r="X3894" s="18"/>
    </row>
    <row r="3895" spans="13:24">
      <c r="M3895" s="558">
        <f t="shared" si="185"/>
        <v>3893</v>
      </c>
      <c r="N3895" s="15">
        <f t="shared" si="183"/>
        <v>0.27340694478086069</v>
      </c>
      <c r="O3895" s="165">
        <f t="shared" si="184"/>
        <v>0.27340694478086069</v>
      </c>
      <c r="P3895" s="18"/>
      <c r="Q3895" s="18"/>
      <c r="R3895" s="18"/>
      <c r="S3895" s="18"/>
      <c r="T3895" s="18"/>
      <c r="U3895" s="18"/>
      <c r="V3895" s="18"/>
      <c r="W3895" s="18"/>
      <c r="X3895" s="18"/>
    </row>
    <row r="3896" spans="13:24">
      <c r="M3896" s="558">
        <f t="shared" si="185"/>
        <v>3894</v>
      </c>
      <c r="N3896" s="15">
        <f t="shared" si="183"/>
        <v>0.27335132096410464</v>
      </c>
      <c r="O3896" s="165">
        <f t="shared" si="184"/>
        <v>0.27335132096410464</v>
      </c>
      <c r="P3896" s="18"/>
      <c r="Q3896" s="18"/>
      <c r="R3896" s="18"/>
      <c r="S3896" s="18"/>
      <c r="T3896" s="18"/>
      <c r="U3896" s="18"/>
      <c r="V3896" s="18"/>
      <c r="W3896" s="18"/>
      <c r="X3896" s="18"/>
    </row>
    <row r="3897" spans="13:24">
      <c r="M3897" s="558">
        <f t="shared" si="185"/>
        <v>3895</v>
      </c>
      <c r="N3897" s="15">
        <f t="shared" si="183"/>
        <v>0.27329570248571894</v>
      </c>
      <c r="O3897" s="165">
        <f t="shared" si="184"/>
        <v>0.27329570248571894</v>
      </c>
      <c r="P3897" s="18"/>
      <c r="Q3897" s="18"/>
      <c r="R3897" s="18"/>
      <c r="S3897" s="18"/>
      <c r="T3897" s="18"/>
      <c r="U3897" s="18"/>
      <c r="V3897" s="18"/>
      <c r="W3897" s="18"/>
      <c r="X3897" s="18"/>
    </row>
    <row r="3898" spans="13:24">
      <c r="M3898" s="558">
        <f t="shared" si="185"/>
        <v>3896</v>
      </c>
      <c r="N3898" s="15">
        <f t="shared" si="183"/>
        <v>0.27324008933900429</v>
      </c>
      <c r="O3898" s="165">
        <f t="shared" si="184"/>
        <v>0.27324008933900429</v>
      </c>
      <c r="P3898" s="18"/>
      <c r="Q3898" s="18"/>
      <c r="R3898" s="18"/>
      <c r="S3898" s="18"/>
      <c r="T3898" s="18"/>
      <c r="U3898" s="18"/>
      <c r="V3898" s="18"/>
      <c r="W3898" s="18"/>
      <c r="X3898" s="18"/>
    </row>
    <row r="3899" spans="13:24">
      <c r="M3899" s="558">
        <f t="shared" si="185"/>
        <v>3897</v>
      </c>
      <c r="N3899" s="15">
        <f t="shared" si="183"/>
        <v>0.27318448151726993</v>
      </c>
      <c r="O3899" s="165">
        <f t="shared" si="184"/>
        <v>0.27318448151726993</v>
      </c>
      <c r="P3899" s="18"/>
      <c r="Q3899" s="18"/>
      <c r="R3899" s="18"/>
      <c r="S3899" s="18"/>
      <c r="T3899" s="18"/>
      <c r="U3899" s="18"/>
      <c r="V3899" s="18"/>
      <c r="W3899" s="18"/>
      <c r="X3899" s="18"/>
    </row>
    <row r="3900" spans="13:24">
      <c r="M3900" s="558">
        <f t="shared" si="185"/>
        <v>3898</v>
      </c>
      <c r="N3900" s="15">
        <f t="shared" si="183"/>
        <v>0.27312887901383343</v>
      </c>
      <c r="O3900" s="165">
        <f t="shared" si="184"/>
        <v>0.27312887901383343</v>
      </c>
      <c r="P3900" s="18"/>
      <c r="Q3900" s="18"/>
      <c r="R3900" s="18"/>
      <c r="S3900" s="18"/>
      <c r="T3900" s="18"/>
      <c r="U3900" s="18"/>
      <c r="V3900" s="18"/>
      <c r="W3900" s="18"/>
      <c r="X3900" s="18"/>
    </row>
    <row r="3901" spans="13:24">
      <c r="M3901" s="558">
        <f t="shared" si="185"/>
        <v>3899</v>
      </c>
      <c r="N3901" s="15">
        <f t="shared" si="183"/>
        <v>0.27307328182202073</v>
      </c>
      <c r="O3901" s="165">
        <f t="shared" si="184"/>
        <v>0.27307328182202073</v>
      </c>
      <c r="P3901" s="18"/>
      <c r="Q3901" s="18"/>
      <c r="R3901" s="18"/>
      <c r="S3901" s="18"/>
      <c r="T3901" s="18"/>
      <c r="U3901" s="18"/>
      <c r="V3901" s="18"/>
      <c r="W3901" s="18"/>
      <c r="X3901" s="18"/>
    </row>
    <row r="3902" spans="13:24">
      <c r="M3902" s="558">
        <f t="shared" si="185"/>
        <v>3900</v>
      </c>
      <c r="N3902" s="15">
        <f t="shared" si="183"/>
        <v>0.27301768993516617</v>
      </c>
      <c r="O3902" s="165">
        <f t="shared" si="184"/>
        <v>0.27301768993516617</v>
      </c>
      <c r="P3902" s="18"/>
      <c r="Q3902" s="18"/>
      <c r="R3902" s="18"/>
      <c r="S3902" s="18"/>
      <c r="T3902" s="18"/>
      <c r="U3902" s="18"/>
      <c r="V3902" s="18"/>
      <c r="W3902" s="18"/>
      <c r="X3902" s="18"/>
    </row>
    <row r="3903" spans="13:24">
      <c r="M3903" s="558">
        <f t="shared" si="185"/>
        <v>3901</v>
      </c>
      <c r="N3903" s="15">
        <f t="shared" si="183"/>
        <v>0.27296210334661247</v>
      </c>
      <c r="O3903" s="165">
        <f t="shared" si="184"/>
        <v>0.27296210334661247</v>
      </c>
      <c r="P3903" s="18"/>
      <c r="Q3903" s="18"/>
      <c r="R3903" s="18"/>
      <c r="S3903" s="18"/>
      <c r="T3903" s="18"/>
      <c r="U3903" s="18"/>
      <c r="V3903" s="18"/>
      <c r="W3903" s="18"/>
      <c r="X3903" s="18"/>
    </row>
    <row r="3904" spans="13:24">
      <c r="M3904" s="558">
        <f t="shared" si="185"/>
        <v>3902</v>
      </c>
      <c r="N3904" s="15">
        <f t="shared" si="183"/>
        <v>0.27290652204971072</v>
      </c>
      <c r="O3904" s="165">
        <f t="shared" si="184"/>
        <v>0.27290652204971072</v>
      </c>
      <c r="P3904" s="18"/>
      <c r="Q3904" s="18"/>
      <c r="R3904" s="18"/>
      <c r="S3904" s="18"/>
      <c r="T3904" s="18"/>
      <c r="U3904" s="18"/>
      <c r="V3904" s="18"/>
      <c r="W3904" s="18"/>
      <c r="X3904" s="18"/>
    </row>
    <row r="3905" spans="13:24">
      <c r="M3905" s="558">
        <f t="shared" si="185"/>
        <v>3903</v>
      </c>
      <c r="N3905" s="15">
        <f t="shared" si="183"/>
        <v>0.27285094603782023</v>
      </c>
      <c r="O3905" s="165">
        <f t="shared" si="184"/>
        <v>0.27285094603782023</v>
      </c>
      <c r="P3905" s="18"/>
      <c r="Q3905" s="18"/>
      <c r="R3905" s="18"/>
      <c r="S3905" s="18"/>
      <c r="T3905" s="18"/>
      <c r="U3905" s="18"/>
      <c r="V3905" s="18"/>
      <c r="W3905" s="18"/>
      <c r="X3905" s="18"/>
    </row>
    <row r="3906" spans="13:24">
      <c r="M3906" s="558">
        <f t="shared" si="185"/>
        <v>3904</v>
      </c>
      <c r="N3906" s="15">
        <f t="shared" si="183"/>
        <v>0.27279537530430886</v>
      </c>
      <c r="O3906" s="165">
        <f t="shared" si="184"/>
        <v>0.27279537530430886</v>
      </c>
      <c r="P3906" s="18"/>
      <c r="Q3906" s="18"/>
      <c r="R3906" s="18"/>
      <c r="S3906" s="18"/>
      <c r="T3906" s="18"/>
      <c r="U3906" s="18"/>
      <c r="V3906" s="18"/>
      <c r="W3906" s="18"/>
      <c r="X3906" s="18"/>
    </row>
    <row r="3907" spans="13:24">
      <c r="M3907" s="558">
        <f t="shared" si="185"/>
        <v>3905</v>
      </c>
      <c r="N3907" s="15">
        <f t="shared" si="183"/>
        <v>0.27273980984255258</v>
      </c>
      <c r="O3907" s="165">
        <f t="shared" si="184"/>
        <v>0.27273980984255258</v>
      </c>
      <c r="P3907" s="18"/>
      <c r="Q3907" s="18"/>
      <c r="R3907" s="18"/>
      <c r="S3907" s="18"/>
      <c r="T3907" s="18"/>
      <c r="U3907" s="18"/>
      <c r="V3907" s="18"/>
      <c r="W3907" s="18"/>
      <c r="X3907" s="18"/>
    </row>
    <row r="3908" spans="13:24">
      <c r="M3908" s="558">
        <f t="shared" si="185"/>
        <v>3906</v>
      </c>
      <c r="N3908" s="15">
        <f t="shared" ref="N3908:N3971" si="186">IF(M3908&lt;$B$31+1,$B$32+$B$33/$B$31*(8760-M3908)+$B$34*IF(M3908&lt;$B$36-$B$31/(2*$B$35),1,IF(M3908&lt;$B$36+$B$31/(2*$B$35),COS(PI()/2*(M3908-($B$36-$B$31/(2*$B$35)))*$B$35/$B$31)^2,0))+$B$37*EXP((8760-M3908)/8760*$B$38)/EXP($B$38)-(8760-$B$31)*$B$33/$B$31,0)</f>
        <v>0.27268424964593574</v>
      </c>
      <c r="O3908" s="165">
        <f t="shared" ref="O3908:O3971" si="187">MIN(N3908,C$24)</f>
        <v>0.27268424964593574</v>
      </c>
      <c r="P3908" s="18"/>
      <c r="Q3908" s="18"/>
      <c r="R3908" s="18"/>
      <c r="S3908" s="18"/>
      <c r="T3908" s="18"/>
      <c r="U3908" s="18"/>
      <c r="V3908" s="18"/>
      <c r="W3908" s="18"/>
      <c r="X3908" s="18"/>
    </row>
    <row r="3909" spans="13:24">
      <c r="M3909" s="558">
        <f t="shared" ref="M3909:M3972" si="188">M3908+1</f>
        <v>3907</v>
      </c>
      <c r="N3909" s="15">
        <f t="shared" si="186"/>
        <v>0.27262869470785106</v>
      </c>
      <c r="O3909" s="165">
        <f t="shared" si="187"/>
        <v>0.27262869470785106</v>
      </c>
      <c r="P3909" s="18"/>
      <c r="Q3909" s="18"/>
      <c r="R3909" s="18"/>
      <c r="S3909" s="18"/>
      <c r="T3909" s="18"/>
      <c r="U3909" s="18"/>
      <c r="V3909" s="18"/>
      <c r="W3909" s="18"/>
      <c r="X3909" s="18"/>
    </row>
    <row r="3910" spans="13:24">
      <c r="M3910" s="558">
        <f t="shared" si="188"/>
        <v>3908</v>
      </c>
      <c r="N3910" s="15">
        <f t="shared" si="186"/>
        <v>0.27257314502169949</v>
      </c>
      <c r="O3910" s="165">
        <f t="shared" si="187"/>
        <v>0.27257314502169949</v>
      </c>
      <c r="P3910" s="18"/>
      <c r="Q3910" s="18"/>
      <c r="R3910" s="18"/>
      <c r="S3910" s="18"/>
      <c r="T3910" s="18"/>
      <c r="U3910" s="18"/>
      <c r="V3910" s="18"/>
      <c r="W3910" s="18"/>
      <c r="X3910" s="18"/>
    </row>
    <row r="3911" spans="13:24">
      <c r="M3911" s="558">
        <f t="shared" si="188"/>
        <v>3909</v>
      </c>
      <c r="N3911" s="15">
        <f t="shared" si="186"/>
        <v>0.27251760058089036</v>
      </c>
      <c r="O3911" s="165">
        <f t="shared" si="187"/>
        <v>0.27251760058089036</v>
      </c>
      <c r="P3911" s="18"/>
      <c r="Q3911" s="18"/>
      <c r="R3911" s="18"/>
      <c r="S3911" s="18"/>
      <c r="T3911" s="18"/>
      <c r="U3911" s="18"/>
      <c r="V3911" s="18"/>
      <c r="W3911" s="18"/>
      <c r="X3911" s="18"/>
    </row>
    <row r="3912" spans="13:24">
      <c r="M3912" s="558">
        <f t="shared" si="188"/>
        <v>3910</v>
      </c>
      <c r="N3912" s="15">
        <f t="shared" si="186"/>
        <v>0.27246206137884105</v>
      </c>
      <c r="O3912" s="165">
        <f t="shared" si="187"/>
        <v>0.27246206137884105</v>
      </c>
      <c r="P3912" s="18"/>
      <c r="Q3912" s="18"/>
      <c r="R3912" s="18"/>
      <c r="S3912" s="18"/>
      <c r="T3912" s="18"/>
      <c r="U3912" s="18"/>
      <c r="V3912" s="18"/>
      <c r="W3912" s="18"/>
      <c r="X3912" s="18"/>
    </row>
    <row r="3913" spans="13:24">
      <c r="M3913" s="558">
        <f t="shared" si="188"/>
        <v>3911</v>
      </c>
      <c r="N3913" s="15">
        <f t="shared" si="186"/>
        <v>0.27240652740897736</v>
      </c>
      <c r="O3913" s="165">
        <f t="shared" si="187"/>
        <v>0.27240652740897736</v>
      </c>
      <c r="P3913" s="18"/>
      <c r="Q3913" s="18"/>
      <c r="R3913" s="18"/>
      <c r="S3913" s="18"/>
      <c r="T3913" s="18"/>
      <c r="U3913" s="18"/>
      <c r="V3913" s="18"/>
      <c r="W3913" s="18"/>
      <c r="X3913" s="18"/>
    </row>
    <row r="3914" spans="13:24">
      <c r="M3914" s="558">
        <f t="shared" si="188"/>
        <v>3912</v>
      </c>
      <c r="N3914" s="15">
        <f t="shared" si="186"/>
        <v>0.27235099866473339</v>
      </c>
      <c r="O3914" s="165">
        <f t="shared" si="187"/>
        <v>0.27235099866473339</v>
      </c>
      <c r="P3914" s="18"/>
      <c r="Q3914" s="18"/>
      <c r="R3914" s="18"/>
      <c r="S3914" s="18"/>
      <c r="T3914" s="18"/>
      <c r="U3914" s="18"/>
      <c r="V3914" s="18"/>
      <c r="W3914" s="18"/>
      <c r="X3914" s="18"/>
    </row>
    <row r="3915" spans="13:24">
      <c r="M3915" s="558">
        <f t="shared" si="188"/>
        <v>3913</v>
      </c>
      <c r="N3915" s="15">
        <f t="shared" si="186"/>
        <v>0.27229547513955138</v>
      </c>
      <c r="O3915" s="165">
        <f t="shared" si="187"/>
        <v>0.27229547513955138</v>
      </c>
      <c r="P3915" s="18"/>
      <c r="Q3915" s="18"/>
      <c r="R3915" s="18"/>
      <c r="S3915" s="18"/>
      <c r="T3915" s="18"/>
      <c r="U3915" s="18"/>
      <c r="V3915" s="18"/>
      <c r="W3915" s="18"/>
      <c r="X3915" s="18"/>
    </row>
    <row r="3916" spans="13:24">
      <c r="M3916" s="558">
        <f t="shared" si="188"/>
        <v>3914</v>
      </c>
      <c r="N3916" s="15">
        <f t="shared" si="186"/>
        <v>0.27223995682688185</v>
      </c>
      <c r="O3916" s="165">
        <f t="shared" si="187"/>
        <v>0.27223995682688185</v>
      </c>
      <c r="P3916" s="18"/>
      <c r="Q3916" s="18"/>
      <c r="R3916" s="18"/>
      <c r="S3916" s="18"/>
      <c r="T3916" s="18"/>
      <c r="U3916" s="18"/>
      <c r="V3916" s="18"/>
      <c r="W3916" s="18"/>
      <c r="X3916" s="18"/>
    </row>
    <row r="3917" spans="13:24">
      <c r="M3917" s="558">
        <f t="shared" si="188"/>
        <v>3915</v>
      </c>
      <c r="N3917" s="15">
        <f t="shared" si="186"/>
        <v>0.27218444372018341</v>
      </c>
      <c r="O3917" s="165">
        <f t="shared" si="187"/>
        <v>0.27218444372018341</v>
      </c>
      <c r="P3917" s="18"/>
      <c r="Q3917" s="18"/>
      <c r="R3917" s="18"/>
      <c r="S3917" s="18"/>
      <c r="T3917" s="18"/>
      <c r="U3917" s="18"/>
      <c r="V3917" s="18"/>
      <c r="W3917" s="18"/>
      <c r="X3917" s="18"/>
    </row>
    <row r="3918" spans="13:24">
      <c r="M3918" s="558">
        <f t="shared" si="188"/>
        <v>3916</v>
      </c>
      <c r="N3918" s="15">
        <f t="shared" si="186"/>
        <v>0.27212893581292308</v>
      </c>
      <c r="O3918" s="165">
        <f t="shared" si="187"/>
        <v>0.27212893581292308</v>
      </c>
      <c r="P3918" s="18"/>
      <c r="Q3918" s="18"/>
      <c r="R3918" s="18"/>
      <c r="S3918" s="18"/>
      <c r="T3918" s="18"/>
      <c r="U3918" s="18"/>
      <c r="V3918" s="18"/>
      <c r="W3918" s="18"/>
      <c r="X3918" s="18"/>
    </row>
    <row r="3919" spans="13:24">
      <c r="M3919" s="558">
        <f t="shared" si="188"/>
        <v>3917</v>
      </c>
      <c r="N3919" s="15">
        <f t="shared" si="186"/>
        <v>0.27207343309857596</v>
      </c>
      <c r="O3919" s="165">
        <f t="shared" si="187"/>
        <v>0.27207343309857596</v>
      </c>
      <c r="P3919" s="18"/>
      <c r="Q3919" s="18"/>
      <c r="R3919" s="18"/>
      <c r="S3919" s="18"/>
      <c r="T3919" s="18"/>
      <c r="U3919" s="18"/>
      <c r="V3919" s="18"/>
      <c r="W3919" s="18"/>
      <c r="X3919" s="18"/>
    </row>
    <row r="3920" spans="13:24">
      <c r="M3920" s="558">
        <f t="shared" si="188"/>
        <v>3918</v>
      </c>
      <c r="N3920" s="15">
        <f t="shared" si="186"/>
        <v>0.27201793557062537</v>
      </c>
      <c r="O3920" s="165">
        <f t="shared" si="187"/>
        <v>0.27201793557062537</v>
      </c>
      <c r="P3920" s="18"/>
      <c r="Q3920" s="18"/>
      <c r="R3920" s="18"/>
      <c r="S3920" s="18"/>
      <c r="T3920" s="18"/>
      <c r="U3920" s="18"/>
      <c r="V3920" s="18"/>
      <c r="W3920" s="18"/>
      <c r="X3920" s="18"/>
    </row>
    <row r="3921" spans="13:24">
      <c r="M3921" s="558">
        <f t="shared" si="188"/>
        <v>3919</v>
      </c>
      <c r="N3921" s="15">
        <f t="shared" si="186"/>
        <v>0.2719624432225628</v>
      </c>
      <c r="O3921" s="165">
        <f t="shared" si="187"/>
        <v>0.2719624432225628</v>
      </c>
      <c r="P3921" s="18"/>
      <c r="Q3921" s="18"/>
      <c r="R3921" s="18"/>
      <c r="S3921" s="18"/>
      <c r="T3921" s="18"/>
      <c r="U3921" s="18"/>
      <c r="V3921" s="18"/>
      <c r="W3921" s="18"/>
      <c r="X3921" s="18"/>
    </row>
    <row r="3922" spans="13:24">
      <c r="M3922" s="558">
        <f t="shared" si="188"/>
        <v>3920</v>
      </c>
      <c r="N3922" s="15">
        <f t="shared" si="186"/>
        <v>0.27190695604788789</v>
      </c>
      <c r="O3922" s="165">
        <f t="shared" si="187"/>
        <v>0.27190695604788789</v>
      </c>
      <c r="P3922" s="18"/>
      <c r="Q3922" s="18"/>
      <c r="R3922" s="18"/>
      <c r="S3922" s="18"/>
      <c r="T3922" s="18"/>
      <c r="U3922" s="18"/>
      <c r="V3922" s="18"/>
      <c r="W3922" s="18"/>
      <c r="X3922" s="18"/>
    </row>
    <row r="3923" spans="13:24">
      <c r="M3923" s="558">
        <f t="shared" si="188"/>
        <v>3921</v>
      </c>
      <c r="N3923" s="15">
        <f t="shared" si="186"/>
        <v>0.27185147404010845</v>
      </c>
      <c r="O3923" s="165">
        <f t="shared" si="187"/>
        <v>0.27185147404010845</v>
      </c>
      <c r="P3923" s="18"/>
      <c r="Q3923" s="18"/>
      <c r="R3923" s="18"/>
      <c r="S3923" s="18"/>
      <c r="T3923" s="18"/>
      <c r="U3923" s="18"/>
      <c r="V3923" s="18"/>
      <c r="W3923" s="18"/>
      <c r="X3923" s="18"/>
    </row>
    <row r="3924" spans="13:24">
      <c r="M3924" s="558">
        <f t="shared" si="188"/>
        <v>3922</v>
      </c>
      <c r="N3924" s="15">
        <f t="shared" si="186"/>
        <v>0.27179599719274039</v>
      </c>
      <c r="O3924" s="165">
        <f t="shared" si="187"/>
        <v>0.27179599719274039</v>
      </c>
      <c r="P3924" s="18"/>
      <c r="Q3924" s="18"/>
      <c r="R3924" s="18"/>
      <c r="S3924" s="18"/>
      <c r="T3924" s="18"/>
      <c r="U3924" s="18"/>
      <c r="V3924" s="18"/>
      <c r="W3924" s="18"/>
      <c r="X3924" s="18"/>
    </row>
    <row r="3925" spans="13:24">
      <c r="M3925" s="558">
        <f t="shared" si="188"/>
        <v>3923</v>
      </c>
      <c r="N3925" s="15">
        <f t="shared" si="186"/>
        <v>0.27174052549930794</v>
      </c>
      <c r="O3925" s="165">
        <f t="shared" si="187"/>
        <v>0.27174052549930794</v>
      </c>
      <c r="P3925" s="18"/>
      <c r="Q3925" s="18"/>
      <c r="R3925" s="18"/>
      <c r="S3925" s="18"/>
      <c r="T3925" s="18"/>
      <c r="U3925" s="18"/>
      <c r="V3925" s="18"/>
      <c r="W3925" s="18"/>
      <c r="X3925" s="18"/>
    </row>
    <row r="3926" spans="13:24">
      <c r="M3926" s="558">
        <f t="shared" si="188"/>
        <v>3924</v>
      </c>
      <c r="N3926" s="15">
        <f t="shared" si="186"/>
        <v>0.27168505895334327</v>
      </c>
      <c r="O3926" s="165">
        <f t="shared" si="187"/>
        <v>0.27168505895334327</v>
      </c>
      <c r="P3926" s="18"/>
      <c r="Q3926" s="18"/>
      <c r="R3926" s="18"/>
      <c r="S3926" s="18"/>
      <c r="T3926" s="18"/>
      <c r="U3926" s="18"/>
      <c r="V3926" s="18"/>
      <c r="W3926" s="18"/>
      <c r="X3926" s="18"/>
    </row>
    <row r="3927" spans="13:24">
      <c r="M3927" s="558">
        <f t="shared" si="188"/>
        <v>3925</v>
      </c>
      <c r="N3927" s="15">
        <f t="shared" si="186"/>
        <v>0.27162959754838667</v>
      </c>
      <c r="O3927" s="165">
        <f t="shared" si="187"/>
        <v>0.27162959754838667</v>
      </c>
      <c r="P3927" s="18"/>
      <c r="Q3927" s="18"/>
      <c r="R3927" s="18"/>
      <c r="S3927" s="18"/>
      <c r="T3927" s="18"/>
      <c r="U3927" s="18"/>
      <c r="V3927" s="18"/>
      <c r="W3927" s="18"/>
      <c r="X3927" s="18"/>
    </row>
    <row r="3928" spans="13:24">
      <c r="M3928" s="558">
        <f t="shared" si="188"/>
        <v>3926</v>
      </c>
      <c r="N3928" s="15">
        <f t="shared" si="186"/>
        <v>0.27157414127798662</v>
      </c>
      <c r="O3928" s="165">
        <f t="shared" si="187"/>
        <v>0.27157414127798662</v>
      </c>
      <c r="P3928" s="18"/>
      <c r="Q3928" s="18"/>
      <c r="R3928" s="18"/>
      <c r="S3928" s="18"/>
      <c r="T3928" s="18"/>
      <c r="U3928" s="18"/>
      <c r="V3928" s="18"/>
      <c r="W3928" s="18"/>
      <c r="X3928" s="18"/>
    </row>
    <row r="3929" spans="13:24">
      <c r="M3929" s="558">
        <f t="shared" si="188"/>
        <v>3927</v>
      </c>
      <c r="N3929" s="15">
        <f t="shared" si="186"/>
        <v>0.27151869013569968</v>
      </c>
      <c r="O3929" s="165">
        <f t="shared" si="187"/>
        <v>0.27151869013569968</v>
      </c>
      <c r="P3929" s="18"/>
      <c r="Q3929" s="18"/>
      <c r="R3929" s="18"/>
      <c r="S3929" s="18"/>
      <c r="T3929" s="18"/>
      <c r="U3929" s="18"/>
      <c r="V3929" s="18"/>
      <c r="W3929" s="18"/>
      <c r="X3929" s="18"/>
    </row>
    <row r="3930" spans="13:24">
      <c r="M3930" s="558">
        <f t="shared" si="188"/>
        <v>3928</v>
      </c>
      <c r="N3930" s="15">
        <f t="shared" si="186"/>
        <v>0.27146324411509049</v>
      </c>
      <c r="O3930" s="165">
        <f t="shared" si="187"/>
        <v>0.27146324411509049</v>
      </c>
      <c r="P3930" s="18"/>
      <c r="Q3930" s="18"/>
      <c r="R3930" s="18"/>
      <c r="S3930" s="18"/>
      <c r="T3930" s="18"/>
      <c r="U3930" s="18"/>
      <c r="V3930" s="18"/>
      <c r="W3930" s="18"/>
      <c r="X3930" s="18"/>
    </row>
    <row r="3931" spans="13:24">
      <c r="M3931" s="558">
        <f t="shared" si="188"/>
        <v>3929</v>
      </c>
      <c r="N3931" s="15">
        <f t="shared" si="186"/>
        <v>0.27140780320973174</v>
      </c>
      <c r="O3931" s="165">
        <f t="shared" si="187"/>
        <v>0.27140780320973174</v>
      </c>
      <c r="P3931" s="18"/>
      <c r="Q3931" s="18"/>
      <c r="R3931" s="18"/>
      <c r="S3931" s="18"/>
      <c r="T3931" s="18"/>
      <c r="U3931" s="18"/>
      <c r="V3931" s="18"/>
      <c r="W3931" s="18"/>
      <c r="X3931" s="18"/>
    </row>
    <row r="3932" spans="13:24">
      <c r="M3932" s="558">
        <f t="shared" si="188"/>
        <v>3930</v>
      </c>
      <c r="N3932" s="15">
        <f t="shared" si="186"/>
        <v>0.27135236741320412</v>
      </c>
      <c r="O3932" s="165">
        <f t="shared" si="187"/>
        <v>0.27135236741320412</v>
      </c>
      <c r="P3932" s="18"/>
      <c r="Q3932" s="18"/>
      <c r="R3932" s="18"/>
      <c r="S3932" s="18"/>
      <c r="T3932" s="18"/>
      <c r="U3932" s="18"/>
      <c r="V3932" s="18"/>
      <c r="W3932" s="18"/>
      <c r="X3932" s="18"/>
    </row>
    <row r="3933" spans="13:24">
      <c r="M3933" s="558">
        <f t="shared" si="188"/>
        <v>3931</v>
      </c>
      <c r="N3933" s="15">
        <f t="shared" si="186"/>
        <v>0.27129693671909655</v>
      </c>
      <c r="O3933" s="165">
        <f t="shared" si="187"/>
        <v>0.27129693671909655</v>
      </c>
      <c r="P3933" s="18"/>
      <c r="Q3933" s="18"/>
      <c r="R3933" s="18"/>
      <c r="S3933" s="18"/>
      <c r="T3933" s="18"/>
      <c r="U3933" s="18"/>
      <c r="V3933" s="18"/>
      <c r="W3933" s="18"/>
      <c r="X3933" s="18"/>
    </row>
    <row r="3934" spans="13:24">
      <c r="M3934" s="558">
        <f t="shared" si="188"/>
        <v>3932</v>
      </c>
      <c r="N3934" s="15">
        <f t="shared" si="186"/>
        <v>0.27124151112100592</v>
      </c>
      <c r="O3934" s="165">
        <f t="shared" si="187"/>
        <v>0.27124151112100592</v>
      </c>
      <c r="P3934" s="18"/>
      <c r="Q3934" s="18"/>
      <c r="R3934" s="18"/>
      <c r="S3934" s="18"/>
      <c r="T3934" s="18"/>
      <c r="U3934" s="18"/>
      <c r="V3934" s="18"/>
      <c r="W3934" s="18"/>
      <c r="X3934" s="18"/>
    </row>
    <row r="3935" spans="13:24">
      <c r="M3935" s="558">
        <f t="shared" si="188"/>
        <v>3933</v>
      </c>
      <c r="N3935" s="15">
        <f t="shared" si="186"/>
        <v>0.27118609061253707</v>
      </c>
      <c r="O3935" s="165">
        <f t="shared" si="187"/>
        <v>0.27118609061253707</v>
      </c>
      <c r="P3935" s="18"/>
      <c r="Q3935" s="18"/>
      <c r="R3935" s="18"/>
      <c r="S3935" s="18"/>
      <c r="T3935" s="18"/>
      <c r="U3935" s="18"/>
      <c r="V3935" s="18"/>
      <c r="W3935" s="18"/>
      <c r="X3935" s="18"/>
    </row>
    <row r="3936" spans="13:24">
      <c r="M3936" s="558">
        <f t="shared" si="188"/>
        <v>3934</v>
      </c>
      <c r="N3936" s="15">
        <f t="shared" si="186"/>
        <v>0.27113067518730299</v>
      </c>
      <c r="O3936" s="165">
        <f t="shared" si="187"/>
        <v>0.27113067518730299</v>
      </c>
      <c r="P3936" s="18"/>
      <c r="Q3936" s="18"/>
      <c r="R3936" s="18"/>
      <c r="S3936" s="18"/>
      <c r="T3936" s="18"/>
      <c r="U3936" s="18"/>
      <c r="V3936" s="18"/>
      <c r="W3936" s="18"/>
      <c r="X3936" s="18"/>
    </row>
    <row r="3937" spans="13:24">
      <c r="M3937" s="558">
        <f t="shared" si="188"/>
        <v>3935</v>
      </c>
      <c r="N3937" s="15">
        <f t="shared" si="186"/>
        <v>0.27107526483892458</v>
      </c>
      <c r="O3937" s="165">
        <f t="shared" si="187"/>
        <v>0.27107526483892458</v>
      </c>
      <c r="P3937" s="18"/>
      <c r="Q3937" s="18"/>
      <c r="R3937" s="18"/>
      <c r="S3937" s="18"/>
      <c r="T3937" s="18"/>
      <c r="U3937" s="18"/>
      <c r="V3937" s="18"/>
      <c r="W3937" s="18"/>
      <c r="X3937" s="18"/>
    </row>
    <row r="3938" spans="13:24">
      <c r="M3938" s="558">
        <f t="shared" si="188"/>
        <v>3936</v>
      </c>
      <c r="N3938" s="15">
        <f t="shared" si="186"/>
        <v>0.27101985956103086</v>
      </c>
      <c r="O3938" s="165">
        <f t="shared" si="187"/>
        <v>0.27101985956103086</v>
      </c>
      <c r="P3938" s="18"/>
      <c r="Q3938" s="18"/>
      <c r="R3938" s="18"/>
      <c r="S3938" s="18"/>
      <c r="T3938" s="18"/>
      <c r="U3938" s="18"/>
      <c r="V3938" s="18"/>
      <c r="W3938" s="18"/>
      <c r="X3938" s="18"/>
    </row>
    <row r="3939" spans="13:24">
      <c r="M3939" s="558">
        <f t="shared" si="188"/>
        <v>3937</v>
      </c>
      <c r="N3939" s="15">
        <f t="shared" si="186"/>
        <v>0.27096445934725866</v>
      </c>
      <c r="O3939" s="165">
        <f t="shared" si="187"/>
        <v>0.27096445934725866</v>
      </c>
      <c r="P3939" s="18"/>
      <c r="Q3939" s="18"/>
      <c r="R3939" s="18"/>
      <c r="S3939" s="18"/>
      <c r="T3939" s="18"/>
      <c r="U3939" s="18"/>
      <c r="V3939" s="18"/>
      <c r="W3939" s="18"/>
      <c r="X3939" s="18"/>
    </row>
    <row r="3940" spans="13:24">
      <c r="M3940" s="558">
        <f t="shared" si="188"/>
        <v>3938</v>
      </c>
      <c r="N3940" s="15">
        <f t="shared" si="186"/>
        <v>0.27090906419125305</v>
      </c>
      <c r="O3940" s="165">
        <f t="shared" si="187"/>
        <v>0.27090906419125305</v>
      </c>
      <c r="P3940" s="18"/>
      <c r="Q3940" s="18"/>
      <c r="R3940" s="18"/>
      <c r="S3940" s="18"/>
      <c r="T3940" s="18"/>
      <c r="U3940" s="18"/>
      <c r="V3940" s="18"/>
      <c r="W3940" s="18"/>
      <c r="X3940" s="18"/>
    </row>
    <row r="3941" spans="13:24">
      <c r="M3941" s="558">
        <f t="shared" si="188"/>
        <v>3939</v>
      </c>
      <c r="N3941" s="15">
        <f t="shared" si="186"/>
        <v>0.27085367408666688</v>
      </c>
      <c r="O3941" s="165">
        <f t="shared" si="187"/>
        <v>0.27085367408666688</v>
      </c>
      <c r="P3941" s="18"/>
      <c r="Q3941" s="18"/>
      <c r="R3941" s="18"/>
      <c r="S3941" s="18"/>
      <c r="T3941" s="18"/>
      <c r="U3941" s="18"/>
      <c r="V3941" s="18"/>
      <c r="W3941" s="18"/>
      <c r="X3941" s="18"/>
    </row>
    <row r="3942" spans="13:24">
      <c r="M3942" s="558">
        <f t="shared" si="188"/>
        <v>3940</v>
      </c>
      <c r="N3942" s="15">
        <f t="shared" si="186"/>
        <v>0.27079828902716102</v>
      </c>
      <c r="O3942" s="165">
        <f t="shared" si="187"/>
        <v>0.27079828902716102</v>
      </c>
      <c r="P3942" s="18"/>
      <c r="Q3942" s="18"/>
      <c r="R3942" s="18"/>
      <c r="S3942" s="18"/>
      <c r="T3942" s="18"/>
      <c r="U3942" s="18"/>
      <c r="V3942" s="18"/>
      <c r="W3942" s="18"/>
      <c r="X3942" s="18"/>
    </row>
    <row r="3943" spans="13:24">
      <c r="M3943" s="558">
        <f t="shared" si="188"/>
        <v>3941</v>
      </c>
      <c r="N3943" s="15">
        <f t="shared" si="186"/>
        <v>0.27074290900640424</v>
      </c>
      <c r="O3943" s="165">
        <f t="shared" si="187"/>
        <v>0.27074290900640424</v>
      </c>
      <c r="P3943" s="18"/>
      <c r="Q3943" s="18"/>
      <c r="R3943" s="18"/>
      <c r="S3943" s="18"/>
      <c r="T3943" s="18"/>
      <c r="U3943" s="18"/>
      <c r="V3943" s="18"/>
      <c r="W3943" s="18"/>
      <c r="X3943" s="18"/>
    </row>
    <row r="3944" spans="13:24">
      <c r="M3944" s="558">
        <f t="shared" si="188"/>
        <v>3942</v>
      </c>
      <c r="N3944" s="15">
        <f t="shared" si="186"/>
        <v>0.27068753401807349</v>
      </c>
      <c r="O3944" s="165">
        <f t="shared" si="187"/>
        <v>0.27068753401807349</v>
      </c>
      <c r="P3944" s="18"/>
      <c r="Q3944" s="18"/>
      <c r="R3944" s="18"/>
      <c r="S3944" s="18"/>
      <c r="T3944" s="18"/>
      <c r="U3944" s="18"/>
      <c r="V3944" s="18"/>
      <c r="W3944" s="18"/>
      <c r="X3944" s="18"/>
    </row>
    <row r="3945" spans="13:24">
      <c r="M3945" s="558">
        <f t="shared" si="188"/>
        <v>3943</v>
      </c>
      <c r="N3945" s="15">
        <f t="shared" si="186"/>
        <v>0.27063216405585333</v>
      </c>
      <c r="O3945" s="165">
        <f t="shared" si="187"/>
        <v>0.27063216405585333</v>
      </c>
      <c r="P3945" s="18"/>
      <c r="Q3945" s="18"/>
      <c r="R3945" s="18"/>
      <c r="S3945" s="18"/>
      <c r="T3945" s="18"/>
      <c r="U3945" s="18"/>
      <c r="V3945" s="18"/>
      <c r="W3945" s="18"/>
      <c r="X3945" s="18"/>
    </row>
    <row r="3946" spans="13:24">
      <c r="M3946" s="558">
        <f t="shared" si="188"/>
        <v>3944</v>
      </c>
      <c r="N3946" s="15">
        <f t="shared" si="186"/>
        <v>0.27057679911343641</v>
      </c>
      <c r="O3946" s="165">
        <f t="shared" si="187"/>
        <v>0.27057679911343641</v>
      </c>
      <c r="P3946" s="18"/>
      <c r="Q3946" s="18"/>
      <c r="R3946" s="18"/>
      <c r="S3946" s="18"/>
      <c r="T3946" s="18"/>
      <c r="U3946" s="18"/>
      <c r="V3946" s="18"/>
      <c r="W3946" s="18"/>
      <c r="X3946" s="18"/>
    </row>
    <row r="3947" spans="13:24">
      <c r="M3947" s="558">
        <f t="shared" si="188"/>
        <v>3945</v>
      </c>
      <c r="N3947" s="15">
        <f t="shared" si="186"/>
        <v>0.27052143918452326</v>
      </c>
      <c r="O3947" s="165">
        <f t="shared" si="187"/>
        <v>0.27052143918452326</v>
      </c>
      <c r="P3947" s="18"/>
      <c r="Q3947" s="18"/>
      <c r="R3947" s="18"/>
      <c r="S3947" s="18"/>
      <c r="T3947" s="18"/>
      <c r="U3947" s="18"/>
      <c r="V3947" s="18"/>
      <c r="W3947" s="18"/>
      <c r="X3947" s="18"/>
    </row>
    <row r="3948" spans="13:24">
      <c r="M3948" s="558">
        <f t="shared" si="188"/>
        <v>3946</v>
      </c>
      <c r="N3948" s="15">
        <f t="shared" si="186"/>
        <v>0.27046608426282243</v>
      </c>
      <c r="O3948" s="165">
        <f t="shared" si="187"/>
        <v>0.27046608426282243</v>
      </c>
      <c r="P3948" s="18"/>
      <c r="Q3948" s="18"/>
      <c r="R3948" s="18"/>
      <c r="S3948" s="18"/>
      <c r="T3948" s="18"/>
      <c r="U3948" s="18"/>
      <c r="V3948" s="18"/>
      <c r="W3948" s="18"/>
      <c r="X3948" s="18"/>
    </row>
    <row r="3949" spans="13:24">
      <c r="M3949" s="558">
        <f t="shared" si="188"/>
        <v>3947</v>
      </c>
      <c r="N3949" s="15">
        <f t="shared" si="186"/>
        <v>0.27041073434205021</v>
      </c>
      <c r="O3949" s="165">
        <f t="shared" si="187"/>
        <v>0.27041073434205021</v>
      </c>
      <c r="P3949" s="18"/>
      <c r="Q3949" s="18"/>
      <c r="R3949" s="18"/>
      <c r="S3949" s="18"/>
      <c r="T3949" s="18"/>
      <c r="U3949" s="18"/>
      <c r="V3949" s="18"/>
      <c r="W3949" s="18"/>
      <c r="X3949" s="18"/>
    </row>
    <row r="3950" spans="13:24">
      <c r="M3950" s="558">
        <f t="shared" si="188"/>
        <v>3948</v>
      </c>
      <c r="N3950" s="15">
        <f t="shared" si="186"/>
        <v>0.27035538941593079</v>
      </c>
      <c r="O3950" s="165">
        <f t="shared" si="187"/>
        <v>0.27035538941593079</v>
      </c>
      <c r="P3950" s="18"/>
      <c r="Q3950" s="18"/>
      <c r="R3950" s="18"/>
      <c r="S3950" s="18"/>
      <c r="T3950" s="18"/>
      <c r="U3950" s="18"/>
      <c r="V3950" s="18"/>
      <c r="W3950" s="18"/>
      <c r="X3950" s="18"/>
    </row>
    <row r="3951" spans="13:24">
      <c r="M3951" s="558">
        <f t="shared" si="188"/>
        <v>3949</v>
      </c>
      <c r="N3951" s="15">
        <f t="shared" si="186"/>
        <v>0.27030004947819641</v>
      </c>
      <c r="O3951" s="165">
        <f t="shared" si="187"/>
        <v>0.27030004947819641</v>
      </c>
      <c r="P3951" s="18"/>
      <c r="Q3951" s="18"/>
      <c r="R3951" s="18"/>
      <c r="S3951" s="18"/>
      <c r="T3951" s="18"/>
      <c r="U3951" s="18"/>
      <c r="V3951" s="18"/>
      <c r="W3951" s="18"/>
      <c r="X3951" s="18"/>
    </row>
    <row r="3952" spans="13:24">
      <c r="M3952" s="558">
        <f t="shared" si="188"/>
        <v>3950</v>
      </c>
      <c r="N3952" s="15">
        <f t="shared" si="186"/>
        <v>0.27024471452258697</v>
      </c>
      <c r="O3952" s="165">
        <f t="shared" si="187"/>
        <v>0.27024471452258697</v>
      </c>
      <c r="P3952" s="18"/>
      <c r="Q3952" s="18"/>
      <c r="R3952" s="18"/>
      <c r="S3952" s="18"/>
      <c r="T3952" s="18"/>
      <c r="U3952" s="18"/>
      <c r="V3952" s="18"/>
      <c r="W3952" s="18"/>
      <c r="X3952" s="18"/>
    </row>
    <row r="3953" spans="13:24">
      <c r="M3953" s="558">
        <f t="shared" si="188"/>
        <v>3951</v>
      </c>
      <c r="N3953" s="15">
        <f t="shared" si="186"/>
        <v>0.2701893845428503</v>
      </c>
      <c r="O3953" s="165">
        <f t="shared" si="187"/>
        <v>0.2701893845428503</v>
      </c>
      <c r="P3953" s="18"/>
      <c r="Q3953" s="18"/>
      <c r="R3953" s="18"/>
      <c r="S3953" s="18"/>
      <c r="T3953" s="18"/>
      <c r="U3953" s="18"/>
      <c r="V3953" s="18"/>
      <c r="W3953" s="18"/>
      <c r="X3953" s="18"/>
    </row>
    <row r="3954" spans="13:24">
      <c r="M3954" s="558">
        <f t="shared" si="188"/>
        <v>3952</v>
      </c>
      <c r="N3954" s="15">
        <f t="shared" si="186"/>
        <v>0.27013405953274205</v>
      </c>
      <c r="O3954" s="165">
        <f t="shared" si="187"/>
        <v>0.27013405953274205</v>
      </c>
      <c r="P3954" s="18"/>
      <c r="Q3954" s="18"/>
      <c r="R3954" s="18"/>
      <c r="S3954" s="18"/>
      <c r="T3954" s="18"/>
      <c r="U3954" s="18"/>
      <c r="V3954" s="18"/>
      <c r="W3954" s="18"/>
      <c r="X3954" s="18"/>
    </row>
    <row r="3955" spans="13:24">
      <c r="M3955" s="558">
        <f t="shared" si="188"/>
        <v>3953</v>
      </c>
      <c r="N3955" s="15">
        <f t="shared" si="186"/>
        <v>0.27007873948602579</v>
      </c>
      <c r="O3955" s="165">
        <f t="shared" si="187"/>
        <v>0.27007873948602579</v>
      </c>
      <c r="P3955" s="18"/>
      <c r="Q3955" s="18"/>
      <c r="R3955" s="18"/>
      <c r="S3955" s="18"/>
      <c r="T3955" s="18"/>
      <c r="U3955" s="18"/>
      <c r="V3955" s="18"/>
      <c r="W3955" s="18"/>
      <c r="X3955" s="18"/>
    </row>
    <row r="3956" spans="13:24">
      <c r="M3956" s="558">
        <f t="shared" si="188"/>
        <v>3954</v>
      </c>
      <c r="N3956" s="15">
        <f t="shared" si="186"/>
        <v>0.27002342439647287</v>
      </c>
      <c r="O3956" s="165">
        <f t="shared" si="187"/>
        <v>0.27002342439647287</v>
      </c>
      <c r="P3956" s="18"/>
      <c r="Q3956" s="18"/>
      <c r="R3956" s="18"/>
      <c r="S3956" s="18"/>
      <c r="T3956" s="18"/>
      <c r="U3956" s="18"/>
      <c r="V3956" s="18"/>
      <c r="W3956" s="18"/>
      <c r="X3956" s="18"/>
    </row>
    <row r="3957" spans="13:24">
      <c r="M3957" s="558">
        <f t="shared" si="188"/>
        <v>3955</v>
      </c>
      <c r="N3957" s="15">
        <f t="shared" si="186"/>
        <v>0.26996811425786243</v>
      </c>
      <c r="O3957" s="165">
        <f t="shared" si="187"/>
        <v>0.26996811425786243</v>
      </c>
      <c r="P3957" s="18"/>
      <c r="Q3957" s="18"/>
      <c r="R3957" s="18"/>
      <c r="S3957" s="18"/>
      <c r="T3957" s="18"/>
      <c r="U3957" s="18"/>
      <c r="V3957" s="18"/>
      <c r="W3957" s="18"/>
      <c r="X3957" s="18"/>
    </row>
    <row r="3958" spans="13:24">
      <c r="M3958" s="558">
        <f t="shared" si="188"/>
        <v>3956</v>
      </c>
      <c r="N3958" s="15">
        <f t="shared" si="186"/>
        <v>0.26991280906398135</v>
      </c>
      <c r="O3958" s="165">
        <f t="shared" si="187"/>
        <v>0.26991280906398135</v>
      </c>
      <c r="P3958" s="18"/>
      <c r="Q3958" s="18"/>
      <c r="R3958" s="18"/>
      <c r="S3958" s="18"/>
      <c r="T3958" s="18"/>
      <c r="U3958" s="18"/>
      <c r="V3958" s="18"/>
      <c r="W3958" s="18"/>
      <c r="X3958" s="18"/>
    </row>
    <row r="3959" spans="13:24">
      <c r="M3959" s="558">
        <f t="shared" si="188"/>
        <v>3957</v>
      </c>
      <c r="N3959" s="15">
        <f t="shared" si="186"/>
        <v>0.26985750880862452</v>
      </c>
      <c r="O3959" s="165">
        <f t="shared" si="187"/>
        <v>0.26985750880862452</v>
      </c>
      <c r="P3959" s="18"/>
      <c r="Q3959" s="18"/>
      <c r="R3959" s="18"/>
      <c r="S3959" s="18"/>
      <c r="T3959" s="18"/>
      <c r="U3959" s="18"/>
      <c r="V3959" s="18"/>
      <c r="W3959" s="18"/>
      <c r="X3959" s="18"/>
    </row>
    <row r="3960" spans="13:24">
      <c r="M3960" s="558">
        <f t="shared" si="188"/>
        <v>3958</v>
      </c>
      <c r="N3960" s="15">
        <f t="shared" si="186"/>
        <v>0.26980221348559447</v>
      </c>
      <c r="O3960" s="165">
        <f t="shared" si="187"/>
        <v>0.26980221348559447</v>
      </c>
      <c r="P3960" s="18"/>
      <c r="Q3960" s="18"/>
      <c r="R3960" s="18"/>
      <c r="S3960" s="18"/>
      <c r="T3960" s="18"/>
      <c r="U3960" s="18"/>
      <c r="V3960" s="18"/>
      <c r="W3960" s="18"/>
      <c r="X3960" s="18"/>
    </row>
    <row r="3961" spans="13:24">
      <c r="M3961" s="558">
        <f t="shared" si="188"/>
        <v>3959</v>
      </c>
      <c r="N3961" s="15">
        <f t="shared" si="186"/>
        <v>0.26974692308870146</v>
      </c>
      <c r="O3961" s="165">
        <f t="shared" si="187"/>
        <v>0.26974692308870146</v>
      </c>
      <c r="P3961" s="18"/>
      <c r="Q3961" s="18"/>
      <c r="R3961" s="18"/>
      <c r="S3961" s="18"/>
      <c r="T3961" s="18"/>
      <c r="U3961" s="18"/>
      <c r="V3961" s="18"/>
      <c r="W3961" s="18"/>
      <c r="X3961" s="18"/>
    </row>
    <row r="3962" spans="13:24">
      <c r="M3962" s="558">
        <f t="shared" si="188"/>
        <v>3960</v>
      </c>
      <c r="N3962" s="15">
        <f t="shared" si="186"/>
        <v>0.26969163761176357</v>
      </c>
      <c r="O3962" s="165">
        <f t="shared" si="187"/>
        <v>0.26969163761176357</v>
      </c>
      <c r="P3962" s="18"/>
      <c r="Q3962" s="18"/>
      <c r="R3962" s="18"/>
      <c r="S3962" s="18"/>
      <c r="T3962" s="18"/>
      <c r="U3962" s="18"/>
      <c r="V3962" s="18"/>
      <c r="W3962" s="18"/>
      <c r="X3962" s="18"/>
    </row>
    <row r="3963" spans="13:24">
      <c r="M3963" s="558">
        <f t="shared" si="188"/>
        <v>3961</v>
      </c>
      <c r="N3963" s="15">
        <f t="shared" si="186"/>
        <v>0.26963635704860672</v>
      </c>
      <c r="O3963" s="165">
        <f t="shared" si="187"/>
        <v>0.26963635704860672</v>
      </c>
      <c r="P3963" s="18"/>
      <c r="Q3963" s="18"/>
      <c r="R3963" s="18"/>
      <c r="S3963" s="18"/>
      <c r="T3963" s="18"/>
      <c r="U3963" s="18"/>
      <c r="V3963" s="18"/>
      <c r="W3963" s="18"/>
      <c r="X3963" s="18"/>
    </row>
    <row r="3964" spans="13:24">
      <c r="M3964" s="558">
        <f t="shared" si="188"/>
        <v>3962</v>
      </c>
      <c r="N3964" s="15">
        <f t="shared" si="186"/>
        <v>0.26958108139306453</v>
      </c>
      <c r="O3964" s="165">
        <f t="shared" si="187"/>
        <v>0.26958108139306453</v>
      </c>
      <c r="P3964" s="18"/>
      <c r="Q3964" s="18"/>
      <c r="R3964" s="18"/>
      <c r="S3964" s="18"/>
      <c r="T3964" s="18"/>
      <c r="U3964" s="18"/>
      <c r="V3964" s="18"/>
      <c r="W3964" s="18"/>
      <c r="X3964" s="18"/>
    </row>
    <row r="3965" spans="13:24">
      <c r="M3965" s="558">
        <f t="shared" si="188"/>
        <v>3963</v>
      </c>
      <c r="N3965" s="15">
        <f t="shared" si="186"/>
        <v>0.26952581063897824</v>
      </c>
      <c r="O3965" s="165">
        <f t="shared" si="187"/>
        <v>0.26952581063897824</v>
      </c>
      <c r="P3965" s="18"/>
      <c r="Q3965" s="18"/>
      <c r="R3965" s="18"/>
      <c r="S3965" s="18"/>
      <c r="T3965" s="18"/>
      <c r="U3965" s="18"/>
      <c r="V3965" s="18"/>
      <c r="W3965" s="18"/>
      <c r="X3965" s="18"/>
    </row>
    <row r="3966" spans="13:24">
      <c r="M3966" s="558">
        <f t="shared" si="188"/>
        <v>3964</v>
      </c>
      <c r="N3966" s="15">
        <f t="shared" si="186"/>
        <v>0.269470544780197</v>
      </c>
      <c r="O3966" s="165">
        <f t="shared" si="187"/>
        <v>0.269470544780197</v>
      </c>
      <c r="P3966" s="18"/>
      <c r="Q3966" s="18"/>
      <c r="R3966" s="18"/>
      <c r="S3966" s="18"/>
      <c r="T3966" s="18"/>
      <c r="U3966" s="18"/>
      <c r="V3966" s="18"/>
      <c r="W3966" s="18"/>
      <c r="X3966" s="18"/>
    </row>
    <row r="3967" spans="13:24">
      <c r="M3967" s="558">
        <f t="shared" si="188"/>
        <v>3965</v>
      </c>
      <c r="N3967" s="15">
        <f t="shared" si="186"/>
        <v>0.26941528381057761</v>
      </c>
      <c r="O3967" s="165">
        <f t="shared" si="187"/>
        <v>0.26941528381057761</v>
      </c>
      <c r="P3967" s="18"/>
      <c r="Q3967" s="18"/>
      <c r="R3967" s="18"/>
      <c r="S3967" s="18"/>
      <c r="T3967" s="18"/>
      <c r="U3967" s="18"/>
      <c r="V3967" s="18"/>
      <c r="W3967" s="18"/>
      <c r="X3967" s="18"/>
    </row>
    <row r="3968" spans="13:24">
      <c r="M3968" s="558">
        <f t="shared" si="188"/>
        <v>3966</v>
      </c>
      <c r="N3968" s="15">
        <f t="shared" si="186"/>
        <v>0.26936002772398449</v>
      </c>
      <c r="O3968" s="165">
        <f t="shared" si="187"/>
        <v>0.26936002772398449</v>
      </c>
      <c r="P3968" s="18"/>
      <c r="Q3968" s="18"/>
      <c r="R3968" s="18"/>
      <c r="S3968" s="18"/>
      <c r="T3968" s="18"/>
      <c r="U3968" s="18"/>
      <c r="V3968" s="18"/>
      <c r="W3968" s="18"/>
      <c r="X3968" s="18"/>
    </row>
    <row r="3969" spans="13:24">
      <c r="M3969" s="558">
        <f t="shared" si="188"/>
        <v>3967</v>
      </c>
      <c r="N3969" s="15">
        <f t="shared" si="186"/>
        <v>0.2693047765142898</v>
      </c>
      <c r="O3969" s="165">
        <f t="shared" si="187"/>
        <v>0.2693047765142898</v>
      </c>
      <c r="P3969" s="18"/>
      <c r="Q3969" s="18"/>
      <c r="R3969" s="18"/>
      <c r="S3969" s="18"/>
      <c r="T3969" s="18"/>
      <c r="U3969" s="18"/>
      <c r="V3969" s="18"/>
      <c r="W3969" s="18"/>
      <c r="X3969" s="18"/>
    </row>
    <row r="3970" spans="13:24">
      <c r="M3970" s="558">
        <f t="shared" si="188"/>
        <v>3968</v>
      </c>
      <c r="N3970" s="15">
        <f t="shared" si="186"/>
        <v>0.26924953017537356</v>
      </c>
      <c r="O3970" s="165">
        <f t="shared" si="187"/>
        <v>0.26924953017537356</v>
      </c>
      <c r="P3970" s="18"/>
      <c r="Q3970" s="18"/>
      <c r="R3970" s="18"/>
      <c r="S3970" s="18"/>
      <c r="T3970" s="18"/>
      <c r="U3970" s="18"/>
      <c r="V3970" s="18"/>
      <c r="W3970" s="18"/>
      <c r="X3970" s="18"/>
    </row>
    <row r="3971" spans="13:24">
      <c r="M3971" s="558">
        <f t="shared" si="188"/>
        <v>3969</v>
      </c>
      <c r="N3971" s="15">
        <f t="shared" si="186"/>
        <v>0.26919428870112327</v>
      </c>
      <c r="O3971" s="165">
        <f t="shared" si="187"/>
        <v>0.26919428870112327</v>
      </c>
      <c r="P3971" s="18"/>
      <c r="Q3971" s="18"/>
      <c r="R3971" s="18"/>
      <c r="S3971" s="18"/>
      <c r="T3971" s="18"/>
      <c r="U3971" s="18"/>
      <c r="V3971" s="18"/>
      <c r="W3971" s="18"/>
      <c r="X3971" s="18"/>
    </row>
    <row r="3972" spans="13:24">
      <c r="M3972" s="558">
        <f t="shared" si="188"/>
        <v>3970</v>
      </c>
      <c r="N3972" s="15">
        <f t="shared" ref="N3972:N4035" si="189">IF(M3972&lt;$B$31+1,$B$32+$B$33/$B$31*(8760-M3972)+$B$34*IF(M3972&lt;$B$36-$B$31/(2*$B$35),1,IF(M3972&lt;$B$36+$B$31/(2*$B$35),COS(PI()/2*(M3972-($B$36-$B$31/(2*$B$35)))*$B$35/$B$31)^2,0))+$B$37*EXP((8760-M3972)/8760*$B$38)/EXP($B$38)-(8760-$B$31)*$B$33/$B$31,0)</f>
        <v>0.26913905208543415</v>
      </c>
      <c r="O3972" s="165">
        <f t="shared" ref="O3972:O4035" si="190">MIN(N3972,C$24)</f>
        <v>0.26913905208543415</v>
      </c>
      <c r="P3972" s="18"/>
      <c r="Q3972" s="18"/>
      <c r="R3972" s="18"/>
      <c r="S3972" s="18"/>
      <c r="T3972" s="18"/>
      <c r="U3972" s="18"/>
      <c r="V3972" s="18"/>
      <c r="W3972" s="18"/>
      <c r="X3972" s="18"/>
    </row>
    <row r="3973" spans="13:24">
      <c r="M3973" s="558">
        <f t="shared" ref="M3973:M4036" si="191">M3972+1</f>
        <v>3971</v>
      </c>
      <c r="N3973" s="15">
        <f t="shared" si="189"/>
        <v>0.26908382032220907</v>
      </c>
      <c r="O3973" s="165">
        <f t="shared" si="190"/>
        <v>0.26908382032220907</v>
      </c>
      <c r="P3973" s="18"/>
      <c r="Q3973" s="18"/>
      <c r="R3973" s="18"/>
      <c r="S3973" s="18"/>
      <c r="T3973" s="18"/>
      <c r="U3973" s="18"/>
      <c r="V3973" s="18"/>
      <c r="W3973" s="18"/>
      <c r="X3973" s="18"/>
    </row>
    <row r="3974" spans="13:24">
      <c r="M3974" s="558">
        <f t="shared" si="191"/>
        <v>3972</v>
      </c>
      <c r="N3974" s="15">
        <f t="shared" si="189"/>
        <v>0.26902859340535862</v>
      </c>
      <c r="O3974" s="165">
        <f t="shared" si="190"/>
        <v>0.26902859340535862</v>
      </c>
      <c r="P3974" s="18"/>
      <c r="Q3974" s="18"/>
      <c r="R3974" s="18"/>
      <c r="S3974" s="18"/>
      <c r="T3974" s="18"/>
      <c r="U3974" s="18"/>
      <c r="V3974" s="18"/>
      <c r="W3974" s="18"/>
      <c r="X3974" s="18"/>
    </row>
    <row r="3975" spans="13:24">
      <c r="M3975" s="558">
        <f t="shared" si="191"/>
        <v>3973</v>
      </c>
      <c r="N3975" s="15">
        <f t="shared" si="189"/>
        <v>0.268973371328801</v>
      </c>
      <c r="O3975" s="165">
        <f t="shared" si="190"/>
        <v>0.268973371328801</v>
      </c>
      <c r="P3975" s="18"/>
      <c r="Q3975" s="18"/>
      <c r="R3975" s="18"/>
      <c r="S3975" s="18"/>
      <c r="T3975" s="18"/>
      <c r="U3975" s="18"/>
      <c r="V3975" s="18"/>
      <c r="W3975" s="18"/>
      <c r="X3975" s="18"/>
    </row>
    <row r="3976" spans="13:24">
      <c r="M3976" s="558">
        <f t="shared" si="191"/>
        <v>3974</v>
      </c>
      <c r="N3976" s="15">
        <f t="shared" si="189"/>
        <v>0.26891815408646202</v>
      </c>
      <c r="O3976" s="165">
        <f t="shared" si="190"/>
        <v>0.26891815408646202</v>
      </c>
      <c r="P3976" s="18"/>
      <c r="Q3976" s="18"/>
      <c r="R3976" s="18"/>
      <c r="S3976" s="18"/>
      <c r="T3976" s="18"/>
      <c r="U3976" s="18"/>
      <c r="V3976" s="18"/>
      <c r="W3976" s="18"/>
      <c r="X3976" s="18"/>
    </row>
    <row r="3977" spans="13:24">
      <c r="M3977" s="558">
        <f t="shared" si="191"/>
        <v>3975</v>
      </c>
      <c r="N3977" s="15">
        <f t="shared" si="189"/>
        <v>0.26886294167227504</v>
      </c>
      <c r="O3977" s="165">
        <f t="shared" si="190"/>
        <v>0.26886294167227504</v>
      </c>
      <c r="P3977" s="18"/>
      <c r="Q3977" s="18"/>
      <c r="R3977" s="18"/>
      <c r="S3977" s="18"/>
      <c r="T3977" s="18"/>
      <c r="U3977" s="18"/>
      <c r="V3977" s="18"/>
      <c r="W3977" s="18"/>
      <c r="X3977" s="18"/>
    </row>
    <row r="3978" spans="13:24">
      <c r="M3978" s="558">
        <f t="shared" si="191"/>
        <v>3976</v>
      </c>
      <c r="N3978" s="15">
        <f t="shared" si="189"/>
        <v>0.26880773408018127</v>
      </c>
      <c r="O3978" s="165">
        <f t="shared" si="190"/>
        <v>0.26880773408018127</v>
      </c>
      <c r="P3978" s="18"/>
      <c r="Q3978" s="18"/>
      <c r="R3978" s="18"/>
      <c r="S3978" s="18"/>
      <c r="T3978" s="18"/>
      <c r="U3978" s="18"/>
      <c r="V3978" s="18"/>
      <c r="W3978" s="18"/>
      <c r="X3978" s="18"/>
    </row>
    <row r="3979" spans="13:24">
      <c r="M3979" s="558">
        <f t="shared" si="191"/>
        <v>3977</v>
      </c>
      <c r="N3979" s="15">
        <f t="shared" si="189"/>
        <v>0.26875253130412929</v>
      </c>
      <c r="O3979" s="165">
        <f t="shared" si="190"/>
        <v>0.26875253130412929</v>
      </c>
      <c r="P3979" s="18"/>
      <c r="Q3979" s="18"/>
      <c r="R3979" s="18"/>
      <c r="S3979" s="18"/>
      <c r="T3979" s="18"/>
      <c r="U3979" s="18"/>
      <c r="V3979" s="18"/>
      <c r="W3979" s="18"/>
      <c r="X3979" s="18"/>
    </row>
    <row r="3980" spans="13:24">
      <c r="M3980" s="558">
        <f t="shared" si="191"/>
        <v>3978</v>
      </c>
      <c r="N3980" s="15">
        <f t="shared" si="189"/>
        <v>0.26869733333807533</v>
      </c>
      <c r="O3980" s="165">
        <f t="shared" si="190"/>
        <v>0.26869733333807533</v>
      </c>
      <c r="P3980" s="18"/>
      <c r="Q3980" s="18"/>
      <c r="R3980" s="18"/>
      <c r="S3980" s="18"/>
      <c r="T3980" s="18"/>
      <c r="U3980" s="18"/>
      <c r="V3980" s="18"/>
      <c r="W3980" s="18"/>
      <c r="X3980" s="18"/>
    </row>
    <row r="3981" spans="13:24">
      <c r="M3981" s="558">
        <f t="shared" si="191"/>
        <v>3979</v>
      </c>
      <c r="N3981" s="15">
        <f t="shared" si="189"/>
        <v>0.26864214017598326</v>
      </c>
      <c r="O3981" s="165">
        <f t="shared" si="190"/>
        <v>0.26864214017598326</v>
      </c>
      <c r="P3981" s="18"/>
      <c r="Q3981" s="18"/>
      <c r="R3981" s="18"/>
      <c r="S3981" s="18"/>
      <c r="T3981" s="18"/>
      <c r="U3981" s="18"/>
      <c r="V3981" s="18"/>
      <c r="W3981" s="18"/>
      <c r="X3981" s="18"/>
    </row>
    <row r="3982" spans="13:24">
      <c r="M3982" s="558">
        <f t="shared" si="191"/>
        <v>3980</v>
      </c>
      <c r="N3982" s="15">
        <f t="shared" si="189"/>
        <v>0.26858695181182451</v>
      </c>
      <c r="O3982" s="165">
        <f t="shared" si="190"/>
        <v>0.26858695181182451</v>
      </c>
      <c r="P3982" s="18"/>
      <c r="Q3982" s="18"/>
      <c r="R3982" s="18"/>
      <c r="S3982" s="18"/>
      <c r="T3982" s="18"/>
      <c r="U3982" s="18"/>
      <c r="V3982" s="18"/>
      <c r="W3982" s="18"/>
      <c r="X3982" s="18"/>
    </row>
    <row r="3983" spans="13:24">
      <c r="M3983" s="558">
        <f t="shared" si="191"/>
        <v>3981</v>
      </c>
      <c r="N3983" s="15">
        <f t="shared" si="189"/>
        <v>0.26853176823957808</v>
      </c>
      <c r="O3983" s="165">
        <f t="shared" si="190"/>
        <v>0.26853176823957808</v>
      </c>
      <c r="P3983" s="18"/>
      <c r="Q3983" s="18"/>
      <c r="R3983" s="18"/>
      <c r="S3983" s="18"/>
      <c r="T3983" s="18"/>
      <c r="U3983" s="18"/>
      <c r="V3983" s="18"/>
      <c r="W3983" s="18"/>
      <c r="X3983" s="18"/>
    </row>
    <row r="3984" spans="13:24">
      <c r="M3984" s="558">
        <f t="shared" si="191"/>
        <v>3982</v>
      </c>
      <c r="N3984" s="15">
        <f t="shared" si="189"/>
        <v>0.26847658945323033</v>
      </c>
      <c r="O3984" s="165">
        <f t="shared" si="190"/>
        <v>0.26847658945323033</v>
      </c>
      <c r="P3984" s="18"/>
      <c r="Q3984" s="18"/>
      <c r="R3984" s="18"/>
      <c r="S3984" s="18"/>
      <c r="T3984" s="18"/>
      <c r="U3984" s="18"/>
      <c r="V3984" s="18"/>
      <c r="W3984" s="18"/>
      <c r="X3984" s="18"/>
    </row>
    <row r="3985" spans="13:24">
      <c r="M3985" s="558">
        <f t="shared" si="191"/>
        <v>3983</v>
      </c>
      <c r="N3985" s="15">
        <f t="shared" si="189"/>
        <v>0.26842141544677561</v>
      </c>
      <c r="O3985" s="165">
        <f t="shared" si="190"/>
        <v>0.26842141544677561</v>
      </c>
      <c r="P3985" s="18"/>
      <c r="Q3985" s="18"/>
      <c r="R3985" s="18"/>
      <c r="S3985" s="18"/>
      <c r="T3985" s="18"/>
      <c r="U3985" s="18"/>
      <c r="V3985" s="18"/>
      <c r="W3985" s="18"/>
      <c r="X3985" s="18"/>
    </row>
    <row r="3986" spans="13:24">
      <c r="M3986" s="558">
        <f t="shared" si="191"/>
        <v>3984</v>
      </c>
      <c r="N3986" s="15">
        <f t="shared" si="189"/>
        <v>0.26836624621421534</v>
      </c>
      <c r="O3986" s="165">
        <f t="shared" si="190"/>
        <v>0.26836624621421534</v>
      </c>
      <c r="P3986" s="18"/>
      <c r="Q3986" s="18"/>
      <c r="R3986" s="18"/>
      <c r="S3986" s="18"/>
      <c r="T3986" s="18"/>
      <c r="U3986" s="18"/>
      <c r="V3986" s="18"/>
      <c r="W3986" s="18"/>
      <c r="X3986" s="18"/>
    </row>
    <row r="3987" spans="13:24">
      <c r="M3987" s="558">
        <f t="shared" si="191"/>
        <v>3985</v>
      </c>
      <c r="N3987" s="15">
        <f t="shared" si="189"/>
        <v>0.26831108174955876</v>
      </c>
      <c r="O3987" s="165">
        <f t="shared" si="190"/>
        <v>0.26831108174955876</v>
      </c>
      <c r="P3987" s="18"/>
      <c r="Q3987" s="18"/>
      <c r="R3987" s="18"/>
      <c r="S3987" s="18"/>
      <c r="T3987" s="18"/>
      <c r="U3987" s="18"/>
      <c r="V3987" s="18"/>
      <c r="W3987" s="18"/>
      <c r="X3987" s="18"/>
    </row>
    <row r="3988" spans="13:24">
      <c r="M3988" s="558">
        <f t="shared" si="191"/>
        <v>3986</v>
      </c>
      <c r="N3988" s="15">
        <f t="shared" si="189"/>
        <v>0.26825592204682241</v>
      </c>
      <c r="O3988" s="165">
        <f t="shared" si="190"/>
        <v>0.26825592204682241</v>
      </c>
      <c r="P3988" s="18"/>
      <c r="Q3988" s="18"/>
      <c r="R3988" s="18"/>
      <c r="S3988" s="18"/>
      <c r="T3988" s="18"/>
      <c r="U3988" s="18"/>
      <c r="V3988" s="18"/>
      <c r="W3988" s="18"/>
      <c r="X3988" s="18"/>
    </row>
    <row r="3989" spans="13:24">
      <c r="M3989" s="558">
        <f t="shared" si="191"/>
        <v>3987</v>
      </c>
      <c r="N3989" s="15">
        <f t="shared" si="189"/>
        <v>0.26820076710003066</v>
      </c>
      <c r="O3989" s="165">
        <f t="shared" si="190"/>
        <v>0.26820076710003066</v>
      </c>
      <c r="P3989" s="18"/>
      <c r="Q3989" s="18"/>
      <c r="R3989" s="18"/>
      <c r="S3989" s="18"/>
      <c r="T3989" s="18"/>
      <c r="U3989" s="18"/>
      <c r="V3989" s="18"/>
      <c r="W3989" s="18"/>
      <c r="X3989" s="18"/>
    </row>
    <row r="3990" spans="13:24">
      <c r="M3990" s="558">
        <f t="shared" si="191"/>
        <v>3988</v>
      </c>
      <c r="N3990" s="15">
        <f t="shared" si="189"/>
        <v>0.26814561690321509</v>
      </c>
      <c r="O3990" s="165">
        <f t="shared" si="190"/>
        <v>0.26814561690321509</v>
      </c>
      <c r="P3990" s="18"/>
      <c r="Q3990" s="18"/>
      <c r="R3990" s="18"/>
      <c r="S3990" s="18"/>
      <c r="T3990" s="18"/>
      <c r="U3990" s="18"/>
      <c r="V3990" s="18"/>
      <c r="W3990" s="18"/>
      <c r="X3990" s="18"/>
    </row>
    <row r="3991" spans="13:24">
      <c r="M3991" s="558">
        <f t="shared" si="191"/>
        <v>3989</v>
      </c>
      <c r="N3991" s="15">
        <f t="shared" si="189"/>
        <v>0.26809047145041481</v>
      </c>
      <c r="O3991" s="165">
        <f t="shared" si="190"/>
        <v>0.26809047145041481</v>
      </c>
      <c r="P3991" s="18"/>
      <c r="Q3991" s="18"/>
      <c r="R3991" s="18"/>
      <c r="S3991" s="18"/>
      <c r="T3991" s="18"/>
      <c r="U3991" s="18"/>
      <c r="V3991" s="18"/>
      <c r="W3991" s="18"/>
      <c r="X3991" s="18"/>
    </row>
    <row r="3992" spans="13:24">
      <c r="M3992" s="558">
        <f t="shared" si="191"/>
        <v>3990</v>
      </c>
      <c r="N3992" s="15">
        <f t="shared" si="189"/>
        <v>0.26803533073567642</v>
      </c>
      <c r="O3992" s="165">
        <f t="shared" si="190"/>
        <v>0.26803533073567642</v>
      </c>
      <c r="P3992" s="18"/>
      <c r="Q3992" s="18"/>
      <c r="R3992" s="18"/>
      <c r="S3992" s="18"/>
      <c r="T3992" s="18"/>
      <c r="U3992" s="18"/>
      <c r="V3992" s="18"/>
      <c r="W3992" s="18"/>
      <c r="X3992" s="18"/>
    </row>
    <row r="3993" spans="13:24">
      <c r="M3993" s="558">
        <f t="shared" si="191"/>
        <v>3991</v>
      </c>
      <c r="N3993" s="15">
        <f t="shared" si="189"/>
        <v>0.26798019475305423</v>
      </c>
      <c r="O3993" s="165">
        <f t="shared" si="190"/>
        <v>0.26798019475305423</v>
      </c>
      <c r="P3993" s="18"/>
      <c r="Q3993" s="18"/>
      <c r="R3993" s="18"/>
      <c r="S3993" s="18"/>
      <c r="T3993" s="18"/>
      <c r="U3993" s="18"/>
      <c r="V3993" s="18"/>
      <c r="W3993" s="18"/>
      <c r="X3993" s="18"/>
    </row>
    <row r="3994" spans="13:24">
      <c r="M3994" s="558">
        <f t="shared" si="191"/>
        <v>3992</v>
      </c>
      <c r="N3994" s="15">
        <f t="shared" si="189"/>
        <v>0.26792506349660966</v>
      </c>
      <c r="O3994" s="165">
        <f t="shared" si="190"/>
        <v>0.26792506349660966</v>
      </c>
      <c r="P3994" s="18"/>
      <c r="Q3994" s="18"/>
      <c r="R3994" s="18"/>
      <c r="S3994" s="18"/>
      <c r="T3994" s="18"/>
      <c r="U3994" s="18"/>
      <c r="V3994" s="18"/>
      <c r="W3994" s="18"/>
      <c r="X3994" s="18"/>
    </row>
    <row r="3995" spans="13:24">
      <c r="M3995" s="558">
        <f t="shared" si="191"/>
        <v>3993</v>
      </c>
      <c r="N3995" s="15">
        <f t="shared" si="189"/>
        <v>0.26786993696041173</v>
      </c>
      <c r="O3995" s="165">
        <f t="shared" si="190"/>
        <v>0.26786993696041173</v>
      </c>
      <c r="P3995" s="18"/>
      <c r="Q3995" s="18"/>
      <c r="R3995" s="18"/>
      <c r="S3995" s="18"/>
      <c r="T3995" s="18"/>
      <c r="U3995" s="18"/>
      <c r="V3995" s="18"/>
      <c r="W3995" s="18"/>
      <c r="X3995" s="18"/>
    </row>
    <row r="3996" spans="13:24">
      <c r="M3996" s="558">
        <f t="shared" si="191"/>
        <v>3994</v>
      </c>
      <c r="N3996" s="15">
        <f t="shared" si="189"/>
        <v>0.267814815138537</v>
      </c>
      <c r="O3996" s="165">
        <f t="shared" si="190"/>
        <v>0.267814815138537</v>
      </c>
      <c r="P3996" s="18"/>
      <c r="Q3996" s="18"/>
      <c r="R3996" s="18"/>
      <c r="S3996" s="18"/>
      <c r="T3996" s="18"/>
      <c r="U3996" s="18"/>
      <c r="V3996" s="18"/>
      <c r="W3996" s="18"/>
      <c r="X3996" s="18"/>
    </row>
    <row r="3997" spans="13:24">
      <c r="M3997" s="558">
        <f t="shared" si="191"/>
        <v>3995</v>
      </c>
      <c r="N3997" s="15">
        <f t="shared" si="189"/>
        <v>0.26775969802506933</v>
      </c>
      <c r="O3997" s="165">
        <f t="shared" si="190"/>
        <v>0.26775969802506933</v>
      </c>
      <c r="P3997" s="18"/>
      <c r="Q3997" s="18"/>
      <c r="R3997" s="18"/>
      <c r="S3997" s="18"/>
      <c r="T3997" s="18"/>
      <c r="U3997" s="18"/>
      <c r="V3997" s="18"/>
      <c r="W3997" s="18"/>
      <c r="X3997" s="18"/>
    </row>
    <row r="3998" spans="13:24">
      <c r="M3998" s="558">
        <f t="shared" si="191"/>
        <v>3996</v>
      </c>
      <c r="N3998" s="15">
        <f t="shared" si="189"/>
        <v>0.26770458561410004</v>
      </c>
      <c r="O3998" s="165">
        <f t="shared" si="190"/>
        <v>0.26770458561410004</v>
      </c>
      <c r="P3998" s="18"/>
      <c r="Q3998" s="18"/>
      <c r="R3998" s="18"/>
      <c r="S3998" s="18"/>
      <c r="T3998" s="18"/>
      <c r="U3998" s="18"/>
      <c r="V3998" s="18"/>
      <c r="W3998" s="18"/>
      <c r="X3998" s="18"/>
    </row>
    <row r="3999" spans="13:24">
      <c r="M3999" s="558">
        <f t="shared" si="191"/>
        <v>3997</v>
      </c>
      <c r="N3999" s="15">
        <f t="shared" si="189"/>
        <v>0.26764947789972782</v>
      </c>
      <c r="O3999" s="165">
        <f t="shared" si="190"/>
        <v>0.26764947789972782</v>
      </c>
      <c r="P3999" s="18"/>
      <c r="Q3999" s="18"/>
      <c r="R3999" s="18"/>
      <c r="S3999" s="18"/>
      <c r="T3999" s="18"/>
      <c r="U3999" s="18"/>
      <c r="V3999" s="18"/>
      <c r="W3999" s="18"/>
      <c r="X3999" s="18"/>
    </row>
    <row r="4000" spans="13:24">
      <c r="M4000" s="558">
        <f t="shared" si="191"/>
        <v>3998</v>
      </c>
      <c r="N4000" s="15">
        <f t="shared" si="189"/>
        <v>0.26759437487605892</v>
      </c>
      <c r="O4000" s="165">
        <f t="shared" si="190"/>
        <v>0.26759437487605892</v>
      </c>
      <c r="P4000" s="18"/>
      <c r="Q4000" s="18"/>
      <c r="R4000" s="18"/>
      <c r="S4000" s="18"/>
      <c r="T4000" s="18"/>
      <c r="U4000" s="18"/>
      <c r="V4000" s="18"/>
      <c r="W4000" s="18"/>
      <c r="X4000" s="18"/>
    </row>
    <row r="4001" spans="13:24">
      <c r="M4001" s="558">
        <f t="shared" si="191"/>
        <v>3999</v>
      </c>
      <c r="N4001" s="15">
        <f t="shared" si="189"/>
        <v>0.26753927653720688</v>
      </c>
      <c r="O4001" s="165">
        <f t="shared" si="190"/>
        <v>0.26753927653720688</v>
      </c>
      <c r="P4001" s="18"/>
      <c r="Q4001" s="18"/>
      <c r="R4001" s="18"/>
      <c r="S4001" s="18"/>
      <c r="T4001" s="18"/>
      <c r="U4001" s="18"/>
      <c r="V4001" s="18"/>
      <c r="W4001" s="18"/>
      <c r="X4001" s="18"/>
    </row>
    <row r="4002" spans="13:24">
      <c r="M4002" s="558">
        <f t="shared" si="191"/>
        <v>4000</v>
      </c>
      <c r="N4002" s="15">
        <f t="shared" si="189"/>
        <v>0.26748418287729253</v>
      </c>
      <c r="O4002" s="165">
        <f t="shared" si="190"/>
        <v>0.26748418287729253</v>
      </c>
      <c r="P4002" s="18"/>
      <c r="Q4002" s="18"/>
      <c r="R4002" s="18"/>
      <c r="S4002" s="18"/>
      <c r="T4002" s="18"/>
      <c r="U4002" s="18"/>
      <c r="V4002" s="18"/>
      <c r="W4002" s="18"/>
      <c r="X4002" s="18"/>
    </row>
    <row r="4003" spans="13:24">
      <c r="M4003" s="558">
        <f t="shared" si="191"/>
        <v>4001</v>
      </c>
      <c r="N4003" s="15">
        <f t="shared" si="189"/>
        <v>0.26742909389044422</v>
      </c>
      <c r="O4003" s="165">
        <f t="shared" si="190"/>
        <v>0.26742909389044422</v>
      </c>
      <c r="P4003" s="18"/>
      <c r="Q4003" s="18"/>
      <c r="R4003" s="18"/>
      <c r="S4003" s="18"/>
      <c r="T4003" s="18"/>
      <c r="U4003" s="18"/>
      <c r="V4003" s="18"/>
      <c r="W4003" s="18"/>
      <c r="X4003" s="18"/>
    </row>
    <row r="4004" spans="13:24">
      <c r="M4004" s="558">
        <f t="shared" si="191"/>
        <v>4002</v>
      </c>
      <c r="N4004" s="15">
        <f t="shared" si="189"/>
        <v>0.26737400957079771</v>
      </c>
      <c r="O4004" s="165">
        <f t="shared" si="190"/>
        <v>0.26737400957079771</v>
      </c>
      <c r="P4004" s="18"/>
      <c r="Q4004" s="18"/>
      <c r="R4004" s="18"/>
      <c r="S4004" s="18"/>
      <c r="T4004" s="18"/>
      <c r="U4004" s="18"/>
      <c r="V4004" s="18"/>
      <c r="W4004" s="18"/>
      <c r="X4004" s="18"/>
    </row>
    <row r="4005" spans="13:24">
      <c r="M4005" s="558">
        <f t="shared" si="191"/>
        <v>4003</v>
      </c>
      <c r="N4005" s="15">
        <f t="shared" si="189"/>
        <v>0.26731892991249595</v>
      </c>
      <c r="O4005" s="165">
        <f t="shared" si="190"/>
        <v>0.26731892991249595</v>
      </c>
      <c r="P4005" s="18"/>
      <c r="Q4005" s="18"/>
      <c r="R4005" s="18"/>
      <c r="S4005" s="18"/>
      <c r="T4005" s="18"/>
      <c r="U4005" s="18"/>
      <c r="V4005" s="18"/>
      <c r="W4005" s="18"/>
      <c r="X4005" s="18"/>
    </row>
    <row r="4006" spans="13:24">
      <c r="M4006" s="558">
        <f t="shared" si="191"/>
        <v>4004</v>
      </c>
      <c r="N4006" s="15">
        <f t="shared" si="189"/>
        <v>0.26726385490968935</v>
      </c>
      <c r="O4006" s="165">
        <f t="shared" si="190"/>
        <v>0.26726385490968935</v>
      </c>
      <c r="P4006" s="18"/>
      <c r="Q4006" s="18"/>
      <c r="R4006" s="18"/>
      <c r="S4006" s="18"/>
      <c r="T4006" s="18"/>
      <c r="U4006" s="18"/>
      <c r="V4006" s="18"/>
      <c r="W4006" s="18"/>
      <c r="X4006" s="18"/>
    </row>
    <row r="4007" spans="13:24">
      <c r="M4007" s="558">
        <f t="shared" si="191"/>
        <v>4005</v>
      </c>
      <c r="N4007" s="15">
        <f t="shared" si="189"/>
        <v>0.26720878455653557</v>
      </c>
      <c r="O4007" s="165">
        <f t="shared" si="190"/>
        <v>0.26720878455653557</v>
      </c>
      <c r="P4007" s="18"/>
      <c r="Q4007" s="18"/>
      <c r="R4007" s="18"/>
      <c r="S4007" s="18"/>
      <c r="T4007" s="18"/>
      <c r="U4007" s="18"/>
      <c r="V4007" s="18"/>
      <c r="W4007" s="18"/>
      <c r="X4007" s="18"/>
    </row>
    <row r="4008" spans="13:24">
      <c r="M4008" s="558">
        <f t="shared" si="191"/>
        <v>4006</v>
      </c>
      <c r="N4008" s="15">
        <f t="shared" si="189"/>
        <v>0.26715371884719979</v>
      </c>
      <c r="O4008" s="165">
        <f t="shared" si="190"/>
        <v>0.26715371884719979</v>
      </c>
      <c r="P4008" s="18"/>
      <c r="Q4008" s="18"/>
      <c r="R4008" s="18"/>
      <c r="S4008" s="18"/>
      <c r="T4008" s="18"/>
      <c r="U4008" s="18"/>
      <c r="V4008" s="18"/>
      <c r="W4008" s="18"/>
      <c r="X4008" s="18"/>
    </row>
    <row r="4009" spans="13:24">
      <c r="M4009" s="558">
        <f t="shared" si="191"/>
        <v>4007</v>
      </c>
      <c r="N4009" s="15">
        <f t="shared" si="189"/>
        <v>0.2670986577758544</v>
      </c>
      <c r="O4009" s="165">
        <f t="shared" si="190"/>
        <v>0.2670986577758544</v>
      </c>
      <c r="P4009" s="18"/>
      <c r="Q4009" s="18"/>
      <c r="R4009" s="18"/>
      <c r="S4009" s="18"/>
      <c r="T4009" s="18"/>
      <c r="U4009" s="18"/>
      <c r="V4009" s="18"/>
      <c r="W4009" s="18"/>
      <c r="X4009" s="18"/>
    </row>
    <row r="4010" spans="13:24">
      <c r="M4010" s="558">
        <f t="shared" si="191"/>
        <v>4008</v>
      </c>
      <c r="N4010" s="15">
        <f t="shared" si="189"/>
        <v>0.26704360133667887</v>
      </c>
      <c r="O4010" s="165">
        <f t="shared" si="190"/>
        <v>0.26704360133667887</v>
      </c>
      <c r="P4010" s="18"/>
      <c r="Q4010" s="18"/>
      <c r="R4010" s="18"/>
      <c r="S4010" s="18"/>
      <c r="T4010" s="18"/>
      <c r="U4010" s="18"/>
      <c r="V4010" s="18"/>
      <c r="W4010" s="18"/>
      <c r="X4010" s="18"/>
    </row>
    <row r="4011" spans="13:24">
      <c r="M4011" s="558">
        <f t="shared" si="191"/>
        <v>4009</v>
      </c>
      <c r="N4011" s="15">
        <f t="shared" si="189"/>
        <v>0.26698854952386047</v>
      </c>
      <c r="O4011" s="165">
        <f t="shared" si="190"/>
        <v>0.26698854952386047</v>
      </c>
      <c r="P4011" s="18"/>
      <c r="Q4011" s="18"/>
      <c r="R4011" s="18"/>
      <c r="S4011" s="18"/>
      <c r="T4011" s="18"/>
      <c r="U4011" s="18"/>
      <c r="V4011" s="18"/>
      <c r="W4011" s="18"/>
      <c r="X4011" s="18"/>
    </row>
    <row r="4012" spans="13:24">
      <c r="M4012" s="558">
        <f t="shared" si="191"/>
        <v>4010</v>
      </c>
      <c r="N4012" s="15">
        <f t="shared" si="189"/>
        <v>0.26693350233159341</v>
      </c>
      <c r="O4012" s="165">
        <f t="shared" si="190"/>
        <v>0.26693350233159341</v>
      </c>
      <c r="P4012" s="18"/>
      <c r="Q4012" s="18"/>
      <c r="R4012" s="18"/>
      <c r="S4012" s="18"/>
      <c r="T4012" s="18"/>
      <c r="U4012" s="18"/>
      <c r="V4012" s="18"/>
      <c r="W4012" s="18"/>
      <c r="X4012" s="18"/>
    </row>
    <row r="4013" spans="13:24">
      <c r="M4013" s="558">
        <f t="shared" si="191"/>
        <v>4011</v>
      </c>
      <c r="N4013" s="15">
        <f t="shared" si="189"/>
        <v>0.2668784597540792</v>
      </c>
      <c r="O4013" s="165">
        <f t="shared" si="190"/>
        <v>0.2668784597540792</v>
      </c>
      <c r="P4013" s="18"/>
      <c r="Q4013" s="18"/>
      <c r="R4013" s="18"/>
      <c r="S4013" s="18"/>
      <c r="T4013" s="18"/>
      <c r="U4013" s="18"/>
      <c r="V4013" s="18"/>
      <c r="W4013" s="18"/>
      <c r="X4013" s="18"/>
    </row>
    <row r="4014" spans="13:24">
      <c r="M4014" s="558">
        <f t="shared" si="191"/>
        <v>4012</v>
      </c>
      <c r="N4014" s="15">
        <f t="shared" si="189"/>
        <v>0.2668234217855267</v>
      </c>
      <c r="O4014" s="165">
        <f t="shared" si="190"/>
        <v>0.2668234217855267</v>
      </c>
      <c r="P4014" s="18"/>
      <c r="Q4014" s="18"/>
      <c r="R4014" s="18"/>
      <c r="S4014" s="18"/>
      <c r="T4014" s="18"/>
      <c r="U4014" s="18"/>
      <c r="V4014" s="18"/>
      <c r="W4014" s="18"/>
      <c r="X4014" s="18"/>
    </row>
    <row r="4015" spans="13:24">
      <c r="M4015" s="558">
        <f t="shared" si="191"/>
        <v>4013</v>
      </c>
      <c r="N4015" s="15">
        <f t="shared" si="189"/>
        <v>0.2667683884201521</v>
      </c>
      <c r="O4015" s="165">
        <f t="shared" si="190"/>
        <v>0.2667683884201521</v>
      </c>
      <c r="P4015" s="18"/>
      <c r="Q4015" s="18"/>
      <c r="R4015" s="18"/>
      <c r="S4015" s="18"/>
      <c r="T4015" s="18"/>
      <c r="U4015" s="18"/>
      <c r="V4015" s="18"/>
      <c r="W4015" s="18"/>
      <c r="X4015" s="18"/>
    </row>
    <row r="4016" spans="13:24">
      <c r="M4016" s="558">
        <f t="shared" si="191"/>
        <v>4014</v>
      </c>
      <c r="N4016" s="15">
        <f t="shared" si="189"/>
        <v>0.26671335965217879</v>
      </c>
      <c r="O4016" s="165">
        <f t="shared" si="190"/>
        <v>0.26671335965217879</v>
      </c>
      <c r="P4016" s="18"/>
      <c r="Q4016" s="18"/>
      <c r="R4016" s="18"/>
      <c r="S4016" s="18"/>
      <c r="T4016" s="18"/>
      <c r="U4016" s="18"/>
      <c r="V4016" s="18"/>
      <c r="W4016" s="18"/>
      <c r="X4016" s="18"/>
    </row>
    <row r="4017" spans="13:24">
      <c r="M4017" s="558">
        <f t="shared" si="191"/>
        <v>4015</v>
      </c>
      <c r="N4017" s="15">
        <f t="shared" si="189"/>
        <v>0.26665833547583734</v>
      </c>
      <c r="O4017" s="165">
        <f t="shared" si="190"/>
        <v>0.26665833547583734</v>
      </c>
      <c r="P4017" s="18"/>
      <c r="Q4017" s="18"/>
      <c r="R4017" s="18"/>
      <c r="S4017" s="18"/>
      <c r="T4017" s="18"/>
      <c r="U4017" s="18"/>
      <c r="V4017" s="18"/>
      <c r="W4017" s="18"/>
      <c r="X4017" s="18"/>
    </row>
    <row r="4018" spans="13:24">
      <c r="M4018" s="558">
        <f t="shared" si="191"/>
        <v>4016</v>
      </c>
      <c r="N4018" s="15">
        <f t="shared" si="189"/>
        <v>0.26660331588536562</v>
      </c>
      <c r="O4018" s="165">
        <f t="shared" si="190"/>
        <v>0.26660331588536562</v>
      </c>
      <c r="P4018" s="18"/>
      <c r="Q4018" s="18"/>
      <c r="R4018" s="18"/>
      <c r="S4018" s="18"/>
      <c r="T4018" s="18"/>
      <c r="U4018" s="18"/>
      <c r="V4018" s="18"/>
      <c r="W4018" s="18"/>
      <c r="X4018" s="18"/>
    </row>
    <row r="4019" spans="13:24">
      <c r="M4019" s="558">
        <f t="shared" si="191"/>
        <v>4017</v>
      </c>
      <c r="N4019" s="15">
        <f t="shared" si="189"/>
        <v>0.2665483008750088</v>
      </c>
      <c r="O4019" s="165">
        <f t="shared" si="190"/>
        <v>0.2665483008750088</v>
      </c>
      <c r="P4019" s="18"/>
      <c r="Q4019" s="18"/>
      <c r="R4019" s="18"/>
      <c r="S4019" s="18"/>
      <c r="T4019" s="18"/>
      <c r="U4019" s="18"/>
      <c r="V4019" s="18"/>
      <c r="W4019" s="18"/>
      <c r="X4019" s="18"/>
    </row>
    <row r="4020" spans="13:24">
      <c r="M4020" s="558">
        <f t="shared" si="191"/>
        <v>4018</v>
      </c>
      <c r="N4020" s="15">
        <f t="shared" si="189"/>
        <v>0.26649329043901915</v>
      </c>
      <c r="O4020" s="165">
        <f t="shared" si="190"/>
        <v>0.26649329043901915</v>
      </c>
      <c r="P4020" s="18"/>
      <c r="Q4020" s="18"/>
      <c r="R4020" s="18"/>
      <c r="S4020" s="18"/>
      <c r="T4020" s="18"/>
      <c r="U4020" s="18"/>
      <c r="V4020" s="18"/>
      <c r="W4020" s="18"/>
      <c r="X4020" s="18"/>
    </row>
    <row r="4021" spans="13:24">
      <c r="M4021" s="558">
        <f t="shared" si="191"/>
        <v>4019</v>
      </c>
      <c r="N4021" s="15">
        <f t="shared" si="189"/>
        <v>0.26643828457165619</v>
      </c>
      <c r="O4021" s="165">
        <f t="shared" si="190"/>
        <v>0.26643828457165619</v>
      </c>
      <c r="P4021" s="18"/>
      <c r="Q4021" s="18"/>
      <c r="R4021" s="18"/>
      <c r="S4021" s="18"/>
      <c r="T4021" s="18"/>
      <c r="U4021" s="18"/>
      <c r="V4021" s="18"/>
      <c r="W4021" s="18"/>
      <c r="X4021" s="18"/>
    </row>
    <row r="4022" spans="13:24">
      <c r="M4022" s="558">
        <f t="shared" si="191"/>
        <v>4020</v>
      </c>
      <c r="N4022" s="15">
        <f t="shared" si="189"/>
        <v>0.26638328326718663</v>
      </c>
      <c r="O4022" s="165">
        <f t="shared" si="190"/>
        <v>0.26638328326718663</v>
      </c>
      <c r="P4022" s="18"/>
      <c r="Q4022" s="18"/>
      <c r="R4022" s="18"/>
      <c r="S4022" s="18"/>
      <c r="T4022" s="18"/>
      <c r="U4022" s="18"/>
      <c r="V4022" s="18"/>
      <c r="W4022" s="18"/>
      <c r="X4022" s="18"/>
    </row>
    <row r="4023" spans="13:24">
      <c r="M4023" s="558">
        <f t="shared" si="191"/>
        <v>4021</v>
      </c>
      <c r="N4023" s="15">
        <f t="shared" si="189"/>
        <v>0.26632828651988455</v>
      </c>
      <c r="O4023" s="165">
        <f t="shared" si="190"/>
        <v>0.26632828651988455</v>
      </c>
      <c r="P4023" s="18"/>
      <c r="Q4023" s="18"/>
      <c r="R4023" s="18"/>
      <c r="S4023" s="18"/>
      <c r="T4023" s="18"/>
      <c r="U4023" s="18"/>
      <c r="V4023" s="18"/>
      <c r="W4023" s="18"/>
      <c r="X4023" s="18"/>
    </row>
    <row r="4024" spans="13:24">
      <c r="M4024" s="558">
        <f t="shared" si="191"/>
        <v>4022</v>
      </c>
      <c r="N4024" s="15">
        <f t="shared" si="189"/>
        <v>0.26627329432403102</v>
      </c>
      <c r="O4024" s="165">
        <f t="shared" si="190"/>
        <v>0.26627329432403102</v>
      </c>
      <c r="P4024" s="18"/>
      <c r="Q4024" s="18"/>
      <c r="R4024" s="18"/>
      <c r="S4024" s="18"/>
      <c r="T4024" s="18"/>
      <c r="U4024" s="18"/>
      <c r="V4024" s="18"/>
      <c r="W4024" s="18"/>
      <c r="X4024" s="18"/>
    </row>
    <row r="4025" spans="13:24">
      <c r="M4025" s="558">
        <f t="shared" si="191"/>
        <v>4023</v>
      </c>
      <c r="N4025" s="15">
        <f t="shared" si="189"/>
        <v>0.26621830667391416</v>
      </c>
      <c r="O4025" s="165">
        <f t="shared" si="190"/>
        <v>0.26621830667391416</v>
      </c>
      <c r="P4025" s="18"/>
      <c r="Q4025" s="18"/>
      <c r="R4025" s="18"/>
      <c r="S4025" s="18"/>
      <c r="T4025" s="18"/>
      <c r="U4025" s="18"/>
      <c r="V4025" s="18"/>
      <c r="W4025" s="18"/>
      <c r="X4025" s="18"/>
    </row>
    <row r="4026" spans="13:24">
      <c r="M4026" s="558">
        <f t="shared" si="191"/>
        <v>4024</v>
      </c>
      <c r="N4026" s="15">
        <f t="shared" si="189"/>
        <v>0.26616332356382966</v>
      </c>
      <c r="O4026" s="165">
        <f t="shared" si="190"/>
        <v>0.26616332356382966</v>
      </c>
      <c r="P4026" s="18"/>
      <c r="Q4026" s="18"/>
      <c r="R4026" s="18"/>
      <c r="S4026" s="18"/>
      <c r="T4026" s="18"/>
      <c r="U4026" s="18"/>
      <c r="V4026" s="18"/>
      <c r="W4026" s="18"/>
      <c r="X4026" s="18"/>
    </row>
    <row r="4027" spans="13:24">
      <c r="M4027" s="558">
        <f t="shared" si="191"/>
        <v>4025</v>
      </c>
      <c r="N4027" s="15">
        <f t="shared" si="189"/>
        <v>0.26610834498808006</v>
      </c>
      <c r="O4027" s="165">
        <f t="shared" si="190"/>
        <v>0.26610834498808006</v>
      </c>
      <c r="P4027" s="18"/>
      <c r="Q4027" s="18"/>
      <c r="R4027" s="18"/>
      <c r="S4027" s="18"/>
      <c r="T4027" s="18"/>
      <c r="U4027" s="18"/>
      <c r="V4027" s="18"/>
      <c r="W4027" s="18"/>
      <c r="X4027" s="18"/>
    </row>
    <row r="4028" spans="13:24">
      <c r="M4028" s="558">
        <f t="shared" si="191"/>
        <v>4026</v>
      </c>
      <c r="N4028" s="15">
        <f t="shared" si="189"/>
        <v>0.26605337094097514</v>
      </c>
      <c r="O4028" s="165">
        <f t="shared" si="190"/>
        <v>0.26605337094097514</v>
      </c>
      <c r="P4028" s="18"/>
      <c r="Q4028" s="18"/>
      <c r="R4028" s="18"/>
      <c r="S4028" s="18"/>
      <c r="T4028" s="18"/>
      <c r="U4028" s="18"/>
      <c r="V4028" s="18"/>
      <c r="W4028" s="18"/>
      <c r="X4028" s="18"/>
    </row>
    <row r="4029" spans="13:24">
      <c r="M4029" s="558">
        <f t="shared" si="191"/>
        <v>4027</v>
      </c>
      <c r="N4029" s="15">
        <f t="shared" si="189"/>
        <v>0.26599840141683179</v>
      </c>
      <c r="O4029" s="165">
        <f t="shared" si="190"/>
        <v>0.26599840141683179</v>
      </c>
      <c r="P4029" s="18"/>
      <c r="Q4029" s="18"/>
      <c r="R4029" s="18"/>
      <c r="S4029" s="18"/>
      <c r="T4029" s="18"/>
      <c r="U4029" s="18"/>
      <c r="V4029" s="18"/>
      <c r="W4029" s="18"/>
      <c r="X4029" s="18"/>
    </row>
    <row r="4030" spans="13:24">
      <c r="M4030" s="558">
        <f t="shared" si="191"/>
        <v>4028</v>
      </c>
      <c r="N4030" s="15">
        <f t="shared" si="189"/>
        <v>0.26594343640997409</v>
      </c>
      <c r="O4030" s="165">
        <f t="shared" si="190"/>
        <v>0.26594343640997409</v>
      </c>
      <c r="P4030" s="18"/>
      <c r="Q4030" s="18"/>
      <c r="R4030" s="18"/>
      <c r="S4030" s="18"/>
      <c r="T4030" s="18"/>
      <c r="U4030" s="18"/>
      <c r="V4030" s="18"/>
      <c r="W4030" s="18"/>
      <c r="X4030" s="18"/>
    </row>
    <row r="4031" spans="13:24">
      <c r="M4031" s="558">
        <f t="shared" si="191"/>
        <v>4029</v>
      </c>
      <c r="N4031" s="15">
        <f t="shared" si="189"/>
        <v>0.26588847591473319</v>
      </c>
      <c r="O4031" s="165">
        <f t="shared" si="190"/>
        <v>0.26588847591473319</v>
      </c>
      <c r="P4031" s="18"/>
      <c r="Q4031" s="18"/>
      <c r="R4031" s="18"/>
      <c r="S4031" s="18"/>
      <c r="T4031" s="18"/>
      <c r="U4031" s="18"/>
      <c r="V4031" s="18"/>
      <c r="W4031" s="18"/>
      <c r="X4031" s="18"/>
    </row>
    <row r="4032" spans="13:24">
      <c r="M4032" s="558">
        <f t="shared" si="191"/>
        <v>4030</v>
      </c>
      <c r="N4032" s="15">
        <f t="shared" si="189"/>
        <v>0.26583351992544735</v>
      </c>
      <c r="O4032" s="165">
        <f t="shared" si="190"/>
        <v>0.26583351992544735</v>
      </c>
      <c r="P4032" s="18"/>
      <c r="Q4032" s="18"/>
      <c r="R4032" s="18"/>
      <c r="S4032" s="18"/>
      <c r="T4032" s="18"/>
      <c r="U4032" s="18"/>
      <c r="V4032" s="18"/>
      <c r="W4032" s="18"/>
      <c r="X4032" s="18"/>
    </row>
    <row r="4033" spans="13:24">
      <c r="M4033" s="558">
        <f t="shared" si="191"/>
        <v>4031</v>
      </c>
      <c r="N4033" s="15">
        <f t="shared" si="189"/>
        <v>0.26577856843646197</v>
      </c>
      <c r="O4033" s="165">
        <f t="shared" si="190"/>
        <v>0.26577856843646197</v>
      </c>
      <c r="P4033" s="18"/>
      <c r="Q4033" s="18"/>
      <c r="R4033" s="18"/>
      <c r="S4033" s="18"/>
      <c r="T4033" s="18"/>
      <c r="U4033" s="18"/>
      <c r="V4033" s="18"/>
      <c r="W4033" s="18"/>
      <c r="X4033" s="18"/>
    </row>
    <row r="4034" spans="13:24">
      <c r="M4034" s="558">
        <f t="shared" si="191"/>
        <v>4032</v>
      </c>
      <c r="N4034" s="15">
        <f t="shared" si="189"/>
        <v>0.26572362144212963</v>
      </c>
      <c r="O4034" s="165">
        <f t="shared" si="190"/>
        <v>0.26572362144212963</v>
      </c>
      <c r="P4034" s="18"/>
      <c r="Q4034" s="18"/>
      <c r="R4034" s="18"/>
      <c r="S4034" s="18"/>
      <c r="T4034" s="18"/>
      <c r="U4034" s="18"/>
      <c r="V4034" s="18"/>
      <c r="W4034" s="18"/>
      <c r="X4034" s="18"/>
    </row>
    <row r="4035" spans="13:24">
      <c r="M4035" s="558">
        <f t="shared" si="191"/>
        <v>4033</v>
      </c>
      <c r="N4035" s="15">
        <f t="shared" si="189"/>
        <v>0.26566867893680979</v>
      </c>
      <c r="O4035" s="165">
        <f t="shared" si="190"/>
        <v>0.26566867893680979</v>
      </c>
      <c r="P4035" s="18"/>
      <c r="Q4035" s="18"/>
      <c r="R4035" s="18"/>
      <c r="S4035" s="18"/>
      <c r="T4035" s="18"/>
      <c r="U4035" s="18"/>
      <c r="V4035" s="18"/>
      <c r="W4035" s="18"/>
      <c r="X4035" s="18"/>
    </row>
    <row r="4036" spans="13:24">
      <c r="M4036" s="558">
        <f t="shared" si="191"/>
        <v>4034</v>
      </c>
      <c r="N4036" s="15">
        <f t="shared" ref="N4036:N4099" si="192">IF(M4036&lt;$B$31+1,$B$32+$B$33/$B$31*(8760-M4036)+$B$34*IF(M4036&lt;$B$36-$B$31/(2*$B$35),1,IF(M4036&lt;$B$36+$B$31/(2*$B$35),COS(PI()/2*(M4036-($B$36-$B$31/(2*$B$35)))*$B$35/$B$31)^2,0))+$B$37*EXP((8760-M4036)/8760*$B$38)/EXP($B$38)-(8760-$B$31)*$B$33/$B$31,0)</f>
        <v>0.26561374091486911</v>
      </c>
      <c r="O4036" s="165">
        <f t="shared" ref="O4036:O4099" si="193">MIN(N4036,C$24)</f>
        <v>0.26561374091486911</v>
      </c>
      <c r="P4036" s="18"/>
      <c r="Q4036" s="18"/>
      <c r="R4036" s="18"/>
      <c r="S4036" s="18"/>
      <c r="T4036" s="18"/>
      <c r="U4036" s="18"/>
      <c r="V4036" s="18"/>
      <c r="W4036" s="18"/>
      <c r="X4036" s="18"/>
    </row>
    <row r="4037" spans="13:24">
      <c r="M4037" s="558">
        <f t="shared" ref="M4037:M4100" si="194">M4036+1</f>
        <v>4035</v>
      </c>
      <c r="N4037" s="15">
        <f t="shared" si="192"/>
        <v>0.26555880737068127</v>
      </c>
      <c r="O4037" s="165">
        <f t="shared" si="193"/>
        <v>0.26555880737068127</v>
      </c>
      <c r="P4037" s="18"/>
      <c r="Q4037" s="18"/>
      <c r="R4037" s="18"/>
      <c r="S4037" s="18"/>
      <c r="T4037" s="18"/>
      <c r="U4037" s="18"/>
      <c r="V4037" s="18"/>
      <c r="W4037" s="18"/>
      <c r="X4037" s="18"/>
    </row>
    <row r="4038" spans="13:24">
      <c r="M4038" s="558">
        <f t="shared" si="194"/>
        <v>4036</v>
      </c>
      <c r="N4038" s="15">
        <f t="shared" si="192"/>
        <v>0.26550387829862721</v>
      </c>
      <c r="O4038" s="165">
        <f t="shared" si="193"/>
        <v>0.26550387829862721</v>
      </c>
      <c r="P4038" s="18"/>
      <c r="Q4038" s="18"/>
      <c r="R4038" s="18"/>
      <c r="S4038" s="18"/>
      <c r="T4038" s="18"/>
      <c r="U4038" s="18"/>
      <c r="V4038" s="18"/>
      <c r="W4038" s="18"/>
      <c r="X4038" s="18"/>
    </row>
    <row r="4039" spans="13:24">
      <c r="M4039" s="558">
        <f t="shared" si="194"/>
        <v>4037</v>
      </c>
      <c r="N4039" s="15">
        <f t="shared" si="192"/>
        <v>0.26544895369309462</v>
      </c>
      <c r="O4039" s="165">
        <f t="shared" si="193"/>
        <v>0.26544895369309462</v>
      </c>
      <c r="P4039" s="18"/>
      <c r="Q4039" s="18"/>
      <c r="R4039" s="18"/>
      <c r="S4039" s="18"/>
      <c r="T4039" s="18"/>
      <c r="U4039" s="18"/>
      <c r="V4039" s="18"/>
      <c r="W4039" s="18"/>
      <c r="X4039" s="18"/>
    </row>
    <row r="4040" spans="13:24">
      <c r="M4040" s="558">
        <f t="shared" si="194"/>
        <v>4038</v>
      </c>
      <c r="N4040" s="15">
        <f t="shared" si="192"/>
        <v>0.2653940335484784</v>
      </c>
      <c r="O4040" s="165">
        <f t="shared" si="193"/>
        <v>0.2653940335484784</v>
      </c>
      <c r="P4040" s="18"/>
      <c r="Q4040" s="18"/>
      <c r="R4040" s="18"/>
      <c r="S4040" s="18"/>
      <c r="T4040" s="18"/>
      <c r="U4040" s="18"/>
      <c r="V4040" s="18"/>
      <c r="W4040" s="18"/>
      <c r="X4040" s="18"/>
    </row>
    <row r="4041" spans="13:24">
      <c r="M4041" s="558">
        <f t="shared" si="194"/>
        <v>4039</v>
      </c>
      <c r="N4041" s="15">
        <f t="shared" si="192"/>
        <v>0.26533911785918046</v>
      </c>
      <c r="O4041" s="165">
        <f t="shared" si="193"/>
        <v>0.26533911785918046</v>
      </c>
      <c r="P4041" s="18"/>
      <c r="Q4041" s="18"/>
      <c r="R4041" s="18"/>
      <c r="S4041" s="18"/>
      <c r="T4041" s="18"/>
      <c r="U4041" s="18"/>
      <c r="V4041" s="18"/>
      <c r="W4041" s="18"/>
      <c r="X4041" s="18"/>
    </row>
    <row r="4042" spans="13:24">
      <c r="M4042" s="558">
        <f t="shared" si="194"/>
        <v>4040</v>
      </c>
      <c r="N4042" s="15">
        <f t="shared" si="192"/>
        <v>0.26528420661960983</v>
      </c>
      <c r="O4042" s="165">
        <f t="shared" si="193"/>
        <v>0.26528420661960983</v>
      </c>
      <c r="P4042" s="18"/>
      <c r="Q4042" s="18"/>
      <c r="R4042" s="18"/>
      <c r="S4042" s="18"/>
      <c r="T4042" s="18"/>
      <c r="U4042" s="18"/>
      <c r="V4042" s="18"/>
      <c r="W4042" s="18"/>
      <c r="X4042" s="18"/>
    </row>
    <row r="4043" spans="13:24">
      <c r="M4043" s="558">
        <f t="shared" si="194"/>
        <v>4041</v>
      </c>
      <c r="N4043" s="15">
        <f t="shared" si="192"/>
        <v>0.26522929982418231</v>
      </c>
      <c r="O4043" s="165">
        <f t="shared" si="193"/>
        <v>0.26522929982418231</v>
      </c>
      <c r="P4043" s="18"/>
      <c r="Q4043" s="18"/>
      <c r="R4043" s="18"/>
      <c r="S4043" s="18"/>
      <c r="T4043" s="18"/>
      <c r="U4043" s="18"/>
      <c r="V4043" s="18"/>
      <c r="W4043" s="18"/>
      <c r="X4043" s="18"/>
    </row>
    <row r="4044" spans="13:24">
      <c r="M4044" s="558">
        <f t="shared" si="194"/>
        <v>4042</v>
      </c>
      <c r="N4044" s="15">
        <f t="shared" si="192"/>
        <v>0.26517439746732091</v>
      </c>
      <c r="O4044" s="165">
        <f t="shared" si="193"/>
        <v>0.26517439746732091</v>
      </c>
      <c r="P4044" s="18"/>
      <c r="Q4044" s="18"/>
      <c r="R4044" s="18"/>
      <c r="S4044" s="18"/>
      <c r="T4044" s="18"/>
      <c r="U4044" s="18"/>
      <c r="V4044" s="18"/>
      <c r="W4044" s="18"/>
      <c r="X4044" s="18"/>
    </row>
    <row r="4045" spans="13:24">
      <c r="M4045" s="558">
        <f t="shared" si="194"/>
        <v>4043</v>
      </c>
      <c r="N4045" s="15">
        <f t="shared" si="192"/>
        <v>0.26511949954345565</v>
      </c>
      <c r="O4045" s="165">
        <f t="shared" si="193"/>
        <v>0.26511949954345565</v>
      </c>
      <c r="P4045" s="18"/>
      <c r="Q4045" s="18"/>
      <c r="R4045" s="18"/>
      <c r="S4045" s="18"/>
      <c r="T4045" s="18"/>
      <c r="U4045" s="18"/>
      <c r="V4045" s="18"/>
      <c r="W4045" s="18"/>
      <c r="X4045" s="18"/>
    </row>
    <row r="4046" spans="13:24">
      <c r="M4046" s="558">
        <f t="shared" si="194"/>
        <v>4044</v>
      </c>
      <c r="N4046" s="15">
        <f t="shared" si="192"/>
        <v>0.26506460604702342</v>
      </c>
      <c r="O4046" s="165">
        <f t="shared" si="193"/>
        <v>0.26506460604702342</v>
      </c>
      <c r="P4046" s="18"/>
      <c r="Q4046" s="18"/>
      <c r="R4046" s="18"/>
      <c r="S4046" s="18"/>
      <c r="T4046" s="18"/>
      <c r="U4046" s="18"/>
      <c r="V4046" s="18"/>
      <c r="W4046" s="18"/>
      <c r="X4046" s="18"/>
    </row>
    <row r="4047" spans="13:24">
      <c r="M4047" s="558">
        <f t="shared" si="194"/>
        <v>4045</v>
      </c>
      <c r="N4047" s="15">
        <f t="shared" si="192"/>
        <v>0.26500971697246811</v>
      </c>
      <c r="O4047" s="165">
        <f t="shared" si="193"/>
        <v>0.26500971697246811</v>
      </c>
      <c r="P4047" s="18"/>
      <c r="Q4047" s="18"/>
      <c r="R4047" s="18"/>
      <c r="S4047" s="18"/>
      <c r="T4047" s="18"/>
      <c r="U4047" s="18"/>
      <c r="V4047" s="18"/>
      <c r="W4047" s="18"/>
      <c r="X4047" s="18"/>
    </row>
    <row r="4048" spans="13:24">
      <c r="M4048" s="558">
        <f t="shared" si="194"/>
        <v>4046</v>
      </c>
      <c r="N4048" s="15">
        <f t="shared" si="192"/>
        <v>0.26495483231424066</v>
      </c>
      <c r="O4048" s="165">
        <f t="shared" si="193"/>
        <v>0.26495483231424066</v>
      </c>
      <c r="P4048" s="18"/>
      <c r="Q4048" s="18"/>
      <c r="R4048" s="18"/>
      <c r="S4048" s="18"/>
      <c r="T4048" s="18"/>
      <c r="U4048" s="18"/>
      <c r="V4048" s="18"/>
      <c r="W4048" s="18"/>
      <c r="X4048" s="18"/>
    </row>
    <row r="4049" spans="13:24">
      <c r="M4049" s="558">
        <f t="shared" si="194"/>
        <v>4047</v>
      </c>
      <c r="N4049" s="15">
        <f t="shared" si="192"/>
        <v>0.264899952066799</v>
      </c>
      <c r="O4049" s="165">
        <f t="shared" si="193"/>
        <v>0.264899952066799</v>
      </c>
      <c r="P4049" s="18"/>
      <c r="Q4049" s="18"/>
      <c r="R4049" s="18"/>
      <c r="S4049" s="18"/>
      <c r="T4049" s="18"/>
      <c r="U4049" s="18"/>
      <c r="V4049" s="18"/>
      <c r="W4049" s="18"/>
      <c r="X4049" s="18"/>
    </row>
    <row r="4050" spans="13:24">
      <c r="M4050" s="558">
        <f t="shared" si="194"/>
        <v>4048</v>
      </c>
      <c r="N4050" s="15">
        <f t="shared" si="192"/>
        <v>0.26484507622460784</v>
      </c>
      <c r="O4050" s="165">
        <f t="shared" si="193"/>
        <v>0.26484507622460784</v>
      </c>
      <c r="P4050" s="18"/>
      <c r="Q4050" s="18"/>
      <c r="R4050" s="18"/>
      <c r="S4050" s="18"/>
      <c r="T4050" s="18"/>
      <c r="U4050" s="18"/>
      <c r="V4050" s="18"/>
      <c r="W4050" s="18"/>
      <c r="X4050" s="18"/>
    </row>
    <row r="4051" spans="13:24">
      <c r="M4051" s="558">
        <f t="shared" si="194"/>
        <v>4049</v>
      </c>
      <c r="N4051" s="15">
        <f t="shared" si="192"/>
        <v>0.26479020478213899</v>
      </c>
      <c r="O4051" s="165">
        <f t="shared" si="193"/>
        <v>0.26479020478213899</v>
      </c>
      <c r="P4051" s="18"/>
      <c r="Q4051" s="18"/>
      <c r="R4051" s="18"/>
      <c r="S4051" s="18"/>
      <c r="T4051" s="18"/>
      <c r="U4051" s="18"/>
      <c r="V4051" s="18"/>
      <c r="W4051" s="18"/>
      <c r="X4051" s="18"/>
    </row>
    <row r="4052" spans="13:24">
      <c r="M4052" s="558">
        <f t="shared" si="194"/>
        <v>4050</v>
      </c>
      <c r="N4052" s="15">
        <f t="shared" si="192"/>
        <v>0.26473533773387115</v>
      </c>
      <c r="O4052" s="165">
        <f t="shared" si="193"/>
        <v>0.26473533773387115</v>
      </c>
      <c r="P4052" s="18"/>
      <c r="Q4052" s="18"/>
      <c r="R4052" s="18"/>
      <c r="S4052" s="18"/>
      <c r="T4052" s="18"/>
      <c r="U4052" s="18"/>
      <c r="V4052" s="18"/>
      <c r="W4052" s="18"/>
      <c r="X4052" s="18"/>
    </row>
    <row r="4053" spans="13:24">
      <c r="M4053" s="558">
        <f t="shared" si="194"/>
        <v>4051</v>
      </c>
      <c r="N4053" s="15">
        <f t="shared" si="192"/>
        <v>0.26468047507428993</v>
      </c>
      <c r="O4053" s="165">
        <f t="shared" si="193"/>
        <v>0.26468047507428993</v>
      </c>
      <c r="P4053" s="18"/>
      <c r="Q4053" s="18"/>
      <c r="R4053" s="18"/>
      <c r="S4053" s="18"/>
      <c r="T4053" s="18"/>
      <c r="U4053" s="18"/>
      <c r="V4053" s="18"/>
      <c r="W4053" s="18"/>
      <c r="X4053" s="18"/>
    </row>
    <row r="4054" spans="13:24">
      <c r="M4054" s="558">
        <f t="shared" si="194"/>
        <v>4052</v>
      </c>
      <c r="N4054" s="15">
        <f t="shared" si="192"/>
        <v>0.26462561679788793</v>
      </c>
      <c r="O4054" s="165">
        <f t="shared" si="193"/>
        <v>0.26462561679788793</v>
      </c>
      <c r="P4054" s="18"/>
      <c r="Q4054" s="18"/>
      <c r="R4054" s="18"/>
      <c r="S4054" s="18"/>
      <c r="T4054" s="18"/>
      <c r="U4054" s="18"/>
      <c r="V4054" s="18"/>
      <c r="W4054" s="18"/>
      <c r="X4054" s="18"/>
    </row>
    <row r="4055" spans="13:24">
      <c r="M4055" s="558">
        <f t="shared" si="194"/>
        <v>4053</v>
      </c>
      <c r="N4055" s="15">
        <f t="shared" si="192"/>
        <v>0.26457076289916459</v>
      </c>
      <c r="O4055" s="165">
        <f t="shared" si="193"/>
        <v>0.26457076289916459</v>
      </c>
      <c r="P4055" s="18"/>
      <c r="Q4055" s="18"/>
      <c r="R4055" s="18"/>
      <c r="S4055" s="18"/>
      <c r="T4055" s="18"/>
      <c r="U4055" s="18"/>
      <c r="V4055" s="18"/>
      <c r="W4055" s="18"/>
      <c r="X4055" s="18"/>
    </row>
    <row r="4056" spans="13:24">
      <c r="M4056" s="558">
        <f t="shared" si="194"/>
        <v>4054</v>
      </c>
      <c r="N4056" s="15">
        <f t="shared" si="192"/>
        <v>0.26451591337262625</v>
      </c>
      <c r="O4056" s="165">
        <f t="shared" si="193"/>
        <v>0.26451591337262625</v>
      </c>
      <c r="P4056" s="18"/>
      <c r="Q4056" s="18"/>
      <c r="R4056" s="18"/>
      <c r="S4056" s="18"/>
      <c r="T4056" s="18"/>
      <c r="U4056" s="18"/>
      <c r="V4056" s="18"/>
      <c r="W4056" s="18"/>
      <c r="X4056" s="18"/>
    </row>
    <row r="4057" spans="13:24">
      <c r="M4057" s="558">
        <f t="shared" si="194"/>
        <v>4055</v>
      </c>
      <c r="N4057" s="15">
        <f t="shared" si="192"/>
        <v>0.2644610682127862</v>
      </c>
      <c r="O4057" s="165">
        <f t="shared" si="193"/>
        <v>0.2644610682127862</v>
      </c>
      <c r="P4057" s="18"/>
      <c r="Q4057" s="18"/>
      <c r="R4057" s="18"/>
      <c r="S4057" s="18"/>
      <c r="T4057" s="18"/>
      <c r="U4057" s="18"/>
      <c r="V4057" s="18"/>
      <c r="W4057" s="18"/>
      <c r="X4057" s="18"/>
    </row>
    <row r="4058" spans="13:24">
      <c r="M4058" s="558">
        <f t="shared" si="194"/>
        <v>4056</v>
      </c>
      <c r="N4058" s="15">
        <f t="shared" si="192"/>
        <v>0.26440622741416459</v>
      </c>
      <c r="O4058" s="165">
        <f t="shared" si="193"/>
        <v>0.26440622741416459</v>
      </c>
      <c r="P4058" s="18"/>
      <c r="Q4058" s="18"/>
      <c r="R4058" s="18"/>
      <c r="S4058" s="18"/>
      <c r="T4058" s="18"/>
      <c r="U4058" s="18"/>
      <c r="V4058" s="18"/>
      <c r="W4058" s="18"/>
      <c r="X4058" s="18"/>
    </row>
    <row r="4059" spans="13:24">
      <c r="M4059" s="558">
        <f t="shared" si="194"/>
        <v>4057</v>
      </c>
      <c r="N4059" s="15">
        <f t="shared" si="192"/>
        <v>0.26435139097128835</v>
      </c>
      <c r="O4059" s="165">
        <f t="shared" si="193"/>
        <v>0.26435139097128835</v>
      </c>
      <c r="P4059" s="18"/>
      <c r="Q4059" s="18"/>
      <c r="R4059" s="18"/>
      <c r="S4059" s="18"/>
      <c r="T4059" s="18"/>
      <c r="U4059" s="18"/>
      <c r="V4059" s="18"/>
      <c r="W4059" s="18"/>
      <c r="X4059" s="18"/>
    </row>
    <row r="4060" spans="13:24">
      <c r="M4060" s="558">
        <f t="shared" si="194"/>
        <v>4058</v>
      </c>
      <c r="N4060" s="15">
        <f t="shared" si="192"/>
        <v>0.26429655887869147</v>
      </c>
      <c r="O4060" s="165">
        <f t="shared" si="193"/>
        <v>0.26429655887869147</v>
      </c>
      <c r="P4060" s="18"/>
      <c r="Q4060" s="18"/>
      <c r="R4060" s="18"/>
      <c r="S4060" s="18"/>
      <c r="T4060" s="18"/>
      <c r="U4060" s="18"/>
      <c r="V4060" s="18"/>
      <c r="W4060" s="18"/>
      <c r="X4060" s="18"/>
    </row>
    <row r="4061" spans="13:24">
      <c r="M4061" s="558">
        <f t="shared" si="194"/>
        <v>4059</v>
      </c>
      <c r="N4061" s="15">
        <f t="shared" si="192"/>
        <v>0.2642417311309147</v>
      </c>
      <c r="O4061" s="165">
        <f t="shared" si="193"/>
        <v>0.2642417311309147</v>
      </c>
      <c r="P4061" s="18"/>
      <c r="Q4061" s="18"/>
      <c r="R4061" s="18"/>
      <c r="S4061" s="18"/>
      <c r="T4061" s="18"/>
      <c r="U4061" s="18"/>
      <c r="V4061" s="18"/>
      <c r="W4061" s="18"/>
      <c r="X4061" s="18"/>
    </row>
    <row r="4062" spans="13:24">
      <c r="M4062" s="558">
        <f t="shared" si="194"/>
        <v>4060</v>
      </c>
      <c r="N4062" s="15">
        <f t="shared" si="192"/>
        <v>0.26418690772250564</v>
      </c>
      <c r="O4062" s="165">
        <f t="shared" si="193"/>
        <v>0.26418690772250564</v>
      </c>
      <c r="P4062" s="18"/>
      <c r="Q4062" s="18"/>
      <c r="R4062" s="18"/>
      <c r="S4062" s="18"/>
      <c r="T4062" s="18"/>
      <c r="U4062" s="18"/>
      <c r="V4062" s="18"/>
      <c r="W4062" s="18"/>
      <c r="X4062" s="18"/>
    </row>
    <row r="4063" spans="13:24">
      <c r="M4063" s="558">
        <f t="shared" si="194"/>
        <v>4061</v>
      </c>
      <c r="N4063" s="15">
        <f t="shared" si="192"/>
        <v>0.26413208864801863</v>
      </c>
      <c r="O4063" s="165">
        <f t="shared" si="193"/>
        <v>0.26413208864801863</v>
      </c>
      <c r="P4063" s="18"/>
      <c r="Q4063" s="18"/>
      <c r="R4063" s="18"/>
      <c r="S4063" s="18"/>
      <c r="T4063" s="18"/>
      <c r="U4063" s="18"/>
      <c r="V4063" s="18"/>
      <c r="W4063" s="18"/>
      <c r="X4063" s="18"/>
    </row>
    <row r="4064" spans="13:24">
      <c r="M4064" s="558">
        <f t="shared" si="194"/>
        <v>4062</v>
      </c>
      <c r="N4064" s="15">
        <f t="shared" si="192"/>
        <v>0.26407727390201502</v>
      </c>
      <c r="O4064" s="165">
        <f t="shared" si="193"/>
        <v>0.26407727390201502</v>
      </c>
      <c r="P4064" s="18"/>
      <c r="Q4064" s="18"/>
      <c r="R4064" s="18"/>
      <c r="S4064" s="18"/>
      <c r="T4064" s="18"/>
      <c r="U4064" s="18"/>
      <c r="V4064" s="18"/>
      <c r="W4064" s="18"/>
      <c r="X4064" s="18"/>
    </row>
    <row r="4065" spans="13:24">
      <c r="M4065" s="558">
        <f t="shared" si="194"/>
        <v>4063</v>
      </c>
      <c r="N4065" s="15">
        <f t="shared" si="192"/>
        <v>0.26402246347906294</v>
      </c>
      <c r="O4065" s="165">
        <f t="shared" si="193"/>
        <v>0.26402246347906294</v>
      </c>
      <c r="P4065" s="18"/>
      <c r="Q4065" s="18"/>
      <c r="R4065" s="18"/>
      <c r="S4065" s="18"/>
      <c r="T4065" s="18"/>
      <c r="U4065" s="18"/>
      <c r="V4065" s="18"/>
      <c r="W4065" s="18"/>
      <c r="X4065" s="18"/>
    </row>
    <row r="4066" spans="13:24">
      <c r="M4066" s="558">
        <f t="shared" si="194"/>
        <v>4064</v>
      </c>
      <c r="N4066" s="15">
        <f t="shared" si="192"/>
        <v>0.26396765737373729</v>
      </c>
      <c r="O4066" s="165">
        <f t="shared" si="193"/>
        <v>0.26396765737373729</v>
      </c>
      <c r="P4066" s="18"/>
      <c r="Q4066" s="18"/>
      <c r="R4066" s="18"/>
      <c r="S4066" s="18"/>
      <c r="T4066" s="18"/>
      <c r="U4066" s="18"/>
      <c r="V4066" s="18"/>
      <c r="W4066" s="18"/>
      <c r="X4066" s="18"/>
    </row>
    <row r="4067" spans="13:24">
      <c r="M4067" s="558">
        <f t="shared" si="194"/>
        <v>4065</v>
      </c>
      <c r="N4067" s="15">
        <f t="shared" si="192"/>
        <v>0.26391285558061972</v>
      </c>
      <c r="O4067" s="165">
        <f t="shared" si="193"/>
        <v>0.26391285558061972</v>
      </c>
      <c r="P4067" s="18"/>
      <c r="Q4067" s="18"/>
      <c r="R4067" s="18"/>
      <c r="S4067" s="18"/>
      <c r="T4067" s="18"/>
      <c r="U4067" s="18"/>
      <c r="V4067" s="18"/>
      <c r="W4067" s="18"/>
      <c r="X4067" s="18"/>
    </row>
    <row r="4068" spans="13:24">
      <c r="M4068" s="558">
        <f t="shared" si="194"/>
        <v>4066</v>
      </c>
      <c r="N4068" s="15">
        <f t="shared" si="192"/>
        <v>0.26385805809429891</v>
      </c>
      <c r="O4068" s="165">
        <f t="shared" si="193"/>
        <v>0.26385805809429891</v>
      </c>
      <c r="P4068" s="18"/>
      <c r="Q4068" s="18"/>
      <c r="R4068" s="18"/>
      <c r="S4068" s="18"/>
      <c r="T4068" s="18"/>
      <c r="U4068" s="18"/>
      <c r="V4068" s="18"/>
      <c r="W4068" s="18"/>
      <c r="X4068" s="18"/>
    </row>
    <row r="4069" spans="13:24">
      <c r="M4069" s="558">
        <f t="shared" si="194"/>
        <v>4067</v>
      </c>
      <c r="N4069" s="15">
        <f t="shared" si="192"/>
        <v>0.26380326490937001</v>
      </c>
      <c r="O4069" s="165">
        <f t="shared" si="193"/>
        <v>0.26380326490937001</v>
      </c>
      <c r="P4069" s="18"/>
      <c r="Q4069" s="18"/>
      <c r="R4069" s="18"/>
      <c r="S4069" s="18"/>
      <c r="T4069" s="18"/>
      <c r="U4069" s="18"/>
      <c r="V4069" s="18"/>
      <c r="W4069" s="18"/>
      <c r="X4069" s="18"/>
    </row>
    <row r="4070" spans="13:24">
      <c r="M4070" s="558">
        <f t="shared" si="194"/>
        <v>4068</v>
      </c>
      <c r="N4070" s="15">
        <f t="shared" si="192"/>
        <v>0.26374847602043516</v>
      </c>
      <c r="O4070" s="165">
        <f t="shared" si="193"/>
        <v>0.26374847602043516</v>
      </c>
      <c r="P4070" s="18"/>
      <c r="Q4070" s="18"/>
      <c r="R4070" s="18"/>
      <c r="S4070" s="18"/>
      <c r="T4070" s="18"/>
      <c r="U4070" s="18"/>
      <c r="V4070" s="18"/>
      <c r="W4070" s="18"/>
      <c r="X4070" s="18"/>
    </row>
    <row r="4071" spans="13:24">
      <c r="M4071" s="558">
        <f t="shared" si="194"/>
        <v>4069</v>
      </c>
      <c r="N4071" s="15">
        <f t="shared" si="192"/>
        <v>0.26369369142210336</v>
      </c>
      <c r="O4071" s="165">
        <f t="shared" si="193"/>
        <v>0.26369369142210336</v>
      </c>
      <c r="P4071" s="18"/>
      <c r="Q4071" s="18"/>
      <c r="R4071" s="18"/>
      <c r="S4071" s="18"/>
      <c r="T4071" s="18"/>
      <c r="U4071" s="18"/>
      <c r="V4071" s="18"/>
      <c r="W4071" s="18"/>
      <c r="X4071" s="18"/>
    </row>
    <row r="4072" spans="13:24">
      <c r="M4072" s="558">
        <f t="shared" si="194"/>
        <v>4070</v>
      </c>
      <c r="N4072" s="15">
        <f t="shared" si="192"/>
        <v>0.26363891110899013</v>
      </c>
      <c r="O4072" s="165">
        <f t="shared" si="193"/>
        <v>0.26363891110899013</v>
      </c>
      <c r="P4072" s="18"/>
      <c r="Q4072" s="18"/>
      <c r="R4072" s="18"/>
      <c r="S4072" s="18"/>
      <c r="T4072" s="18"/>
      <c r="U4072" s="18"/>
      <c r="V4072" s="18"/>
      <c r="W4072" s="18"/>
      <c r="X4072" s="18"/>
    </row>
    <row r="4073" spans="13:24">
      <c r="M4073" s="558">
        <f t="shared" si="194"/>
        <v>4071</v>
      </c>
      <c r="N4073" s="15">
        <f t="shared" si="192"/>
        <v>0.26358413507571787</v>
      </c>
      <c r="O4073" s="165">
        <f t="shared" si="193"/>
        <v>0.26358413507571787</v>
      </c>
      <c r="P4073" s="18"/>
      <c r="Q4073" s="18"/>
      <c r="R4073" s="18"/>
      <c r="S4073" s="18"/>
      <c r="T4073" s="18"/>
      <c r="U4073" s="18"/>
      <c r="V4073" s="18"/>
      <c r="W4073" s="18"/>
      <c r="X4073" s="18"/>
    </row>
    <row r="4074" spans="13:24">
      <c r="M4074" s="558">
        <f t="shared" si="194"/>
        <v>4072</v>
      </c>
      <c r="N4074" s="15">
        <f t="shared" si="192"/>
        <v>0.26352936331691568</v>
      </c>
      <c r="O4074" s="165">
        <f t="shared" si="193"/>
        <v>0.26352936331691568</v>
      </c>
      <c r="P4074" s="18"/>
      <c r="Q4074" s="18"/>
      <c r="R4074" s="18"/>
      <c r="S4074" s="18"/>
      <c r="T4074" s="18"/>
      <c r="U4074" s="18"/>
      <c r="V4074" s="18"/>
      <c r="W4074" s="18"/>
      <c r="X4074" s="18"/>
    </row>
    <row r="4075" spans="13:24">
      <c r="M4075" s="558">
        <f t="shared" si="194"/>
        <v>4073</v>
      </c>
      <c r="N4075" s="15">
        <f t="shared" si="192"/>
        <v>0.2634745958272196</v>
      </c>
      <c r="O4075" s="165">
        <f t="shared" si="193"/>
        <v>0.2634745958272196</v>
      </c>
      <c r="P4075" s="18"/>
      <c r="Q4075" s="18"/>
      <c r="R4075" s="18"/>
      <c r="S4075" s="18"/>
      <c r="T4075" s="18"/>
      <c r="U4075" s="18"/>
      <c r="V4075" s="18"/>
      <c r="W4075" s="18"/>
      <c r="X4075" s="18"/>
    </row>
    <row r="4076" spans="13:24">
      <c r="M4076" s="558">
        <f t="shared" si="194"/>
        <v>4074</v>
      </c>
      <c r="N4076" s="15">
        <f t="shared" si="192"/>
        <v>0.26341983260127211</v>
      </c>
      <c r="O4076" s="165">
        <f t="shared" si="193"/>
        <v>0.26341983260127211</v>
      </c>
      <c r="P4076" s="18"/>
      <c r="Q4076" s="18"/>
      <c r="R4076" s="18"/>
      <c r="S4076" s="18"/>
      <c r="T4076" s="18"/>
      <c r="U4076" s="18"/>
      <c r="V4076" s="18"/>
      <c r="W4076" s="18"/>
      <c r="X4076" s="18"/>
    </row>
    <row r="4077" spans="13:24">
      <c r="M4077" s="558">
        <f t="shared" si="194"/>
        <v>4075</v>
      </c>
      <c r="N4077" s="15">
        <f t="shared" si="192"/>
        <v>0.26336507363372258</v>
      </c>
      <c r="O4077" s="165">
        <f t="shared" si="193"/>
        <v>0.26336507363372258</v>
      </c>
      <c r="P4077" s="18"/>
      <c r="Q4077" s="18"/>
      <c r="R4077" s="18"/>
      <c r="S4077" s="18"/>
      <c r="T4077" s="18"/>
      <c r="U4077" s="18"/>
      <c r="V4077" s="18"/>
      <c r="W4077" s="18"/>
      <c r="X4077" s="18"/>
    </row>
    <row r="4078" spans="13:24">
      <c r="M4078" s="558">
        <f t="shared" si="194"/>
        <v>4076</v>
      </c>
      <c r="N4078" s="15">
        <f t="shared" si="192"/>
        <v>0.26331031891922707</v>
      </c>
      <c r="O4078" s="165">
        <f t="shared" si="193"/>
        <v>0.26331031891922707</v>
      </c>
      <c r="P4078" s="18"/>
      <c r="Q4078" s="18"/>
      <c r="R4078" s="18"/>
      <c r="S4078" s="18"/>
      <c r="T4078" s="18"/>
      <c r="U4078" s="18"/>
      <c r="V4078" s="18"/>
      <c r="W4078" s="18"/>
      <c r="X4078" s="18"/>
    </row>
    <row r="4079" spans="13:24">
      <c r="M4079" s="558">
        <f t="shared" si="194"/>
        <v>4077</v>
      </c>
      <c r="N4079" s="15">
        <f t="shared" si="192"/>
        <v>0.26325556845244835</v>
      </c>
      <c r="O4079" s="165">
        <f t="shared" si="193"/>
        <v>0.26325556845244835</v>
      </c>
      <c r="P4079" s="18"/>
      <c r="Q4079" s="18"/>
      <c r="R4079" s="18"/>
      <c r="S4079" s="18"/>
      <c r="T4079" s="18"/>
      <c r="U4079" s="18"/>
      <c r="V4079" s="18"/>
      <c r="W4079" s="18"/>
      <c r="X4079" s="18"/>
    </row>
    <row r="4080" spans="13:24">
      <c r="M4080" s="558">
        <f t="shared" si="194"/>
        <v>4078</v>
      </c>
      <c r="N4080" s="15">
        <f t="shared" si="192"/>
        <v>0.26320082222805585</v>
      </c>
      <c r="O4080" s="165">
        <f t="shared" si="193"/>
        <v>0.26320082222805585</v>
      </c>
      <c r="P4080" s="18"/>
      <c r="Q4080" s="18"/>
      <c r="R4080" s="18"/>
      <c r="S4080" s="18"/>
      <c r="T4080" s="18"/>
      <c r="U4080" s="18"/>
      <c r="V4080" s="18"/>
      <c r="W4080" s="18"/>
      <c r="X4080" s="18"/>
    </row>
    <row r="4081" spans="13:24">
      <c r="M4081" s="558">
        <f t="shared" si="194"/>
        <v>4079</v>
      </c>
      <c r="N4081" s="15">
        <f t="shared" si="192"/>
        <v>0.26314608024072578</v>
      </c>
      <c r="O4081" s="165">
        <f t="shared" si="193"/>
        <v>0.26314608024072578</v>
      </c>
      <c r="P4081" s="18"/>
      <c r="Q4081" s="18"/>
      <c r="R4081" s="18"/>
      <c r="S4081" s="18"/>
      <c r="T4081" s="18"/>
      <c r="U4081" s="18"/>
      <c r="V4081" s="18"/>
      <c r="W4081" s="18"/>
      <c r="X4081" s="18"/>
    </row>
    <row r="4082" spans="13:24">
      <c r="M4082" s="558">
        <f t="shared" si="194"/>
        <v>4080</v>
      </c>
      <c r="N4082" s="15">
        <f t="shared" si="192"/>
        <v>0.26309134248514082</v>
      </c>
      <c r="O4082" s="165">
        <f t="shared" si="193"/>
        <v>0.26309134248514082</v>
      </c>
      <c r="P4082" s="18"/>
      <c r="Q4082" s="18"/>
      <c r="R4082" s="18"/>
      <c r="S4082" s="18"/>
      <c r="T4082" s="18"/>
      <c r="U4082" s="18"/>
      <c r="V4082" s="18"/>
      <c r="W4082" s="18"/>
      <c r="X4082" s="18"/>
    </row>
    <row r="4083" spans="13:24">
      <c r="M4083" s="558">
        <f t="shared" si="194"/>
        <v>4081</v>
      </c>
      <c r="N4083" s="15">
        <f t="shared" si="192"/>
        <v>0.26303660895599063</v>
      </c>
      <c r="O4083" s="165">
        <f t="shared" si="193"/>
        <v>0.26303660895599063</v>
      </c>
      <c r="P4083" s="18"/>
      <c r="Q4083" s="18"/>
      <c r="R4083" s="18"/>
      <c r="S4083" s="18"/>
      <c r="T4083" s="18"/>
      <c r="U4083" s="18"/>
      <c r="V4083" s="18"/>
      <c r="W4083" s="18"/>
      <c r="X4083" s="18"/>
    </row>
    <row r="4084" spans="13:24">
      <c r="M4084" s="558">
        <f t="shared" si="194"/>
        <v>4082</v>
      </c>
      <c r="N4084" s="15">
        <f t="shared" si="192"/>
        <v>0.26298187964797132</v>
      </c>
      <c r="O4084" s="165">
        <f t="shared" si="193"/>
        <v>0.26298187964797132</v>
      </c>
      <c r="P4084" s="18"/>
      <c r="Q4084" s="18"/>
      <c r="R4084" s="18"/>
      <c r="S4084" s="18"/>
      <c r="T4084" s="18"/>
      <c r="U4084" s="18"/>
      <c r="V4084" s="18"/>
      <c r="W4084" s="18"/>
      <c r="X4084" s="18"/>
    </row>
    <row r="4085" spans="13:24">
      <c r="M4085" s="558">
        <f t="shared" si="194"/>
        <v>4083</v>
      </c>
      <c r="N4085" s="15">
        <f t="shared" si="192"/>
        <v>0.26292715455578564</v>
      </c>
      <c r="O4085" s="165">
        <f t="shared" si="193"/>
        <v>0.26292715455578564</v>
      </c>
      <c r="P4085" s="18"/>
      <c r="Q4085" s="18"/>
      <c r="R4085" s="18"/>
      <c r="S4085" s="18"/>
      <c r="T4085" s="18"/>
      <c r="U4085" s="18"/>
      <c r="V4085" s="18"/>
      <c r="W4085" s="18"/>
      <c r="X4085" s="18"/>
    </row>
    <row r="4086" spans="13:24">
      <c r="M4086" s="558">
        <f t="shared" si="194"/>
        <v>4084</v>
      </c>
      <c r="N4086" s="15">
        <f t="shared" si="192"/>
        <v>0.26287243367414315</v>
      </c>
      <c r="O4086" s="165">
        <f t="shared" si="193"/>
        <v>0.26287243367414315</v>
      </c>
      <c r="P4086" s="18"/>
      <c r="Q4086" s="18"/>
      <c r="R4086" s="18"/>
      <c r="S4086" s="18"/>
      <c r="T4086" s="18"/>
      <c r="U4086" s="18"/>
      <c r="V4086" s="18"/>
      <c r="W4086" s="18"/>
      <c r="X4086" s="18"/>
    </row>
    <row r="4087" spans="13:24">
      <c r="M4087" s="558">
        <f t="shared" si="194"/>
        <v>4085</v>
      </c>
      <c r="N4087" s="15">
        <f t="shared" si="192"/>
        <v>0.26281771699775991</v>
      </c>
      <c r="O4087" s="165">
        <f t="shared" si="193"/>
        <v>0.26281771699775991</v>
      </c>
      <c r="P4087" s="18"/>
      <c r="Q4087" s="18"/>
      <c r="R4087" s="18"/>
      <c r="S4087" s="18"/>
      <c r="T4087" s="18"/>
      <c r="U4087" s="18"/>
      <c r="V4087" s="18"/>
      <c r="W4087" s="18"/>
      <c r="X4087" s="18"/>
    </row>
    <row r="4088" spans="13:24">
      <c r="M4088" s="558">
        <f t="shared" si="194"/>
        <v>4086</v>
      </c>
      <c r="N4088" s="15">
        <f t="shared" si="192"/>
        <v>0.2627630045213587</v>
      </c>
      <c r="O4088" s="165">
        <f t="shared" si="193"/>
        <v>0.2627630045213587</v>
      </c>
      <c r="P4088" s="18"/>
      <c r="Q4088" s="18"/>
      <c r="R4088" s="18"/>
      <c r="S4088" s="18"/>
      <c r="T4088" s="18"/>
      <c r="U4088" s="18"/>
      <c r="V4088" s="18"/>
      <c r="W4088" s="18"/>
      <c r="X4088" s="18"/>
    </row>
    <row r="4089" spans="13:24">
      <c r="M4089" s="558">
        <f t="shared" si="194"/>
        <v>4087</v>
      </c>
      <c r="N4089" s="15">
        <f t="shared" si="192"/>
        <v>0.26270829623966879</v>
      </c>
      <c r="O4089" s="165">
        <f t="shared" si="193"/>
        <v>0.26270829623966879</v>
      </c>
      <c r="P4089" s="18"/>
      <c r="Q4089" s="18"/>
      <c r="R4089" s="18"/>
      <c r="S4089" s="18"/>
      <c r="T4089" s="18"/>
      <c r="U4089" s="18"/>
      <c r="V4089" s="18"/>
      <c r="W4089" s="18"/>
      <c r="X4089" s="18"/>
    </row>
    <row r="4090" spans="13:24">
      <c r="M4090" s="558">
        <f t="shared" si="194"/>
        <v>4088</v>
      </c>
      <c r="N4090" s="15">
        <f t="shared" si="192"/>
        <v>0.26265359214742628</v>
      </c>
      <c r="O4090" s="165">
        <f t="shared" si="193"/>
        <v>0.26265359214742628</v>
      </c>
      <c r="P4090" s="18"/>
      <c r="Q4090" s="18"/>
      <c r="R4090" s="18"/>
      <c r="S4090" s="18"/>
      <c r="T4090" s="18"/>
      <c r="U4090" s="18"/>
      <c r="V4090" s="18"/>
      <c r="W4090" s="18"/>
      <c r="X4090" s="18"/>
    </row>
    <row r="4091" spans="13:24">
      <c r="M4091" s="558">
        <f t="shared" si="194"/>
        <v>4089</v>
      </c>
      <c r="N4091" s="15">
        <f t="shared" si="192"/>
        <v>0.26259889223937372</v>
      </c>
      <c r="O4091" s="165">
        <f t="shared" si="193"/>
        <v>0.26259889223937372</v>
      </c>
      <c r="P4091" s="18"/>
      <c r="Q4091" s="18"/>
      <c r="R4091" s="18"/>
      <c r="S4091" s="18"/>
      <c r="T4091" s="18"/>
      <c r="U4091" s="18"/>
      <c r="V4091" s="18"/>
      <c r="W4091" s="18"/>
      <c r="X4091" s="18"/>
    </row>
    <row r="4092" spans="13:24">
      <c r="M4092" s="558">
        <f t="shared" si="194"/>
        <v>4090</v>
      </c>
      <c r="N4092" s="15">
        <f t="shared" si="192"/>
        <v>0.26254419651026017</v>
      </c>
      <c r="O4092" s="165">
        <f t="shared" si="193"/>
        <v>0.26254419651026017</v>
      </c>
      <c r="P4092" s="18"/>
      <c r="Q4092" s="18"/>
      <c r="R4092" s="18"/>
      <c r="S4092" s="18"/>
      <c r="T4092" s="18"/>
      <c r="U4092" s="18"/>
      <c r="V4092" s="18"/>
      <c r="W4092" s="18"/>
      <c r="X4092" s="18"/>
    </row>
    <row r="4093" spans="13:24">
      <c r="M4093" s="558">
        <f t="shared" si="194"/>
        <v>4091</v>
      </c>
      <c r="N4093" s="15">
        <f t="shared" si="192"/>
        <v>0.26248950495484152</v>
      </c>
      <c r="O4093" s="165">
        <f t="shared" si="193"/>
        <v>0.26248950495484152</v>
      </c>
      <c r="P4093" s="18"/>
      <c r="Q4093" s="18"/>
      <c r="R4093" s="18"/>
      <c r="S4093" s="18"/>
      <c r="T4093" s="18"/>
      <c r="U4093" s="18"/>
      <c r="V4093" s="18"/>
      <c r="W4093" s="18"/>
      <c r="X4093" s="18"/>
    </row>
    <row r="4094" spans="13:24">
      <c r="M4094" s="558">
        <f t="shared" si="194"/>
        <v>4092</v>
      </c>
      <c r="N4094" s="15">
        <f t="shared" si="192"/>
        <v>0.26243481756788006</v>
      </c>
      <c r="O4094" s="165">
        <f t="shared" si="193"/>
        <v>0.26243481756788006</v>
      </c>
      <c r="P4094" s="18"/>
      <c r="Q4094" s="18"/>
      <c r="R4094" s="18"/>
      <c r="S4094" s="18"/>
      <c r="T4094" s="18"/>
      <c r="U4094" s="18"/>
      <c r="V4094" s="18"/>
      <c r="W4094" s="18"/>
      <c r="X4094" s="18"/>
    </row>
    <row r="4095" spans="13:24">
      <c r="M4095" s="558">
        <f t="shared" si="194"/>
        <v>4093</v>
      </c>
      <c r="N4095" s="15">
        <f t="shared" si="192"/>
        <v>0.26238013434414476</v>
      </c>
      <c r="O4095" s="165">
        <f t="shared" si="193"/>
        <v>0.26238013434414476</v>
      </c>
      <c r="P4095" s="18"/>
      <c r="Q4095" s="18"/>
      <c r="R4095" s="18"/>
      <c r="S4095" s="18"/>
      <c r="T4095" s="18"/>
      <c r="U4095" s="18"/>
      <c r="V4095" s="18"/>
      <c r="W4095" s="18"/>
      <c r="X4095" s="18"/>
    </row>
    <row r="4096" spans="13:24">
      <c r="M4096" s="558">
        <f t="shared" si="194"/>
        <v>4094</v>
      </c>
      <c r="N4096" s="15">
        <f t="shared" si="192"/>
        <v>0.26232545527841106</v>
      </c>
      <c r="O4096" s="165">
        <f t="shared" si="193"/>
        <v>0.26232545527841106</v>
      </c>
      <c r="P4096" s="18"/>
      <c r="Q4096" s="18"/>
      <c r="R4096" s="18"/>
      <c r="S4096" s="18"/>
      <c r="T4096" s="18"/>
      <c r="U4096" s="18"/>
      <c r="V4096" s="18"/>
      <c r="W4096" s="18"/>
      <c r="X4096" s="18"/>
    </row>
    <row r="4097" spans="13:24">
      <c r="M4097" s="558">
        <f t="shared" si="194"/>
        <v>4095</v>
      </c>
      <c r="N4097" s="15">
        <f t="shared" si="192"/>
        <v>0.26227078036546098</v>
      </c>
      <c r="O4097" s="165">
        <f t="shared" si="193"/>
        <v>0.26227078036546098</v>
      </c>
      <c r="P4097" s="18"/>
      <c r="Q4097" s="18"/>
      <c r="R4097" s="18"/>
      <c r="S4097" s="18"/>
      <c r="T4097" s="18"/>
      <c r="U4097" s="18"/>
      <c r="V4097" s="18"/>
      <c r="W4097" s="18"/>
      <c r="X4097" s="18"/>
    </row>
    <row r="4098" spans="13:24">
      <c r="M4098" s="558">
        <f t="shared" si="194"/>
        <v>4096</v>
      </c>
      <c r="N4098" s="15">
        <f t="shared" si="192"/>
        <v>0.26221610960008318</v>
      </c>
      <c r="O4098" s="165">
        <f t="shared" si="193"/>
        <v>0.26221610960008318</v>
      </c>
      <c r="P4098" s="18"/>
      <c r="Q4098" s="18"/>
      <c r="R4098" s="18"/>
      <c r="S4098" s="18"/>
      <c r="T4098" s="18"/>
      <c r="U4098" s="18"/>
      <c r="V4098" s="18"/>
      <c r="W4098" s="18"/>
      <c r="X4098" s="18"/>
    </row>
    <row r="4099" spans="13:24">
      <c r="M4099" s="558">
        <f t="shared" si="194"/>
        <v>4097</v>
      </c>
      <c r="N4099" s="15">
        <f t="shared" si="192"/>
        <v>0.26216144297707278</v>
      </c>
      <c r="O4099" s="165">
        <f t="shared" si="193"/>
        <v>0.26216144297707278</v>
      </c>
      <c r="P4099" s="18"/>
      <c r="Q4099" s="18"/>
      <c r="R4099" s="18"/>
      <c r="S4099" s="18"/>
      <c r="T4099" s="18"/>
      <c r="U4099" s="18"/>
      <c r="V4099" s="18"/>
      <c r="W4099" s="18"/>
      <c r="X4099" s="18"/>
    </row>
    <row r="4100" spans="13:24">
      <c r="M4100" s="558">
        <f t="shared" si="194"/>
        <v>4098</v>
      </c>
      <c r="N4100" s="15">
        <f t="shared" ref="N4100:N4163" si="195">IF(M4100&lt;$B$31+1,$B$32+$B$33/$B$31*(8760-M4100)+$B$34*IF(M4100&lt;$B$36-$B$31/(2*$B$35),1,IF(M4100&lt;$B$36+$B$31/(2*$B$35),COS(PI()/2*(M4100-($B$36-$B$31/(2*$B$35)))*$B$35/$B$31)^2,0))+$B$37*EXP((8760-M4100)/8760*$B$38)/EXP($B$38)-(8760-$B$31)*$B$33/$B$31,0)</f>
        <v>0.26210678049123137</v>
      </c>
      <c r="O4100" s="165">
        <f t="shared" ref="O4100:O4163" si="196">MIN(N4100,C$24)</f>
        <v>0.26210678049123137</v>
      </c>
      <c r="P4100" s="18"/>
      <c r="Q4100" s="18"/>
      <c r="R4100" s="18"/>
      <c r="S4100" s="18"/>
      <c r="T4100" s="18"/>
      <c r="U4100" s="18"/>
      <c r="V4100" s="18"/>
      <c r="W4100" s="18"/>
      <c r="X4100" s="18"/>
    </row>
    <row r="4101" spans="13:24">
      <c r="M4101" s="558">
        <f t="shared" ref="M4101:M4164" si="197">M4100+1</f>
        <v>4099</v>
      </c>
      <c r="N4101" s="15">
        <f t="shared" si="195"/>
        <v>0.26205212213736717</v>
      </c>
      <c r="O4101" s="165">
        <f t="shared" si="196"/>
        <v>0.26205212213736717</v>
      </c>
      <c r="P4101" s="18"/>
      <c r="Q4101" s="18"/>
      <c r="R4101" s="18"/>
      <c r="S4101" s="18"/>
      <c r="T4101" s="18"/>
      <c r="U4101" s="18"/>
      <c r="V4101" s="18"/>
      <c r="W4101" s="18"/>
      <c r="X4101" s="18"/>
    </row>
    <row r="4102" spans="13:24">
      <c r="M4102" s="558">
        <f t="shared" si="197"/>
        <v>4100</v>
      </c>
      <c r="N4102" s="15">
        <f t="shared" si="195"/>
        <v>0.26199746791029493</v>
      </c>
      <c r="O4102" s="165">
        <f t="shared" si="196"/>
        <v>0.26199746791029493</v>
      </c>
      <c r="P4102" s="18"/>
      <c r="Q4102" s="18"/>
      <c r="R4102" s="18"/>
      <c r="S4102" s="18"/>
      <c r="T4102" s="18"/>
      <c r="U4102" s="18"/>
      <c r="V4102" s="18"/>
      <c r="W4102" s="18"/>
      <c r="X4102" s="18"/>
    </row>
    <row r="4103" spans="13:24">
      <c r="M4103" s="558">
        <f t="shared" si="197"/>
        <v>4101</v>
      </c>
      <c r="N4103" s="15">
        <f t="shared" si="195"/>
        <v>0.26194281780483586</v>
      </c>
      <c r="O4103" s="165">
        <f t="shared" si="196"/>
        <v>0.26194281780483586</v>
      </c>
      <c r="P4103" s="18"/>
      <c r="Q4103" s="18"/>
      <c r="R4103" s="18"/>
      <c r="S4103" s="18"/>
      <c r="T4103" s="18"/>
      <c r="U4103" s="18"/>
      <c r="V4103" s="18"/>
      <c r="W4103" s="18"/>
      <c r="X4103" s="18"/>
    </row>
    <row r="4104" spans="13:24">
      <c r="M4104" s="558">
        <f t="shared" si="197"/>
        <v>4102</v>
      </c>
      <c r="N4104" s="15">
        <f t="shared" si="195"/>
        <v>0.26188817181581753</v>
      </c>
      <c r="O4104" s="165">
        <f t="shared" si="196"/>
        <v>0.26188817181581753</v>
      </c>
      <c r="P4104" s="18"/>
      <c r="Q4104" s="18"/>
      <c r="R4104" s="18"/>
      <c r="S4104" s="18"/>
      <c r="T4104" s="18"/>
      <c r="U4104" s="18"/>
      <c r="V4104" s="18"/>
      <c r="W4104" s="18"/>
      <c r="X4104" s="18"/>
    </row>
    <row r="4105" spans="13:24">
      <c r="M4105" s="558">
        <f t="shared" si="197"/>
        <v>4103</v>
      </c>
      <c r="N4105" s="15">
        <f t="shared" si="195"/>
        <v>0.26183352993807429</v>
      </c>
      <c r="O4105" s="165">
        <f t="shared" si="196"/>
        <v>0.26183352993807429</v>
      </c>
      <c r="P4105" s="18"/>
      <c r="Q4105" s="18"/>
      <c r="R4105" s="18"/>
      <c r="S4105" s="18"/>
      <c r="T4105" s="18"/>
      <c r="U4105" s="18"/>
      <c r="V4105" s="18"/>
      <c r="W4105" s="18"/>
      <c r="X4105" s="18"/>
    </row>
    <row r="4106" spans="13:24">
      <c r="M4106" s="558">
        <f t="shared" si="197"/>
        <v>4104</v>
      </c>
      <c r="N4106" s="15">
        <f t="shared" si="195"/>
        <v>0.26177889216644679</v>
      </c>
      <c r="O4106" s="165">
        <f t="shared" si="196"/>
        <v>0.26177889216644679</v>
      </c>
      <c r="P4106" s="18"/>
      <c r="Q4106" s="18"/>
      <c r="R4106" s="18"/>
      <c r="S4106" s="18"/>
      <c r="T4106" s="18"/>
      <c r="U4106" s="18"/>
      <c r="V4106" s="18"/>
      <c r="W4106" s="18"/>
      <c r="X4106" s="18"/>
    </row>
    <row r="4107" spans="13:24">
      <c r="M4107" s="558">
        <f t="shared" si="197"/>
        <v>4105</v>
      </c>
      <c r="N4107" s="15">
        <f t="shared" si="195"/>
        <v>0.26172425849578218</v>
      </c>
      <c r="O4107" s="165">
        <f t="shared" si="196"/>
        <v>0.26172425849578218</v>
      </c>
      <c r="P4107" s="18"/>
      <c r="Q4107" s="18"/>
      <c r="R4107" s="18"/>
      <c r="S4107" s="18"/>
      <c r="T4107" s="18"/>
      <c r="U4107" s="18"/>
      <c r="V4107" s="18"/>
      <c r="W4107" s="18"/>
      <c r="X4107" s="18"/>
    </row>
    <row r="4108" spans="13:24">
      <c r="M4108" s="558">
        <f t="shared" si="197"/>
        <v>4106</v>
      </c>
      <c r="N4108" s="15">
        <f t="shared" si="195"/>
        <v>0.26166962892093398</v>
      </c>
      <c r="O4108" s="165">
        <f t="shared" si="196"/>
        <v>0.26166962892093398</v>
      </c>
      <c r="P4108" s="18"/>
      <c r="Q4108" s="18"/>
      <c r="R4108" s="18"/>
      <c r="S4108" s="18"/>
      <c r="T4108" s="18"/>
      <c r="U4108" s="18"/>
      <c r="V4108" s="18"/>
      <c r="W4108" s="18"/>
      <c r="X4108" s="18"/>
    </row>
    <row r="4109" spans="13:24">
      <c r="M4109" s="558">
        <f t="shared" si="197"/>
        <v>4107</v>
      </c>
      <c r="N4109" s="15">
        <f t="shared" si="195"/>
        <v>0.26161500343676236</v>
      </c>
      <c r="O4109" s="165">
        <f t="shared" si="196"/>
        <v>0.26161500343676236</v>
      </c>
      <c r="P4109" s="18"/>
      <c r="Q4109" s="18"/>
      <c r="R4109" s="18"/>
      <c r="S4109" s="18"/>
      <c r="T4109" s="18"/>
      <c r="U4109" s="18"/>
      <c r="V4109" s="18"/>
      <c r="W4109" s="18"/>
      <c r="X4109" s="18"/>
    </row>
    <row r="4110" spans="13:24">
      <c r="M4110" s="558">
        <f t="shared" si="197"/>
        <v>4108</v>
      </c>
      <c r="N4110" s="15">
        <f t="shared" si="195"/>
        <v>0.26156038203813392</v>
      </c>
      <c r="O4110" s="165">
        <f t="shared" si="196"/>
        <v>0.26156038203813392</v>
      </c>
      <c r="P4110" s="18"/>
      <c r="Q4110" s="18"/>
      <c r="R4110" s="18"/>
      <c r="S4110" s="18"/>
      <c r="T4110" s="18"/>
      <c r="U4110" s="18"/>
      <c r="V4110" s="18"/>
      <c r="W4110" s="18"/>
      <c r="X4110" s="18"/>
    </row>
    <row r="4111" spans="13:24">
      <c r="M4111" s="558">
        <f t="shared" si="197"/>
        <v>4109</v>
      </c>
      <c r="N4111" s="15">
        <f t="shared" si="195"/>
        <v>0.26150576471992149</v>
      </c>
      <c r="O4111" s="165">
        <f t="shared" si="196"/>
        <v>0.26150576471992149</v>
      </c>
      <c r="P4111" s="18"/>
      <c r="Q4111" s="18"/>
      <c r="R4111" s="18"/>
      <c r="S4111" s="18"/>
      <c r="T4111" s="18"/>
      <c r="U4111" s="18"/>
      <c r="V4111" s="18"/>
      <c r="W4111" s="18"/>
      <c r="X4111" s="18"/>
    </row>
    <row r="4112" spans="13:24">
      <c r="M4112" s="558">
        <f t="shared" si="197"/>
        <v>4110</v>
      </c>
      <c r="N4112" s="15">
        <f t="shared" si="195"/>
        <v>0.26145115147700448</v>
      </c>
      <c r="O4112" s="165">
        <f t="shared" si="196"/>
        <v>0.26145115147700448</v>
      </c>
      <c r="P4112" s="18"/>
      <c r="Q4112" s="18"/>
      <c r="R4112" s="18"/>
      <c r="S4112" s="18"/>
      <c r="T4112" s="18"/>
      <c r="U4112" s="18"/>
      <c r="V4112" s="18"/>
      <c r="W4112" s="18"/>
      <c r="X4112" s="18"/>
    </row>
    <row r="4113" spans="13:24">
      <c r="M4113" s="558">
        <f t="shared" si="197"/>
        <v>4111</v>
      </c>
      <c r="N4113" s="15">
        <f t="shared" si="195"/>
        <v>0.26139654230426884</v>
      </c>
      <c r="O4113" s="165">
        <f t="shared" si="196"/>
        <v>0.26139654230426884</v>
      </c>
      <c r="P4113" s="18"/>
      <c r="Q4113" s="18"/>
      <c r="R4113" s="18"/>
      <c r="S4113" s="18"/>
      <c r="T4113" s="18"/>
      <c r="U4113" s="18"/>
      <c r="V4113" s="18"/>
      <c r="W4113" s="18"/>
      <c r="X4113" s="18"/>
    </row>
    <row r="4114" spans="13:24">
      <c r="M4114" s="558">
        <f t="shared" si="197"/>
        <v>4112</v>
      </c>
      <c r="N4114" s="15">
        <f t="shared" si="195"/>
        <v>0.26134193719660681</v>
      </c>
      <c r="O4114" s="165">
        <f t="shared" si="196"/>
        <v>0.26134193719660681</v>
      </c>
      <c r="P4114" s="18"/>
      <c r="Q4114" s="18"/>
      <c r="R4114" s="18"/>
      <c r="S4114" s="18"/>
      <c r="T4114" s="18"/>
      <c r="U4114" s="18"/>
      <c r="V4114" s="18"/>
      <c r="W4114" s="18"/>
      <c r="X4114" s="18"/>
    </row>
    <row r="4115" spans="13:24">
      <c r="M4115" s="558">
        <f t="shared" si="197"/>
        <v>4113</v>
      </c>
      <c r="N4115" s="15">
        <f t="shared" si="195"/>
        <v>0.26128733614891692</v>
      </c>
      <c r="O4115" s="165">
        <f t="shared" si="196"/>
        <v>0.26128733614891692</v>
      </c>
      <c r="P4115" s="18"/>
      <c r="Q4115" s="18"/>
      <c r="R4115" s="18"/>
      <c r="S4115" s="18"/>
      <c r="T4115" s="18"/>
      <c r="U4115" s="18"/>
      <c r="V4115" s="18"/>
      <c r="W4115" s="18"/>
      <c r="X4115" s="18"/>
    </row>
    <row r="4116" spans="13:24">
      <c r="M4116" s="558">
        <f t="shared" si="197"/>
        <v>4114</v>
      </c>
      <c r="N4116" s="15">
        <f t="shared" si="195"/>
        <v>0.26123273915610429</v>
      </c>
      <c r="O4116" s="165">
        <f t="shared" si="196"/>
        <v>0.26123273915610429</v>
      </c>
      <c r="P4116" s="18"/>
      <c r="Q4116" s="18"/>
      <c r="R4116" s="18"/>
      <c r="S4116" s="18"/>
      <c r="T4116" s="18"/>
      <c r="U4116" s="18"/>
      <c r="V4116" s="18"/>
      <c r="W4116" s="18"/>
      <c r="X4116" s="18"/>
    </row>
    <row r="4117" spans="13:24">
      <c r="M4117" s="558">
        <f t="shared" si="197"/>
        <v>4115</v>
      </c>
      <c r="N4117" s="15">
        <f t="shared" si="195"/>
        <v>0.26117814621308044</v>
      </c>
      <c r="O4117" s="165">
        <f t="shared" si="196"/>
        <v>0.26117814621308044</v>
      </c>
      <c r="P4117" s="18"/>
      <c r="Q4117" s="18"/>
      <c r="R4117" s="18"/>
      <c r="S4117" s="18"/>
      <c r="T4117" s="18"/>
      <c r="U4117" s="18"/>
      <c r="V4117" s="18"/>
      <c r="W4117" s="18"/>
      <c r="X4117" s="18"/>
    </row>
    <row r="4118" spans="13:24">
      <c r="M4118" s="558">
        <f t="shared" si="197"/>
        <v>4116</v>
      </c>
      <c r="N4118" s="15">
        <f t="shared" si="195"/>
        <v>0.26112355731476317</v>
      </c>
      <c r="O4118" s="165">
        <f t="shared" si="196"/>
        <v>0.26112355731476317</v>
      </c>
      <c r="P4118" s="18"/>
      <c r="Q4118" s="18"/>
      <c r="R4118" s="18"/>
      <c r="S4118" s="18"/>
      <c r="T4118" s="18"/>
      <c r="U4118" s="18"/>
      <c r="V4118" s="18"/>
      <c r="W4118" s="18"/>
      <c r="X4118" s="18"/>
    </row>
    <row r="4119" spans="13:24">
      <c r="M4119" s="558">
        <f t="shared" si="197"/>
        <v>4117</v>
      </c>
      <c r="N4119" s="15">
        <f t="shared" si="195"/>
        <v>0.26106897245607663</v>
      </c>
      <c r="O4119" s="165">
        <f t="shared" si="196"/>
        <v>0.26106897245607663</v>
      </c>
      <c r="P4119" s="18"/>
      <c r="Q4119" s="18"/>
      <c r="R4119" s="18"/>
      <c r="S4119" s="18"/>
      <c r="T4119" s="18"/>
      <c r="U4119" s="18"/>
      <c r="V4119" s="18"/>
      <c r="W4119" s="18"/>
      <c r="X4119" s="18"/>
    </row>
    <row r="4120" spans="13:24">
      <c r="M4120" s="558">
        <f t="shared" si="197"/>
        <v>4118</v>
      </c>
      <c r="N4120" s="15">
        <f t="shared" si="195"/>
        <v>0.2610143916319515</v>
      </c>
      <c r="O4120" s="165">
        <f t="shared" si="196"/>
        <v>0.2610143916319515</v>
      </c>
      <c r="P4120" s="18"/>
      <c r="Q4120" s="18"/>
      <c r="R4120" s="18"/>
      <c r="S4120" s="18"/>
      <c r="T4120" s="18"/>
      <c r="U4120" s="18"/>
      <c r="V4120" s="18"/>
      <c r="W4120" s="18"/>
      <c r="X4120" s="18"/>
    </row>
    <row r="4121" spans="13:24">
      <c r="M4121" s="558">
        <f t="shared" si="197"/>
        <v>4119</v>
      </c>
      <c r="N4121" s="15">
        <f t="shared" si="195"/>
        <v>0.26095981483732472</v>
      </c>
      <c r="O4121" s="165">
        <f t="shared" si="196"/>
        <v>0.26095981483732472</v>
      </c>
      <c r="P4121" s="18"/>
      <c r="Q4121" s="18"/>
      <c r="R4121" s="18"/>
      <c r="S4121" s="18"/>
      <c r="T4121" s="18"/>
      <c r="U4121" s="18"/>
      <c r="V4121" s="18"/>
      <c r="W4121" s="18"/>
      <c r="X4121" s="18"/>
    </row>
    <row r="4122" spans="13:24">
      <c r="M4122" s="558">
        <f t="shared" si="197"/>
        <v>4120</v>
      </c>
      <c r="N4122" s="15">
        <f t="shared" si="195"/>
        <v>0.26090524206713961</v>
      </c>
      <c r="O4122" s="165">
        <f t="shared" si="196"/>
        <v>0.26090524206713961</v>
      </c>
      <c r="P4122" s="18"/>
      <c r="Q4122" s="18"/>
      <c r="R4122" s="18"/>
      <c r="S4122" s="18"/>
      <c r="T4122" s="18"/>
      <c r="U4122" s="18"/>
      <c r="V4122" s="18"/>
      <c r="W4122" s="18"/>
      <c r="X4122" s="18"/>
    </row>
    <row r="4123" spans="13:24">
      <c r="M4123" s="558">
        <f t="shared" si="197"/>
        <v>4121</v>
      </c>
      <c r="N4123" s="15">
        <f t="shared" si="195"/>
        <v>0.26085067331634565</v>
      </c>
      <c r="O4123" s="165">
        <f t="shared" si="196"/>
        <v>0.26085067331634565</v>
      </c>
      <c r="P4123" s="18"/>
      <c r="Q4123" s="18"/>
      <c r="R4123" s="18"/>
      <c r="S4123" s="18"/>
      <c r="T4123" s="18"/>
      <c r="U4123" s="18"/>
      <c r="V4123" s="18"/>
      <c r="W4123" s="18"/>
      <c r="X4123" s="18"/>
    </row>
    <row r="4124" spans="13:24">
      <c r="M4124" s="558">
        <f t="shared" si="197"/>
        <v>4122</v>
      </c>
      <c r="N4124" s="15">
        <f t="shared" si="195"/>
        <v>0.26079610857989904</v>
      </c>
      <c r="O4124" s="165">
        <f t="shared" si="196"/>
        <v>0.26079610857989904</v>
      </c>
      <c r="P4124" s="18"/>
      <c r="Q4124" s="18"/>
      <c r="R4124" s="18"/>
      <c r="S4124" s="18"/>
      <c r="T4124" s="18"/>
      <c r="U4124" s="18"/>
      <c r="V4124" s="18"/>
      <c r="W4124" s="18"/>
      <c r="X4124" s="18"/>
    </row>
    <row r="4125" spans="13:24">
      <c r="M4125" s="558">
        <f t="shared" si="197"/>
        <v>4123</v>
      </c>
      <c r="N4125" s="15">
        <f t="shared" si="195"/>
        <v>0.26074154785276205</v>
      </c>
      <c r="O4125" s="165">
        <f t="shared" si="196"/>
        <v>0.26074154785276205</v>
      </c>
      <c r="P4125" s="18"/>
      <c r="Q4125" s="18"/>
      <c r="R4125" s="18"/>
      <c r="S4125" s="18"/>
      <c r="T4125" s="18"/>
      <c r="U4125" s="18"/>
      <c r="V4125" s="18"/>
      <c r="W4125" s="18"/>
      <c r="X4125" s="18"/>
    </row>
    <row r="4126" spans="13:24">
      <c r="M4126" s="558">
        <f t="shared" si="197"/>
        <v>4124</v>
      </c>
      <c r="N4126" s="15">
        <f t="shared" si="195"/>
        <v>0.26068699112990323</v>
      </c>
      <c r="O4126" s="165">
        <f t="shared" si="196"/>
        <v>0.26068699112990323</v>
      </c>
      <c r="P4126" s="18"/>
      <c r="Q4126" s="18"/>
      <c r="R4126" s="18"/>
      <c r="S4126" s="18"/>
      <c r="T4126" s="18"/>
      <c r="U4126" s="18"/>
      <c r="V4126" s="18"/>
      <c r="W4126" s="18"/>
      <c r="X4126" s="18"/>
    </row>
    <row r="4127" spans="13:24">
      <c r="M4127" s="558">
        <f t="shared" si="197"/>
        <v>4125</v>
      </c>
      <c r="N4127" s="15">
        <f t="shared" si="195"/>
        <v>0.26063243840629757</v>
      </c>
      <c r="O4127" s="165">
        <f t="shared" si="196"/>
        <v>0.26063243840629757</v>
      </c>
      <c r="P4127" s="18"/>
      <c r="Q4127" s="18"/>
      <c r="R4127" s="18"/>
      <c r="S4127" s="18"/>
      <c r="T4127" s="18"/>
      <c r="U4127" s="18"/>
      <c r="V4127" s="18"/>
      <c r="W4127" s="18"/>
      <c r="X4127" s="18"/>
    </row>
    <row r="4128" spans="13:24">
      <c r="M4128" s="558">
        <f t="shared" si="197"/>
        <v>4126</v>
      </c>
      <c r="N4128" s="15">
        <f t="shared" si="195"/>
        <v>0.26057788967692636</v>
      </c>
      <c r="O4128" s="165">
        <f t="shared" si="196"/>
        <v>0.26057788967692636</v>
      </c>
      <c r="P4128" s="18"/>
      <c r="Q4128" s="18"/>
      <c r="R4128" s="18"/>
      <c r="S4128" s="18"/>
      <c r="T4128" s="18"/>
      <c r="U4128" s="18"/>
      <c r="V4128" s="18"/>
      <c r="W4128" s="18"/>
      <c r="X4128" s="18"/>
    </row>
    <row r="4129" spans="13:24">
      <c r="M4129" s="558">
        <f t="shared" si="197"/>
        <v>4127</v>
      </c>
      <c r="N4129" s="15">
        <f t="shared" si="195"/>
        <v>0.26052334493677715</v>
      </c>
      <c r="O4129" s="165">
        <f t="shared" si="196"/>
        <v>0.26052334493677715</v>
      </c>
      <c r="P4129" s="18"/>
      <c r="Q4129" s="18"/>
      <c r="R4129" s="18"/>
      <c r="S4129" s="18"/>
      <c r="T4129" s="18"/>
      <c r="U4129" s="18"/>
      <c r="V4129" s="18"/>
      <c r="W4129" s="18"/>
      <c r="X4129" s="18"/>
    </row>
    <row r="4130" spans="13:24">
      <c r="M4130" s="558">
        <f t="shared" si="197"/>
        <v>4128</v>
      </c>
      <c r="N4130" s="15">
        <f t="shared" si="195"/>
        <v>0.26046880418084378</v>
      </c>
      <c r="O4130" s="165">
        <f t="shared" si="196"/>
        <v>0.26046880418084378</v>
      </c>
      <c r="P4130" s="18"/>
      <c r="Q4130" s="18"/>
      <c r="R4130" s="18"/>
      <c r="S4130" s="18"/>
      <c r="T4130" s="18"/>
      <c r="U4130" s="18"/>
      <c r="V4130" s="18"/>
      <c r="W4130" s="18"/>
      <c r="X4130" s="18"/>
    </row>
    <row r="4131" spans="13:24">
      <c r="M4131" s="558">
        <f t="shared" si="197"/>
        <v>4129</v>
      </c>
      <c r="N4131" s="15">
        <f t="shared" si="195"/>
        <v>0.26041426740412632</v>
      </c>
      <c r="O4131" s="165">
        <f t="shared" si="196"/>
        <v>0.26041426740412632</v>
      </c>
      <c r="P4131" s="18"/>
      <c r="Q4131" s="18"/>
      <c r="R4131" s="18"/>
      <c r="S4131" s="18"/>
      <c r="T4131" s="18"/>
      <c r="U4131" s="18"/>
      <c r="V4131" s="18"/>
      <c r="W4131" s="18"/>
      <c r="X4131" s="18"/>
    </row>
    <row r="4132" spans="13:24">
      <c r="M4132" s="558">
        <f t="shared" si="197"/>
        <v>4130</v>
      </c>
      <c r="N4132" s="15">
        <f t="shared" si="195"/>
        <v>0.26035973460163131</v>
      </c>
      <c r="O4132" s="165">
        <f t="shared" si="196"/>
        <v>0.26035973460163131</v>
      </c>
      <c r="P4132" s="18"/>
      <c r="Q4132" s="18"/>
      <c r="R4132" s="18"/>
      <c r="S4132" s="18"/>
      <c r="T4132" s="18"/>
      <c r="U4132" s="18"/>
      <c r="V4132" s="18"/>
      <c r="W4132" s="18"/>
      <c r="X4132" s="18"/>
    </row>
    <row r="4133" spans="13:24">
      <c r="M4133" s="558">
        <f t="shared" si="197"/>
        <v>4131</v>
      </c>
      <c r="N4133" s="15">
        <f t="shared" si="195"/>
        <v>0.26030520576837129</v>
      </c>
      <c r="O4133" s="165">
        <f t="shared" si="196"/>
        <v>0.26030520576837129</v>
      </c>
      <c r="P4133" s="18"/>
      <c r="Q4133" s="18"/>
      <c r="R4133" s="18"/>
      <c r="S4133" s="18"/>
      <c r="T4133" s="18"/>
      <c r="U4133" s="18"/>
      <c r="V4133" s="18"/>
      <c r="W4133" s="18"/>
      <c r="X4133" s="18"/>
    </row>
    <row r="4134" spans="13:24">
      <c r="M4134" s="558">
        <f t="shared" si="197"/>
        <v>4132</v>
      </c>
      <c r="N4134" s="15">
        <f t="shared" si="195"/>
        <v>0.26025068089936521</v>
      </c>
      <c r="O4134" s="165">
        <f t="shared" si="196"/>
        <v>0.26025068089936521</v>
      </c>
      <c r="P4134" s="18"/>
      <c r="Q4134" s="18"/>
      <c r="R4134" s="18"/>
      <c r="S4134" s="18"/>
      <c r="T4134" s="18"/>
      <c r="U4134" s="18"/>
      <c r="V4134" s="18"/>
      <c r="W4134" s="18"/>
      <c r="X4134" s="18"/>
    </row>
    <row r="4135" spans="13:24">
      <c r="M4135" s="558">
        <f t="shared" si="197"/>
        <v>4133</v>
      </c>
      <c r="N4135" s="15">
        <f t="shared" si="195"/>
        <v>0.2601961599896383</v>
      </c>
      <c r="O4135" s="165">
        <f t="shared" si="196"/>
        <v>0.2601961599896383</v>
      </c>
      <c r="P4135" s="18"/>
      <c r="Q4135" s="18"/>
      <c r="R4135" s="18"/>
      <c r="S4135" s="18"/>
      <c r="T4135" s="18"/>
      <c r="U4135" s="18"/>
      <c r="V4135" s="18"/>
      <c r="W4135" s="18"/>
      <c r="X4135" s="18"/>
    </row>
    <row r="4136" spans="13:24">
      <c r="M4136" s="558">
        <f t="shared" si="197"/>
        <v>4134</v>
      </c>
      <c r="N4136" s="15">
        <f t="shared" si="195"/>
        <v>0.26014164303422199</v>
      </c>
      <c r="O4136" s="165">
        <f t="shared" si="196"/>
        <v>0.26014164303422199</v>
      </c>
      <c r="P4136" s="18"/>
      <c r="Q4136" s="18"/>
      <c r="R4136" s="18"/>
      <c r="S4136" s="18"/>
      <c r="T4136" s="18"/>
      <c r="U4136" s="18"/>
      <c r="V4136" s="18"/>
      <c r="W4136" s="18"/>
      <c r="X4136" s="18"/>
    </row>
    <row r="4137" spans="13:24">
      <c r="M4137" s="558">
        <f t="shared" si="197"/>
        <v>4135</v>
      </c>
      <c r="N4137" s="15">
        <f t="shared" si="195"/>
        <v>0.26008713002815392</v>
      </c>
      <c r="O4137" s="165">
        <f t="shared" si="196"/>
        <v>0.26008713002815392</v>
      </c>
      <c r="P4137" s="18"/>
      <c r="Q4137" s="18"/>
      <c r="R4137" s="18"/>
      <c r="S4137" s="18"/>
      <c r="T4137" s="18"/>
      <c r="U4137" s="18"/>
      <c r="V4137" s="18"/>
      <c r="W4137" s="18"/>
      <c r="X4137" s="18"/>
    </row>
    <row r="4138" spans="13:24">
      <c r="M4138" s="558">
        <f t="shared" si="197"/>
        <v>4136</v>
      </c>
      <c r="N4138" s="15">
        <f t="shared" si="195"/>
        <v>0.26003262096647789</v>
      </c>
      <c r="O4138" s="165">
        <f t="shared" si="196"/>
        <v>0.26003262096647789</v>
      </c>
      <c r="P4138" s="18"/>
      <c r="Q4138" s="18"/>
      <c r="R4138" s="18"/>
      <c r="S4138" s="18"/>
      <c r="T4138" s="18"/>
      <c r="U4138" s="18"/>
      <c r="V4138" s="18"/>
      <c r="W4138" s="18"/>
      <c r="X4138" s="18"/>
    </row>
    <row r="4139" spans="13:24">
      <c r="M4139" s="558">
        <f t="shared" si="197"/>
        <v>4137</v>
      </c>
      <c r="N4139" s="15">
        <f t="shared" si="195"/>
        <v>0.25997811584424413</v>
      </c>
      <c r="O4139" s="165">
        <f t="shared" si="196"/>
        <v>0.25997811584424413</v>
      </c>
      <c r="P4139" s="18"/>
      <c r="Q4139" s="18"/>
      <c r="R4139" s="18"/>
      <c r="S4139" s="18"/>
      <c r="T4139" s="18"/>
      <c r="U4139" s="18"/>
      <c r="V4139" s="18"/>
      <c r="W4139" s="18"/>
      <c r="X4139" s="18"/>
    </row>
    <row r="4140" spans="13:24">
      <c r="M4140" s="558">
        <f t="shared" si="197"/>
        <v>4138</v>
      </c>
      <c r="N4140" s="15">
        <f t="shared" si="195"/>
        <v>0.25992361465650887</v>
      </c>
      <c r="O4140" s="165">
        <f t="shared" si="196"/>
        <v>0.25992361465650887</v>
      </c>
      <c r="P4140" s="18"/>
      <c r="Q4140" s="18"/>
      <c r="R4140" s="18"/>
      <c r="S4140" s="18"/>
      <c r="T4140" s="18"/>
      <c r="U4140" s="18"/>
      <c r="V4140" s="18"/>
      <c r="W4140" s="18"/>
      <c r="X4140" s="18"/>
    </row>
    <row r="4141" spans="13:24">
      <c r="M4141" s="558">
        <f t="shared" si="197"/>
        <v>4139</v>
      </c>
      <c r="N4141" s="15">
        <f t="shared" si="195"/>
        <v>0.25986911739833468</v>
      </c>
      <c r="O4141" s="165">
        <f t="shared" si="196"/>
        <v>0.25986911739833468</v>
      </c>
      <c r="P4141" s="18"/>
      <c r="Q4141" s="18"/>
      <c r="R4141" s="18"/>
      <c r="S4141" s="18"/>
      <c r="T4141" s="18"/>
      <c r="U4141" s="18"/>
      <c r="V4141" s="18"/>
      <c r="W4141" s="18"/>
      <c r="X4141" s="18"/>
    </row>
    <row r="4142" spans="13:24">
      <c r="M4142" s="558">
        <f t="shared" si="197"/>
        <v>4140</v>
      </c>
      <c r="N4142" s="15">
        <f t="shared" si="195"/>
        <v>0.25981462406479022</v>
      </c>
      <c r="O4142" s="165">
        <f t="shared" si="196"/>
        <v>0.25981462406479022</v>
      </c>
      <c r="P4142" s="18"/>
      <c r="Q4142" s="18"/>
      <c r="R4142" s="18"/>
      <c r="S4142" s="18"/>
      <c r="T4142" s="18"/>
      <c r="U4142" s="18"/>
      <c r="V4142" s="18"/>
      <c r="W4142" s="18"/>
      <c r="X4142" s="18"/>
    </row>
    <row r="4143" spans="13:24">
      <c r="M4143" s="558">
        <f t="shared" si="197"/>
        <v>4141</v>
      </c>
      <c r="N4143" s="15">
        <f t="shared" si="195"/>
        <v>0.25976013465095049</v>
      </c>
      <c r="O4143" s="165">
        <f t="shared" si="196"/>
        <v>0.25976013465095049</v>
      </c>
      <c r="P4143" s="18"/>
      <c r="Q4143" s="18"/>
      <c r="R4143" s="18"/>
      <c r="S4143" s="18"/>
      <c r="T4143" s="18"/>
      <c r="U4143" s="18"/>
      <c r="V4143" s="18"/>
      <c r="W4143" s="18"/>
      <c r="X4143" s="18"/>
    </row>
    <row r="4144" spans="13:24">
      <c r="M4144" s="558">
        <f t="shared" si="197"/>
        <v>4142</v>
      </c>
      <c r="N4144" s="15">
        <f t="shared" si="195"/>
        <v>0.25970564915189653</v>
      </c>
      <c r="O4144" s="165">
        <f t="shared" si="196"/>
        <v>0.25970564915189653</v>
      </c>
      <c r="P4144" s="18"/>
      <c r="Q4144" s="18"/>
      <c r="R4144" s="18"/>
      <c r="S4144" s="18"/>
      <c r="T4144" s="18"/>
      <c r="U4144" s="18"/>
      <c r="V4144" s="18"/>
      <c r="W4144" s="18"/>
      <c r="X4144" s="18"/>
    </row>
    <row r="4145" spans="13:24">
      <c r="M4145" s="558">
        <f t="shared" si="197"/>
        <v>4143</v>
      </c>
      <c r="N4145" s="15">
        <f t="shared" si="195"/>
        <v>0.25965116756271556</v>
      </c>
      <c r="O4145" s="165">
        <f t="shared" si="196"/>
        <v>0.25965116756271556</v>
      </c>
      <c r="P4145" s="18"/>
      <c r="Q4145" s="18"/>
      <c r="R4145" s="18"/>
      <c r="S4145" s="18"/>
      <c r="T4145" s="18"/>
      <c r="U4145" s="18"/>
      <c r="V4145" s="18"/>
      <c r="W4145" s="18"/>
      <c r="X4145" s="18"/>
    </row>
    <row r="4146" spans="13:24">
      <c r="M4146" s="558">
        <f t="shared" si="197"/>
        <v>4144</v>
      </c>
      <c r="N4146" s="15">
        <f t="shared" si="195"/>
        <v>0.25959668987850099</v>
      </c>
      <c r="O4146" s="165">
        <f t="shared" si="196"/>
        <v>0.25959668987850099</v>
      </c>
      <c r="P4146" s="18"/>
      <c r="Q4146" s="18"/>
      <c r="R4146" s="18"/>
      <c r="S4146" s="18"/>
      <c r="T4146" s="18"/>
      <c r="U4146" s="18"/>
      <c r="V4146" s="18"/>
      <c r="W4146" s="18"/>
      <c r="X4146" s="18"/>
    </row>
    <row r="4147" spans="13:24">
      <c r="M4147" s="558">
        <f t="shared" si="197"/>
        <v>4145</v>
      </c>
      <c r="N4147" s="15">
        <f t="shared" si="195"/>
        <v>0.25954221609435252</v>
      </c>
      <c r="O4147" s="165">
        <f t="shared" si="196"/>
        <v>0.25954221609435252</v>
      </c>
      <c r="P4147" s="18"/>
      <c r="Q4147" s="18"/>
      <c r="R4147" s="18"/>
      <c r="S4147" s="18"/>
      <c r="T4147" s="18"/>
      <c r="U4147" s="18"/>
      <c r="V4147" s="18"/>
      <c r="W4147" s="18"/>
      <c r="X4147" s="18"/>
    </row>
    <row r="4148" spans="13:24">
      <c r="M4148" s="558">
        <f t="shared" si="197"/>
        <v>4146</v>
      </c>
      <c r="N4148" s="15">
        <f t="shared" si="195"/>
        <v>0.25948774620537579</v>
      </c>
      <c r="O4148" s="165">
        <f t="shared" si="196"/>
        <v>0.25948774620537579</v>
      </c>
      <c r="P4148" s="18"/>
      <c r="Q4148" s="18"/>
      <c r="R4148" s="18"/>
      <c r="S4148" s="18"/>
      <c r="T4148" s="18"/>
      <c r="U4148" s="18"/>
      <c r="V4148" s="18"/>
      <c r="W4148" s="18"/>
      <c r="X4148" s="18"/>
    </row>
    <row r="4149" spans="13:24">
      <c r="M4149" s="558">
        <f t="shared" si="197"/>
        <v>4147</v>
      </c>
      <c r="N4149" s="15">
        <f t="shared" si="195"/>
        <v>0.2594332802066826</v>
      </c>
      <c r="O4149" s="165">
        <f t="shared" si="196"/>
        <v>0.2594332802066826</v>
      </c>
      <c r="P4149" s="18"/>
      <c r="Q4149" s="18"/>
      <c r="R4149" s="18"/>
      <c r="S4149" s="18"/>
      <c r="T4149" s="18"/>
      <c r="U4149" s="18"/>
      <c r="V4149" s="18"/>
      <c r="W4149" s="18"/>
      <c r="X4149" s="18"/>
    </row>
    <row r="4150" spans="13:24">
      <c r="M4150" s="558">
        <f t="shared" si="197"/>
        <v>4148</v>
      </c>
      <c r="N4150" s="15">
        <f t="shared" si="195"/>
        <v>0.25937881809339114</v>
      </c>
      <c r="O4150" s="165">
        <f t="shared" si="196"/>
        <v>0.25937881809339114</v>
      </c>
      <c r="P4150" s="18"/>
      <c r="Q4150" s="18"/>
      <c r="R4150" s="18"/>
      <c r="S4150" s="18"/>
      <c r="T4150" s="18"/>
      <c r="U4150" s="18"/>
      <c r="V4150" s="18"/>
      <c r="W4150" s="18"/>
      <c r="X4150" s="18"/>
    </row>
    <row r="4151" spans="13:24">
      <c r="M4151" s="558">
        <f t="shared" si="197"/>
        <v>4149</v>
      </c>
      <c r="N4151" s="15">
        <f t="shared" si="195"/>
        <v>0.25932435986062541</v>
      </c>
      <c r="O4151" s="165">
        <f t="shared" si="196"/>
        <v>0.25932435986062541</v>
      </c>
      <c r="P4151" s="18"/>
      <c r="Q4151" s="18"/>
      <c r="R4151" s="18"/>
      <c r="S4151" s="18"/>
      <c r="T4151" s="18"/>
      <c r="U4151" s="18"/>
      <c r="V4151" s="18"/>
      <c r="W4151" s="18"/>
      <c r="X4151" s="18"/>
    </row>
    <row r="4152" spans="13:24">
      <c r="M4152" s="558">
        <f t="shared" si="197"/>
        <v>4150</v>
      </c>
      <c r="N4152" s="15">
        <f t="shared" si="195"/>
        <v>0.25926990550351575</v>
      </c>
      <c r="O4152" s="165">
        <f t="shared" si="196"/>
        <v>0.25926990550351575</v>
      </c>
      <c r="P4152" s="18"/>
      <c r="Q4152" s="18"/>
      <c r="R4152" s="18"/>
      <c r="S4152" s="18"/>
      <c r="T4152" s="18"/>
      <c r="U4152" s="18"/>
      <c r="V4152" s="18"/>
      <c r="W4152" s="18"/>
      <c r="X4152" s="18"/>
    </row>
    <row r="4153" spans="13:24">
      <c r="M4153" s="558">
        <f t="shared" si="197"/>
        <v>4151</v>
      </c>
      <c r="N4153" s="15">
        <f t="shared" si="195"/>
        <v>0.25921545501719834</v>
      </c>
      <c r="O4153" s="165">
        <f t="shared" si="196"/>
        <v>0.25921545501719834</v>
      </c>
      <c r="P4153" s="18"/>
      <c r="Q4153" s="18"/>
      <c r="R4153" s="18"/>
      <c r="S4153" s="18"/>
      <c r="T4153" s="18"/>
      <c r="U4153" s="18"/>
      <c r="V4153" s="18"/>
      <c r="W4153" s="18"/>
      <c r="X4153" s="18"/>
    </row>
    <row r="4154" spans="13:24">
      <c r="M4154" s="558">
        <f t="shared" si="197"/>
        <v>4152</v>
      </c>
      <c r="N4154" s="15">
        <f t="shared" si="195"/>
        <v>0.25916100839681588</v>
      </c>
      <c r="O4154" s="165">
        <f t="shared" si="196"/>
        <v>0.25916100839681588</v>
      </c>
      <c r="P4154" s="18"/>
      <c r="Q4154" s="18"/>
      <c r="R4154" s="18"/>
      <c r="S4154" s="18"/>
      <c r="T4154" s="18"/>
      <c r="U4154" s="18"/>
      <c r="V4154" s="18"/>
      <c r="W4154" s="18"/>
      <c r="X4154" s="18"/>
    </row>
    <row r="4155" spans="13:24">
      <c r="M4155" s="558">
        <f t="shared" si="197"/>
        <v>4153</v>
      </c>
      <c r="N4155" s="15">
        <f t="shared" si="195"/>
        <v>0.25910656563751683</v>
      </c>
      <c r="O4155" s="165">
        <f t="shared" si="196"/>
        <v>0.25910656563751683</v>
      </c>
      <c r="P4155" s="18"/>
      <c r="Q4155" s="18"/>
      <c r="R4155" s="18"/>
      <c r="S4155" s="18"/>
      <c r="T4155" s="18"/>
      <c r="U4155" s="18"/>
      <c r="V4155" s="18"/>
      <c r="W4155" s="18"/>
      <c r="X4155" s="18"/>
    </row>
    <row r="4156" spans="13:24">
      <c r="M4156" s="558">
        <f t="shared" si="197"/>
        <v>4154</v>
      </c>
      <c r="N4156" s="15">
        <f t="shared" si="195"/>
        <v>0.25905212673445582</v>
      </c>
      <c r="O4156" s="165">
        <f t="shared" si="196"/>
        <v>0.25905212673445582</v>
      </c>
      <c r="P4156" s="18"/>
      <c r="Q4156" s="18"/>
      <c r="R4156" s="18"/>
      <c r="S4156" s="18"/>
      <c r="T4156" s="18"/>
      <c r="U4156" s="18"/>
      <c r="V4156" s="18"/>
      <c r="W4156" s="18"/>
      <c r="X4156" s="18"/>
    </row>
    <row r="4157" spans="13:24">
      <c r="M4157" s="558">
        <f t="shared" si="197"/>
        <v>4155</v>
      </c>
      <c r="N4157" s="15">
        <f t="shared" si="195"/>
        <v>0.25899769168279352</v>
      </c>
      <c r="O4157" s="165">
        <f t="shared" si="196"/>
        <v>0.25899769168279352</v>
      </c>
      <c r="P4157" s="18"/>
      <c r="Q4157" s="18"/>
      <c r="R4157" s="18"/>
      <c r="S4157" s="18"/>
      <c r="T4157" s="18"/>
      <c r="U4157" s="18"/>
      <c r="V4157" s="18"/>
      <c r="W4157" s="18"/>
      <c r="X4157" s="18"/>
    </row>
    <row r="4158" spans="13:24">
      <c r="M4158" s="558">
        <f t="shared" si="197"/>
        <v>4156</v>
      </c>
      <c r="N4158" s="15">
        <f t="shared" si="195"/>
        <v>0.25894326047769689</v>
      </c>
      <c r="O4158" s="165">
        <f t="shared" si="196"/>
        <v>0.25894326047769689</v>
      </c>
      <c r="P4158" s="18"/>
      <c r="Q4158" s="18"/>
      <c r="R4158" s="18"/>
      <c r="S4158" s="18"/>
      <c r="T4158" s="18"/>
      <c r="U4158" s="18"/>
      <c r="V4158" s="18"/>
      <c r="W4158" s="18"/>
      <c r="X4158" s="18"/>
    </row>
    <row r="4159" spans="13:24">
      <c r="M4159" s="558">
        <f t="shared" si="197"/>
        <v>4157</v>
      </c>
      <c r="N4159" s="15">
        <f t="shared" si="195"/>
        <v>0.25888883311433875</v>
      </c>
      <c r="O4159" s="165">
        <f t="shared" si="196"/>
        <v>0.25888883311433875</v>
      </c>
      <c r="P4159" s="18"/>
      <c r="Q4159" s="18"/>
      <c r="R4159" s="18"/>
      <c r="S4159" s="18"/>
      <c r="T4159" s="18"/>
      <c r="U4159" s="18"/>
      <c r="V4159" s="18"/>
      <c r="W4159" s="18"/>
      <c r="X4159" s="18"/>
    </row>
    <row r="4160" spans="13:24">
      <c r="M4160" s="558">
        <f t="shared" si="197"/>
        <v>4158</v>
      </c>
      <c r="N4160" s="15">
        <f t="shared" si="195"/>
        <v>0.258834409587898</v>
      </c>
      <c r="O4160" s="165">
        <f t="shared" si="196"/>
        <v>0.258834409587898</v>
      </c>
      <c r="P4160" s="18"/>
      <c r="Q4160" s="18"/>
      <c r="R4160" s="18"/>
      <c r="S4160" s="18"/>
      <c r="T4160" s="18"/>
      <c r="U4160" s="18"/>
      <c r="V4160" s="18"/>
      <c r="W4160" s="18"/>
      <c r="X4160" s="18"/>
    </row>
    <row r="4161" spans="13:24">
      <c r="M4161" s="558">
        <f t="shared" si="197"/>
        <v>4159</v>
      </c>
      <c r="N4161" s="15">
        <f t="shared" si="195"/>
        <v>0.25877998989355949</v>
      </c>
      <c r="O4161" s="165">
        <f t="shared" si="196"/>
        <v>0.25877998989355949</v>
      </c>
      <c r="P4161" s="18"/>
      <c r="Q4161" s="18"/>
      <c r="R4161" s="18"/>
      <c r="S4161" s="18"/>
      <c r="T4161" s="18"/>
      <c r="U4161" s="18"/>
      <c r="V4161" s="18"/>
      <c r="W4161" s="18"/>
      <c r="X4161" s="18"/>
    </row>
    <row r="4162" spans="13:24">
      <c r="M4162" s="558">
        <f t="shared" si="197"/>
        <v>4160</v>
      </c>
      <c r="N4162" s="15">
        <f t="shared" si="195"/>
        <v>0.25872557402651447</v>
      </c>
      <c r="O4162" s="165">
        <f t="shared" si="196"/>
        <v>0.25872557402651447</v>
      </c>
      <c r="P4162" s="18"/>
      <c r="Q4162" s="18"/>
      <c r="R4162" s="18"/>
      <c r="S4162" s="18"/>
      <c r="T4162" s="18"/>
      <c r="U4162" s="18"/>
      <c r="V4162" s="18"/>
      <c r="W4162" s="18"/>
      <c r="X4162" s="18"/>
    </row>
    <row r="4163" spans="13:24">
      <c r="M4163" s="558">
        <f t="shared" si="197"/>
        <v>4161</v>
      </c>
      <c r="N4163" s="15">
        <f t="shared" si="195"/>
        <v>0.25867116198195989</v>
      </c>
      <c r="O4163" s="165">
        <f t="shared" si="196"/>
        <v>0.25867116198195989</v>
      </c>
      <c r="P4163" s="18"/>
      <c r="Q4163" s="18"/>
      <c r="R4163" s="18"/>
      <c r="S4163" s="18"/>
      <c r="T4163" s="18"/>
      <c r="U4163" s="18"/>
      <c r="V4163" s="18"/>
      <c r="W4163" s="18"/>
      <c r="X4163" s="18"/>
    </row>
    <row r="4164" spans="13:24">
      <c r="M4164" s="558">
        <f t="shared" si="197"/>
        <v>4162</v>
      </c>
      <c r="N4164" s="15">
        <f t="shared" ref="N4164:N4227" si="198">IF(M4164&lt;$B$31+1,$B$32+$B$33/$B$31*(8760-M4164)+$B$34*IF(M4164&lt;$B$36-$B$31/(2*$B$35),1,IF(M4164&lt;$B$36+$B$31/(2*$B$35),COS(PI()/2*(M4164-($B$36-$B$31/(2*$B$35)))*$B$35/$B$31)^2,0))+$B$37*EXP((8760-M4164)/8760*$B$38)/EXP($B$38)-(8760-$B$31)*$B$33/$B$31,0)</f>
        <v>0.25861675375509879</v>
      </c>
      <c r="O4164" s="165">
        <f t="shared" ref="O4164:O4227" si="199">MIN(N4164,C$24)</f>
        <v>0.25861675375509879</v>
      </c>
      <c r="P4164" s="18"/>
      <c r="Q4164" s="18"/>
      <c r="R4164" s="18"/>
      <c r="S4164" s="18"/>
      <c r="T4164" s="18"/>
      <c r="U4164" s="18"/>
      <c r="V4164" s="18"/>
      <c r="W4164" s="18"/>
      <c r="X4164" s="18"/>
    </row>
    <row r="4165" spans="13:24">
      <c r="M4165" s="558">
        <f t="shared" ref="M4165:M4228" si="200">M4164+1</f>
        <v>4163</v>
      </c>
      <c r="N4165" s="15">
        <f t="shared" si="198"/>
        <v>0.25856234934114036</v>
      </c>
      <c r="O4165" s="165">
        <f t="shared" si="199"/>
        <v>0.25856234934114036</v>
      </c>
      <c r="P4165" s="18"/>
      <c r="Q4165" s="18"/>
      <c r="R4165" s="18"/>
      <c r="S4165" s="18"/>
      <c r="T4165" s="18"/>
      <c r="U4165" s="18"/>
      <c r="V4165" s="18"/>
      <c r="W4165" s="18"/>
      <c r="X4165" s="18"/>
    </row>
    <row r="4166" spans="13:24">
      <c r="M4166" s="558">
        <f t="shared" si="200"/>
        <v>4164</v>
      </c>
      <c r="N4166" s="15">
        <f t="shared" si="198"/>
        <v>0.25850794873529964</v>
      </c>
      <c r="O4166" s="165">
        <f t="shared" si="199"/>
        <v>0.25850794873529964</v>
      </c>
      <c r="P4166" s="18"/>
      <c r="Q4166" s="18"/>
      <c r="R4166" s="18"/>
      <c r="S4166" s="18"/>
      <c r="T4166" s="18"/>
      <c r="U4166" s="18"/>
      <c r="V4166" s="18"/>
      <c r="W4166" s="18"/>
      <c r="X4166" s="18"/>
    </row>
    <row r="4167" spans="13:24">
      <c r="M4167" s="558">
        <f t="shared" si="200"/>
        <v>4165</v>
      </c>
      <c r="N4167" s="15">
        <f t="shared" si="198"/>
        <v>0.25845355193279779</v>
      </c>
      <c r="O4167" s="165">
        <f t="shared" si="199"/>
        <v>0.25845355193279779</v>
      </c>
      <c r="P4167" s="18"/>
      <c r="Q4167" s="18"/>
      <c r="R4167" s="18"/>
      <c r="S4167" s="18"/>
      <c r="T4167" s="18"/>
      <c r="U4167" s="18"/>
      <c r="V4167" s="18"/>
      <c r="W4167" s="18"/>
      <c r="X4167" s="18"/>
    </row>
    <row r="4168" spans="13:24">
      <c r="M4168" s="558">
        <f t="shared" si="200"/>
        <v>4166</v>
      </c>
      <c r="N4168" s="15">
        <f t="shared" si="198"/>
        <v>0.25839915892886184</v>
      </c>
      <c r="O4168" s="165">
        <f t="shared" si="199"/>
        <v>0.25839915892886184</v>
      </c>
      <c r="P4168" s="18"/>
      <c r="Q4168" s="18"/>
      <c r="R4168" s="18"/>
      <c r="S4168" s="18"/>
      <c r="T4168" s="18"/>
      <c r="U4168" s="18"/>
      <c r="V4168" s="18"/>
      <c r="W4168" s="18"/>
      <c r="X4168" s="18"/>
    </row>
    <row r="4169" spans="13:24">
      <c r="M4169" s="558">
        <f t="shared" si="200"/>
        <v>4167</v>
      </c>
      <c r="N4169" s="15">
        <f t="shared" si="198"/>
        <v>0.25834476971872505</v>
      </c>
      <c r="O4169" s="165">
        <f t="shared" si="199"/>
        <v>0.25834476971872505</v>
      </c>
      <c r="P4169" s="18"/>
      <c r="Q4169" s="18"/>
      <c r="R4169" s="18"/>
      <c r="S4169" s="18"/>
      <c r="T4169" s="18"/>
      <c r="U4169" s="18"/>
      <c r="V4169" s="18"/>
      <c r="W4169" s="18"/>
      <c r="X4169" s="18"/>
    </row>
    <row r="4170" spans="13:24">
      <c r="M4170" s="558">
        <f t="shared" si="200"/>
        <v>4168</v>
      </c>
      <c r="N4170" s="15">
        <f t="shared" si="198"/>
        <v>0.25829038429762641</v>
      </c>
      <c r="O4170" s="165">
        <f t="shared" si="199"/>
        <v>0.25829038429762641</v>
      </c>
      <c r="P4170" s="18"/>
      <c r="Q4170" s="18"/>
      <c r="R4170" s="18"/>
      <c r="S4170" s="18"/>
      <c r="T4170" s="18"/>
      <c r="U4170" s="18"/>
      <c r="V4170" s="18"/>
      <c r="W4170" s="18"/>
      <c r="X4170" s="18"/>
    </row>
    <row r="4171" spans="13:24">
      <c r="M4171" s="558">
        <f t="shared" si="200"/>
        <v>4169</v>
      </c>
      <c r="N4171" s="15">
        <f t="shared" si="198"/>
        <v>0.25823600266081098</v>
      </c>
      <c r="O4171" s="165">
        <f t="shared" si="199"/>
        <v>0.25823600266081098</v>
      </c>
      <c r="P4171" s="18"/>
      <c r="Q4171" s="18"/>
      <c r="R4171" s="18"/>
      <c r="S4171" s="18"/>
      <c r="T4171" s="18"/>
      <c r="U4171" s="18"/>
      <c r="V4171" s="18"/>
      <c r="W4171" s="18"/>
      <c r="X4171" s="18"/>
    </row>
    <row r="4172" spans="13:24">
      <c r="M4172" s="558">
        <f t="shared" si="200"/>
        <v>4170</v>
      </c>
      <c r="N4172" s="15">
        <f t="shared" si="198"/>
        <v>0.25818162480352974</v>
      </c>
      <c r="O4172" s="165">
        <f t="shared" si="199"/>
        <v>0.25818162480352974</v>
      </c>
      <c r="P4172" s="18"/>
      <c r="Q4172" s="18"/>
      <c r="R4172" s="18"/>
      <c r="S4172" s="18"/>
      <c r="T4172" s="18"/>
      <c r="U4172" s="18"/>
      <c r="V4172" s="18"/>
      <c r="W4172" s="18"/>
      <c r="X4172" s="18"/>
    </row>
    <row r="4173" spans="13:24">
      <c r="M4173" s="558">
        <f t="shared" si="200"/>
        <v>4171</v>
      </c>
      <c r="N4173" s="15">
        <f t="shared" si="198"/>
        <v>0.25812725072103976</v>
      </c>
      <c r="O4173" s="165">
        <f t="shared" si="199"/>
        <v>0.25812725072103976</v>
      </c>
      <c r="P4173" s="18"/>
      <c r="Q4173" s="18"/>
      <c r="R4173" s="18"/>
      <c r="S4173" s="18"/>
      <c r="T4173" s="18"/>
      <c r="U4173" s="18"/>
      <c r="V4173" s="18"/>
      <c r="W4173" s="18"/>
      <c r="X4173" s="18"/>
    </row>
    <row r="4174" spans="13:24">
      <c r="M4174" s="558">
        <f t="shared" si="200"/>
        <v>4172</v>
      </c>
      <c r="N4174" s="15">
        <f t="shared" si="198"/>
        <v>0.25807288040860399</v>
      </c>
      <c r="O4174" s="165">
        <f t="shared" si="199"/>
        <v>0.25807288040860399</v>
      </c>
      <c r="P4174" s="18"/>
      <c r="Q4174" s="18"/>
      <c r="R4174" s="18"/>
      <c r="S4174" s="18"/>
      <c r="T4174" s="18"/>
      <c r="U4174" s="18"/>
      <c r="V4174" s="18"/>
      <c r="W4174" s="18"/>
      <c r="X4174" s="18"/>
    </row>
    <row r="4175" spans="13:24">
      <c r="M4175" s="558">
        <f t="shared" si="200"/>
        <v>4173</v>
      </c>
      <c r="N4175" s="15">
        <f t="shared" si="198"/>
        <v>0.25801851386149133</v>
      </c>
      <c r="O4175" s="165">
        <f t="shared" si="199"/>
        <v>0.25801851386149133</v>
      </c>
      <c r="P4175" s="18"/>
      <c r="Q4175" s="18"/>
      <c r="R4175" s="18"/>
      <c r="S4175" s="18"/>
      <c r="T4175" s="18"/>
      <c r="U4175" s="18"/>
      <c r="V4175" s="18"/>
      <c r="W4175" s="18"/>
      <c r="X4175" s="18"/>
    </row>
    <row r="4176" spans="13:24">
      <c r="M4176" s="558">
        <f t="shared" si="200"/>
        <v>4174</v>
      </c>
      <c r="N4176" s="15">
        <f t="shared" si="198"/>
        <v>0.25796415107497644</v>
      </c>
      <c r="O4176" s="165">
        <f t="shared" si="199"/>
        <v>0.25796415107497644</v>
      </c>
      <c r="P4176" s="18"/>
      <c r="Q4176" s="18"/>
      <c r="R4176" s="18"/>
      <c r="S4176" s="18"/>
      <c r="T4176" s="18"/>
      <c r="U4176" s="18"/>
      <c r="V4176" s="18"/>
      <c r="W4176" s="18"/>
      <c r="X4176" s="18"/>
    </row>
    <row r="4177" spans="13:24">
      <c r="M4177" s="558">
        <f t="shared" si="200"/>
        <v>4175</v>
      </c>
      <c r="N4177" s="15">
        <f t="shared" si="198"/>
        <v>0.25790979204434028</v>
      </c>
      <c r="O4177" s="165">
        <f t="shared" si="199"/>
        <v>0.25790979204434028</v>
      </c>
      <c r="P4177" s="18"/>
      <c r="Q4177" s="18"/>
      <c r="R4177" s="18"/>
      <c r="S4177" s="18"/>
      <c r="T4177" s="18"/>
      <c r="U4177" s="18"/>
      <c r="V4177" s="18"/>
      <c r="W4177" s="18"/>
      <c r="X4177" s="18"/>
    </row>
    <row r="4178" spans="13:24">
      <c r="M4178" s="558">
        <f t="shared" si="200"/>
        <v>4176</v>
      </c>
      <c r="N4178" s="15">
        <f t="shared" si="198"/>
        <v>0.25785543676486938</v>
      </c>
      <c r="O4178" s="165">
        <f t="shared" si="199"/>
        <v>0.25785543676486938</v>
      </c>
      <c r="P4178" s="18"/>
      <c r="Q4178" s="18"/>
      <c r="R4178" s="18"/>
      <c r="S4178" s="18"/>
      <c r="T4178" s="18"/>
      <c r="U4178" s="18"/>
      <c r="V4178" s="18"/>
      <c r="W4178" s="18"/>
      <c r="X4178" s="18"/>
    </row>
    <row r="4179" spans="13:24">
      <c r="M4179" s="558">
        <f t="shared" si="200"/>
        <v>4177</v>
      </c>
      <c r="N4179" s="15">
        <f t="shared" si="198"/>
        <v>0.25780108523185635</v>
      </c>
      <c r="O4179" s="165">
        <f t="shared" si="199"/>
        <v>0.25780108523185635</v>
      </c>
      <c r="P4179" s="18"/>
      <c r="Q4179" s="18"/>
      <c r="R4179" s="18"/>
      <c r="S4179" s="18"/>
      <c r="T4179" s="18"/>
      <c r="U4179" s="18"/>
      <c r="V4179" s="18"/>
      <c r="W4179" s="18"/>
      <c r="X4179" s="18"/>
    </row>
    <row r="4180" spans="13:24">
      <c r="M4180" s="558">
        <f t="shared" si="200"/>
        <v>4178</v>
      </c>
      <c r="N4180" s="15">
        <f t="shared" si="198"/>
        <v>0.25774673744059978</v>
      </c>
      <c r="O4180" s="165">
        <f t="shared" si="199"/>
        <v>0.25774673744059978</v>
      </c>
      <c r="P4180" s="18"/>
      <c r="Q4180" s="18"/>
      <c r="R4180" s="18"/>
      <c r="S4180" s="18"/>
      <c r="T4180" s="18"/>
      <c r="U4180" s="18"/>
      <c r="V4180" s="18"/>
      <c r="W4180" s="18"/>
      <c r="X4180" s="18"/>
    </row>
    <row r="4181" spans="13:24">
      <c r="M4181" s="558">
        <f t="shared" si="200"/>
        <v>4179</v>
      </c>
      <c r="N4181" s="15">
        <f t="shared" si="198"/>
        <v>0.25769239338640404</v>
      </c>
      <c r="O4181" s="165">
        <f t="shared" si="199"/>
        <v>0.25769239338640404</v>
      </c>
      <c r="P4181" s="18"/>
      <c r="Q4181" s="18"/>
      <c r="R4181" s="18"/>
      <c r="S4181" s="18"/>
      <c r="T4181" s="18"/>
      <c r="U4181" s="18"/>
      <c r="V4181" s="18"/>
      <c r="W4181" s="18"/>
      <c r="X4181" s="18"/>
    </row>
    <row r="4182" spans="13:24">
      <c r="M4182" s="558">
        <f t="shared" si="200"/>
        <v>4180</v>
      </c>
      <c r="N4182" s="15">
        <f t="shared" si="198"/>
        <v>0.25763805306457932</v>
      </c>
      <c r="O4182" s="165">
        <f t="shared" si="199"/>
        <v>0.25763805306457932</v>
      </c>
      <c r="P4182" s="18"/>
      <c r="Q4182" s="18"/>
      <c r="R4182" s="18"/>
      <c r="S4182" s="18"/>
      <c r="T4182" s="18"/>
      <c r="U4182" s="18"/>
      <c r="V4182" s="18"/>
      <c r="W4182" s="18"/>
      <c r="X4182" s="18"/>
    </row>
    <row r="4183" spans="13:24">
      <c r="M4183" s="558">
        <f t="shared" si="200"/>
        <v>4181</v>
      </c>
      <c r="N4183" s="15">
        <f t="shared" si="198"/>
        <v>0.25758371647044181</v>
      </c>
      <c r="O4183" s="165">
        <f t="shared" si="199"/>
        <v>0.25758371647044181</v>
      </c>
      <c r="P4183" s="18"/>
      <c r="Q4183" s="18"/>
      <c r="R4183" s="18"/>
      <c r="S4183" s="18"/>
      <c r="T4183" s="18"/>
      <c r="U4183" s="18"/>
      <c r="V4183" s="18"/>
      <c r="W4183" s="18"/>
      <c r="X4183" s="18"/>
    </row>
    <row r="4184" spans="13:24">
      <c r="M4184" s="558">
        <f t="shared" si="200"/>
        <v>4182</v>
      </c>
      <c r="N4184" s="15">
        <f t="shared" si="198"/>
        <v>0.25752938359931371</v>
      </c>
      <c r="O4184" s="165">
        <f t="shared" si="199"/>
        <v>0.25752938359931371</v>
      </c>
      <c r="P4184" s="18"/>
      <c r="Q4184" s="18"/>
      <c r="R4184" s="18"/>
      <c r="S4184" s="18"/>
      <c r="T4184" s="18"/>
      <c r="U4184" s="18"/>
      <c r="V4184" s="18"/>
      <c r="W4184" s="18"/>
      <c r="X4184" s="18"/>
    </row>
    <row r="4185" spans="13:24">
      <c r="M4185" s="558">
        <f t="shared" si="200"/>
        <v>4183</v>
      </c>
      <c r="N4185" s="15">
        <f t="shared" si="198"/>
        <v>0.2574750544465228</v>
      </c>
      <c r="O4185" s="165">
        <f t="shared" si="199"/>
        <v>0.2574750544465228</v>
      </c>
      <c r="P4185" s="18"/>
      <c r="Q4185" s="18"/>
      <c r="R4185" s="18"/>
      <c r="S4185" s="18"/>
      <c r="T4185" s="18"/>
      <c r="U4185" s="18"/>
      <c r="V4185" s="18"/>
      <c r="W4185" s="18"/>
      <c r="X4185" s="18"/>
    </row>
    <row r="4186" spans="13:24">
      <c r="M4186" s="558">
        <f t="shared" si="200"/>
        <v>4184</v>
      </c>
      <c r="N4186" s="15">
        <f t="shared" si="198"/>
        <v>0.25742072900740287</v>
      </c>
      <c r="O4186" s="165">
        <f t="shared" si="199"/>
        <v>0.25742072900740287</v>
      </c>
      <c r="P4186" s="18"/>
      <c r="Q4186" s="18"/>
      <c r="R4186" s="18"/>
      <c r="S4186" s="18"/>
      <c r="T4186" s="18"/>
      <c r="U4186" s="18"/>
      <c r="V4186" s="18"/>
      <c r="W4186" s="18"/>
      <c r="X4186" s="18"/>
    </row>
    <row r="4187" spans="13:24">
      <c r="M4187" s="558">
        <f t="shared" si="200"/>
        <v>4185</v>
      </c>
      <c r="N4187" s="15">
        <f t="shared" si="198"/>
        <v>0.2573664072772936</v>
      </c>
      <c r="O4187" s="165">
        <f t="shared" si="199"/>
        <v>0.2573664072772936</v>
      </c>
      <c r="P4187" s="18"/>
      <c r="Q4187" s="18"/>
      <c r="R4187" s="18"/>
      <c r="S4187" s="18"/>
      <c r="T4187" s="18"/>
      <c r="U4187" s="18"/>
      <c r="V4187" s="18"/>
      <c r="W4187" s="18"/>
      <c r="X4187" s="18"/>
    </row>
    <row r="4188" spans="13:24">
      <c r="M4188" s="558">
        <f t="shared" si="200"/>
        <v>4186</v>
      </c>
      <c r="N4188" s="15">
        <f t="shared" si="198"/>
        <v>0.25731208925154048</v>
      </c>
      <c r="O4188" s="165">
        <f t="shared" si="199"/>
        <v>0.25731208925154048</v>
      </c>
      <c r="P4188" s="18"/>
      <c r="Q4188" s="18"/>
      <c r="R4188" s="18"/>
      <c r="S4188" s="18"/>
      <c r="T4188" s="18"/>
      <c r="U4188" s="18"/>
      <c r="V4188" s="18"/>
      <c r="W4188" s="18"/>
      <c r="X4188" s="18"/>
    </row>
    <row r="4189" spans="13:24">
      <c r="M4189" s="558">
        <f t="shared" si="200"/>
        <v>4187</v>
      </c>
      <c r="N4189" s="15">
        <f t="shared" si="198"/>
        <v>0.25725777492549484</v>
      </c>
      <c r="O4189" s="165">
        <f t="shared" si="199"/>
        <v>0.25725777492549484</v>
      </c>
      <c r="P4189" s="18"/>
      <c r="Q4189" s="18"/>
      <c r="R4189" s="18"/>
      <c r="S4189" s="18"/>
      <c r="T4189" s="18"/>
      <c r="U4189" s="18"/>
      <c r="V4189" s="18"/>
      <c r="W4189" s="18"/>
      <c r="X4189" s="18"/>
    </row>
    <row r="4190" spans="13:24">
      <c r="M4190" s="558">
        <f t="shared" si="200"/>
        <v>4188</v>
      </c>
      <c r="N4190" s="15">
        <f t="shared" si="198"/>
        <v>0.25720346429451391</v>
      </c>
      <c r="O4190" s="165">
        <f t="shared" si="199"/>
        <v>0.25720346429451391</v>
      </c>
      <c r="P4190" s="18"/>
      <c r="Q4190" s="18"/>
      <c r="R4190" s="18"/>
      <c r="S4190" s="18"/>
      <c r="T4190" s="18"/>
      <c r="U4190" s="18"/>
      <c r="V4190" s="18"/>
      <c r="W4190" s="18"/>
      <c r="X4190" s="18"/>
    </row>
    <row r="4191" spans="13:24">
      <c r="M4191" s="558">
        <f t="shared" si="200"/>
        <v>4189</v>
      </c>
      <c r="N4191" s="15">
        <f t="shared" si="198"/>
        <v>0.25714915735396049</v>
      </c>
      <c r="O4191" s="165">
        <f t="shared" si="199"/>
        <v>0.25714915735396049</v>
      </c>
      <c r="P4191" s="18"/>
      <c r="Q4191" s="18"/>
      <c r="R4191" s="18"/>
      <c r="S4191" s="18"/>
      <c r="T4191" s="18"/>
      <c r="U4191" s="18"/>
      <c r="V4191" s="18"/>
      <c r="W4191" s="18"/>
      <c r="X4191" s="18"/>
    </row>
    <row r="4192" spans="13:24">
      <c r="M4192" s="558">
        <f t="shared" si="200"/>
        <v>4190</v>
      </c>
      <c r="N4192" s="15">
        <f t="shared" si="198"/>
        <v>0.25709485409920357</v>
      </c>
      <c r="O4192" s="165">
        <f t="shared" si="199"/>
        <v>0.25709485409920357</v>
      </c>
      <c r="P4192" s="18"/>
      <c r="Q4192" s="18"/>
      <c r="R4192" s="18"/>
      <c r="S4192" s="18"/>
      <c r="T4192" s="18"/>
      <c r="U4192" s="18"/>
      <c r="V4192" s="18"/>
      <c r="W4192" s="18"/>
      <c r="X4192" s="18"/>
    </row>
    <row r="4193" spans="13:24">
      <c r="M4193" s="558">
        <f t="shared" si="200"/>
        <v>4191</v>
      </c>
      <c r="N4193" s="15">
        <f t="shared" si="198"/>
        <v>0.25704055452561769</v>
      </c>
      <c r="O4193" s="165">
        <f t="shared" si="199"/>
        <v>0.25704055452561769</v>
      </c>
      <c r="P4193" s="18"/>
      <c r="Q4193" s="18"/>
      <c r="R4193" s="18"/>
      <c r="S4193" s="18"/>
      <c r="T4193" s="18"/>
      <c r="U4193" s="18"/>
      <c r="V4193" s="18"/>
      <c r="W4193" s="18"/>
      <c r="X4193" s="18"/>
    </row>
    <row r="4194" spans="13:24">
      <c r="M4194" s="558">
        <f t="shared" si="200"/>
        <v>4192</v>
      </c>
      <c r="N4194" s="15">
        <f t="shared" si="198"/>
        <v>0.25698625862858332</v>
      </c>
      <c r="O4194" s="165">
        <f t="shared" si="199"/>
        <v>0.25698625862858332</v>
      </c>
      <c r="P4194" s="18"/>
      <c r="Q4194" s="18"/>
      <c r="R4194" s="18"/>
      <c r="S4194" s="18"/>
      <c r="T4194" s="18"/>
      <c r="U4194" s="18"/>
      <c r="V4194" s="18"/>
      <c r="W4194" s="18"/>
      <c r="X4194" s="18"/>
    </row>
    <row r="4195" spans="13:24">
      <c r="M4195" s="558">
        <f t="shared" si="200"/>
        <v>4193</v>
      </c>
      <c r="N4195" s="15">
        <f t="shared" si="198"/>
        <v>0.25693196640348664</v>
      </c>
      <c r="O4195" s="165">
        <f t="shared" si="199"/>
        <v>0.25693196640348664</v>
      </c>
      <c r="P4195" s="18"/>
      <c r="Q4195" s="18"/>
      <c r="R4195" s="18"/>
      <c r="S4195" s="18"/>
      <c r="T4195" s="18"/>
      <c r="U4195" s="18"/>
      <c r="V4195" s="18"/>
      <c r="W4195" s="18"/>
      <c r="X4195" s="18"/>
    </row>
    <row r="4196" spans="13:24">
      <c r="M4196" s="558">
        <f t="shared" si="200"/>
        <v>4194</v>
      </c>
      <c r="N4196" s="15">
        <f t="shared" si="198"/>
        <v>0.25687767784571974</v>
      </c>
      <c r="O4196" s="165">
        <f t="shared" si="199"/>
        <v>0.25687767784571974</v>
      </c>
      <c r="P4196" s="18"/>
      <c r="Q4196" s="18"/>
      <c r="R4196" s="18"/>
      <c r="S4196" s="18"/>
      <c r="T4196" s="18"/>
      <c r="U4196" s="18"/>
      <c r="V4196" s="18"/>
      <c r="W4196" s="18"/>
      <c r="X4196" s="18"/>
    </row>
    <row r="4197" spans="13:24">
      <c r="M4197" s="558">
        <f t="shared" si="200"/>
        <v>4195</v>
      </c>
      <c r="N4197" s="15">
        <f t="shared" si="198"/>
        <v>0.2568233929506803</v>
      </c>
      <c r="O4197" s="165">
        <f t="shared" si="199"/>
        <v>0.2568233929506803</v>
      </c>
      <c r="P4197" s="18"/>
      <c r="Q4197" s="18"/>
      <c r="R4197" s="18"/>
      <c r="S4197" s="18"/>
      <c r="T4197" s="18"/>
      <c r="U4197" s="18"/>
      <c r="V4197" s="18"/>
      <c r="W4197" s="18"/>
      <c r="X4197" s="18"/>
    </row>
    <row r="4198" spans="13:24">
      <c r="M4198" s="558">
        <f t="shared" si="200"/>
        <v>4196</v>
      </c>
      <c r="N4198" s="15">
        <f t="shared" si="198"/>
        <v>0.25676911171377192</v>
      </c>
      <c r="O4198" s="165">
        <f t="shared" si="199"/>
        <v>0.25676911171377192</v>
      </c>
      <c r="P4198" s="18"/>
      <c r="Q4198" s="18"/>
      <c r="R4198" s="18"/>
      <c r="S4198" s="18"/>
      <c r="T4198" s="18"/>
      <c r="U4198" s="18"/>
      <c r="V4198" s="18"/>
      <c r="W4198" s="18"/>
      <c r="X4198" s="18"/>
    </row>
    <row r="4199" spans="13:24">
      <c r="M4199" s="558">
        <f t="shared" si="200"/>
        <v>4197</v>
      </c>
      <c r="N4199" s="15">
        <f t="shared" si="198"/>
        <v>0.25671483413040402</v>
      </c>
      <c r="O4199" s="165">
        <f t="shared" si="199"/>
        <v>0.25671483413040402</v>
      </c>
      <c r="P4199" s="18"/>
      <c r="Q4199" s="18"/>
      <c r="R4199" s="18"/>
      <c r="S4199" s="18"/>
      <c r="T4199" s="18"/>
      <c r="U4199" s="18"/>
      <c r="V4199" s="18"/>
      <c r="W4199" s="18"/>
      <c r="X4199" s="18"/>
    </row>
    <row r="4200" spans="13:24">
      <c r="M4200" s="558">
        <f t="shared" si="200"/>
        <v>4198</v>
      </c>
      <c r="N4200" s="15">
        <f t="shared" si="198"/>
        <v>0.2566605601959917</v>
      </c>
      <c r="O4200" s="165">
        <f t="shared" si="199"/>
        <v>0.2566605601959917</v>
      </c>
      <c r="P4200" s="18"/>
      <c r="Q4200" s="18"/>
      <c r="R4200" s="18"/>
      <c r="S4200" s="18"/>
      <c r="T4200" s="18"/>
      <c r="U4200" s="18"/>
      <c r="V4200" s="18"/>
      <c r="W4200" s="18"/>
      <c r="X4200" s="18"/>
    </row>
    <row r="4201" spans="13:24">
      <c r="M4201" s="558">
        <f t="shared" si="200"/>
        <v>4199</v>
      </c>
      <c r="N4201" s="15">
        <f t="shared" si="198"/>
        <v>0.25660628990595569</v>
      </c>
      <c r="O4201" s="165">
        <f t="shared" si="199"/>
        <v>0.25660628990595569</v>
      </c>
      <c r="P4201" s="18"/>
      <c r="Q4201" s="18"/>
      <c r="R4201" s="18"/>
      <c r="S4201" s="18"/>
      <c r="T4201" s="18"/>
      <c r="U4201" s="18"/>
      <c r="V4201" s="18"/>
      <c r="W4201" s="18"/>
      <c r="X4201" s="18"/>
    </row>
    <row r="4202" spans="13:24">
      <c r="M4202" s="558">
        <f t="shared" si="200"/>
        <v>4200</v>
      </c>
      <c r="N4202" s="15">
        <f t="shared" si="198"/>
        <v>0.25655202325572268</v>
      </c>
      <c r="O4202" s="165">
        <f t="shared" si="199"/>
        <v>0.25655202325572268</v>
      </c>
      <c r="P4202" s="18"/>
      <c r="Q4202" s="18"/>
      <c r="R4202" s="18"/>
      <c r="S4202" s="18"/>
      <c r="T4202" s="18"/>
      <c r="U4202" s="18"/>
      <c r="V4202" s="18"/>
      <c r="W4202" s="18"/>
      <c r="X4202" s="18"/>
    </row>
    <row r="4203" spans="13:24">
      <c r="M4203" s="558">
        <f t="shared" si="200"/>
        <v>4201</v>
      </c>
      <c r="N4203" s="15">
        <f t="shared" si="198"/>
        <v>0.25649776024072501</v>
      </c>
      <c r="O4203" s="165">
        <f t="shared" si="199"/>
        <v>0.25649776024072501</v>
      </c>
      <c r="P4203" s="18"/>
      <c r="Q4203" s="18"/>
      <c r="R4203" s="18"/>
      <c r="S4203" s="18"/>
      <c r="T4203" s="18"/>
      <c r="U4203" s="18"/>
      <c r="V4203" s="18"/>
      <c r="W4203" s="18"/>
      <c r="X4203" s="18"/>
    </row>
    <row r="4204" spans="13:24">
      <c r="M4204" s="558">
        <f t="shared" si="200"/>
        <v>4202</v>
      </c>
      <c r="N4204" s="15">
        <f t="shared" si="198"/>
        <v>0.25644350085640072</v>
      </c>
      <c r="O4204" s="165">
        <f t="shared" si="199"/>
        <v>0.25644350085640072</v>
      </c>
      <c r="P4204" s="18"/>
      <c r="Q4204" s="18"/>
      <c r="R4204" s="18"/>
      <c r="S4204" s="18"/>
      <c r="T4204" s="18"/>
      <c r="U4204" s="18"/>
      <c r="V4204" s="18"/>
      <c r="W4204" s="18"/>
      <c r="X4204" s="18"/>
    </row>
    <row r="4205" spans="13:24">
      <c r="M4205" s="558">
        <f t="shared" si="200"/>
        <v>4203</v>
      </c>
      <c r="N4205" s="15">
        <f t="shared" si="198"/>
        <v>0.25638924509819361</v>
      </c>
      <c r="O4205" s="165">
        <f t="shared" si="199"/>
        <v>0.25638924509819361</v>
      </c>
      <c r="P4205" s="18"/>
      <c r="Q4205" s="18"/>
      <c r="R4205" s="18"/>
      <c r="S4205" s="18"/>
      <c r="T4205" s="18"/>
      <c r="U4205" s="18"/>
      <c r="V4205" s="18"/>
      <c r="W4205" s="18"/>
      <c r="X4205" s="18"/>
    </row>
    <row r="4206" spans="13:24">
      <c r="M4206" s="558">
        <f t="shared" si="200"/>
        <v>4204</v>
      </c>
      <c r="N4206" s="15">
        <f t="shared" si="198"/>
        <v>0.25633499296155321</v>
      </c>
      <c r="O4206" s="165">
        <f t="shared" si="199"/>
        <v>0.25633499296155321</v>
      </c>
      <c r="P4206" s="18"/>
      <c r="Q4206" s="18"/>
      <c r="R4206" s="18"/>
      <c r="S4206" s="18"/>
      <c r="T4206" s="18"/>
      <c r="U4206" s="18"/>
      <c r="V4206" s="18"/>
      <c r="W4206" s="18"/>
      <c r="X4206" s="18"/>
    </row>
    <row r="4207" spans="13:24">
      <c r="M4207" s="558">
        <f t="shared" si="200"/>
        <v>4205</v>
      </c>
      <c r="N4207" s="15">
        <f t="shared" si="198"/>
        <v>0.25628074444193477</v>
      </c>
      <c r="O4207" s="165">
        <f t="shared" si="199"/>
        <v>0.25628074444193477</v>
      </c>
      <c r="P4207" s="18"/>
      <c r="Q4207" s="18"/>
      <c r="R4207" s="18"/>
      <c r="S4207" s="18"/>
      <c r="T4207" s="18"/>
      <c r="U4207" s="18"/>
      <c r="V4207" s="18"/>
      <c r="W4207" s="18"/>
      <c r="X4207" s="18"/>
    </row>
    <row r="4208" spans="13:24">
      <c r="M4208" s="558">
        <f t="shared" si="200"/>
        <v>4206</v>
      </c>
      <c r="N4208" s="15">
        <f t="shared" si="198"/>
        <v>0.25622649953479915</v>
      </c>
      <c r="O4208" s="165">
        <f t="shared" si="199"/>
        <v>0.25622649953479915</v>
      </c>
      <c r="P4208" s="18"/>
      <c r="Q4208" s="18"/>
      <c r="R4208" s="18"/>
      <c r="S4208" s="18"/>
      <c r="T4208" s="18"/>
      <c r="U4208" s="18"/>
      <c r="V4208" s="18"/>
      <c r="W4208" s="18"/>
      <c r="X4208" s="18"/>
    </row>
    <row r="4209" spans="13:24">
      <c r="M4209" s="558">
        <f t="shared" si="200"/>
        <v>4207</v>
      </c>
      <c r="N4209" s="15">
        <f t="shared" si="198"/>
        <v>0.25617225823561302</v>
      </c>
      <c r="O4209" s="165">
        <f t="shared" si="199"/>
        <v>0.25617225823561302</v>
      </c>
      <c r="P4209" s="18"/>
      <c r="Q4209" s="18"/>
      <c r="R4209" s="18"/>
      <c r="S4209" s="18"/>
      <c r="T4209" s="18"/>
      <c r="U4209" s="18"/>
      <c r="V4209" s="18"/>
      <c r="W4209" s="18"/>
      <c r="X4209" s="18"/>
    </row>
    <row r="4210" spans="13:24">
      <c r="M4210" s="558">
        <f t="shared" si="200"/>
        <v>4208</v>
      </c>
      <c r="N4210" s="15">
        <f t="shared" si="198"/>
        <v>0.25611802053984872</v>
      </c>
      <c r="O4210" s="165">
        <f t="shared" si="199"/>
        <v>0.25611802053984872</v>
      </c>
      <c r="P4210" s="18"/>
      <c r="Q4210" s="18"/>
      <c r="R4210" s="18"/>
      <c r="S4210" s="18"/>
      <c r="T4210" s="18"/>
      <c r="U4210" s="18"/>
      <c r="V4210" s="18"/>
      <c r="W4210" s="18"/>
      <c r="X4210" s="18"/>
    </row>
    <row r="4211" spans="13:24">
      <c r="M4211" s="558">
        <f t="shared" si="200"/>
        <v>4209</v>
      </c>
      <c r="N4211" s="15">
        <f t="shared" si="198"/>
        <v>0.25606378644298416</v>
      </c>
      <c r="O4211" s="165">
        <f t="shared" si="199"/>
        <v>0.25606378644298416</v>
      </c>
      <c r="P4211" s="18"/>
      <c r="Q4211" s="18"/>
      <c r="R4211" s="18"/>
      <c r="S4211" s="18"/>
      <c r="T4211" s="18"/>
      <c r="U4211" s="18"/>
      <c r="V4211" s="18"/>
      <c r="W4211" s="18"/>
      <c r="X4211" s="18"/>
    </row>
    <row r="4212" spans="13:24">
      <c r="M4212" s="558">
        <f t="shared" si="200"/>
        <v>4210</v>
      </c>
      <c r="N4212" s="15">
        <f t="shared" si="198"/>
        <v>0.25600955594050312</v>
      </c>
      <c r="O4212" s="165">
        <f t="shared" si="199"/>
        <v>0.25600955594050312</v>
      </c>
      <c r="P4212" s="18"/>
      <c r="Q4212" s="18"/>
      <c r="R4212" s="18"/>
      <c r="S4212" s="18"/>
      <c r="T4212" s="18"/>
      <c r="U4212" s="18"/>
      <c r="V4212" s="18"/>
      <c r="W4212" s="18"/>
      <c r="X4212" s="18"/>
    </row>
    <row r="4213" spans="13:24">
      <c r="M4213" s="558">
        <f t="shared" si="200"/>
        <v>4211</v>
      </c>
      <c r="N4213" s="15">
        <f t="shared" si="198"/>
        <v>0.25595532902789481</v>
      </c>
      <c r="O4213" s="165">
        <f t="shared" si="199"/>
        <v>0.25595532902789481</v>
      </c>
      <c r="P4213" s="18"/>
      <c r="Q4213" s="18"/>
      <c r="R4213" s="18"/>
      <c r="S4213" s="18"/>
      <c r="T4213" s="18"/>
      <c r="U4213" s="18"/>
      <c r="V4213" s="18"/>
      <c r="W4213" s="18"/>
      <c r="X4213" s="18"/>
    </row>
    <row r="4214" spans="13:24">
      <c r="M4214" s="558">
        <f t="shared" si="200"/>
        <v>4212</v>
      </c>
      <c r="N4214" s="15">
        <f t="shared" si="198"/>
        <v>0.25590110570065433</v>
      </c>
      <c r="O4214" s="165">
        <f t="shared" si="199"/>
        <v>0.25590110570065433</v>
      </c>
      <c r="P4214" s="18"/>
      <c r="Q4214" s="18"/>
      <c r="R4214" s="18"/>
      <c r="S4214" s="18"/>
      <c r="T4214" s="18"/>
      <c r="U4214" s="18"/>
      <c r="V4214" s="18"/>
      <c r="W4214" s="18"/>
      <c r="X4214" s="18"/>
    </row>
    <row r="4215" spans="13:24">
      <c r="M4215" s="558">
        <f t="shared" si="200"/>
        <v>4213</v>
      </c>
      <c r="N4215" s="15">
        <f t="shared" si="198"/>
        <v>0.25584688595428234</v>
      </c>
      <c r="O4215" s="165">
        <f t="shared" si="199"/>
        <v>0.25584688595428234</v>
      </c>
      <c r="P4215" s="18"/>
      <c r="Q4215" s="18"/>
      <c r="R4215" s="18"/>
      <c r="S4215" s="18"/>
      <c r="T4215" s="18"/>
      <c r="U4215" s="18"/>
      <c r="V4215" s="18"/>
      <c r="W4215" s="18"/>
      <c r="X4215" s="18"/>
    </row>
    <row r="4216" spans="13:24">
      <c r="M4216" s="558">
        <f t="shared" si="200"/>
        <v>4214</v>
      </c>
      <c r="N4216" s="15">
        <f t="shared" si="198"/>
        <v>0.25579266978428505</v>
      </c>
      <c r="O4216" s="165">
        <f t="shared" si="199"/>
        <v>0.25579266978428505</v>
      </c>
      <c r="P4216" s="18"/>
      <c r="Q4216" s="18"/>
      <c r="R4216" s="18"/>
      <c r="S4216" s="18"/>
      <c r="T4216" s="18"/>
      <c r="U4216" s="18"/>
      <c r="V4216" s="18"/>
      <c r="W4216" s="18"/>
      <c r="X4216" s="18"/>
    </row>
    <row r="4217" spans="13:24">
      <c r="M4217" s="558">
        <f t="shared" si="200"/>
        <v>4215</v>
      </c>
      <c r="N4217" s="15">
        <f t="shared" si="198"/>
        <v>0.25573845718617438</v>
      </c>
      <c r="O4217" s="165">
        <f t="shared" si="199"/>
        <v>0.25573845718617438</v>
      </c>
      <c r="P4217" s="18"/>
      <c r="Q4217" s="18"/>
      <c r="R4217" s="18"/>
      <c r="S4217" s="18"/>
      <c r="T4217" s="18"/>
      <c r="U4217" s="18"/>
      <c r="V4217" s="18"/>
      <c r="W4217" s="18"/>
      <c r="X4217" s="18"/>
    </row>
    <row r="4218" spans="13:24">
      <c r="M4218" s="558">
        <f t="shared" si="200"/>
        <v>4216</v>
      </c>
      <c r="N4218" s="15">
        <f t="shared" si="198"/>
        <v>0.25568424815546809</v>
      </c>
      <c r="O4218" s="165">
        <f t="shared" si="199"/>
        <v>0.25568424815546809</v>
      </c>
      <c r="P4218" s="18"/>
      <c r="Q4218" s="18"/>
      <c r="R4218" s="18"/>
      <c r="S4218" s="18"/>
      <c r="T4218" s="18"/>
      <c r="U4218" s="18"/>
      <c r="V4218" s="18"/>
      <c r="W4218" s="18"/>
      <c r="X4218" s="18"/>
    </row>
    <row r="4219" spans="13:24">
      <c r="M4219" s="558">
        <f t="shared" si="200"/>
        <v>4217</v>
      </c>
      <c r="N4219" s="15">
        <f t="shared" si="198"/>
        <v>0.25563004268768919</v>
      </c>
      <c r="O4219" s="165">
        <f t="shared" si="199"/>
        <v>0.25563004268768919</v>
      </c>
      <c r="P4219" s="18"/>
      <c r="Q4219" s="18"/>
      <c r="R4219" s="18"/>
      <c r="S4219" s="18"/>
      <c r="T4219" s="18"/>
      <c r="U4219" s="18"/>
      <c r="V4219" s="18"/>
      <c r="W4219" s="18"/>
      <c r="X4219" s="18"/>
    </row>
    <row r="4220" spans="13:24">
      <c r="M4220" s="558">
        <f t="shared" si="200"/>
        <v>4218</v>
      </c>
      <c r="N4220" s="15">
        <f t="shared" si="198"/>
        <v>0.25557584077836654</v>
      </c>
      <c r="O4220" s="165">
        <f t="shared" si="199"/>
        <v>0.25557584077836654</v>
      </c>
      <c r="P4220" s="18"/>
      <c r="Q4220" s="18"/>
      <c r="R4220" s="18"/>
      <c r="S4220" s="18"/>
      <c r="T4220" s="18"/>
      <c r="U4220" s="18"/>
      <c r="V4220" s="18"/>
      <c r="W4220" s="18"/>
      <c r="X4220" s="18"/>
    </row>
    <row r="4221" spans="13:24">
      <c r="M4221" s="558">
        <f t="shared" si="200"/>
        <v>4219</v>
      </c>
      <c r="N4221" s="15">
        <f t="shared" si="198"/>
        <v>0.25552164242303449</v>
      </c>
      <c r="O4221" s="165">
        <f t="shared" si="199"/>
        <v>0.25552164242303449</v>
      </c>
      <c r="P4221" s="18"/>
      <c r="Q4221" s="18"/>
      <c r="R4221" s="18"/>
      <c r="S4221" s="18"/>
      <c r="T4221" s="18"/>
      <c r="U4221" s="18"/>
      <c r="V4221" s="18"/>
      <c r="W4221" s="18"/>
      <c r="X4221" s="18"/>
    </row>
    <row r="4222" spans="13:24">
      <c r="M4222" s="558">
        <f t="shared" si="200"/>
        <v>4220</v>
      </c>
      <c r="N4222" s="15">
        <f t="shared" si="198"/>
        <v>0.25546744761723328</v>
      </c>
      <c r="O4222" s="165">
        <f t="shared" si="199"/>
        <v>0.25546744761723328</v>
      </c>
      <c r="P4222" s="18"/>
      <c r="Q4222" s="18"/>
      <c r="R4222" s="18"/>
      <c r="S4222" s="18"/>
      <c r="T4222" s="18"/>
      <c r="U4222" s="18"/>
      <c r="V4222" s="18"/>
      <c r="W4222" s="18"/>
      <c r="X4222" s="18"/>
    </row>
    <row r="4223" spans="13:24">
      <c r="M4223" s="558">
        <f t="shared" si="200"/>
        <v>4221</v>
      </c>
      <c r="N4223" s="15">
        <f t="shared" si="198"/>
        <v>0.25541325635650836</v>
      </c>
      <c r="O4223" s="165">
        <f t="shared" si="199"/>
        <v>0.25541325635650836</v>
      </c>
      <c r="P4223" s="18"/>
      <c r="Q4223" s="18"/>
      <c r="R4223" s="18"/>
      <c r="S4223" s="18"/>
      <c r="T4223" s="18"/>
      <c r="U4223" s="18"/>
      <c r="V4223" s="18"/>
      <c r="W4223" s="18"/>
      <c r="X4223" s="18"/>
    </row>
    <row r="4224" spans="13:24">
      <c r="M4224" s="558">
        <f t="shared" si="200"/>
        <v>4222</v>
      </c>
      <c r="N4224" s="15">
        <f t="shared" si="198"/>
        <v>0.25535906863641089</v>
      </c>
      <c r="O4224" s="165">
        <f t="shared" si="199"/>
        <v>0.25535906863641089</v>
      </c>
      <c r="P4224" s="18"/>
      <c r="Q4224" s="18"/>
      <c r="R4224" s="18"/>
      <c r="S4224" s="18"/>
      <c r="T4224" s="18"/>
      <c r="U4224" s="18"/>
      <c r="V4224" s="18"/>
      <c r="W4224" s="18"/>
      <c r="X4224" s="18"/>
    </row>
    <row r="4225" spans="13:24">
      <c r="M4225" s="558">
        <f t="shared" si="200"/>
        <v>4223</v>
      </c>
      <c r="N4225" s="15">
        <f t="shared" si="198"/>
        <v>0.25530488445249788</v>
      </c>
      <c r="O4225" s="165">
        <f t="shared" si="199"/>
        <v>0.25530488445249788</v>
      </c>
      <c r="P4225" s="18"/>
      <c r="Q4225" s="18"/>
      <c r="R4225" s="18"/>
      <c r="S4225" s="18"/>
      <c r="T4225" s="18"/>
      <c r="U4225" s="18"/>
      <c r="V4225" s="18"/>
      <c r="W4225" s="18"/>
      <c r="X4225" s="18"/>
    </row>
    <row r="4226" spans="13:24">
      <c r="M4226" s="558">
        <f t="shared" si="200"/>
        <v>4224</v>
      </c>
      <c r="N4226" s="15">
        <f t="shared" si="198"/>
        <v>0.25525070380033155</v>
      </c>
      <c r="O4226" s="165">
        <f t="shared" si="199"/>
        <v>0.25525070380033155</v>
      </c>
      <c r="P4226" s="18"/>
      <c r="Q4226" s="18"/>
      <c r="R4226" s="18"/>
      <c r="S4226" s="18"/>
      <c r="T4226" s="18"/>
      <c r="U4226" s="18"/>
      <c r="V4226" s="18"/>
      <c r="W4226" s="18"/>
      <c r="X4226" s="18"/>
    </row>
    <row r="4227" spans="13:24">
      <c r="M4227" s="558">
        <f t="shared" si="200"/>
        <v>4225</v>
      </c>
      <c r="N4227" s="15">
        <f t="shared" si="198"/>
        <v>0.25519652667547987</v>
      </c>
      <c r="O4227" s="165">
        <f t="shared" si="199"/>
        <v>0.25519652667547987</v>
      </c>
      <c r="P4227" s="18"/>
      <c r="Q4227" s="18"/>
      <c r="R4227" s="18"/>
      <c r="S4227" s="18"/>
      <c r="T4227" s="18"/>
      <c r="U4227" s="18"/>
      <c r="V4227" s="18"/>
      <c r="W4227" s="18"/>
      <c r="X4227" s="18"/>
    </row>
    <row r="4228" spans="13:24">
      <c r="M4228" s="558">
        <f t="shared" si="200"/>
        <v>4226</v>
      </c>
      <c r="N4228" s="15">
        <f t="shared" ref="N4228:N4291" si="201">IF(M4228&lt;$B$31+1,$B$32+$B$33/$B$31*(8760-M4228)+$B$34*IF(M4228&lt;$B$36-$B$31/(2*$B$35),1,IF(M4228&lt;$B$36+$B$31/(2*$B$35),COS(PI()/2*(M4228-($B$36-$B$31/(2*$B$35)))*$B$35/$B$31)^2,0))+$B$37*EXP((8760-M4228)/8760*$B$38)/EXP($B$38)-(8760-$B$31)*$B$33/$B$31,0)</f>
        <v>0.25514235307351635</v>
      </c>
      <c r="O4228" s="165">
        <f t="shared" ref="O4228:O4291" si="202">MIN(N4228,C$24)</f>
        <v>0.25514235307351635</v>
      </c>
      <c r="P4228" s="18"/>
      <c r="Q4228" s="18"/>
      <c r="R4228" s="18"/>
      <c r="S4228" s="18"/>
      <c r="T4228" s="18"/>
      <c r="U4228" s="18"/>
      <c r="V4228" s="18"/>
      <c r="W4228" s="18"/>
      <c r="X4228" s="18"/>
    </row>
    <row r="4229" spans="13:24">
      <c r="M4229" s="558">
        <f t="shared" ref="M4229:M4292" si="203">M4228+1</f>
        <v>4227</v>
      </c>
      <c r="N4229" s="15">
        <f t="shared" si="201"/>
        <v>0.25508818299002006</v>
      </c>
      <c r="O4229" s="165">
        <f t="shared" si="202"/>
        <v>0.25508818299002006</v>
      </c>
      <c r="P4229" s="18"/>
      <c r="Q4229" s="18"/>
      <c r="R4229" s="18"/>
      <c r="S4229" s="18"/>
      <c r="T4229" s="18"/>
      <c r="U4229" s="18"/>
      <c r="V4229" s="18"/>
      <c r="W4229" s="18"/>
      <c r="X4229" s="18"/>
    </row>
    <row r="4230" spans="13:24">
      <c r="M4230" s="558">
        <f t="shared" si="203"/>
        <v>4228</v>
      </c>
      <c r="N4230" s="15">
        <f t="shared" si="201"/>
        <v>0.2550340164205756</v>
      </c>
      <c r="O4230" s="165">
        <f t="shared" si="202"/>
        <v>0.2550340164205756</v>
      </c>
      <c r="P4230" s="18"/>
      <c r="Q4230" s="18"/>
      <c r="R4230" s="18"/>
      <c r="S4230" s="18"/>
      <c r="T4230" s="18"/>
      <c r="U4230" s="18"/>
      <c r="V4230" s="18"/>
      <c r="W4230" s="18"/>
      <c r="X4230" s="18"/>
    </row>
    <row r="4231" spans="13:24">
      <c r="M4231" s="558">
        <f t="shared" si="203"/>
        <v>4229</v>
      </c>
      <c r="N4231" s="15">
        <f t="shared" si="201"/>
        <v>0.25497985336077311</v>
      </c>
      <c r="O4231" s="165">
        <f t="shared" si="202"/>
        <v>0.25497985336077311</v>
      </c>
      <c r="P4231" s="18"/>
      <c r="Q4231" s="18"/>
      <c r="R4231" s="18"/>
      <c r="S4231" s="18"/>
      <c r="T4231" s="18"/>
      <c r="U4231" s="18"/>
      <c r="V4231" s="18"/>
      <c r="W4231" s="18"/>
      <c r="X4231" s="18"/>
    </row>
    <row r="4232" spans="13:24">
      <c r="M4232" s="558">
        <f t="shared" si="203"/>
        <v>4230</v>
      </c>
      <c r="N4232" s="15">
        <f t="shared" si="201"/>
        <v>0.25492569380620822</v>
      </c>
      <c r="O4232" s="165">
        <f t="shared" si="202"/>
        <v>0.25492569380620822</v>
      </c>
      <c r="P4232" s="18"/>
      <c r="Q4232" s="18"/>
      <c r="R4232" s="18"/>
      <c r="S4232" s="18"/>
      <c r="T4232" s="18"/>
      <c r="U4232" s="18"/>
      <c r="V4232" s="18"/>
      <c r="W4232" s="18"/>
      <c r="X4232" s="18"/>
    </row>
    <row r="4233" spans="13:24">
      <c r="M4233" s="558">
        <f t="shared" si="203"/>
        <v>4231</v>
      </c>
      <c r="N4233" s="15">
        <f t="shared" si="201"/>
        <v>0.25487153775248222</v>
      </c>
      <c r="O4233" s="165">
        <f t="shared" si="202"/>
        <v>0.25487153775248222</v>
      </c>
      <c r="P4233" s="18"/>
      <c r="Q4233" s="18"/>
      <c r="R4233" s="18"/>
      <c r="S4233" s="18"/>
      <c r="T4233" s="18"/>
      <c r="U4233" s="18"/>
      <c r="V4233" s="18"/>
      <c r="W4233" s="18"/>
      <c r="X4233" s="18"/>
    </row>
    <row r="4234" spans="13:24">
      <c r="M4234" s="558">
        <f t="shared" si="203"/>
        <v>4232</v>
      </c>
      <c r="N4234" s="15">
        <f t="shared" si="201"/>
        <v>0.25481738519520186</v>
      </c>
      <c r="O4234" s="165">
        <f t="shared" si="202"/>
        <v>0.25481738519520186</v>
      </c>
      <c r="P4234" s="18"/>
      <c r="Q4234" s="18"/>
      <c r="R4234" s="18"/>
      <c r="S4234" s="18"/>
      <c r="T4234" s="18"/>
      <c r="U4234" s="18"/>
      <c r="V4234" s="18"/>
      <c r="W4234" s="18"/>
      <c r="X4234" s="18"/>
    </row>
    <row r="4235" spans="13:24">
      <c r="M4235" s="558">
        <f t="shared" si="203"/>
        <v>4233</v>
      </c>
      <c r="N4235" s="15">
        <f t="shared" si="201"/>
        <v>0.25476323612997931</v>
      </c>
      <c r="O4235" s="165">
        <f t="shared" si="202"/>
        <v>0.25476323612997931</v>
      </c>
      <c r="P4235" s="18"/>
      <c r="Q4235" s="18"/>
      <c r="R4235" s="18"/>
      <c r="S4235" s="18"/>
      <c r="T4235" s="18"/>
      <c r="U4235" s="18"/>
      <c r="V4235" s="18"/>
      <c r="W4235" s="18"/>
      <c r="X4235" s="18"/>
    </row>
    <row r="4236" spans="13:24">
      <c r="M4236" s="558">
        <f t="shared" si="203"/>
        <v>4234</v>
      </c>
      <c r="N4236" s="15">
        <f t="shared" si="201"/>
        <v>0.25470909055243224</v>
      </c>
      <c r="O4236" s="165">
        <f t="shared" si="202"/>
        <v>0.25470909055243224</v>
      </c>
      <c r="P4236" s="18"/>
      <c r="Q4236" s="18"/>
      <c r="R4236" s="18"/>
      <c r="S4236" s="18"/>
      <c r="T4236" s="18"/>
      <c r="U4236" s="18"/>
      <c r="V4236" s="18"/>
      <c r="W4236" s="18"/>
      <c r="X4236" s="18"/>
    </row>
    <row r="4237" spans="13:24">
      <c r="M4237" s="558">
        <f t="shared" si="203"/>
        <v>4235</v>
      </c>
      <c r="N4237" s="15">
        <f t="shared" si="201"/>
        <v>0.25465494845818409</v>
      </c>
      <c r="O4237" s="165">
        <f t="shared" si="202"/>
        <v>0.25465494845818409</v>
      </c>
      <c r="P4237" s="18"/>
      <c r="Q4237" s="18"/>
      <c r="R4237" s="18"/>
      <c r="S4237" s="18"/>
      <c r="T4237" s="18"/>
      <c r="U4237" s="18"/>
      <c r="V4237" s="18"/>
      <c r="W4237" s="18"/>
      <c r="X4237" s="18"/>
    </row>
    <row r="4238" spans="13:24">
      <c r="M4238" s="558">
        <f t="shared" si="203"/>
        <v>4236</v>
      </c>
      <c r="N4238" s="15">
        <f t="shared" si="201"/>
        <v>0.25460080984286354</v>
      </c>
      <c r="O4238" s="165">
        <f t="shared" si="202"/>
        <v>0.25460080984286354</v>
      </c>
      <c r="P4238" s="18"/>
      <c r="Q4238" s="18"/>
      <c r="R4238" s="18"/>
      <c r="S4238" s="18"/>
      <c r="T4238" s="18"/>
      <c r="U4238" s="18"/>
      <c r="V4238" s="18"/>
      <c r="W4238" s="18"/>
      <c r="X4238" s="18"/>
    </row>
    <row r="4239" spans="13:24">
      <c r="M4239" s="558">
        <f t="shared" si="203"/>
        <v>4237</v>
      </c>
      <c r="N4239" s="15">
        <f t="shared" si="201"/>
        <v>0.25454667470210468</v>
      </c>
      <c r="O4239" s="165">
        <f t="shared" si="202"/>
        <v>0.25454667470210468</v>
      </c>
      <c r="P4239" s="18"/>
      <c r="Q4239" s="18"/>
      <c r="R4239" s="18"/>
      <c r="S4239" s="18"/>
      <c r="T4239" s="18"/>
      <c r="U4239" s="18"/>
      <c r="V4239" s="18"/>
      <c r="W4239" s="18"/>
      <c r="X4239" s="18"/>
    </row>
    <row r="4240" spans="13:24">
      <c r="M4240" s="558">
        <f t="shared" si="203"/>
        <v>4238</v>
      </c>
      <c r="N4240" s="15">
        <f t="shared" si="201"/>
        <v>0.25449254303154734</v>
      </c>
      <c r="O4240" s="165">
        <f t="shared" si="202"/>
        <v>0.25449254303154734</v>
      </c>
      <c r="P4240" s="18"/>
      <c r="Q4240" s="18"/>
      <c r="R4240" s="18"/>
      <c r="S4240" s="18"/>
      <c r="T4240" s="18"/>
      <c r="U4240" s="18"/>
      <c r="V4240" s="18"/>
      <c r="W4240" s="18"/>
      <c r="X4240" s="18"/>
    </row>
    <row r="4241" spans="13:24">
      <c r="M4241" s="558">
        <f t="shared" si="203"/>
        <v>4239</v>
      </c>
      <c r="N4241" s="15">
        <f t="shared" si="201"/>
        <v>0.25443841482683671</v>
      </c>
      <c r="O4241" s="165">
        <f t="shared" si="202"/>
        <v>0.25443841482683671</v>
      </c>
      <c r="P4241" s="18"/>
      <c r="Q4241" s="18"/>
      <c r="R4241" s="18"/>
      <c r="S4241" s="18"/>
      <c r="T4241" s="18"/>
      <c r="U4241" s="18"/>
      <c r="V4241" s="18"/>
      <c r="W4241" s="18"/>
      <c r="X4241" s="18"/>
    </row>
    <row r="4242" spans="13:24">
      <c r="M4242" s="558">
        <f t="shared" si="203"/>
        <v>4240</v>
      </c>
      <c r="N4242" s="15">
        <f t="shared" si="201"/>
        <v>0.2543842900836234</v>
      </c>
      <c r="O4242" s="165">
        <f t="shared" si="202"/>
        <v>0.2543842900836234</v>
      </c>
      <c r="P4242" s="18"/>
      <c r="Q4242" s="18"/>
      <c r="R4242" s="18"/>
      <c r="S4242" s="18"/>
      <c r="T4242" s="18"/>
      <c r="U4242" s="18"/>
      <c r="V4242" s="18"/>
      <c r="W4242" s="18"/>
      <c r="X4242" s="18"/>
    </row>
    <row r="4243" spans="13:24">
      <c r="M4243" s="558">
        <f t="shared" si="203"/>
        <v>4241</v>
      </c>
      <c r="N4243" s="15">
        <f t="shared" si="201"/>
        <v>0.25433016879756343</v>
      </c>
      <c r="O4243" s="165">
        <f t="shared" si="202"/>
        <v>0.25433016879756343</v>
      </c>
      <c r="P4243" s="18"/>
      <c r="Q4243" s="18"/>
      <c r="R4243" s="18"/>
      <c r="S4243" s="18"/>
      <c r="T4243" s="18"/>
      <c r="U4243" s="18"/>
      <c r="V4243" s="18"/>
      <c r="W4243" s="18"/>
      <c r="X4243" s="18"/>
    </row>
    <row r="4244" spans="13:24">
      <c r="M4244" s="558">
        <f t="shared" si="203"/>
        <v>4242</v>
      </c>
      <c r="N4244" s="15">
        <f t="shared" si="201"/>
        <v>0.25427605096431849</v>
      </c>
      <c r="O4244" s="165">
        <f t="shared" si="202"/>
        <v>0.25427605096431849</v>
      </c>
      <c r="P4244" s="18"/>
      <c r="Q4244" s="18"/>
      <c r="R4244" s="18"/>
      <c r="S4244" s="18"/>
      <c r="T4244" s="18"/>
      <c r="U4244" s="18"/>
      <c r="V4244" s="18"/>
      <c r="W4244" s="18"/>
      <c r="X4244" s="18"/>
    </row>
    <row r="4245" spans="13:24">
      <c r="M4245" s="558">
        <f t="shared" si="203"/>
        <v>4243</v>
      </c>
      <c r="N4245" s="15">
        <f t="shared" si="201"/>
        <v>0.2542219365795555</v>
      </c>
      <c r="O4245" s="165">
        <f t="shared" si="202"/>
        <v>0.2542219365795555</v>
      </c>
      <c r="P4245" s="18"/>
      <c r="Q4245" s="18"/>
      <c r="R4245" s="18"/>
      <c r="S4245" s="18"/>
      <c r="T4245" s="18"/>
      <c r="U4245" s="18"/>
      <c r="V4245" s="18"/>
      <c r="W4245" s="18"/>
      <c r="X4245" s="18"/>
    </row>
    <row r="4246" spans="13:24">
      <c r="M4246" s="558">
        <f t="shared" si="203"/>
        <v>4244</v>
      </c>
      <c r="N4246" s="15">
        <f t="shared" si="201"/>
        <v>0.25416782563894691</v>
      </c>
      <c r="O4246" s="165">
        <f t="shared" si="202"/>
        <v>0.25416782563894691</v>
      </c>
      <c r="P4246" s="18"/>
      <c r="Q4246" s="18"/>
      <c r="R4246" s="18"/>
      <c r="S4246" s="18"/>
      <c r="T4246" s="18"/>
      <c r="U4246" s="18"/>
      <c r="V4246" s="18"/>
      <c r="W4246" s="18"/>
      <c r="X4246" s="18"/>
    </row>
    <row r="4247" spans="13:24">
      <c r="M4247" s="558">
        <f t="shared" si="203"/>
        <v>4245</v>
      </c>
      <c r="N4247" s="15">
        <f t="shared" si="201"/>
        <v>0.25411371813817046</v>
      </c>
      <c r="O4247" s="165">
        <f t="shared" si="202"/>
        <v>0.25411371813817046</v>
      </c>
      <c r="P4247" s="18"/>
      <c r="Q4247" s="18"/>
      <c r="R4247" s="18"/>
      <c r="S4247" s="18"/>
      <c r="T4247" s="18"/>
      <c r="U4247" s="18"/>
      <c r="V4247" s="18"/>
      <c r="W4247" s="18"/>
      <c r="X4247" s="18"/>
    </row>
    <row r="4248" spans="13:24">
      <c r="M4248" s="558">
        <f t="shared" si="203"/>
        <v>4246</v>
      </c>
      <c r="N4248" s="15">
        <f t="shared" si="201"/>
        <v>0.25405961407290967</v>
      </c>
      <c r="O4248" s="165">
        <f t="shared" si="202"/>
        <v>0.25405961407290967</v>
      </c>
      <c r="P4248" s="18"/>
      <c r="Q4248" s="18"/>
      <c r="R4248" s="18"/>
      <c r="S4248" s="18"/>
      <c r="T4248" s="18"/>
      <c r="U4248" s="18"/>
      <c r="V4248" s="18"/>
      <c r="W4248" s="18"/>
      <c r="X4248" s="18"/>
    </row>
    <row r="4249" spans="13:24">
      <c r="M4249" s="558">
        <f t="shared" si="203"/>
        <v>4247</v>
      </c>
      <c r="N4249" s="15">
        <f t="shared" si="201"/>
        <v>0.25400551343885308</v>
      </c>
      <c r="O4249" s="165">
        <f t="shared" si="202"/>
        <v>0.25400551343885308</v>
      </c>
      <c r="P4249" s="18"/>
      <c r="Q4249" s="18"/>
      <c r="R4249" s="18"/>
      <c r="S4249" s="18"/>
      <c r="T4249" s="18"/>
      <c r="U4249" s="18"/>
      <c r="V4249" s="18"/>
      <c r="W4249" s="18"/>
      <c r="X4249" s="18"/>
    </row>
    <row r="4250" spans="13:24">
      <c r="M4250" s="558">
        <f t="shared" si="203"/>
        <v>4248</v>
      </c>
      <c r="N4250" s="15">
        <f t="shared" si="201"/>
        <v>0.25395141623169487</v>
      </c>
      <c r="O4250" s="165">
        <f t="shared" si="202"/>
        <v>0.25395141623169487</v>
      </c>
      <c r="P4250" s="18"/>
      <c r="Q4250" s="18"/>
      <c r="R4250" s="18"/>
      <c r="S4250" s="18"/>
      <c r="T4250" s="18"/>
      <c r="U4250" s="18"/>
      <c r="V4250" s="18"/>
      <c r="W4250" s="18"/>
      <c r="X4250" s="18"/>
    </row>
    <row r="4251" spans="13:24">
      <c r="M4251" s="558">
        <f t="shared" si="203"/>
        <v>4249</v>
      </c>
      <c r="N4251" s="15">
        <f t="shared" si="201"/>
        <v>0.25389732244713442</v>
      </c>
      <c r="O4251" s="165">
        <f t="shared" si="202"/>
        <v>0.25389732244713442</v>
      </c>
      <c r="P4251" s="18"/>
      <c r="Q4251" s="18"/>
      <c r="R4251" s="18"/>
      <c r="S4251" s="18"/>
      <c r="T4251" s="18"/>
      <c r="U4251" s="18"/>
      <c r="V4251" s="18"/>
      <c r="W4251" s="18"/>
      <c r="X4251" s="18"/>
    </row>
    <row r="4252" spans="13:24">
      <c r="M4252" s="558">
        <f t="shared" si="203"/>
        <v>4250</v>
      </c>
      <c r="N4252" s="15">
        <f t="shared" si="201"/>
        <v>0.25384323208087689</v>
      </c>
      <c r="O4252" s="165">
        <f t="shared" si="202"/>
        <v>0.25384323208087689</v>
      </c>
      <c r="P4252" s="18"/>
      <c r="Q4252" s="18"/>
      <c r="R4252" s="18"/>
      <c r="S4252" s="18"/>
      <c r="T4252" s="18"/>
      <c r="U4252" s="18"/>
      <c r="V4252" s="18"/>
      <c r="W4252" s="18"/>
      <c r="X4252" s="18"/>
    </row>
    <row r="4253" spans="13:24">
      <c r="M4253" s="558">
        <f t="shared" si="203"/>
        <v>4251</v>
      </c>
      <c r="N4253" s="15">
        <f t="shared" si="201"/>
        <v>0.25378914512863238</v>
      </c>
      <c r="O4253" s="165">
        <f t="shared" si="202"/>
        <v>0.25378914512863238</v>
      </c>
      <c r="P4253" s="18"/>
      <c r="Q4253" s="18"/>
      <c r="R4253" s="18"/>
      <c r="S4253" s="18"/>
      <c r="T4253" s="18"/>
      <c r="U4253" s="18"/>
      <c r="V4253" s="18"/>
      <c r="W4253" s="18"/>
      <c r="X4253" s="18"/>
    </row>
    <row r="4254" spans="13:24">
      <c r="M4254" s="558">
        <f t="shared" si="203"/>
        <v>4252</v>
      </c>
      <c r="N4254" s="15">
        <f t="shared" si="201"/>
        <v>0.25373506158611664</v>
      </c>
      <c r="O4254" s="165">
        <f t="shared" si="202"/>
        <v>0.25373506158611664</v>
      </c>
      <c r="P4254" s="18"/>
      <c r="Q4254" s="18"/>
      <c r="R4254" s="18"/>
      <c r="S4254" s="18"/>
      <c r="T4254" s="18"/>
      <c r="U4254" s="18"/>
      <c r="V4254" s="18"/>
      <c r="W4254" s="18"/>
      <c r="X4254" s="18"/>
    </row>
    <row r="4255" spans="13:24">
      <c r="M4255" s="558">
        <f t="shared" si="203"/>
        <v>4253</v>
      </c>
      <c r="N4255" s="15">
        <f t="shared" si="201"/>
        <v>0.25368098144905077</v>
      </c>
      <c r="O4255" s="165">
        <f t="shared" si="202"/>
        <v>0.25368098144905077</v>
      </c>
      <c r="P4255" s="18"/>
      <c r="Q4255" s="18"/>
      <c r="R4255" s="18"/>
      <c r="S4255" s="18"/>
      <c r="T4255" s="18"/>
      <c r="U4255" s="18"/>
      <c r="V4255" s="18"/>
      <c r="W4255" s="18"/>
      <c r="X4255" s="18"/>
    </row>
    <row r="4256" spans="13:24">
      <c r="M4256" s="558">
        <f t="shared" si="203"/>
        <v>4254</v>
      </c>
      <c r="N4256" s="15">
        <f t="shared" si="201"/>
        <v>0.25362690471316124</v>
      </c>
      <c r="O4256" s="165">
        <f t="shared" si="202"/>
        <v>0.25362690471316124</v>
      </c>
      <c r="P4256" s="18"/>
      <c r="Q4256" s="18"/>
      <c r="R4256" s="18"/>
      <c r="S4256" s="18"/>
      <c r="T4256" s="18"/>
      <c r="U4256" s="18"/>
      <c r="V4256" s="18"/>
      <c r="W4256" s="18"/>
      <c r="X4256" s="18"/>
    </row>
    <row r="4257" spans="13:24">
      <c r="M4257" s="558">
        <f t="shared" si="203"/>
        <v>4255</v>
      </c>
      <c r="N4257" s="15">
        <f t="shared" si="201"/>
        <v>0.25357283137417969</v>
      </c>
      <c r="O4257" s="165">
        <f t="shared" si="202"/>
        <v>0.25357283137417969</v>
      </c>
      <c r="P4257" s="18"/>
      <c r="Q4257" s="18"/>
      <c r="R4257" s="18"/>
      <c r="S4257" s="18"/>
      <c r="T4257" s="18"/>
      <c r="U4257" s="18"/>
      <c r="V4257" s="18"/>
      <c r="W4257" s="18"/>
      <c r="X4257" s="18"/>
    </row>
    <row r="4258" spans="13:24">
      <c r="M4258" s="558">
        <f t="shared" si="203"/>
        <v>4256</v>
      </c>
      <c r="N4258" s="15">
        <f t="shared" si="201"/>
        <v>0.25351876142784341</v>
      </c>
      <c r="O4258" s="165">
        <f t="shared" si="202"/>
        <v>0.25351876142784341</v>
      </c>
      <c r="P4258" s="18"/>
      <c r="Q4258" s="18"/>
      <c r="R4258" s="18"/>
      <c r="S4258" s="18"/>
      <c r="T4258" s="18"/>
      <c r="U4258" s="18"/>
      <c r="V4258" s="18"/>
      <c r="W4258" s="18"/>
      <c r="X4258" s="18"/>
    </row>
    <row r="4259" spans="13:24">
      <c r="M4259" s="558">
        <f t="shared" si="203"/>
        <v>4257</v>
      </c>
      <c r="N4259" s="15">
        <f t="shared" si="201"/>
        <v>0.25346469486989481</v>
      </c>
      <c r="O4259" s="165">
        <f t="shared" si="202"/>
        <v>0.25346469486989481</v>
      </c>
      <c r="P4259" s="18"/>
      <c r="Q4259" s="18"/>
      <c r="R4259" s="18"/>
      <c r="S4259" s="18"/>
      <c r="T4259" s="18"/>
      <c r="U4259" s="18"/>
      <c r="V4259" s="18"/>
      <c r="W4259" s="18"/>
      <c r="X4259" s="18"/>
    </row>
    <row r="4260" spans="13:24">
      <c r="M4260" s="558">
        <f t="shared" si="203"/>
        <v>4258</v>
      </c>
      <c r="N4260" s="15">
        <f t="shared" si="201"/>
        <v>0.25341063169608186</v>
      </c>
      <c r="O4260" s="165">
        <f t="shared" si="202"/>
        <v>0.25341063169608186</v>
      </c>
      <c r="P4260" s="18"/>
      <c r="Q4260" s="18"/>
      <c r="R4260" s="18"/>
      <c r="S4260" s="18"/>
      <c r="T4260" s="18"/>
      <c r="U4260" s="18"/>
      <c r="V4260" s="18"/>
      <c r="W4260" s="18"/>
      <c r="X4260" s="18"/>
    </row>
    <row r="4261" spans="13:24">
      <c r="M4261" s="558">
        <f t="shared" si="203"/>
        <v>4259</v>
      </c>
      <c r="N4261" s="15">
        <f t="shared" si="201"/>
        <v>0.25335657190215766</v>
      </c>
      <c r="O4261" s="165">
        <f t="shared" si="202"/>
        <v>0.25335657190215766</v>
      </c>
      <c r="P4261" s="18"/>
      <c r="Q4261" s="18"/>
      <c r="R4261" s="18"/>
      <c r="S4261" s="18"/>
      <c r="T4261" s="18"/>
      <c r="U4261" s="18"/>
      <c r="V4261" s="18"/>
      <c r="W4261" s="18"/>
      <c r="X4261" s="18"/>
    </row>
    <row r="4262" spans="13:24">
      <c r="M4262" s="558">
        <f t="shared" si="203"/>
        <v>4260</v>
      </c>
      <c r="N4262" s="15">
        <f t="shared" si="201"/>
        <v>0.25330251548388066</v>
      </c>
      <c r="O4262" s="165">
        <f t="shared" si="202"/>
        <v>0.25330251548388066</v>
      </c>
      <c r="P4262" s="18"/>
      <c r="Q4262" s="18"/>
      <c r="R4262" s="18"/>
      <c r="S4262" s="18"/>
      <c r="T4262" s="18"/>
      <c r="U4262" s="18"/>
      <c r="V4262" s="18"/>
      <c r="W4262" s="18"/>
      <c r="X4262" s="18"/>
    </row>
    <row r="4263" spans="13:24">
      <c r="M4263" s="558">
        <f t="shared" si="203"/>
        <v>4261</v>
      </c>
      <c r="N4263" s="15">
        <f t="shared" si="201"/>
        <v>0.25324846243701482</v>
      </c>
      <c r="O4263" s="165">
        <f t="shared" si="202"/>
        <v>0.25324846243701482</v>
      </c>
      <c r="P4263" s="18"/>
      <c r="Q4263" s="18"/>
      <c r="R4263" s="18"/>
      <c r="S4263" s="18"/>
      <c r="T4263" s="18"/>
      <c r="U4263" s="18"/>
      <c r="V4263" s="18"/>
      <c r="W4263" s="18"/>
      <c r="X4263" s="18"/>
    </row>
    <row r="4264" spans="13:24">
      <c r="M4264" s="558">
        <f t="shared" si="203"/>
        <v>4262</v>
      </c>
      <c r="N4264" s="15">
        <f t="shared" si="201"/>
        <v>0.25319441275732923</v>
      </c>
      <c r="O4264" s="165">
        <f t="shared" si="202"/>
        <v>0.25319441275732923</v>
      </c>
      <c r="P4264" s="18"/>
      <c r="Q4264" s="18"/>
      <c r="R4264" s="18"/>
      <c r="S4264" s="18"/>
      <c r="T4264" s="18"/>
      <c r="U4264" s="18"/>
      <c r="V4264" s="18"/>
      <c r="W4264" s="18"/>
      <c r="X4264" s="18"/>
    </row>
    <row r="4265" spans="13:24">
      <c r="M4265" s="558">
        <f t="shared" si="203"/>
        <v>4263</v>
      </c>
      <c r="N4265" s="15">
        <f t="shared" si="201"/>
        <v>0.25314036644059834</v>
      </c>
      <c r="O4265" s="165">
        <f t="shared" si="202"/>
        <v>0.25314036644059834</v>
      </c>
      <c r="P4265" s="18"/>
      <c r="Q4265" s="18"/>
      <c r="R4265" s="18"/>
      <c r="S4265" s="18"/>
      <c r="T4265" s="18"/>
      <c r="U4265" s="18"/>
      <c r="V4265" s="18"/>
      <c r="W4265" s="18"/>
      <c r="X4265" s="18"/>
    </row>
    <row r="4266" spans="13:24">
      <c r="M4266" s="558">
        <f t="shared" si="203"/>
        <v>4264</v>
      </c>
      <c r="N4266" s="15">
        <f t="shared" si="201"/>
        <v>0.2530863234826019</v>
      </c>
      <c r="O4266" s="165">
        <f t="shared" si="202"/>
        <v>0.2530863234826019</v>
      </c>
      <c r="P4266" s="18"/>
      <c r="Q4266" s="18"/>
      <c r="R4266" s="18"/>
      <c r="S4266" s="18"/>
      <c r="T4266" s="18"/>
      <c r="U4266" s="18"/>
      <c r="V4266" s="18"/>
      <c r="W4266" s="18"/>
      <c r="X4266" s="18"/>
    </row>
    <row r="4267" spans="13:24">
      <c r="M4267" s="558">
        <f t="shared" si="203"/>
        <v>4265</v>
      </c>
      <c r="N4267" s="15">
        <f t="shared" si="201"/>
        <v>0.25303228387912502</v>
      </c>
      <c r="O4267" s="165">
        <f t="shared" si="202"/>
        <v>0.25303228387912502</v>
      </c>
      <c r="P4267" s="18"/>
      <c r="Q4267" s="18"/>
      <c r="R4267" s="18"/>
      <c r="S4267" s="18"/>
      <c r="T4267" s="18"/>
      <c r="U4267" s="18"/>
      <c r="V4267" s="18"/>
      <c r="W4267" s="18"/>
      <c r="X4267" s="18"/>
    </row>
    <row r="4268" spans="13:24">
      <c r="M4268" s="558">
        <f t="shared" si="203"/>
        <v>4266</v>
      </c>
      <c r="N4268" s="15">
        <f t="shared" si="201"/>
        <v>0.252978247625958</v>
      </c>
      <c r="O4268" s="165">
        <f t="shared" si="202"/>
        <v>0.252978247625958</v>
      </c>
      <c r="P4268" s="18"/>
      <c r="Q4268" s="18"/>
      <c r="R4268" s="18"/>
      <c r="S4268" s="18"/>
      <c r="T4268" s="18"/>
      <c r="U4268" s="18"/>
      <c r="V4268" s="18"/>
      <c r="W4268" s="18"/>
      <c r="X4268" s="18"/>
    </row>
    <row r="4269" spans="13:24">
      <c r="M4269" s="558">
        <f t="shared" si="203"/>
        <v>4267</v>
      </c>
      <c r="N4269" s="15">
        <f t="shared" si="201"/>
        <v>0.25292421471889648</v>
      </c>
      <c r="O4269" s="165">
        <f t="shared" si="202"/>
        <v>0.25292421471889648</v>
      </c>
      <c r="P4269" s="18"/>
      <c r="Q4269" s="18"/>
      <c r="R4269" s="18"/>
      <c r="S4269" s="18"/>
      <c r="T4269" s="18"/>
      <c r="U4269" s="18"/>
      <c r="V4269" s="18"/>
      <c r="W4269" s="18"/>
      <c r="X4269" s="18"/>
    </row>
    <row r="4270" spans="13:24">
      <c r="M4270" s="558">
        <f t="shared" si="203"/>
        <v>4268</v>
      </c>
      <c r="N4270" s="15">
        <f t="shared" si="201"/>
        <v>0.25287018515374138</v>
      </c>
      <c r="O4270" s="165">
        <f t="shared" si="202"/>
        <v>0.25287018515374138</v>
      </c>
      <c r="P4270" s="18"/>
      <c r="Q4270" s="18"/>
      <c r="R4270" s="18"/>
      <c r="S4270" s="18"/>
      <c r="T4270" s="18"/>
      <c r="U4270" s="18"/>
      <c r="V4270" s="18"/>
      <c r="W4270" s="18"/>
      <c r="X4270" s="18"/>
    </row>
    <row r="4271" spans="13:24">
      <c r="M4271" s="558">
        <f t="shared" si="203"/>
        <v>4269</v>
      </c>
      <c r="N4271" s="15">
        <f t="shared" si="201"/>
        <v>0.25281615892629894</v>
      </c>
      <c r="O4271" s="165">
        <f t="shared" si="202"/>
        <v>0.25281615892629894</v>
      </c>
      <c r="P4271" s="18"/>
      <c r="Q4271" s="18"/>
      <c r="R4271" s="18"/>
      <c r="S4271" s="18"/>
      <c r="T4271" s="18"/>
      <c r="U4271" s="18"/>
      <c r="V4271" s="18"/>
      <c r="W4271" s="18"/>
      <c r="X4271" s="18"/>
    </row>
    <row r="4272" spans="13:24">
      <c r="M4272" s="558">
        <f t="shared" si="203"/>
        <v>4270</v>
      </c>
      <c r="N4272" s="15">
        <f t="shared" si="201"/>
        <v>0.25276213603238046</v>
      </c>
      <c r="O4272" s="165">
        <f t="shared" si="202"/>
        <v>0.25276213603238046</v>
      </c>
      <c r="P4272" s="18"/>
      <c r="Q4272" s="18"/>
      <c r="R4272" s="18"/>
      <c r="S4272" s="18"/>
      <c r="T4272" s="18"/>
      <c r="U4272" s="18"/>
      <c r="V4272" s="18"/>
      <c r="W4272" s="18"/>
      <c r="X4272" s="18"/>
    </row>
    <row r="4273" spans="13:24">
      <c r="M4273" s="558">
        <f t="shared" si="203"/>
        <v>4271</v>
      </c>
      <c r="N4273" s="15">
        <f t="shared" si="201"/>
        <v>0.25270811646780267</v>
      </c>
      <c r="O4273" s="165">
        <f t="shared" si="202"/>
        <v>0.25270811646780267</v>
      </c>
      <c r="P4273" s="18"/>
      <c r="Q4273" s="18"/>
      <c r="R4273" s="18"/>
      <c r="S4273" s="18"/>
      <c r="T4273" s="18"/>
      <c r="U4273" s="18"/>
      <c r="V4273" s="18"/>
      <c r="W4273" s="18"/>
      <c r="X4273" s="18"/>
    </row>
    <row r="4274" spans="13:24">
      <c r="M4274" s="558">
        <f t="shared" si="203"/>
        <v>4272</v>
      </c>
      <c r="N4274" s="15">
        <f t="shared" si="201"/>
        <v>0.25265410022838763</v>
      </c>
      <c r="O4274" s="165">
        <f t="shared" si="202"/>
        <v>0.25265410022838763</v>
      </c>
      <c r="P4274" s="18"/>
      <c r="Q4274" s="18"/>
      <c r="R4274" s="18"/>
      <c r="S4274" s="18"/>
      <c r="T4274" s="18"/>
      <c r="U4274" s="18"/>
      <c r="V4274" s="18"/>
      <c r="W4274" s="18"/>
      <c r="X4274" s="18"/>
    </row>
    <row r="4275" spans="13:24">
      <c r="M4275" s="558">
        <f t="shared" si="203"/>
        <v>4273</v>
      </c>
      <c r="N4275" s="15">
        <f t="shared" si="201"/>
        <v>0.25260008730996242</v>
      </c>
      <c r="O4275" s="165">
        <f t="shared" si="202"/>
        <v>0.25260008730996242</v>
      </c>
      <c r="P4275" s="18"/>
      <c r="Q4275" s="18"/>
      <c r="R4275" s="18"/>
      <c r="S4275" s="18"/>
      <c r="T4275" s="18"/>
      <c r="U4275" s="18"/>
      <c r="V4275" s="18"/>
      <c r="W4275" s="18"/>
      <c r="X4275" s="18"/>
    </row>
    <row r="4276" spans="13:24">
      <c r="M4276" s="558">
        <f t="shared" si="203"/>
        <v>4274</v>
      </c>
      <c r="N4276" s="15">
        <f t="shared" si="201"/>
        <v>0.25254607770835952</v>
      </c>
      <c r="O4276" s="165">
        <f t="shared" si="202"/>
        <v>0.25254607770835952</v>
      </c>
      <c r="P4276" s="18"/>
      <c r="Q4276" s="18"/>
      <c r="R4276" s="18"/>
      <c r="S4276" s="18"/>
      <c r="T4276" s="18"/>
      <c r="U4276" s="18"/>
      <c r="V4276" s="18"/>
      <c r="W4276" s="18"/>
      <c r="X4276" s="18"/>
    </row>
    <row r="4277" spans="13:24">
      <c r="M4277" s="558">
        <f t="shared" si="203"/>
        <v>4275</v>
      </c>
      <c r="N4277" s="15">
        <f t="shared" si="201"/>
        <v>0.25249207141941649</v>
      </c>
      <c r="O4277" s="165">
        <f t="shared" si="202"/>
        <v>0.25249207141941649</v>
      </c>
      <c r="P4277" s="18"/>
      <c r="Q4277" s="18"/>
      <c r="R4277" s="18"/>
      <c r="S4277" s="18"/>
      <c r="T4277" s="18"/>
      <c r="U4277" s="18"/>
      <c r="V4277" s="18"/>
      <c r="W4277" s="18"/>
      <c r="X4277" s="18"/>
    </row>
    <row r="4278" spans="13:24">
      <c r="M4278" s="558">
        <f t="shared" si="203"/>
        <v>4276</v>
      </c>
      <c r="N4278" s="15">
        <f t="shared" si="201"/>
        <v>0.25243806843897632</v>
      </c>
      <c r="O4278" s="165">
        <f t="shared" si="202"/>
        <v>0.25243806843897632</v>
      </c>
      <c r="P4278" s="18"/>
      <c r="Q4278" s="18"/>
      <c r="R4278" s="18"/>
      <c r="S4278" s="18"/>
      <c r="T4278" s="18"/>
      <c r="U4278" s="18"/>
      <c r="V4278" s="18"/>
      <c r="W4278" s="18"/>
      <c r="X4278" s="18"/>
    </row>
    <row r="4279" spans="13:24">
      <c r="M4279" s="558">
        <f t="shared" si="203"/>
        <v>4277</v>
      </c>
      <c r="N4279" s="15">
        <f t="shared" si="201"/>
        <v>0.25238406876288705</v>
      </c>
      <c r="O4279" s="165">
        <f t="shared" si="202"/>
        <v>0.25238406876288705</v>
      </c>
      <c r="P4279" s="18"/>
      <c r="Q4279" s="18"/>
      <c r="R4279" s="18"/>
      <c r="S4279" s="18"/>
      <c r="T4279" s="18"/>
      <c r="U4279" s="18"/>
      <c r="V4279" s="18"/>
      <c r="W4279" s="18"/>
      <c r="X4279" s="18"/>
    </row>
    <row r="4280" spans="13:24">
      <c r="M4280" s="558">
        <f t="shared" si="203"/>
        <v>4278</v>
      </c>
      <c r="N4280" s="15">
        <f t="shared" si="201"/>
        <v>0.252330072387002</v>
      </c>
      <c r="O4280" s="165">
        <f t="shared" si="202"/>
        <v>0.252330072387002</v>
      </c>
      <c r="P4280" s="18"/>
      <c r="Q4280" s="18"/>
      <c r="R4280" s="18"/>
      <c r="S4280" s="18"/>
      <c r="T4280" s="18"/>
      <c r="U4280" s="18"/>
      <c r="V4280" s="18"/>
      <c r="W4280" s="18"/>
      <c r="X4280" s="18"/>
    </row>
    <row r="4281" spans="13:24">
      <c r="M4281" s="558">
        <f t="shared" si="203"/>
        <v>4279</v>
      </c>
      <c r="N4281" s="15">
        <f t="shared" si="201"/>
        <v>0.2522760793071796</v>
      </c>
      <c r="O4281" s="165">
        <f t="shared" si="202"/>
        <v>0.2522760793071796</v>
      </c>
      <c r="P4281" s="18"/>
      <c r="Q4281" s="18"/>
      <c r="R4281" s="18"/>
      <c r="S4281" s="18"/>
      <c r="T4281" s="18"/>
      <c r="U4281" s="18"/>
      <c r="V4281" s="18"/>
      <c r="W4281" s="18"/>
      <c r="X4281" s="18"/>
    </row>
    <row r="4282" spans="13:24">
      <c r="M4282" s="558">
        <f t="shared" si="203"/>
        <v>4280</v>
      </c>
      <c r="N4282" s="15">
        <f t="shared" si="201"/>
        <v>0.25222208951928371</v>
      </c>
      <c r="O4282" s="165">
        <f t="shared" si="202"/>
        <v>0.25222208951928371</v>
      </c>
      <c r="P4282" s="18"/>
      <c r="Q4282" s="18"/>
      <c r="R4282" s="18"/>
      <c r="S4282" s="18"/>
      <c r="T4282" s="18"/>
      <c r="U4282" s="18"/>
      <c r="V4282" s="18"/>
      <c r="W4282" s="18"/>
      <c r="X4282" s="18"/>
    </row>
    <row r="4283" spans="13:24">
      <c r="M4283" s="558">
        <f t="shared" si="203"/>
        <v>4281</v>
      </c>
      <c r="N4283" s="15">
        <f t="shared" si="201"/>
        <v>0.25216810301918313</v>
      </c>
      <c r="O4283" s="165">
        <f t="shared" si="202"/>
        <v>0.25216810301918313</v>
      </c>
      <c r="P4283" s="18"/>
      <c r="Q4283" s="18"/>
      <c r="R4283" s="18"/>
      <c r="S4283" s="18"/>
      <c r="T4283" s="18"/>
      <c r="U4283" s="18"/>
      <c r="V4283" s="18"/>
      <c r="W4283" s="18"/>
      <c r="X4283" s="18"/>
    </row>
    <row r="4284" spans="13:24">
      <c r="M4284" s="558">
        <f t="shared" si="203"/>
        <v>4282</v>
      </c>
      <c r="N4284" s="15">
        <f t="shared" si="201"/>
        <v>0.25211411980275189</v>
      </c>
      <c r="O4284" s="165">
        <f t="shared" si="202"/>
        <v>0.25211411980275189</v>
      </c>
      <c r="P4284" s="18"/>
      <c r="Q4284" s="18"/>
      <c r="R4284" s="18"/>
      <c r="S4284" s="18"/>
      <c r="T4284" s="18"/>
      <c r="U4284" s="18"/>
      <c r="V4284" s="18"/>
      <c r="W4284" s="18"/>
      <c r="X4284" s="18"/>
    </row>
    <row r="4285" spans="13:24">
      <c r="M4285" s="558">
        <f t="shared" si="203"/>
        <v>4283</v>
      </c>
      <c r="N4285" s="15">
        <f t="shared" si="201"/>
        <v>0.25206013986586939</v>
      </c>
      <c r="O4285" s="165">
        <f t="shared" si="202"/>
        <v>0.25206013986586939</v>
      </c>
      <c r="P4285" s="18"/>
      <c r="Q4285" s="18"/>
      <c r="R4285" s="18"/>
      <c r="S4285" s="18"/>
      <c r="T4285" s="18"/>
      <c r="U4285" s="18"/>
      <c r="V4285" s="18"/>
      <c r="W4285" s="18"/>
      <c r="X4285" s="18"/>
    </row>
    <row r="4286" spans="13:24">
      <c r="M4286" s="558">
        <f t="shared" si="203"/>
        <v>4284</v>
      </c>
      <c r="N4286" s="15">
        <f t="shared" si="201"/>
        <v>0.25200616320441999</v>
      </c>
      <c r="O4286" s="165">
        <f t="shared" si="202"/>
        <v>0.25200616320441999</v>
      </c>
      <c r="P4286" s="18"/>
      <c r="Q4286" s="18"/>
      <c r="R4286" s="18"/>
      <c r="S4286" s="18"/>
      <c r="T4286" s="18"/>
      <c r="U4286" s="18"/>
      <c r="V4286" s="18"/>
      <c r="W4286" s="18"/>
      <c r="X4286" s="18"/>
    </row>
    <row r="4287" spans="13:24">
      <c r="M4287" s="558">
        <f t="shared" si="203"/>
        <v>4285</v>
      </c>
      <c r="N4287" s="15">
        <f t="shared" si="201"/>
        <v>0.25195218981429324</v>
      </c>
      <c r="O4287" s="165">
        <f t="shared" si="202"/>
        <v>0.25195218981429324</v>
      </c>
      <c r="P4287" s="18"/>
      <c r="Q4287" s="18"/>
      <c r="R4287" s="18"/>
      <c r="S4287" s="18"/>
      <c r="T4287" s="18"/>
      <c r="U4287" s="18"/>
      <c r="V4287" s="18"/>
      <c r="W4287" s="18"/>
      <c r="X4287" s="18"/>
    </row>
    <row r="4288" spans="13:24">
      <c r="M4288" s="558">
        <f t="shared" si="203"/>
        <v>4286</v>
      </c>
      <c r="N4288" s="15">
        <f t="shared" si="201"/>
        <v>0.25189821969138393</v>
      </c>
      <c r="O4288" s="165">
        <f t="shared" si="202"/>
        <v>0.25189821969138393</v>
      </c>
      <c r="P4288" s="18"/>
      <c r="Q4288" s="18"/>
      <c r="R4288" s="18"/>
      <c r="S4288" s="18"/>
      <c r="T4288" s="18"/>
      <c r="U4288" s="18"/>
      <c r="V4288" s="18"/>
      <c r="W4288" s="18"/>
      <c r="X4288" s="18"/>
    </row>
    <row r="4289" spans="13:24">
      <c r="M4289" s="558">
        <f t="shared" si="203"/>
        <v>4287</v>
      </c>
      <c r="N4289" s="15">
        <f t="shared" si="201"/>
        <v>0.25184425283159201</v>
      </c>
      <c r="O4289" s="165">
        <f t="shared" si="202"/>
        <v>0.25184425283159201</v>
      </c>
      <c r="P4289" s="18"/>
      <c r="Q4289" s="18"/>
      <c r="R4289" s="18"/>
      <c r="S4289" s="18"/>
      <c r="T4289" s="18"/>
      <c r="U4289" s="18"/>
      <c r="V4289" s="18"/>
      <c r="W4289" s="18"/>
      <c r="X4289" s="18"/>
    </row>
    <row r="4290" spans="13:24">
      <c r="M4290" s="558">
        <f t="shared" si="203"/>
        <v>4288</v>
      </c>
      <c r="N4290" s="15">
        <f t="shared" si="201"/>
        <v>0.25179028923082242</v>
      </c>
      <c r="O4290" s="165">
        <f t="shared" si="202"/>
        <v>0.25179028923082242</v>
      </c>
      <c r="P4290" s="18"/>
      <c r="Q4290" s="18"/>
      <c r="R4290" s="18"/>
      <c r="S4290" s="18"/>
      <c r="T4290" s="18"/>
      <c r="U4290" s="18"/>
      <c r="V4290" s="18"/>
      <c r="W4290" s="18"/>
      <c r="X4290" s="18"/>
    </row>
    <row r="4291" spans="13:24">
      <c r="M4291" s="558">
        <f t="shared" si="203"/>
        <v>4289</v>
      </c>
      <c r="N4291" s="15">
        <f t="shared" si="201"/>
        <v>0.25173632888498548</v>
      </c>
      <c r="O4291" s="165">
        <f t="shared" si="202"/>
        <v>0.25173632888498548</v>
      </c>
      <c r="P4291" s="18"/>
      <c r="Q4291" s="18"/>
      <c r="R4291" s="18"/>
      <c r="S4291" s="18"/>
      <c r="T4291" s="18"/>
      <c r="U4291" s="18"/>
      <c r="V4291" s="18"/>
      <c r="W4291" s="18"/>
      <c r="X4291" s="18"/>
    </row>
    <row r="4292" spans="13:24">
      <c r="M4292" s="558">
        <f t="shared" si="203"/>
        <v>4290</v>
      </c>
      <c r="N4292" s="15">
        <f t="shared" ref="N4292:N4355" si="204">IF(M4292&lt;$B$31+1,$B$32+$B$33/$B$31*(8760-M4292)+$B$34*IF(M4292&lt;$B$36-$B$31/(2*$B$35),1,IF(M4292&lt;$B$36+$B$31/(2*$B$35),COS(PI()/2*(M4292-($B$36-$B$31/(2*$B$35)))*$B$35/$B$31)^2,0))+$B$37*EXP((8760-M4292)/8760*$B$38)/EXP($B$38)-(8760-$B$31)*$B$33/$B$31,0)</f>
        <v>0.25168237178999642</v>
      </c>
      <c r="O4292" s="165">
        <f t="shared" ref="O4292:O4355" si="205">MIN(N4292,C$24)</f>
        <v>0.25168237178999642</v>
      </c>
      <c r="P4292" s="18"/>
      <c r="Q4292" s="18"/>
      <c r="R4292" s="18"/>
      <c r="S4292" s="18"/>
      <c r="T4292" s="18"/>
      <c r="U4292" s="18"/>
      <c r="V4292" s="18"/>
      <c r="W4292" s="18"/>
      <c r="X4292" s="18"/>
    </row>
    <row r="4293" spans="13:24">
      <c r="M4293" s="558">
        <f t="shared" ref="M4293:M4356" si="206">M4292+1</f>
        <v>4291</v>
      </c>
      <c r="N4293" s="15">
        <f t="shared" si="204"/>
        <v>0.25162841794177571</v>
      </c>
      <c r="O4293" s="165">
        <f t="shared" si="205"/>
        <v>0.25162841794177571</v>
      </c>
      <c r="P4293" s="18"/>
      <c r="Q4293" s="18"/>
      <c r="R4293" s="18"/>
      <c r="S4293" s="18"/>
      <c r="T4293" s="18"/>
      <c r="U4293" s="18"/>
      <c r="V4293" s="18"/>
      <c r="W4293" s="18"/>
      <c r="X4293" s="18"/>
    </row>
    <row r="4294" spans="13:24">
      <c r="M4294" s="558">
        <f t="shared" si="206"/>
        <v>4292</v>
      </c>
      <c r="N4294" s="15">
        <f t="shared" si="204"/>
        <v>0.25157446733624889</v>
      </c>
      <c r="O4294" s="165">
        <f t="shared" si="205"/>
        <v>0.25157446733624889</v>
      </c>
      <c r="P4294" s="18"/>
      <c r="Q4294" s="18"/>
      <c r="R4294" s="18"/>
      <c r="S4294" s="18"/>
      <c r="T4294" s="18"/>
      <c r="U4294" s="18"/>
      <c r="V4294" s="18"/>
      <c r="W4294" s="18"/>
      <c r="X4294" s="18"/>
    </row>
    <row r="4295" spans="13:24">
      <c r="M4295" s="558">
        <f t="shared" si="206"/>
        <v>4293</v>
      </c>
      <c r="N4295" s="15">
        <f t="shared" si="204"/>
        <v>0.25152051996934671</v>
      </c>
      <c r="O4295" s="165">
        <f t="shared" si="205"/>
        <v>0.25152051996934671</v>
      </c>
      <c r="P4295" s="18"/>
      <c r="Q4295" s="18"/>
      <c r="R4295" s="18"/>
      <c r="S4295" s="18"/>
      <c r="T4295" s="18"/>
      <c r="U4295" s="18"/>
      <c r="V4295" s="18"/>
      <c r="W4295" s="18"/>
      <c r="X4295" s="18"/>
    </row>
    <row r="4296" spans="13:24">
      <c r="M4296" s="558">
        <f t="shared" si="206"/>
        <v>4294</v>
      </c>
      <c r="N4296" s="15">
        <f t="shared" si="204"/>
        <v>0.25146657583700494</v>
      </c>
      <c r="O4296" s="165">
        <f t="shared" si="205"/>
        <v>0.25146657583700494</v>
      </c>
      <c r="P4296" s="18"/>
      <c r="Q4296" s="18"/>
      <c r="R4296" s="18"/>
      <c r="S4296" s="18"/>
      <c r="T4296" s="18"/>
      <c r="U4296" s="18"/>
      <c r="V4296" s="18"/>
      <c r="W4296" s="18"/>
      <c r="X4296" s="18"/>
    </row>
    <row r="4297" spans="13:24">
      <c r="M4297" s="558">
        <f t="shared" si="206"/>
        <v>4295</v>
      </c>
      <c r="N4297" s="15">
        <f t="shared" si="204"/>
        <v>0.25141263493516441</v>
      </c>
      <c r="O4297" s="165">
        <f t="shared" si="205"/>
        <v>0.25141263493516441</v>
      </c>
      <c r="P4297" s="18"/>
      <c r="Q4297" s="18"/>
      <c r="R4297" s="18"/>
      <c r="S4297" s="18"/>
      <c r="T4297" s="18"/>
      <c r="U4297" s="18"/>
      <c r="V4297" s="18"/>
      <c r="W4297" s="18"/>
      <c r="X4297" s="18"/>
    </row>
    <row r="4298" spans="13:24">
      <c r="M4298" s="558">
        <f t="shared" si="206"/>
        <v>4296</v>
      </c>
      <c r="N4298" s="15">
        <f t="shared" si="204"/>
        <v>0.25135869725977111</v>
      </c>
      <c r="O4298" s="165">
        <f t="shared" si="205"/>
        <v>0.25135869725977111</v>
      </c>
      <c r="P4298" s="18"/>
      <c r="Q4298" s="18"/>
      <c r="R4298" s="18"/>
      <c r="S4298" s="18"/>
      <c r="T4298" s="18"/>
      <c r="U4298" s="18"/>
      <c r="V4298" s="18"/>
      <c r="W4298" s="18"/>
      <c r="X4298" s="18"/>
    </row>
    <row r="4299" spans="13:24">
      <c r="M4299" s="558">
        <f t="shared" si="206"/>
        <v>4297</v>
      </c>
      <c r="N4299" s="15">
        <f t="shared" si="204"/>
        <v>0.25130476280677616</v>
      </c>
      <c r="O4299" s="165">
        <f t="shared" si="205"/>
        <v>0.25130476280677616</v>
      </c>
      <c r="P4299" s="18"/>
      <c r="Q4299" s="18"/>
      <c r="R4299" s="18"/>
      <c r="S4299" s="18"/>
      <c r="T4299" s="18"/>
      <c r="U4299" s="18"/>
      <c r="V4299" s="18"/>
      <c r="W4299" s="18"/>
      <c r="X4299" s="18"/>
    </row>
    <row r="4300" spans="13:24">
      <c r="M4300" s="558">
        <f t="shared" si="206"/>
        <v>4298</v>
      </c>
      <c r="N4300" s="15">
        <f t="shared" si="204"/>
        <v>0.25125083157213562</v>
      </c>
      <c r="O4300" s="165">
        <f t="shared" si="205"/>
        <v>0.25125083157213562</v>
      </c>
      <c r="P4300" s="18"/>
      <c r="Q4300" s="18"/>
      <c r="R4300" s="18"/>
      <c r="S4300" s="18"/>
      <c r="T4300" s="18"/>
      <c r="U4300" s="18"/>
      <c r="V4300" s="18"/>
      <c r="W4300" s="18"/>
      <c r="X4300" s="18"/>
    </row>
    <row r="4301" spans="13:24">
      <c r="M4301" s="558">
        <f t="shared" si="206"/>
        <v>4299</v>
      </c>
      <c r="N4301" s="15">
        <f t="shared" si="204"/>
        <v>0.25119690355181079</v>
      </c>
      <c r="O4301" s="165">
        <f t="shared" si="205"/>
        <v>0.25119690355181079</v>
      </c>
      <c r="P4301" s="18"/>
      <c r="Q4301" s="18"/>
      <c r="R4301" s="18"/>
      <c r="S4301" s="18"/>
      <c r="T4301" s="18"/>
      <c r="U4301" s="18"/>
      <c r="V4301" s="18"/>
      <c r="W4301" s="18"/>
      <c r="X4301" s="18"/>
    </row>
    <row r="4302" spans="13:24">
      <c r="M4302" s="558">
        <f t="shared" si="206"/>
        <v>4300</v>
      </c>
      <c r="N4302" s="15">
        <f t="shared" si="204"/>
        <v>0.251142978741768</v>
      </c>
      <c r="O4302" s="165">
        <f t="shared" si="205"/>
        <v>0.251142978741768</v>
      </c>
      <c r="P4302" s="18"/>
      <c r="Q4302" s="18"/>
      <c r="R4302" s="18"/>
      <c r="S4302" s="18"/>
      <c r="T4302" s="18"/>
      <c r="U4302" s="18"/>
      <c r="V4302" s="18"/>
      <c r="W4302" s="18"/>
      <c r="X4302" s="18"/>
    </row>
    <row r="4303" spans="13:24">
      <c r="M4303" s="558">
        <f t="shared" si="206"/>
        <v>4301</v>
      </c>
      <c r="N4303" s="15">
        <f t="shared" si="204"/>
        <v>0.25108905713797847</v>
      </c>
      <c r="O4303" s="165">
        <f t="shared" si="205"/>
        <v>0.25108905713797847</v>
      </c>
      <c r="P4303" s="18"/>
      <c r="Q4303" s="18"/>
      <c r="R4303" s="18"/>
      <c r="S4303" s="18"/>
      <c r="T4303" s="18"/>
      <c r="U4303" s="18"/>
      <c r="V4303" s="18"/>
      <c r="W4303" s="18"/>
      <c r="X4303" s="18"/>
    </row>
    <row r="4304" spans="13:24">
      <c r="M4304" s="558">
        <f t="shared" si="206"/>
        <v>4302</v>
      </c>
      <c r="N4304" s="15">
        <f t="shared" si="204"/>
        <v>0.25103513873641875</v>
      </c>
      <c r="O4304" s="165">
        <f t="shared" si="205"/>
        <v>0.25103513873641875</v>
      </c>
      <c r="P4304" s="18"/>
      <c r="Q4304" s="18"/>
      <c r="R4304" s="18"/>
      <c r="S4304" s="18"/>
      <c r="T4304" s="18"/>
      <c r="U4304" s="18"/>
      <c r="V4304" s="18"/>
      <c r="W4304" s="18"/>
      <c r="X4304" s="18"/>
    </row>
    <row r="4305" spans="13:24">
      <c r="M4305" s="558">
        <f t="shared" si="206"/>
        <v>4303</v>
      </c>
      <c r="N4305" s="15">
        <f t="shared" si="204"/>
        <v>0.25098122353307023</v>
      </c>
      <c r="O4305" s="165">
        <f t="shared" si="205"/>
        <v>0.25098122353307023</v>
      </c>
      <c r="P4305" s="18"/>
      <c r="Q4305" s="18"/>
      <c r="R4305" s="18"/>
      <c r="S4305" s="18"/>
      <c r="T4305" s="18"/>
      <c r="U4305" s="18"/>
      <c r="V4305" s="18"/>
      <c r="W4305" s="18"/>
      <c r="X4305" s="18"/>
    </row>
    <row r="4306" spans="13:24">
      <c r="M4306" s="558">
        <f t="shared" si="206"/>
        <v>4304</v>
      </c>
      <c r="N4306" s="15">
        <f t="shared" si="204"/>
        <v>0.25092731152391939</v>
      </c>
      <c r="O4306" s="165">
        <f t="shared" si="205"/>
        <v>0.25092731152391939</v>
      </c>
      <c r="P4306" s="18"/>
      <c r="Q4306" s="18"/>
      <c r="R4306" s="18"/>
      <c r="S4306" s="18"/>
      <c r="T4306" s="18"/>
      <c r="U4306" s="18"/>
      <c r="V4306" s="18"/>
      <c r="W4306" s="18"/>
      <c r="X4306" s="18"/>
    </row>
    <row r="4307" spans="13:24">
      <c r="M4307" s="558">
        <f t="shared" si="206"/>
        <v>4305</v>
      </c>
      <c r="N4307" s="15">
        <f t="shared" si="204"/>
        <v>0.25087340270495784</v>
      </c>
      <c r="O4307" s="165">
        <f t="shared" si="205"/>
        <v>0.25087340270495784</v>
      </c>
      <c r="P4307" s="18"/>
      <c r="Q4307" s="18"/>
      <c r="R4307" s="18"/>
      <c r="S4307" s="18"/>
      <c r="T4307" s="18"/>
      <c r="U4307" s="18"/>
      <c r="V4307" s="18"/>
      <c r="W4307" s="18"/>
      <c r="X4307" s="18"/>
    </row>
    <row r="4308" spans="13:24">
      <c r="M4308" s="558">
        <f t="shared" si="206"/>
        <v>4306</v>
      </c>
      <c r="N4308" s="15">
        <f t="shared" si="204"/>
        <v>0.25081949707218204</v>
      </c>
      <c r="O4308" s="165">
        <f t="shared" si="205"/>
        <v>0.25081949707218204</v>
      </c>
      <c r="P4308" s="18"/>
      <c r="Q4308" s="18"/>
      <c r="R4308" s="18"/>
      <c r="S4308" s="18"/>
      <c r="T4308" s="18"/>
      <c r="U4308" s="18"/>
      <c r="V4308" s="18"/>
      <c r="W4308" s="18"/>
      <c r="X4308" s="18"/>
    </row>
    <row r="4309" spans="13:24">
      <c r="M4309" s="558">
        <f t="shared" si="206"/>
        <v>4307</v>
      </c>
      <c r="N4309" s="15">
        <f t="shared" si="204"/>
        <v>0.2507655946215937</v>
      </c>
      <c r="O4309" s="165">
        <f t="shared" si="205"/>
        <v>0.2507655946215937</v>
      </c>
      <c r="P4309" s="18"/>
      <c r="Q4309" s="18"/>
      <c r="R4309" s="18"/>
      <c r="S4309" s="18"/>
      <c r="T4309" s="18"/>
      <c r="U4309" s="18"/>
      <c r="V4309" s="18"/>
      <c r="W4309" s="18"/>
      <c r="X4309" s="18"/>
    </row>
    <row r="4310" spans="13:24">
      <c r="M4310" s="558">
        <f t="shared" si="206"/>
        <v>4308</v>
      </c>
      <c r="N4310" s="15">
        <f t="shared" si="204"/>
        <v>0.25071169534919935</v>
      </c>
      <c r="O4310" s="165">
        <f t="shared" si="205"/>
        <v>0.25071169534919935</v>
      </c>
      <c r="P4310" s="18"/>
      <c r="Q4310" s="18"/>
      <c r="R4310" s="18"/>
      <c r="S4310" s="18"/>
      <c r="T4310" s="18"/>
      <c r="U4310" s="18"/>
      <c r="V4310" s="18"/>
      <c r="W4310" s="18"/>
      <c r="X4310" s="18"/>
    </row>
    <row r="4311" spans="13:24">
      <c r="M4311" s="558">
        <f t="shared" si="206"/>
        <v>4309</v>
      </c>
      <c r="N4311" s="15">
        <f t="shared" si="204"/>
        <v>0.25065779925101067</v>
      </c>
      <c r="O4311" s="165">
        <f t="shared" si="205"/>
        <v>0.25065779925101067</v>
      </c>
      <c r="P4311" s="18"/>
      <c r="Q4311" s="18"/>
      <c r="R4311" s="18"/>
      <c r="S4311" s="18"/>
      <c r="T4311" s="18"/>
      <c r="U4311" s="18"/>
      <c r="V4311" s="18"/>
      <c r="W4311" s="18"/>
      <c r="X4311" s="18"/>
    </row>
    <row r="4312" spans="13:24">
      <c r="M4312" s="558">
        <f t="shared" si="206"/>
        <v>4310</v>
      </c>
      <c r="N4312" s="15">
        <f t="shared" si="204"/>
        <v>0.25060390632304425</v>
      </c>
      <c r="O4312" s="165">
        <f t="shared" si="205"/>
        <v>0.25060390632304425</v>
      </c>
      <c r="P4312" s="18"/>
      <c r="Q4312" s="18"/>
      <c r="R4312" s="18"/>
      <c r="S4312" s="18"/>
      <c r="T4312" s="18"/>
      <c r="U4312" s="18"/>
      <c r="V4312" s="18"/>
      <c r="W4312" s="18"/>
      <c r="X4312" s="18"/>
    </row>
    <row r="4313" spans="13:24">
      <c r="M4313" s="558">
        <f t="shared" si="206"/>
        <v>4311</v>
      </c>
      <c r="N4313" s="15">
        <f t="shared" si="204"/>
        <v>0.2505500165613217</v>
      </c>
      <c r="O4313" s="165">
        <f t="shared" si="205"/>
        <v>0.2505500165613217</v>
      </c>
      <c r="P4313" s="18"/>
      <c r="Q4313" s="18"/>
      <c r="R4313" s="18"/>
      <c r="S4313" s="18"/>
      <c r="T4313" s="18"/>
      <c r="U4313" s="18"/>
      <c r="V4313" s="18"/>
      <c r="W4313" s="18"/>
      <c r="X4313" s="18"/>
    </row>
    <row r="4314" spans="13:24">
      <c r="M4314" s="558">
        <f t="shared" si="206"/>
        <v>4312</v>
      </c>
      <c r="N4314" s="15">
        <f t="shared" si="204"/>
        <v>0.25049612996186965</v>
      </c>
      <c r="O4314" s="165">
        <f t="shared" si="205"/>
        <v>0.25049612996186965</v>
      </c>
      <c r="P4314" s="18"/>
      <c r="Q4314" s="18"/>
      <c r="R4314" s="18"/>
      <c r="S4314" s="18"/>
      <c r="T4314" s="18"/>
      <c r="U4314" s="18"/>
      <c r="V4314" s="18"/>
      <c r="W4314" s="18"/>
      <c r="X4314" s="18"/>
    </row>
    <row r="4315" spans="13:24">
      <c r="M4315" s="558">
        <f t="shared" si="206"/>
        <v>4313</v>
      </c>
      <c r="N4315" s="15">
        <f t="shared" si="204"/>
        <v>0.25044224652071972</v>
      </c>
      <c r="O4315" s="165">
        <f t="shared" si="205"/>
        <v>0.25044224652071972</v>
      </c>
      <c r="P4315" s="18"/>
      <c r="Q4315" s="18"/>
      <c r="R4315" s="18"/>
      <c r="S4315" s="18"/>
      <c r="T4315" s="18"/>
      <c r="U4315" s="18"/>
      <c r="V4315" s="18"/>
      <c r="W4315" s="18"/>
      <c r="X4315" s="18"/>
    </row>
    <row r="4316" spans="13:24">
      <c r="M4316" s="558">
        <f t="shared" si="206"/>
        <v>4314</v>
      </c>
      <c r="N4316" s="15">
        <f t="shared" si="204"/>
        <v>0.25038836623390848</v>
      </c>
      <c r="O4316" s="165">
        <f t="shared" si="205"/>
        <v>0.25038836623390848</v>
      </c>
      <c r="P4316" s="18"/>
      <c r="Q4316" s="18"/>
      <c r="R4316" s="18"/>
      <c r="S4316" s="18"/>
      <c r="T4316" s="18"/>
      <c r="U4316" s="18"/>
      <c r="V4316" s="18"/>
      <c r="W4316" s="18"/>
      <c r="X4316" s="18"/>
    </row>
    <row r="4317" spans="13:24">
      <c r="M4317" s="558">
        <f t="shared" si="206"/>
        <v>4315</v>
      </c>
      <c r="N4317" s="15">
        <f t="shared" si="204"/>
        <v>0.25033448909747757</v>
      </c>
      <c r="O4317" s="165">
        <f t="shared" si="205"/>
        <v>0.25033448909747757</v>
      </c>
      <c r="P4317" s="18"/>
      <c r="Q4317" s="18"/>
      <c r="R4317" s="18"/>
      <c r="S4317" s="18"/>
      <c r="T4317" s="18"/>
      <c r="U4317" s="18"/>
      <c r="V4317" s="18"/>
      <c r="W4317" s="18"/>
      <c r="X4317" s="18"/>
    </row>
    <row r="4318" spans="13:24">
      <c r="M4318" s="558">
        <f t="shared" si="206"/>
        <v>4316</v>
      </c>
      <c r="N4318" s="15">
        <f t="shared" si="204"/>
        <v>0.25028061510747335</v>
      </c>
      <c r="O4318" s="165">
        <f t="shared" si="205"/>
        <v>0.25028061510747335</v>
      </c>
      <c r="P4318" s="18"/>
      <c r="Q4318" s="18"/>
      <c r="R4318" s="18"/>
      <c r="S4318" s="18"/>
      <c r="T4318" s="18"/>
      <c r="U4318" s="18"/>
      <c r="V4318" s="18"/>
      <c r="W4318" s="18"/>
      <c r="X4318" s="18"/>
    </row>
    <row r="4319" spans="13:24">
      <c r="M4319" s="558">
        <f t="shared" si="206"/>
        <v>4317</v>
      </c>
      <c r="N4319" s="15">
        <f t="shared" si="204"/>
        <v>0.25022674425994745</v>
      </c>
      <c r="O4319" s="165">
        <f t="shared" si="205"/>
        <v>0.25022674425994745</v>
      </c>
      <c r="P4319" s="18"/>
      <c r="Q4319" s="18"/>
      <c r="R4319" s="18"/>
      <c r="S4319" s="18"/>
      <c r="T4319" s="18"/>
      <c r="U4319" s="18"/>
      <c r="V4319" s="18"/>
      <c r="W4319" s="18"/>
      <c r="X4319" s="18"/>
    </row>
    <row r="4320" spans="13:24">
      <c r="M4320" s="558">
        <f t="shared" si="206"/>
        <v>4318</v>
      </c>
      <c r="N4320" s="15">
        <f t="shared" si="204"/>
        <v>0.25017287655095627</v>
      </c>
      <c r="O4320" s="165">
        <f t="shared" si="205"/>
        <v>0.25017287655095627</v>
      </c>
      <c r="P4320" s="18"/>
      <c r="Q4320" s="18"/>
      <c r="R4320" s="18"/>
      <c r="S4320" s="18"/>
      <c r="T4320" s="18"/>
      <c r="U4320" s="18"/>
      <c r="V4320" s="18"/>
      <c r="W4320" s="18"/>
      <c r="X4320" s="18"/>
    </row>
    <row r="4321" spans="13:24">
      <c r="M4321" s="558">
        <f t="shared" si="206"/>
        <v>4319</v>
      </c>
      <c r="N4321" s="15">
        <f t="shared" si="204"/>
        <v>0.25011901197656117</v>
      </c>
      <c r="O4321" s="165">
        <f t="shared" si="205"/>
        <v>0.25011901197656117</v>
      </c>
      <c r="P4321" s="18"/>
      <c r="Q4321" s="18"/>
      <c r="R4321" s="18"/>
      <c r="S4321" s="18"/>
      <c r="T4321" s="18"/>
      <c r="U4321" s="18"/>
      <c r="V4321" s="18"/>
      <c r="W4321" s="18"/>
      <c r="X4321" s="18"/>
    </row>
    <row r="4322" spans="13:24">
      <c r="M4322" s="558">
        <f t="shared" si="206"/>
        <v>4320</v>
      </c>
      <c r="N4322" s="15">
        <f t="shared" si="204"/>
        <v>0.25006515053282852</v>
      </c>
      <c r="O4322" s="165">
        <f t="shared" si="205"/>
        <v>0.25006515053282852</v>
      </c>
      <c r="P4322" s="18"/>
      <c r="Q4322" s="18"/>
      <c r="R4322" s="18"/>
      <c r="S4322" s="18"/>
      <c r="T4322" s="18"/>
      <c r="U4322" s="18"/>
      <c r="V4322" s="18"/>
      <c r="W4322" s="18"/>
      <c r="X4322" s="18"/>
    </row>
    <row r="4323" spans="13:24">
      <c r="M4323" s="558">
        <f t="shared" si="206"/>
        <v>4321</v>
      </c>
      <c r="N4323" s="15">
        <f t="shared" si="204"/>
        <v>0.25001129221582957</v>
      </c>
      <c r="O4323" s="165">
        <f t="shared" si="205"/>
        <v>0.25001129221582957</v>
      </c>
      <c r="P4323" s="18"/>
      <c r="Q4323" s="18"/>
      <c r="R4323" s="18"/>
      <c r="S4323" s="18"/>
      <c r="T4323" s="18"/>
      <c r="U4323" s="18"/>
      <c r="V4323" s="18"/>
      <c r="W4323" s="18"/>
      <c r="X4323" s="18"/>
    </row>
    <row r="4324" spans="13:24">
      <c r="M4324" s="558">
        <f t="shared" si="206"/>
        <v>4322</v>
      </c>
      <c r="N4324" s="15">
        <f t="shared" si="204"/>
        <v>0.24995743702164053</v>
      </c>
      <c r="O4324" s="165">
        <f t="shared" si="205"/>
        <v>0.24995743702164053</v>
      </c>
      <c r="P4324" s="18"/>
      <c r="Q4324" s="18"/>
      <c r="R4324" s="18"/>
      <c r="S4324" s="18"/>
      <c r="T4324" s="18"/>
      <c r="U4324" s="18"/>
      <c r="V4324" s="18"/>
      <c r="W4324" s="18"/>
      <c r="X4324" s="18"/>
    </row>
    <row r="4325" spans="13:24">
      <c r="M4325" s="558">
        <f t="shared" si="206"/>
        <v>4323</v>
      </c>
      <c r="N4325" s="15">
        <f t="shared" si="204"/>
        <v>0.24990358494634254</v>
      </c>
      <c r="O4325" s="165">
        <f t="shared" si="205"/>
        <v>0.24990358494634254</v>
      </c>
      <c r="P4325" s="18"/>
      <c r="Q4325" s="18"/>
      <c r="R4325" s="18"/>
      <c r="S4325" s="18"/>
      <c r="T4325" s="18"/>
      <c r="U4325" s="18"/>
      <c r="V4325" s="18"/>
      <c r="W4325" s="18"/>
      <c r="X4325" s="18"/>
    </row>
    <row r="4326" spans="13:24">
      <c r="M4326" s="558">
        <f t="shared" si="206"/>
        <v>4324</v>
      </c>
      <c r="N4326" s="15">
        <f t="shared" si="204"/>
        <v>0.24984973598602159</v>
      </c>
      <c r="O4326" s="165">
        <f t="shared" si="205"/>
        <v>0.24984973598602159</v>
      </c>
      <c r="P4326" s="18"/>
      <c r="Q4326" s="18"/>
      <c r="R4326" s="18"/>
      <c r="S4326" s="18"/>
      <c r="T4326" s="18"/>
      <c r="U4326" s="18"/>
      <c r="V4326" s="18"/>
      <c r="W4326" s="18"/>
      <c r="X4326" s="18"/>
    </row>
    <row r="4327" spans="13:24">
      <c r="M4327" s="558">
        <f t="shared" si="206"/>
        <v>4325</v>
      </c>
      <c r="N4327" s="15">
        <f t="shared" si="204"/>
        <v>0.2497958901367687</v>
      </c>
      <c r="O4327" s="165">
        <f t="shared" si="205"/>
        <v>0.2497958901367687</v>
      </c>
      <c r="P4327" s="18"/>
      <c r="Q4327" s="18"/>
      <c r="R4327" s="18"/>
      <c r="S4327" s="18"/>
      <c r="T4327" s="18"/>
      <c r="U4327" s="18"/>
      <c r="V4327" s="18"/>
      <c r="W4327" s="18"/>
      <c r="X4327" s="18"/>
    </row>
    <row r="4328" spans="13:24">
      <c r="M4328" s="558">
        <f t="shared" si="206"/>
        <v>4326</v>
      </c>
      <c r="N4328" s="15">
        <f t="shared" si="204"/>
        <v>0.24974204739467967</v>
      </c>
      <c r="O4328" s="165">
        <f t="shared" si="205"/>
        <v>0.24974204739467967</v>
      </c>
      <c r="P4328" s="18"/>
      <c r="Q4328" s="18"/>
      <c r="R4328" s="18"/>
      <c r="S4328" s="18"/>
      <c r="T4328" s="18"/>
      <c r="U4328" s="18"/>
      <c r="V4328" s="18"/>
      <c r="W4328" s="18"/>
      <c r="X4328" s="18"/>
    </row>
    <row r="4329" spans="13:24">
      <c r="M4329" s="558">
        <f t="shared" si="206"/>
        <v>4327</v>
      </c>
      <c r="N4329" s="15">
        <f t="shared" si="204"/>
        <v>0.24968820775585532</v>
      </c>
      <c r="O4329" s="165">
        <f t="shared" si="205"/>
        <v>0.24968820775585532</v>
      </c>
      <c r="P4329" s="18"/>
      <c r="Q4329" s="18"/>
      <c r="R4329" s="18"/>
      <c r="S4329" s="18"/>
      <c r="T4329" s="18"/>
      <c r="U4329" s="18"/>
      <c r="V4329" s="18"/>
      <c r="W4329" s="18"/>
      <c r="X4329" s="18"/>
    </row>
    <row r="4330" spans="13:24">
      <c r="M4330" s="558">
        <f t="shared" si="206"/>
        <v>4328</v>
      </c>
      <c r="N4330" s="15">
        <f t="shared" si="204"/>
        <v>0.24963437121640122</v>
      </c>
      <c r="O4330" s="165">
        <f t="shared" si="205"/>
        <v>0.24963437121640122</v>
      </c>
      <c r="P4330" s="18"/>
      <c r="Q4330" s="18"/>
      <c r="R4330" s="18"/>
      <c r="S4330" s="18"/>
      <c r="T4330" s="18"/>
      <c r="U4330" s="18"/>
      <c r="V4330" s="18"/>
      <c r="W4330" s="18"/>
      <c r="X4330" s="18"/>
    </row>
    <row r="4331" spans="13:24">
      <c r="M4331" s="558">
        <f t="shared" si="206"/>
        <v>4329</v>
      </c>
      <c r="N4331" s="15">
        <f t="shared" si="204"/>
        <v>0.24958053777242797</v>
      </c>
      <c r="O4331" s="165">
        <f t="shared" si="205"/>
        <v>0.24958053777242797</v>
      </c>
      <c r="P4331" s="18"/>
      <c r="Q4331" s="18"/>
      <c r="R4331" s="18"/>
      <c r="S4331" s="18"/>
      <c r="T4331" s="18"/>
      <c r="U4331" s="18"/>
      <c r="V4331" s="18"/>
      <c r="W4331" s="18"/>
      <c r="X4331" s="18"/>
    </row>
    <row r="4332" spans="13:24">
      <c r="M4332" s="558">
        <f t="shared" si="206"/>
        <v>4330</v>
      </c>
      <c r="N4332" s="15">
        <f t="shared" si="204"/>
        <v>0.24952670742005101</v>
      </c>
      <c r="O4332" s="165">
        <f t="shared" si="205"/>
        <v>0.24952670742005101</v>
      </c>
      <c r="P4332" s="18"/>
      <c r="Q4332" s="18"/>
      <c r="R4332" s="18"/>
      <c r="S4332" s="18"/>
      <c r="T4332" s="18"/>
      <c r="U4332" s="18"/>
      <c r="V4332" s="18"/>
      <c r="W4332" s="18"/>
      <c r="X4332" s="18"/>
    </row>
    <row r="4333" spans="13:24">
      <c r="M4333" s="558">
        <f t="shared" si="206"/>
        <v>4331</v>
      </c>
      <c r="N4333" s="15">
        <f t="shared" si="204"/>
        <v>0.24947288015539057</v>
      </c>
      <c r="O4333" s="165">
        <f t="shared" si="205"/>
        <v>0.24947288015539057</v>
      </c>
      <c r="P4333" s="18"/>
      <c r="Q4333" s="18"/>
      <c r="R4333" s="18"/>
      <c r="S4333" s="18"/>
      <c r="T4333" s="18"/>
      <c r="U4333" s="18"/>
      <c r="V4333" s="18"/>
      <c r="W4333" s="18"/>
      <c r="X4333" s="18"/>
    </row>
    <row r="4334" spans="13:24">
      <c r="M4334" s="558">
        <f t="shared" si="206"/>
        <v>4332</v>
      </c>
      <c r="N4334" s="15">
        <f t="shared" si="204"/>
        <v>0.24941905597457187</v>
      </c>
      <c r="O4334" s="165">
        <f t="shared" si="205"/>
        <v>0.24941905597457187</v>
      </c>
      <c r="P4334" s="18"/>
      <c r="Q4334" s="18"/>
      <c r="R4334" s="18"/>
      <c r="S4334" s="18"/>
      <c r="T4334" s="18"/>
      <c r="U4334" s="18"/>
      <c r="V4334" s="18"/>
      <c r="W4334" s="18"/>
      <c r="X4334" s="18"/>
    </row>
    <row r="4335" spans="13:24">
      <c r="M4335" s="558">
        <f t="shared" si="206"/>
        <v>4333</v>
      </c>
      <c r="N4335" s="15">
        <f t="shared" si="204"/>
        <v>0.24936523487372489</v>
      </c>
      <c r="O4335" s="165">
        <f t="shared" si="205"/>
        <v>0.24936523487372489</v>
      </c>
      <c r="P4335" s="18"/>
      <c r="Q4335" s="18"/>
      <c r="R4335" s="18"/>
      <c r="S4335" s="18"/>
      <c r="T4335" s="18"/>
      <c r="U4335" s="18"/>
      <c r="V4335" s="18"/>
      <c r="W4335" s="18"/>
      <c r="X4335" s="18"/>
    </row>
    <row r="4336" spans="13:24">
      <c r="M4336" s="558">
        <f t="shared" si="206"/>
        <v>4334</v>
      </c>
      <c r="N4336" s="15">
        <f t="shared" si="204"/>
        <v>0.24931141684898456</v>
      </c>
      <c r="O4336" s="165">
        <f t="shared" si="205"/>
        <v>0.24931141684898456</v>
      </c>
      <c r="P4336" s="18"/>
      <c r="Q4336" s="18"/>
      <c r="R4336" s="18"/>
      <c r="S4336" s="18"/>
      <c r="T4336" s="18"/>
      <c r="U4336" s="18"/>
      <c r="V4336" s="18"/>
      <c r="W4336" s="18"/>
      <c r="X4336" s="18"/>
    </row>
    <row r="4337" spans="13:24">
      <c r="M4337" s="558">
        <f t="shared" si="206"/>
        <v>4335</v>
      </c>
      <c r="N4337" s="15">
        <f t="shared" si="204"/>
        <v>0.24925760189649057</v>
      </c>
      <c r="O4337" s="165">
        <f t="shared" si="205"/>
        <v>0.24925760189649057</v>
      </c>
      <c r="P4337" s="18"/>
      <c r="Q4337" s="18"/>
      <c r="R4337" s="18"/>
      <c r="S4337" s="18"/>
      <c r="T4337" s="18"/>
      <c r="U4337" s="18"/>
      <c r="V4337" s="18"/>
      <c r="W4337" s="18"/>
      <c r="X4337" s="18"/>
    </row>
    <row r="4338" spans="13:24">
      <c r="M4338" s="558">
        <f t="shared" si="206"/>
        <v>4336</v>
      </c>
      <c r="N4338" s="15">
        <f t="shared" si="204"/>
        <v>0.24920379001238754</v>
      </c>
      <c r="O4338" s="165">
        <f t="shared" si="205"/>
        <v>0.24920379001238754</v>
      </c>
      <c r="P4338" s="18"/>
      <c r="Q4338" s="18"/>
      <c r="R4338" s="18"/>
      <c r="S4338" s="18"/>
      <c r="T4338" s="18"/>
      <c r="U4338" s="18"/>
      <c r="V4338" s="18"/>
      <c r="W4338" s="18"/>
      <c r="X4338" s="18"/>
    </row>
    <row r="4339" spans="13:24">
      <c r="M4339" s="558">
        <f t="shared" si="206"/>
        <v>4337</v>
      </c>
      <c r="N4339" s="15">
        <f t="shared" si="204"/>
        <v>0.24914998119282483</v>
      </c>
      <c r="O4339" s="165">
        <f t="shared" si="205"/>
        <v>0.24914998119282483</v>
      </c>
      <c r="P4339" s="18"/>
      <c r="Q4339" s="18"/>
      <c r="R4339" s="18"/>
      <c r="S4339" s="18"/>
      <c r="T4339" s="18"/>
      <c r="U4339" s="18"/>
      <c r="V4339" s="18"/>
      <c r="W4339" s="18"/>
      <c r="X4339" s="18"/>
    </row>
    <row r="4340" spans="13:24">
      <c r="M4340" s="558">
        <f t="shared" si="206"/>
        <v>4338</v>
      </c>
      <c r="N4340" s="15">
        <f t="shared" si="204"/>
        <v>0.24909617543395673</v>
      </c>
      <c r="O4340" s="165">
        <f t="shared" si="205"/>
        <v>0.24909617543395673</v>
      </c>
      <c r="P4340" s="18"/>
      <c r="Q4340" s="18"/>
      <c r="R4340" s="18"/>
      <c r="S4340" s="18"/>
      <c r="T4340" s="18"/>
      <c r="U4340" s="18"/>
      <c r="V4340" s="18"/>
      <c r="W4340" s="18"/>
      <c r="X4340" s="18"/>
    </row>
    <row r="4341" spans="13:24">
      <c r="M4341" s="558">
        <f t="shared" si="206"/>
        <v>4339</v>
      </c>
      <c r="N4341" s="15">
        <f t="shared" si="204"/>
        <v>0.2490423727319423</v>
      </c>
      <c r="O4341" s="165">
        <f t="shared" si="205"/>
        <v>0.2490423727319423</v>
      </c>
      <c r="P4341" s="18"/>
      <c r="Q4341" s="18"/>
      <c r="R4341" s="18"/>
      <c r="S4341" s="18"/>
      <c r="T4341" s="18"/>
      <c r="U4341" s="18"/>
      <c r="V4341" s="18"/>
      <c r="W4341" s="18"/>
      <c r="X4341" s="18"/>
    </row>
    <row r="4342" spans="13:24">
      <c r="M4342" s="558">
        <f t="shared" si="206"/>
        <v>4340</v>
      </c>
      <c r="N4342" s="15">
        <f t="shared" si="204"/>
        <v>0.24898857308294547</v>
      </c>
      <c r="O4342" s="165">
        <f t="shared" si="205"/>
        <v>0.24898857308294547</v>
      </c>
      <c r="P4342" s="18"/>
      <c r="Q4342" s="18"/>
      <c r="R4342" s="18"/>
      <c r="S4342" s="18"/>
      <c r="T4342" s="18"/>
      <c r="U4342" s="18"/>
      <c r="V4342" s="18"/>
      <c r="W4342" s="18"/>
      <c r="X4342" s="18"/>
    </row>
    <row r="4343" spans="13:24">
      <c r="M4343" s="558">
        <f t="shared" si="206"/>
        <v>4341</v>
      </c>
      <c r="N4343" s="15">
        <f t="shared" si="204"/>
        <v>0.24893477648313489</v>
      </c>
      <c r="O4343" s="165">
        <f t="shared" si="205"/>
        <v>0.24893477648313489</v>
      </c>
      <c r="P4343" s="18"/>
      <c r="Q4343" s="18"/>
      <c r="R4343" s="18"/>
      <c r="S4343" s="18"/>
      <c r="T4343" s="18"/>
      <c r="U4343" s="18"/>
      <c r="V4343" s="18"/>
      <c r="W4343" s="18"/>
      <c r="X4343" s="18"/>
    </row>
    <row r="4344" spans="13:24">
      <c r="M4344" s="558">
        <f t="shared" si="206"/>
        <v>4342</v>
      </c>
      <c r="N4344" s="15">
        <f t="shared" si="204"/>
        <v>0.2488809829286841</v>
      </c>
      <c r="O4344" s="165">
        <f t="shared" si="205"/>
        <v>0.2488809829286841</v>
      </c>
      <c r="P4344" s="18"/>
      <c r="Q4344" s="18"/>
      <c r="R4344" s="18"/>
      <c r="S4344" s="18"/>
      <c r="T4344" s="18"/>
      <c r="U4344" s="18"/>
      <c r="V4344" s="18"/>
      <c r="W4344" s="18"/>
      <c r="X4344" s="18"/>
    </row>
    <row r="4345" spans="13:24">
      <c r="M4345" s="558">
        <f t="shared" si="206"/>
        <v>4343</v>
      </c>
      <c r="N4345" s="15">
        <f t="shared" si="204"/>
        <v>0.24882719241577142</v>
      </c>
      <c r="O4345" s="165">
        <f t="shared" si="205"/>
        <v>0.24882719241577142</v>
      </c>
      <c r="P4345" s="18"/>
      <c r="Q4345" s="18"/>
      <c r="R4345" s="18"/>
      <c r="S4345" s="18"/>
      <c r="T4345" s="18"/>
      <c r="U4345" s="18"/>
      <c r="V4345" s="18"/>
      <c r="W4345" s="18"/>
      <c r="X4345" s="18"/>
    </row>
    <row r="4346" spans="13:24">
      <c r="M4346" s="558">
        <f t="shared" si="206"/>
        <v>4344</v>
      </c>
      <c r="N4346" s="15">
        <f t="shared" si="204"/>
        <v>0.24877340494057995</v>
      </c>
      <c r="O4346" s="165">
        <f t="shared" si="205"/>
        <v>0.24877340494057995</v>
      </c>
      <c r="P4346" s="18"/>
      <c r="Q4346" s="18"/>
      <c r="R4346" s="18"/>
      <c r="S4346" s="18"/>
      <c r="T4346" s="18"/>
      <c r="U4346" s="18"/>
      <c r="V4346" s="18"/>
      <c r="W4346" s="18"/>
      <c r="X4346" s="18"/>
    </row>
    <row r="4347" spans="13:24">
      <c r="M4347" s="558">
        <f t="shared" si="206"/>
        <v>4345</v>
      </c>
      <c r="N4347" s="15">
        <f t="shared" si="204"/>
        <v>0.24871962049929766</v>
      </c>
      <c r="O4347" s="165">
        <f t="shared" si="205"/>
        <v>0.24871962049929766</v>
      </c>
      <c r="P4347" s="18"/>
      <c r="Q4347" s="18"/>
      <c r="R4347" s="18"/>
      <c r="S4347" s="18"/>
      <c r="T4347" s="18"/>
      <c r="U4347" s="18"/>
      <c r="V4347" s="18"/>
      <c r="W4347" s="18"/>
      <c r="X4347" s="18"/>
    </row>
    <row r="4348" spans="13:24">
      <c r="M4348" s="558">
        <f t="shared" si="206"/>
        <v>4346</v>
      </c>
      <c r="N4348" s="15">
        <f t="shared" si="204"/>
        <v>0.24866583908811712</v>
      </c>
      <c r="O4348" s="165">
        <f t="shared" si="205"/>
        <v>0.24866583908811712</v>
      </c>
      <c r="P4348" s="18"/>
      <c r="Q4348" s="18"/>
      <c r="R4348" s="18"/>
      <c r="S4348" s="18"/>
      <c r="T4348" s="18"/>
      <c r="U4348" s="18"/>
      <c r="V4348" s="18"/>
      <c r="W4348" s="18"/>
      <c r="X4348" s="18"/>
    </row>
    <row r="4349" spans="13:24">
      <c r="M4349" s="558">
        <f t="shared" si="206"/>
        <v>4347</v>
      </c>
      <c r="N4349" s="15">
        <f t="shared" si="204"/>
        <v>0.24861206070323591</v>
      </c>
      <c r="O4349" s="165">
        <f t="shared" si="205"/>
        <v>0.24861206070323591</v>
      </c>
      <c r="P4349" s="18"/>
      <c r="Q4349" s="18"/>
      <c r="R4349" s="18"/>
      <c r="S4349" s="18"/>
      <c r="T4349" s="18"/>
      <c r="U4349" s="18"/>
      <c r="V4349" s="18"/>
      <c r="W4349" s="18"/>
      <c r="X4349" s="18"/>
    </row>
    <row r="4350" spans="13:24">
      <c r="M4350" s="558">
        <f t="shared" si="206"/>
        <v>4348</v>
      </c>
      <c r="N4350" s="15">
        <f t="shared" si="204"/>
        <v>0.24855828534085619</v>
      </c>
      <c r="O4350" s="165">
        <f t="shared" si="205"/>
        <v>0.24855828534085619</v>
      </c>
      <c r="P4350" s="18"/>
      <c r="Q4350" s="18"/>
      <c r="R4350" s="18"/>
      <c r="S4350" s="18"/>
      <c r="T4350" s="18"/>
      <c r="U4350" s="18"/>
      <c r="V4350" s="18"/>
      <c r="W4350" s="18"/>
      <c r="X4350" s="18"/>
    </row>
    <row r="4351" spans="13:24">
      <c r="M4351" s="558">
        <f t="shared" si="206"/>
        <v>4349</v>
      </c>
      <c r="N4351" s="15">
        <f t="shared" si="204"/>
        <v>0.24850451299718504</v>
      </c>
      <c r="O4351" s="165">
        <f t="shared" si="205"/>
        <v>0.24850451299718504</v>
      </c>
      <c r="P4351" s="18"/>
      <c r="Q4351" s="18"/>
      <c r="R4351" s="18"/>
      <c r="S4351" s="18"/>
      <c r="T4351" s="18"/>
      <c r="U4351" s="18"/>
      <c r="V4351" s="18"/>
      <c r="W4351" s="18"/>
      <c r="X4351" s="18"/>
    </row>
    <row r="4352" spans="13:24">
      <c r="M4352" s="558">
        <f t="shared" si="206"/>
        <v>4350</v>
      </c>
      <c r="N4352" s="15">
        <f t="shared" si="204"/>
        <v>0.24845074366843412</v>
      </c>
      <c r="O4352" s="165">
        <f t="shared" si="205"/>
        <v>0.24845074366843412</v>
      </c>
      <c r="P4352" s="18"/>
      <c r="Q4352" s="18"/>
      <c r="R4352" s="18"/>
      <c r="S4352" s="18"/>
      <c r="T4352" s="18"/>
      <c r="U4352" s="18"/>
      <c r="V4352" s="18"/>
      <c r="W4352" s="18"/>
      <c r="X4352" s="18"/>
    </row>
    <row r="4353" spans="13:24">
      <c r="M4353" s="558">
        <f t="shared" si="206"/>
        <v>4351</v>
      </c>
      <c r="N4353" s="15">
        <f t="shared" si="204"/>
        <v>0.24839697735082003</v>
      </c>
      <c r="O4353" s="165">
        <f t="shared" si="205"/>
        <v>0.24839697735082003</v>
      </c>
      <c r="P4353" s="18"/>
      <c r="Q4353" s="18"/>
      <c r="R4353" s="18"/>
      <c r="S4353" s="18"/>
      <c r="T4353" s="18"/>
      <c r="U4353" s="18"/>
      <c r="V4353" s="18"/>
      <c r="W4353" s="18"/>
      <c r="X4353" s="18"/>
    </row>
    <row r="4354" spans="13:24">
      <c r="M4354" s="558">
        <f t="shared" si="206"/>
        <v>4352</v>
      </c>
      <c r="N4354" s="15">
        <f t="shared" si="204"/>
        <v>0.248343214040564</v>
      </c>
      <c r="O4354" s="165">
        <f t="shared" si="205"/>
        <v>0.248343214040564</v>
      </c>
      <c r="P4354" s="18"/>
      <c r="Q4354" s="18"/>
      <c r="R4354" s="18"/>
      <c r="S4354" s="18"/>
      <c r="T4354" s="18"/>
      <c r="U4354" s="18"/>
      <c r="V4354" s="18"/>
      <c r="W4354" s="18"/>
      <c r="X4354" s="18"/>
    </row>
    <row r="4355" spans="13:24">
      <c r="M4355" s="558">
        <f t="shared" si="206"/>
        <v>4353</v>
      </c>
      <c r="N4355" s="15">
        <f t="shared" si="204"/>
        <v>0.24828945373389205</v>
      </c>
      <c r="O4355" s="165">
        <f t="shared" si="205"/>
        <v>0.24828945373389205</v>
      </c>
      <c r="P4355" s="18"/>
      <c r="Q4355" s="18"/>
      <c r="R4355" s="18"/>
      <c r="S4355" s="18"/>
      <c r="T4355" s="18"/>
      <c r="U4355" s="18"/>
      <c r="V4355" s="18"/>
      <c r="W4355" s="18"/>
      <c r="X4355" s="18"/>
    </row>
    <row r="4356" spans="13:24">
      <c r="M4356" s="558">
        <f t="shared" si="206"/>
        <v>4354</v>
      </c>
      <c r="N4356" s="15">
        <f t="shared" ref="N4356:N4419" si="207">IF(M4356&lt;$B$31+1,$B$32+$B$33/$B$31*(8760-M4356)+$B$34*IF(M4356&lt;$B$36-$B$31/(2*$B$35),1,IF(M4356&lt;$B$36+$B$31/(2*$B$35),COS(PI()/2*(M4356-($B$36-$B$31/(2*$B$35)))*$B$35/$B$31)^2,0))+$B$37*EXP((8760-M4356)/8760*$B$38)/EXP($B$38)-(8760-$B$31)*$B$33/$B$31,0)</f>
        <v>0.24823569642703491</v>
      </c>
      <c r="O4356" s="165">
        <f t="shared" ref="O4356:O4419" si="208">MIN(N4356,C$24)</f>
        <v>0.24823569642703491</v>
      </c>
      <c r="P4356" s="18"/>
      <c r="Q4356" s="18"/>
      <c r="R4356" s="18"/>
      <c r="S4356" s="18"/>
      <c r="T4356" s="18"/>
      <c r="U4356" s="18"/>
      <c r="V4356" s="18"/>
      <c r="W4356" s="18"/>
      <c r="X4356" s="18"/>
    </row>
    <row r="4357" spans="13:24">
      <c r="M4357" s="558">
        <f t="shared" ref="M4357:M4420" si="209">M4356+1</f>
        <v>4355</v>
      </c>
      <c r="N4357" s="15">
        <f t="shared" si="207"/>
        <v>0.2481819421162281</v>
      </c>
      <c r="O4357" s="165">
        <f t="shared" si="208"/>
        <v>0.2481819421162281</v>
      </c>
      <c r="P4357" s="18"/>
      <c r="Q4357" s="18"/>
      <c r="R4357" s="18"/>
      <c r="S4357" s="18"/>
      <c r="T4357" s="18"/>
      <c r="U4357" s="18"/>
      <c r="V4357" s="18"/>
      <c r="W4357" s="18"/>
      <c r="X4357" s="18"/>
    </row>
    <row r="4358" spans="13:24">
      <c r="M4358" s="558">
        <f t="shared" si="209"/>
        <v>4356</v>
      </c>
      <c r="N4358" s="15">
        <f t="shared" si="207"/>
        <v>0.24812819079771173</v>
      </c>
      <c r="O4358" s="165">
        <f t="shared" si="208"/>
        <v>0.24812819079771173</v>
      </c>
      <c r="P4358" s="18"/>
      <c r="Q4358" s="18"/>
      <c r="R4358" s="18"/>
      <c r="S4358" s="18"/>
      <c r="T4358" s="18"/>
      <c r="U4358" s="18"/>
      <c r="V4358" s="18"/>
      <c r="W4358" s="18"/>
      <c r="X4358" s="18"/>
    </row>
    <row r="4359" spans="13:24">
      <c r="M4359" s="558">
        <f t="shared" si="209"/>
        <v>4357</v>
      </c>
      <c r="N4359" s="15">
        <f t="shared" si="207"/>
        <v>0.24807444246773078</v>
      </c>
      <c r="O4359" s="165">
        <f t="shared" si="208"/>
        <v>0.24807444246773078</v>
      </c>
      <c r="P4359" s="18"/>
      <c r="Q4359" s="18"/>
      <c r="R4359" s="18"/>
      <c r="S4359" s="18"/>
      <c r="T4359" s="18"/>
      <c r="U4359" s="18"/>
      <c r="V4359" s="18"/>
      <c r="W4359" s="18"/>
      <c r="X4359" s="18"/>
    </row>
    <row r="4360" spans="13:24">
      <c r="M4360" s="558">
        <f t="shared" si="209"/>
        <v>4358</v>
      </c>
      <c r="N4360" s="15">
        <f t="shared" si="207"/>
        <v>0.24802069712253486</v>
      </c>
      <c r="O4360" s="165">
        <f t="shared" si="208"/>
        <v>0.24802069712253486</v>
      </c>
      <c r="P4360" s="18"/>
      <c r="Q4360" s="18"/>
      <c r="R4360" s="18"/>
      <c r="S4360" s="18"/>
      <c r="T4360" s="18"/>
      <c r="U4360" s="18"/>
      <c r="V4360" s="18"/>
      <c r="W4360" s="18"/>
      <c r="X4360" s="18"/>
    </row>
    <row r="4361" spans="13:24">
      <c r="M4361" s="558">
        <f t="shared" si="209"/>
        <v>4359</v>
      </c>
      <c r="N4361" s="15">
        <f t="shared" si="207"/>
        <v>0.24796695475837829</v>
      </c>
      <c r="O4361" s="165">
        <f t="shared" si="208"/>
        <v>0.24796695475837829</v>
      </c>
      <c r="P4361" s="18"/>
      <c r="Q4361" s="18"/>
      <c r="R4361" s="18"/>
      <c r="S4361" s="18"/>
      <c r="T4361" s="18"/>
      <c r="U4361" s="18"/>
      <c r="V4361" s="18"/>
      <c r="W4361" s="18"/>
      <c r="X4361" s="18"/>
    </row>
    <row r="4362" spans="13:24">
      <c r="M4362" s="558">
        <f t="shared" si="209"/>
        <v>4360</v>
      </c>
      <c r="N4362" s="15">
        <f t="shared" si="207"/>
        <v>0.24791321537152017</v>
      </c>
      <c r="O4362" s="165">
        <f t="shared" si="208"/>
        <v>0.24791321537152017</v>
      </c>
      <c r="P4362" s="18"/>
      <c r="Q4362" s="18"/>
      <c r="R4362" s="18"/>
      <c r="S4362" s="18"/>
      <c r="T4362" s="18"/>
      <c r="U4362" s="18"/>
      <c r="V4362" s="18"/>
      <c r="W4362" s="18"/>
      <c r="X4362" s="18"/>
    </row>
    <row r="4363" spans="13:24">
      <c r="M4363" s="558">
        <f t="shared" si="209"/>
        <v>4361</v>
      </c>
      <c r="N4363" s="15">
        <f t="shared" si="207"/>
        <v>0.24785947895822413</v>
      </c>
      <c r="O4363" s="165">
        <f t="shared" si="208"/>
        <v>0.24785947895822413</v>
      </c>
      <c r="P4363" s="18"/>
      <c r="Q4363" s="18"/>
      <c r="R4363" s="18"/>
      <c r="S4363" s="18"/>
      <c r="T4363" s="18"/>
      <c r="U4363" s="18"/>
      <c r="V4363" s="18"/>
      <c r="W4363" s="18"/>
      <c r="X4363" s="18"/>
    </row>
    <row r="4364" spans="13:24">
      <c r="M4364" s="558">
        <f t="shared" si="209"/>
        <v>4362</v>
      </c>
      <c r="N4364" s="15">
        <f t="shared" si="207"/>
        <v>0.24780574551475867</v>
      </c>
      <c r="O4364" s="165">
        <f t="shared" si="208"/>
        <v>0.24780574551475867</v>
      </c>
      <c r="P4364" s="18"/>
      <c r="Q4364" s="18"/>
      <c r="R4364" s="18"/>
      <c r="S4364" s="18"/>
      <c r="T4364" s="18"/>
      <c r="U4364" s="18"/>
      <c r="V4364" s="18"/>
      <c r="W4364" s="18"/>
      <c r="X4364" s="18"/>
    </row>
    <row r="4365" spans="13:24">
      <c r="M4365" s="558">
        <f t="shared" si="209"/>
        <v>4363</v>
      </c>
      <c r="N4365" s="15">
        <f t="shared" si="207"/>
        <v>0.24775201503739686</v>
      </c>
      <c r="O4365" s="165">
        <f t="shared" si="208"/>
        <v>0.24775201503739686</v>
      </c>
      <c r="P4365" s="18"/>
      <c r="Q4365" s="18"/>
      <c r="R4365" s="18"/>
      <c r="S4365" s="18"/>
      <c r="T4365" s="18"/>
      <c r="U4365" s="18"/>
      <c r="V4365" s="18"/>
      <c r="W4365" s="18"/>
      <c r="X4365" s="18"/>
    </row>
    <row r="4366" spans="13:24">
      <c r="M4366" s="558">
        <f t="shared" si="209"/>
        <v>4364</v>
      </c>
      <c r="N4366" s="15">
        <f t="shared" si="207"/>
        <v>0.24769828752241649</v>
      </c>
      <c r="O4366" s="165">
        <f t="shared" si="208"/>
        <v>0.24769828752241649</v>
      </c>
      <c r="P4366" s="18"/>
      <c r="Q4366" s="18"/>
      <c r="R4366" s="18"/>
      <c r="S4366" s="18"/>
      <c r="T4366" s="18"/>
      <c r="U4366" s="18"/>
      <c r="V4366" s="18"/>
      <c r="W4366" s="18"/>
      <c r="X4366" s="18"/>
    </row>
    <row r="4367" spans="13:24">
      <c r="M4367" s="558">
        <f t="shared" si="209"/>
        <v>4365</v>
      </c>
      <c r="N4367" s="15">
        <f t="shared" si="207"/>
        <v>0.24764456296609996</v>
      </c>
      <c r="O4367" s="165">
        <f t="shared" si="208"/>
        <v>0.24764456296609996</v>
      </c>
      <c r="P4367" s="18"/>
      <c r="Q4367" s="18"/>
      <c r="R4367" s="18"/>
      <c r="S4367" s="18"/>
      <c r="T4367" s="18"/>
      <c r="U4367" s="18"/>
      <c r="V4367" s="18"/>
      <c r="W4367" s="18"/>
      <c r="X4367" s="18"/>
    </row>
    <row r="4368" spans="13:24">
      <c r="M4368" s="558">
        <f t="shared" si="209"/>
        <v>4366</v>
      </c>
      <c r="N4368" s="15">
        <f t="shared" si="207"/>
        <v>0.24759084136473447</v>
      </c>
      <c r="O4368" s="165">
        <f t="shared" si="208"/>
        <v>0.24759084136473447</v>
      </c>
      <c r="P4368" s="18"/>
      <c r="Q4368" s="18"/>
      <c r="R4368" s="18"/>
      <c r="S4368" s="18"/>
      <c r="T4368" s="18"/>
      <c r="U4368" s="18"/>
      <c r="V4368" s="18"/>
      <c r="W4368" s="18"/>
      <c r="X4368" s="18"/>
    </row>
    <row r="4369" spans="13:24">
      <c r="M4369" s="558">
        <f t="shared" si="209"/>
        <v>4367</v>
      </c>
      <c r="N4369" s="15">
        <f t="shared" si="207"/>
        <v>0.2475371227146117</v>
      </c>
      <c r="O4369" s="165">
        <f t="shared" si="208"/>
        <v>0.2475371227146117</v>
      </c>
      <c r="P4369" s="18"/>
      <c r="Q4369" s="18"/>
      <c r="R4369" s="18"/>
      <c r="S4369" s="18"/>
      <c r="T4369" s="18"/>
      <c r="U4369" s="18"/>
      <c r="V4369" s="18"/>
      <c r="W4369" s="18"/>
      <c r="X4369" s="18"/>
    </row>
    <row r="4370" spans="13:24">
      <c r="M4370" s="558">
        <f t="shared" si="209"/>
        <v>4368</v>
      </c>
      <c r="N4370" s="15">
        <f t="shared" si="207"/>
        <v>0.24748340701202817</v>
      </c>
      <c r="O4370" s="165">
        <f t="shared" si="208"/>
        <v>0.24748340701202817</v>
      </c>
      <c r="P4370" s="18"/>
      <c r="Q4370" s="18"/>
      <c r="R4370" s="18"/>
      <c r="S4370" s="18"/>
      <c r="T4370" s="18"/>
      <c r="U4370" s="18"/>
      <c r="V4370" s="18"/>
      <c r="W4370" s="18"/>
      <c r="X4370" s="18"/>
    </row>
    <row r="4371" spans="13:24">
      <c r="M4371" s="558">
        <f t="shared" si="209"/>
        <v>4369</v>
      </c>
      <c r="N4371" s="15">
        <f t="shared" si="207"/>
        <v>0.24742969425328487</v>
      </c>
      <c r="O4371" s="165">
        <f t="shared" si="208"/>
        <v>0.24742969425328487</v>
      </c>
      <c r="P4371" s="18"/>
      <c r="Q4371" s="18"/>
      <c r="R4371" s="18"/>
      <c r="S4371" s="18"/>
      <c r="T4371" s="18"/>
      <c r="U4371" s="18"/>
      <c r="V4371" s="18"/>
      <c r="W4371" s="18"/>
      <c r="X4371" s="18"/>
    </row>
    <row r="4372" spans="13:24">
      <c r="M4372" s="558">
        <f t="shared" si="209"/>
        <v>4370</v>
      </c>
      <c r="N4372" s="15">
        <f t="shared" si="207"/>
        <v>0.24737598443468758</v>
      </c>
      <c r="O4372" s="165">
        <f t="shared" si="208"/>
        <v>0.24737598443468758</v>
      </c>
      <c r="P4372" s="18"/>
      <c r="Q4372" s="18"/>
      <c r="R4372" s="18"/>
      <c r="S4372" s="18"/>
      <c r="T4372" s="18"/>
      <c r="U4372" s="18"/>
      <c r="V4372" s="18"/>
      <c r="W4372" s="18"/>
      <c r="X4372" s="18"/>
    </row>
    <row r="4373" spans="13:24">
      <c r="M4373" s="558">
        <f t="shared" si="209"/>
        <v>4371</v>
      </c>
      <c r="N4373" s="15">
        <f t="shared" si="207"/>
        <v>0.24732227755254663</v>
      </c>
      <c r="O4373" s="165">
        <f t="shared" si="208"/>
        <v>0.24732227755254663</v>
      </c>
      <c r="P4373" s="18"/>
      <c r="Q4373" s="18"/>
      <c r="R4373" s="18"/>
      <c r="S4373" s="18"/>
      <c r="T4373" s="18"/>
      <c r="U4373" s="18"/>
      <c r="V4373" s="18"/>
      <c r="W4373" s="18"/>
      <c r="X4373" s="18"/>
    </row>
    <row r="4374" spans="13:24">
      <c r="M4374" s="558">
        <f t="shared" si="209"/>
        <v>4372</v>
      </c>
      <c r="N4374" s="15">
        <f t="shared" si="207"/>
        <v>0.247268573603177</v>
      </c>
      <c r="O4374" s="165">
        <f t="shared" si="208"/>
        <v>0.247268573603177</v>
      </c>
      <c r="P4374" s="18"/>
      <c r="Q4374" s="18"/>
      <c r="R4374" s="18"/>
      <c r="S4374" s="18"/>
      <c r="T4374" s="18"/>
      <c r="U4374" s="18"/>
      <c r="V4374" s="18"/>
      <c r="W4374" s="18"/>
      <c r="X4374" s="18"/>
    </row>
    <row r="4375" spans="13:24">
      <c r="M4375" s="558">
        <f t="shared" si="209"/>
        <v>4373</v>
      </c>
      <c r="N4375" s="15">
        <f t="shared" si="207"/>
        <v>0.24721487258289826</v>
      </c>
      <c r="O4375" s="165">
        <f t="shared" si="208"/>
        <v>0.24721487258289826</v>
      </c>
      <c r="P4375" s="18"/>
      <c r="Q4375" s="18"/>
      <c r="R4375" s="18"/>
      <c r="S4375" s="18"/>
      <c r="T4375" s="18"/>
      <c r="U4375" s="18"/>
      <c r="V4375" s="18"/>
      <c r="W4375" s="18"/>
      <c r="X4375" s="18"/>
    </row>
    <row r="4376" spans="13:24">
      <c r="M4376" s="558">
        <f t="shared" si="209"/>
        <v>4374</v>
      </c>
      <c r="N4376" s="15">
        <f t="shared" si="207"/>
        <v>0.24716117448803471</v>
      </c>
      <c r="O4376" s="165">
        <f t="shared" si="208"/>
        <v>0.24716117448803471</v>
      </c>
      <c r="P4376" s="18"/>
      <c r="Q4376" s="18"/>
      <c r="R4376" s="18"/>
      <c r="S4376" s="18"/>
      <c r="T4376" s="18"/>
      <c r="U4376" s="18"/>
      <c r="V4376" s="18"/>
      <c r="W4376" s="18"/>
      <c r="X4376" s="18"/>
    </row>
    <row r="4377" spans="13:24">
      <c r="M4377" s="558">
        <f t="shared" si="209"/>
        <v>4375</v>
      </c>
      <c r="N4377" s="15">
        <f t="shared" si="207"/>
        <v>0.24710747931491517</v>
      </c>
      <c r="O4377" s="165">
        <f t="shared" si="208"/>
        <v>0.24710747931491517</v>
      </c>
      <c r="P4377" s="18"/>
      <c r="Q4377" s="18"/>
      <c r="R4377" s="18"/>
      <c r="S4377" s="18"/>
      <c r="T4377" s="18"/>
      <c r="U4377" s="18"/>
      <c r="V4377" s="18"/>
      <c r="W4377" s="18"/>
      <c r="X4377" s="18"/>
    </row>
    <row r="4378" spans="13:24">
      <c r="M4378" s="558">
        <f t="shared" si="209"/>
        <v>4376</v>
      </c>
      <c r="N4378" s="15">
        <f t="shared" si="207"/>
        <v>0.24705378705987305</v>
      </c>
      <c r="O4378" s="165">
        <f t="shared" si="208"/>
        <v>0.24705378705987305</v>
      </c>
      <c r="P4378" s="18"/>
      <c r="Q4378" s="18"/>
      <c r="R4378" s="18"/>
      <c r="S4378" s="18"/>
      <c r="T4378" s="18"/>
      <c r="U4378" s="18"/>
      <c r="V4378" s="18"/>
      <c r="W4378" s="18"/>
      <c r="X4378" s="18"/>
    </row>
    <row r="4379" spans="13:24">
      <c r="M4379" s="558">
        <f t="shared" si="209"/>
        <v>4377</v>
      </c>
      <c r="N4379" s="15">
        <f t="shared" si="207"/>
        <v>0.24700009771924641</v>
      </c>
      <c r="O4379" s="165">
        <f t="shared" si="208"/>
        <v>0.24700009771924641</v>
      </c>
      <c r="P4379" s="18"/>
      <c r="Q4379" s="18"/>
      <c r="R4379" s="18"/>
      <c r="S4379" s="18"/>
      <c r="T4379" s="18"/>
      <c r="U4379" s="18"/>
      <c r="V4379" s="18"/>
      <c r="W4379" s="18"/>
      <c r="X4379" s="18"/>
    </row>
    <row r="4380" spans="13:24">
      <c r="M4380" s="558">
        <f t="shared" si="209"/>
        <v>4378</v>
      </c>
      <c r="N4380" s="15">
        <f t="shared" si="207"/>
        <v>0.24694641128937792</v>
      </c>
      <c r="O4380" s="165">
        <f t="shared" si="208"/>
        <v>0.24694641128937792</v>
      </c>
      <c r="P4380" s="18"/>
      <c r="Q4380" s="18"/>
      <c r="R4380" s="18"/>
      <c r="S4380" s="18"/>
      <c r="T4380" s="18"/>
      <c r="U4380" s="18"/>
      <c r="V4380" s="18"/>
      <c r="W4380" s="18"/>
      <c r="X4380" s="18"/>
    </row>
    <row r="4381" spans="13:24">
      <c r="M4381" s="558">
        <f t="shared" si="209"/>
        <v>4379</v>
      </c>
      <c r="N4381" s="15">
        <f t="shared" si="207"/>
        <v>0.24689272776661481</v>
      </c>
      <c r="O4381" s="165">
        <f t="shared" si="208"/>
        <v>0.24689272776661481</v>
      </c>
      <c r="P4381" s="18"/>
      <c r="Q4381" s="18"/>
      <c r="R4381" s="18"/>
      <c r="S4381" s="18"/>
      <c r="T4381" s="18"/>
      <c r="U4381" s="18"/>
      <c r="V4381" s="18"/>
      <c r="W4381" s="18"/>
      <c r="X4381" s="18"/>
    </row>
    <row r="4382" spans="13:24">
      <c r="M4382" s="558">
        <f t="shared" si="209"/>
        <v>4380</v>
      </c>
      <c r="N4382" s="15">
        <f t="shared" si="207"/>
        <v>0.24683904714730884</v>
      </c>
      <c r="O4382" s="165">
        <f t="shared" si="208"/>
        <v>0.24683904714730884</v>
      </c>
      <c r="P4382" s="18"/>
      <c r="Q4382" s="18"/>
      <c r="R4382" s="18"/>
      <c r="S4382" s="18"/>
      <c r="T4382" s="18"/>
      <c r="U4382" s="18"/>
      <c r="V4382" s="18"/>
      <c r="W4382" s="18"/>
      <c r="X4382" s="18"/>
    </row>
    <row r="4383" spans="13:24">
      <c r="M4383" s="558">
        <f t="shared" si="209"/>
        <v>4381</v>
      </c>
      <c r="N4383" s="15">
        <f t="shared" si="207"/>
        <v>0.24678536942781645</v>
      </c>
      <c r="O4383" s="165">
        <f t="shared" si="208"/>
        <v>0.24678536942781645</v>
      </c>
      <c r="P4383" s="18"/>
      <c r="Q4383" s="18"/>
      <c r="R4383" s="18"/>
      <c r="S4383" s="18"/>
      <c r="T4383" s="18"/>
      <c r="U4383" s="18"/>
      <c r="V4383" s="18"/>
      <c r="W4383" s="18"/>
      <c r="X4383" s="18"/>
    </row>
    <row r="4384" spans="13:24">
      <c r="M4384" s="558">
        <f t="shared" si="209"/>
        <v>4382</v>
      </c>
      <c r="N4384" s="15">
        <f t="shared" si="207"/>
        <v>0.24673169460449859</v>
      </c>
      <c r="O4384" s="165">
        <f t="shared" si="208"/>
        <v>0.24673169460449859</v>
      </c>
      <c r="P4384" s="18"/>
      <c r="Q4384" s="18"/>
      <c r="R4384" s="18"/>
      <c r="S4384" s="18"/>
      <c r="T4384" s="18"/>
      <c r="U4384" s="18"/>
      <c r="V4384" s="18"/>
      <c r="W4384" s="18"/>
      <c r="X4384" s="18"/>
    </row>
    <row r="4385" spans="13:24">
      <c r="M4385" s="558">
        <f t="shared" si="209"/>
        <v>4383</v>
      </c>
      <c r="N4385" s="15">
        <f t="shared" si="207"/>
        <v>0.24667802267372085</v>
      </c>
      <c r="O4385" s="165">
        <f t="shared" si="208"/>
        <v>0.24667802267372085</v>
      </c>
      <c r="P4385" s="18"/>
      <c r="Q4385" s="18"/>
      <c r="R4385" s="18"/>
      <c r="S4385" s="18"/>
      <c r="T4385" s="18"/>
      <c r="U4385" s="18"/>
      <c r="V4385" s="18"/>
      <c r="W4385" s="18"/>
      <c r="X4385" s="18"/>
    </row>
    <row r="4386" spans="13:24">
      <c r="M4386" s="558">
        <f t="shared" si="209"/>
        <v>4384</v>
      </c>
      <c r="N4386" s="15">
        <f t="shared" si="207"/>
        <v>0.24662435363185323</v>
      </c>
      <c r="O4386" s="165">
        <f t="shared" si="208"/>
        <v>0.24662435363185323</v>
      </c>
      <c r="P4386" s="18"/>
      <c r="Q4386" s="18"/>
      <c r="R4386" s="18"/>
      <c r="S4386" s="18"/>
      <c r="T4386" s="18"/>
      <c r="U4386" s="18"/>
      <c r="V4386" s="18"/>
      <c r="W4386" s="18"/>
      <c r="X4386" s="18"/>
    </row>
    <row r="4387" spans="13:24">
      <c r="M4387" s="558">
        <f t="shared" si="209"/>
        <v>4385</v>
      </c>
      <c r="N4387" s="15">
        <f t="shared" si="207"/>
        <v>0.24657068747527047</v>
      </c>
      <c r="O4387" s="165">
        <f t="shared" si="208"/>
        <v>0.24657068747527047</v>
      </c>
      <c r="P4387" s="18"/>
      <c r="Q4387" s="18"/>
      <c r="R4387" s="18"/>
      <c r="S4387" s="18"/>
      <c r="T4387" s="18"/>
      <c r="U4387" s="18"/>
      <c r="V4387" s="18"/>
      <c r="W4387" s="18"/>
      <c r="X4387" s="18"/>
    </row>
    <row r="4388" spans="13:24">
      <c r="M4388" s="558">
        <f t="shared" si="209"/>
        <v>4386</v>
      </c>
      <c r="N4388" s="15">
        <f t="shared" si="207"/>
        <v>0.24651702420035168</v>
      </c>
      <c r="O4388" s="165">
        <f t="shared" si="208"/>
        <v>0.24651702420035168</v>
      </c>
      <c r="P4388" s="18"/>
      <c r="Q4388" s="18"/>
      <c r="R4388" s="18"/>
      <c r="S4388" s="18"/>
      <c r="T4388" s="18"/>
      <c r="U4388" s="18"/>
      <c r="V4388" s="18"/>
      <c r="W4388" s="18"/>
      <c r="X4388" s="18"/>
    </row>
    <row r="4389" spans="13:24">
      <c r="M4389" s="558">
        <f t="shared" si="209"/>
        <v>4387</v>
      </c>
      <c r="N4389" s="15">
        <f t="shared" si="207"/>
        <v>0.24646336380348069</v>
      </c>
      <c r="O4389" s="165">
        <f t="shared" si="208"/>
        <v>0.24646336380348069</v>
      </c>
      <c r="P4389" s="18"/>
      <c r="Q4389" s="18"/>
      <c r="R4389" s="18"/>
      <c r="S4389" s="18"/>
      <c r="T4389" s="18"/>
      <c r="U4389" s="18"/>
      <c r="V4389" s="18"/>
      <c r="W4389" s="18"/>
      <c r="X4389" s="18"/>
    </row>
    <row r="4390" spans="13:24">
      <c r="M4390" s="558">
        <f t="shared" si="209"/>
        <v>4388</v>
      </c>
      <c r="N4390" s="15">
        <f t="shared" si="207"/>
        <v>0.24640970628104572</v>
      </c>
      <c r="O4390" s="165">
        <f t="shared" si="208"/>
        <v>0.24640970628104572</v>
      </c>
      <c r="P4390" s="18"/>
      <c r="Q4390" s="18"/>
      <c r="R4390" s="18"/>
      <c r="S4390" s="18"/>
      <c r="T4390" s="18"/>
      <c r="U4390" s="18"/>
      <c r="V4390" s="18"/>
      <c r="W4390" s="18"/>
      <c r="X4390" s="18"/>
    </row>
    <row r="4391" spans="13:24">
      <c r="M4391" s="558">
        <f t="shared" si="209"/>
        <v>4389</v>
      </c>
      <c r="N4391" s="15">
        <f t="shared" si="207"/>
        <v>0.2463560516294396</v>
      </c>
      <c r="O4391" s="165">
        <f t="shared" si="208"/>
        <v>0.2463560516294396</v>
      </c>
      <c r="P4391" s="18"/>
      <c r="Q4391" s="18"/>
      <c r="R4391" s="18"/>
      <c r="S4391" s="18"/>
      <c r="T4391" s="18"/>
      <c r="U4391" s="18"/>
      <c r="V4391" s="18"/>
      <c r="W4391" s="18"/>
      <c r="X4391" s="18"/>
    </row>
    <row r="4392" spans="13:24">
      <c r="M4392" s="558">
        <f t="shared" si="209"/>
        <v>4390</v>
      </c>
      <c r="N4392" s="15">
        <f t="shared" si="207"/>
        <v>0.24630239984505969</v>
      </c>
      <c r="O4392" s="165">
        <f t="shared" si="208"/>
        <v>0.24630239984505969</v>
      </c>
      <c r="P4392" s="18"/>
      <c r="Q4392" s="18"/>
      <c r="R4392" s="18"/>
      <c r="S4392" s="18"/>
      <c r="T4392" s="18"/>
      <c r="U4392" s="18"/>
      <c r="V4392" s="18"/>
      <c r="W4392" s="18"/>
      <c r="X4392" s="18"/>
    </row>
    <row r="4393" spans="13:24">
      <c r="M4393" s="558">
        <f t="shared" si="209"/>
        <v>4391</v>
      </c>
      <c r="N4393" s="15">
        <f t="shared" si="207"/>
        <v>0.24624875092430784</v>
      </c>
      <c r="O4393" s="165">
        <f t="shared" si="208"/>
        <v>0.24624875092430784</v>
      </c>
      <c r="P4393" s="18"/>
      <c r="Q4393" s="18"/>
      <c r="R4393" s="18"/>
      <c r="S4393" s="18"/>
      <c r="T4393" s="18"/>
      <c r="U4393" s="18"/>
      <c r="V4393" s="18"/>
      <c r="W4393" s="18"/>
      <c r="X4393" s="18"/>
    </row>
    <row r="4394" spans="13:24">
      <c r="M4394" s="558">
        <f t="shared" si="209"/>
        <v>4392</v>
      </c>
      <c r="N4394" s="15">
        <f t="shared" si="207"/>
        <v>0.24619510486359042</v>
      </c>
      <c r="O4394" s="165">
        <f t="shared" si="208"/>
        <v>0.24619510486359042</v>
      </c>
      <c r="P4394" s="18"/>
      <c r="Q4394" s="18"/>
      <c r="R4394" s="18"/>
      <c r="S4394" s="18"/>
      <c r="T4394" s="18"/>
      <c r="U4394" s="18"/>
      <c r="V4394" s="18"/>
      <c r="W4394" s="18"/>
      <c r="X4394" s="18"/>
    </row>
    <row r="4395" spans="13:24">
      <c r="M4395" s="558">
        <f t="shared" si="209"/>
        <v>4393</v>
      </c>
      <c r="N4395" s="15">
        <f t="shared" si="207"/>
        <v>0.2461414616593183</v>
      </c>
      <c r="O4395" s="165">
        <f t="shared" si="208"/>
        <v>0.2461414616593183</v>
      </c>
      <c r="P4395" s="18"/>
      <c r="Q4395" s="18"/>
      <c r="R4395" s="18"/>
      <c r="S4395" s="18"/>
      <c r="T4395" s="18"/>
      <c r="U4395" s="18"/>
      <c r="V4395" s="18"/>
      <c r="W4395" s="18"/>
      <c r="X4395" s="18"/>
    </row>
    <row r="4396" spans="13:24">
      <c r="M4396" s="558">
        <f t="shared" si="209"/>
        <v>4394</v>
      </c>
      <c r="N4396" s="15">
        <f t="shared" si="207"/>
        <v>0.24608782130790693</v>
      </c>
      <c r="O4396" s="165">
        <f t="shared" si="208"/>
        <v>0.24608782130790693</v>
      </c>
      <c r="P4396" s="18"/>
      <c r="Q4396" s="18"/>
      <c r="R4396" s="18"/>
      <c r="S4396" s="18"/>
      <c r="T4396" s="18"/>
      <c r="U4396" s="18"/>
      <c r="V4396" s="18"/>
      <c r="W4396" s="18"/>
      <c r="X4396" s="18"/>
    </row>
    <row r="4397" spans="13:24">
      <c r="M4397" s="558">
        <f t="shared" si="209"/>
        <v>4395</v>
      </c>
      <c r="N4397" s="15">
        <f t="shared" si="207"/>
        <v>0.24603418380577613</v>
      </c>
      <c r="O4397" s="165">
        <f t="shared" si="208"/>
        <v>0.24603418380577613</v>
      </c>
      <c r="P4397" s="18"/>
      <c r="Q4397" s="18"/>
      <c r="R4397" s="18"/>
      <c r="S4397" s="18"/>
      <c r="T4397" s="18"/>
      <c r="U4397" s="18"/>
      <c r="V4397" s="18"/>
      <c r="W4397" s="18"/>
      <c r="X4397" s="18"/>
    </row>
    <row r="4398" spans="13:24">
      <c r="M4398" s="558">
        <f t="shared" si="209"/>
        <v>4396</v>
      </c>
      <c r="N4398" s="15">
        <f t="shared" si="207"/>
        <v>0.24598054914935033</v>
      </c>
      <c r="O4398" s="165">
        <f t="shared" si="208"/>
        <v>0.24598054914935033</v>
      </c>
      <c r="P4398" s="18"/>
      <c r="Q4398" s="18"/>
      <c r="R4398" s="18"/>
      <c r="S4398" s="18"/>
      <c r="T4398" s="18"/>
      <c r="U4398" s="18"/>
      <c r="V4398" s="18"/>
      <c r="W4398" s="18"/>
      <c r="X4398" s="18"/>
    </row>
    <row r="4399" spans="13:24">
      <c r="M4399" s="558">
        <f t="shared" si="209"/>
        <v>4397</v>
      </c>
      <c r="N4399" s="15">
        <f t="shared" si="207"/>
        <v>0.24592691733505836</v>
      </c>
      <c r="O4399" s="165">
        <f t="shared" si="208"/>
        <v>0.24592691733505836</v>
      </c>
      <c r="P4399" s="18"/>
      <c r="Q4399" s="18"/>
      <c r="R4399" s="18"/>
      <c r="S4399" s="18"/>
      <c r="T4399" s="18"/>
      <c r="U4399" s="18"/>
      <c r="V4399" s="18"/>
      <c r="W4399" s="18"/>
      <c r="X4399" s="18"/>
    </row>
    <row r="4400" spans="13:24">
      <c r="M4400" s="558">
        <f t="shared" si="209"/>
        <v>4398</v>
      </c>
      <c r="N4400" s="15">
        <f t="shared" si="207"/>
        <v>0.24587328835933361</v>
      </c>
      <c r="O4400" s="165">
        <f t="shared" si="208"/>
        <v>0.24587328835933361</v>
      </c>
      <c r="P4400" s="18"/>
      <c r="Q4400" s="18"/>
      <c r="R4400" s="18"/>
      <c r="S4400" s="18"/>
      <c r="T4400" s="18"/>
      <c r="U4400" s="18"/>
      <c r="V4400" s="18"/>
      <c r="W4400" s="18"/>
      <c r="X4400" s="18"/>
    </row>
    <row r="4401" spans="13:24">
      <c r="M4401" s="558">
        <f t="shared" si="209"/>
        <v>4399</v>
      </c>
      <c r="N4401" s="15">
        <f t="shared" si="207"/>
        <v>0.24581966221861387</v>
      </c>
      <c r="O4401" s="165">
        <f t="shared" si="208"/>
        <v>0.24581966221861387</v>
      </c>
      <c r="P4401" s="18"/>
      <c r="Q4401" s="18"/>
      <c r="R4401" s="18"/>
      <c r="S4401" s="18"/>
      <c r="T4401" s="18"/>
      <c r="U4401" s="18"/>
      <c r="V4401" s="18"/>
      <c r="W4401" s="18"/>
      <c r="X4401" s="18"/>
    </row>
    <row r="4402" spans="13:24">
      <c r="M4402" s="558">
        <f t="shared" si="209"/>
        <v>4400</v>
      </c>
      <c r="N4402" s="15">
        <f t="shared" si="207"/>
        <v>0.24576603890934146</v>
      </c>
      <c r="O4402" s="165">
        <f t="shared" si="208"/>
        <v>0.24576603890934146</v>
      </c>
      <c r="P4402" s="18"/>
      <c r="Q4402" s="18"/>
      <c r="R4402" s="18"/>
      <c r="S4402" s="18"/>
      <c r="T4402" s="18"/>
      <c r="U4402" s="18"/>
      <c r="V4402" s="18"/>
      <c r="W4402" s="18"/>
      <c r="X4402" s="18"/>
    </row>
    <row r="4403" spans="13:24">
      <c r="M4403" s="558">
        <f t="shared" si="209"/>
        <v>4401</v>
      </c>
      <c r="N4403" s="15">
        <f t="shared" si="207"/>
        <v>0.24571241842796313</v>
      </c>
      <c r="O4403" s="165">
        <f t="shared" si="208"/>
        <v>0.24571241842796313</v>
      </c>
      <c r="P4403" s="18"/>
      <c r="Q4403" s="18"/>
      <c r="R4403" s="18"/>
      <c r="S4403" s="18"/>
      <c r="T4403" s="18"/>
      <c r="U4403" s="18"/>
      <c r="V4403" s="18"/>
      <c r="W4403" s="18"/>
      <c r="X4403" s="18"/>
    </row>
    <row r="4404" spans="13:24">
      <c r="M4404" s="558">
        <f t="shared" si="209"/>
        <v>4402</v>
      </c>
      <c r="N4404" s="15">
        <f t="shared" si="207"/>
        <v>0.24565880077093011</v>
      </c>
      <c r="O4404" s="165">
        <f t="shared" si="208"/>
        <v>0.24565880077093011</v>
      </c>
      <c r="P4404" s="18"/>
      <c r="Q4404" s="18"/>
      <c r="R4404" s="18"/>
      <c r="S4404" s="18"/>
      <c r="T4404" s="18"/>
      <c r="U4404" s="18"/>
      <c r="V4404" s="18"/>
      <c r="W4404" s="18"/>
      <c r="X4404" s="18"/>
    </row>
    <row r="4405" spans="13:24">
      <c r="M4405" s="558">
        <f t="shared" si="209"/>
        <v>4403</v>
      </c>
      <c r="N4405" s="15">
        <f t="shared" si="207"/>
        <v>0.24560518593469804</v>
      </c>
      <c r="O4405" s="165">
        <f t="shared" si="208"/>
        <v>0.24560518593469804</v>
      </c>
      <c r="P4405" s="18"/>
      <c r="Q4405" s="18"/>
      <c r="R4405" s="18"/>
      <c r="S4405" s="18"/>
      <c r="T4405" s="18"/>
      <c r="U4405" s="18"/>
      <c r="V4405" s="18"/>
      <c r="W4405" s="18"/>
      <c r="X4405" s="18"/>
    </row>
    <row r="4406" spans="13:24">
      <c r="M4406" s="558">
        <f t="shared" si="209"/>
        <v>4404</v>
      </c>
      <c r="N4406" s="15">
        <f t="shared" si="207"/>
        <v>0.24555157391572713</v>
      </c>
      <c r="O4406" s="165">
        <f t="shared" si="208"/>
        <v>0.24555157391572713</v>
      </c>
      <c r="P4406" s="18"/>
      <c r="Q4406" s="18"/>
      <c r="R4406" s="18"/>
      <c r="S4406" s="18"/>
      <c r="T4406" s="18"/>
      <c r="U4406" s="18"/>
      <c r="V4406" s="18"/>
      <c r="W4406" s="18"/>
      <c r="X4406" s="18"/>
    </row>
    <row r="4407" spans="13:24">
      <c r="M4407" s="558">
        <f t="shared" si="209"/>
        <v>4405</v>
      </c>
      <c r="N4407" s="15">
        <f t="shared" si="207"/>
        <v>0.24549796471048183</v>
      </c>
      <c r="O4407" s="165">
        <f t="shared" si="208"/>
        <v>0.24549796471048183</v>
      </c>
      <c r="P4407" s="18"/>
      <c r="Q4407" s="18"/>
      <c r="R4407" s="18"/>
      <c r="S4407" s="18"/>
      <c r="T4407" s="18"/>
      <c r="U4407" s="18"/>
      <c r="V4407" s="18"/>
      <c r="W4407" s="18"/>
      <c r="X4407" s="18"/>
    </row>
    <row r="4408" spans="13:24">
      <c r="M4408" s="558">
        <f t="shared" si="209"/>
        <v>4406</v>
      </c>
      <c r="N4408" s="15">
        <f t="shared" si="207"/>
        <v>0.24544435831543118</v>
      </c>
      <c r="O4408" s="165">
        <f t="shared" si="208"/>
        <v>0.24544435831543118</v>
      </c>
      <c r="P4408" s="18"/>
      <c r="Q4408" s="18"/>
      <c r="R4408" s="18"/>
      <c r="S4408" s="18"/>
      <c r="T4408" s="18"/>
      <c r="U4408" s="18"/>
      <c r="V4408" s="18"/>
      <c r="W4408" s="18"/>
      <c r="X4408" s="18"/>
    </row>
    <row r="4409" spans="13:24">
      <c r="M4409" s="558">
        <f t="shared" si="209"/>
        <v>4407</v>
      </c>
      <c r="N4409" s="15">
        <f t="shared" si="207"/>
        <v>0.24539075472704866</v>
      </c>
      <c r="O4409" s="165">
        <f t="shared" si="208"/>
        <v>0.24539075472704866</v>
      </c>
      <c r="P4409" s="18"/>
      <c r="Q4409" s="18"/>
      <c r="R4409" s="18"/>
      <c r="S4409" s="18"/>
      <c r="T4409" s="18"/>
      <c r="U4409" s="18"/>
      <c r="V4409" s="18"/>
      <c r="W4409" s="18"/>
      <c r="X4409" s="18"/>
    </row>
    <row r="4410" spans="13:24">
      <c r="M4410" s="558">
        <f t="shared" si="209"/>
        <v>4408</v>
      </c>
      <c r="N4410" s="15">
        <f t="shared" si="207"/>
        <v>0.24533715394181208</v>
      </c>
      <c r="O4410" s="165">
        <f t="shared" si="208"/>
        <v>0.24533715394181208</v>
      </c>
      <c r="P4410" s="18"/>
      <c r="Q4410" s="18"/>
      <c r="R4410" s="18"/>
      <c r="S4410" s="18"/>
      <c r="T4410" s="18"/>
      <c r="U4410" s="18"/>
      <c r="V4410" s="18"/>
      <c r="W4410" s="18"/>
      <c r="X4410" s="18"/>
    </row>
    <row r="4411" spans="13:24">
      <c r="M4411" s="558">
        <f t="shared" si="209"/>
        <v>4409</v>
      </c>
      <c r="N4411" s="15">
        <f t="shared" si="207"/>
        <v>0.24528355595620374</v>
      </c>
      <c r="O4411" s="165">
        <f t="shared" si="208"/>
        <v>0.24528355595620374</v>
      </c>
      <c r="P4411" s="18"/>
      <c r="Q4411" s="18"/>
      <c r="R4411" s="18"/>
      <c r="S4411" s="18"/>
      <c r="T4411" s="18"/>
      <c r="U4411" s="18"/>
      <c r="V4411" s="18"/>
      <c r="W4411" s="18"/>
      <c r="X4411" s="18"/>
    </row>
    <row r="4412" spans="13:24">
      <c r="M4412" s="558">
        <f t="shared" si="209"/>
        <v>4410</v>
      </c>
      <c r="N4412" s="15">
        <f t="shared" si="207"/>
        <v>0.2452299607667103</v>
      </c>
      <c r="O4412" s="165">
        <f t="shared" si="208"/>
        <v>0.2452299607667103</v>
      </c>
      <c r="P4412" s="18"/>
      <c r="Q4412" s="18"/>
      <c r="R4412" s="18"/>
      <c r="S4412" s="18"/>
      <c r="T4412" s="18"/>
      <c r="U4412" s="18"/>
      <c r="V4412" s="18"/>
      <c r="W4412" s="18"/>
      <c r="X4412" s="18"/>
    </row>
    <row r="4413" spans="13:24">
      <c r="M4413" s="558">
        <f t="shared" si="209"/>
        <v>4411</v>
      </c>
      <c r="N4413" s="15">
        <f t="shared" si="207"/>
        <v>0.2451763683698229</v>
      </c>
      <c r="O4413" s="165">
        <f t="shared" si="208"/>
        <v>0.2451763683698229</v>
      </c>
      <c r="P4413" s="18"/>
      <c r="Q4413" s="18"/>
      <c r="R4413" s="18"/>
      <c r="S4413" s="18"/>
      <c r="T4413" s="18"/>
      <c r="U4413" s="18"/>
      <c r="V4413" s="18"/>
      <c r="W4413" s="18"/>
      <c r="X4413" s="18"/>
    </row>
    <row r="4414" spans="13:24">
      <c r="M4414" s="558">
        <f t="shared" si="209"/>
        <v>4412</v>
      </c>
      <c r="N4414" s="15">
        <f t="shared" si="207"/>
        <v>0.245122778762037</v>
      </c>
      <c r="O4414" s="165">
        <f t="shared" si="208"/>
        <v>0.245122778762037</v>
      </c>
      <c r="P4414" s="18"/>
      <c r="Q4414" s="18"/>
      <c r="R4414" s="18"/>
      <c r="S4414" s="18"/>
      <c r="T4414" s="18"/>
      <c r="U4414" s="18"/>
      <c r="V4414" s="18"/>
      <c r="W4414" s="18"/>
      <c r="X4414" s="18"/>
    </row>
    <row r="4415" spans="13:24">
      <c r="M4415" s="558">
        <f t="shared" si="209"/>
        <v>4413</v>
      </c>
      <c r="N4415" s="15">
        <f t="shared" si="207"/>
        <v>0.24506919193985255</v>
      </c>
      <c r="O4415" s="165">
        <f t="shared" si="208"/>
        <v>0.24506919193985255</v>
      </c>
      <c r="P4415" s="18"/>
      <c r="Q4415" s="18"/>
      <c r="R4415" s="18"/>
      <c r="S4415" s="18"/>
      <c r="T4415" s="18"/>
      <c r="U4415" s="18"/>
      <c r="V4415" s="18"/>
      <c r="W4415" s="18"/>
      <c r="X4415" s="18"/>
    </row>
    <row r="4416" spans="13:24">
      <c r="M4416" s="558">
        <f t="shared" si="209"/>
        <v>4414</v>
      </c>
      <c r="N4416" s="15">
        <f t="shared" si="207"/>
        <v>0.24501560789977378</v>
      </c>
      <c r="O4416" s="165">
        <f t="shared" si="208"/>
        <v>0.24501560789977378</v>
      </c>
      <c r="P4416" s="18"/>
      <c r="Q4416" s="18"/>
      <c r="R4416" s="18"/>
      <c r="S4416" s="18"/>
      <c r="T4416" s="18"/>
      <c r="U4416" s="18"/>
      <c r="V4416" s="18"/>
      <c r="W4416" s="18"/>
      <c r="X4416" s="18"/>
    </row>
    <row r="4417" spans="13:24">
      <c r="M4417" s="558">
        <f t="shared" si="209"/>
        <v>4415</v>
      </c>
      <c r="N4417" s="15">
        <f t="shared" si="207"/>
        <v>0.24496202663830943</v>
      </c>
      <c r="O4417" s="165">
        <f t="shared" si="208"/>
        <v>0.24496202663830943</v>
      </c>
      <c r="P4417" s="18"/>
      <c r="Q4417" s="18"/>
      <c r="R4417" s="18"/>
      <c r="S4417" s="18"/>
      <c r="T4417" s="18"/>
      <c r="U4417" s="18"/>
      <c r="V4417" s="18"/>
      <c r="W4417" s="18"/>
      <c r="X4417" s="18"/>
    </row>
    <row r="4418" spans="13:24">
      <c r="M4418" s="558">
        <f t="shared" si="209"/>
        <v>4416</v>
      </c>
      <c r="N4418" s="15">
        <f t="shared" si="207"/>
        <v>0.24490844815197255</v>
      </c>
      <c r="O4418" s="165">
        <f t="shared" si="208"/>
        <v>0.24490844815197255</v>
      </c>
      <c r="P4418" s="18"/>
      <c r="Q4418" s="18"/>
      <c r="R4418" s="18"/>
      <c r="S4418" s="18"/>
      <c r="T4418" s="18"/>
      <c r="U4418" s="18"/>
      <c r="V4418" s="18"/>
      <c r="W4418" s="18"/>
      <c r="X4418" s="18"/>
    </row>
    <row r="4419" spans="13:24">
      <c r="M4419" s="558">
        <f t="shared" si="209"/>
        <v>4417</v>
      </c>
      <c r="N4419" s="15">
        <f t="shared" si="207"/>
        <v>0.24485487243728057</v>
      </c>
      <c r="O4419" s="165">
        <f t="shared" si="208"/>
        <v>0.24485487243728057</v>
      </c>
      <c r="P4419" s="18"/>
      <c r="Q4419" s="18"/>
      <c r="R4419" s="18"/>
      <c r="S4419" s="18"/>
      <c r="T4419" s="18"/>
      <c r="U4419" s="18"/>
      <c r="V4419" s="18"/>
      <c r="W4419" s="18"/>
      <c r="X4419" s="18"/>
    </row>
    <row r="4420" spans="13:24">
      <c r="M4420" s="558">
        <f t="shared" si="209"/>
        <v>4418</v>
      </c>
      <c r="N4420" s="15">
        <f t="shared" ref="N4420:N4483" si="210">IF(M4420&lt;$B$31+1,$B$32+$B$33/$B$31*(8760-M4420)+$B$34*IF(M4420&lt;$B$36-$B$31/(2*$B$35),1,IF(M4420&lt;$B$36+$B$31/(2*$B$35),COS(PI()/2*(M4420-($B$36-$B$31/(2*$B$35)))*$B$35/$B$31)^2,0))+$B$37*EXP((8760-M4420)/8760*$B$38)/EXP($B$38)-(8760-$B$31)*$B$33/$B$31,0)</f>
        <v>0.24480129949075527</v>
      </c>
      <c r="O4420" s="165">
        <f t="shared" ref="O4420:O4483" si="211">MIN(N4420,C$24)</f>
        <v>0.24480129949075527</v>
      </c>
      <c r="P4420" s="18"/>
      <c r="Q4420" s="18"/>
      <c r="R4420" s="18"/>
      <c r="S4420" s="18"/>
      <c r="T4420" s="18"/>
      <c r="U4420" s="18"/>
      <c r="V4420" s="18"/>
      <c r="W4420" s="18"/>
      <c r="X4420" s="18"/>
    </row>
    <row r="4421" spans="13:24">
      <c r="M4421" s="558">
        <f t="shared" ref="M4421:M4484" si="212">M4420+1</f>
        <v>4419</v>
      </c>
      <c r="N4421" s="15">
        <f t="shared" si="210"/>
        <v>0.24474772930892288</v>
      </c>
      <c r="O4421" s="165">
        <f t="shared" si="211"/>
        <v>0.24474772930892288</v>
      </c>
      <c r="P4421" s="18"/>
      <c r="Q4421" s="18"/>
      <c r="R4421" s="18"/>
      <c r="S4421" s="18"/>
      <c r="T4421" s="18"/>
      <c r="U4421" s="18"/>
      <c r="V4421" s="18"/>
      <c r="W4421" s="18"/>
      <c r="X4421" s="18"/>
    </row>
    <row r="4422" spans="13:24">
      <c r="M4422" s="558">
        <f t="shared" si="212"/>
        <v>4420</v>
      </c>
      <c r="N4422" s="15">
        <f t="shared" si="210"/>
        <v>0.24469416188831389</v>
      </c>
      <c r="O4422" s="165">
        <f t="shared" si="211"/>
        <v>0.24469416188831389</v>
      </c>
      <c r="P4422" s="18"/>
      <c r="Q4422" s="18"/>
      <c r="R4422" s="18"/>
      <c r="S4422" s="18"/>
      <c r="T4422" s="18"/>
      <c r="U4422" s="18"/>
      <c r="V4422" s="18"/>
      <c r="W4422" s="18"/>
      <c r="X4422" s="18"/>
    </row>
    <row r="4423" spans="13:24">
      <c r="M4423" s="558">
        <f t="shared" si="212"/>
        <v>4421</v>
      </c>
      <c r="N4423" s="15">
        <f t="shared" si="210"/>
        <v>0.24464059722546319</v>
      </c>
      <c r="O4423" s="165">
        <f t="shared" si="211"/>
        <v>0.24464059722546319</v>
      </c>
      <c r="P4423" s="18"/>
      <c r="Q4423" s="18"/>
      <c r="R4423" s="18"/>
      <c r="S4423" s="18"/>
      <c r="T4423" s="18"/>
      <c r="U4423" s="18"/>
      <c r="V4423" s="18"/>
      <c r="W4423" s="18"/>
      <c r="X4423" s="18"/>
    </row>
    <row r="4424" spans="13:24">
      <c r="M4424" s="558">
        <f t="shared" si="212"/>
        <v>4422</v>
      </c>
      <c r="N4424" s="15">
        <f t="shared" si="210"/>
        <v>0.24458703531691006</v>
      </c>
      <c r="O4424" s="165">
        <f t="shared" si="211"/>
        <v>0.24458703531691006</v>
      </c>
      <c r="P4424" s="18"/>
      <c r="Q4424" s="18"/>
      <c r="R4424" s="18"/>
      <c r="S4424" s="18"/>
      <c r="T4424" s="18"/>
      <c r="U4424" s="18"/>
      <c r="V4424" s="18"/>
      <c r="W4424" s="18"/>
      <c r="X4424" s="18"/>
    </row>
    <row r="4425" spans="13:24">
      <c r="M4425" s="558">
        <f t="shared" si="212"/>
        <v>4423</v>
      </c>
      <c r="N4425" s="15">
        <f t="shared" si="210"/>
        <v>0.24453347615919799</v>
      </c>
      <c r="O4425" s="165">
        <f t="shared" si="211"/>
        <v>0.24453347615919799</v>
      </c>
      <c r="P4425" s="18"/>
      <c r="Q4425" s="18"/>
      <c r="R4425" s="18"/>
      <c r="S4425" s="18"/>
      <c r="T4425" s="18"/>
      <c r="U4425" s="18"/>
      <c r="V4425" s="18"/>
      <c r="W4425" s="18"/>
      <c r="X4425" s="18"/>
    </row>
    <row r="4426" spans="13:24">
      <c r="M4426" s="558">
        <f t="shared" si="212"/>
        <v>4424</v>
      </c>
      <c r="N4426" s="15">
        <f t="shared" si="210"/>
        <v>0.24447991974887501</v>
      </c>
      <c r="O4426" s="165">
        <f t="shared" si="211"/>
        <v>0.24447991974887501</v>
      </c>
      <c r="P4426" s="18"/>
      <c r="Q4426" s="18"/>
      <c r="R4426" s="18"/>
      <c r="S4426" s="18"/>
      <c r="T4426" s="18"/>
      <c r="U4426" s="18"/>
      <c r="V4426" s="18"/>
      <c r="W4426" s="18"/>
      <c r="X4426" s="18"/>
    </row>
    <row r="4427" spans="13:24">
      <c r="M4427" s="558">
        <f t="shared" si="212"/>
        <v>4425</v>
      </c>
      <c r="N4427" s="15">
        <f t="shared" si="210"/>
        <v>0.24442636608249324</v>
      </c>
      <c r="O4427" s="165">
        <f t="shared" si="211"/>
        <v>0.24442636608249324</v>
      </c>
      <c r="P4427" s="18"/>
      <c r="Q4427" s="18"/>
      <c r="R4427" s="18"/>
      <c r="S4427" s="18"/>
      <c r="T4427" s="18"/>
      <c r="U4427" s="18"/>
      <c r="V4427" s="18"/>
      <c r="W4427" s="18"/>
      <c r="X4427" s="18"/>
    </row>
    <row r="4428" spans="13:24">
      <c r="M4428" s="558">
        <f t="shared" si="212"/>
        <v>4426</v>
      </c>
      <c r="N4428" s="15">
        <f t="shared" si="210"/>
        <v>0.24437281515660939</v>
      </c>
      <c r="O4428" s="165">
        <f t="shared" si="211"/>
        <v>0.24437281515660939</v>
      </c>
      <c r="P4428" s="18"/>
      <c r="Q4428" s="18"/>
      <c r="R4428" s="18"/>
      <c r="S4428" s="18"/>
      <c r="T4428" s="18"/>
      <c r="U4428" s="18"/>
      <c r="V4428" s="18"/>
      <c r="W4428" s="18"/>
      <c r="X4428" s="18"/>
    </row>
    <row r="4429" spans="13:24">
      <c r="M4429" s="558">
        <f t="shared" si="212"/>
        <v>4427</v>
      </c>
      <c r="N4429" s="15">
        <f t="shared" si="210"/>
        <v>0.24431926696778422</v>
      </c>
      <c r="O4429" s="165">
        <f t="shared" si="211"/>
        <v>0.24431926696778422</v>
      </c>
      <c r="P4429" s="18"/>
      <c r="Q4429" s="18"/>
      <c r="R4429" s="18"/>
      <c r="S4429" s="18"/>
      <c r="T4429" s="18"/>
      <c r="U4429" s="18"/>
      <c r="V4429" s="18"/>
      <c r="W4429" s="18"/>
      <c r="X4429" s="18"/>
    </row>
    <row r="4430" spans="13:24">
      <c r="M4430" s="558">
        <f t="shared" si="212"/>
        <v>4428</v>
      </c>
      <c r="N4430" s="15">
        <f t="shared" si="210"/>
        <v>0.24426572151258305</v>
      </c>
      <c r="O4430" s="165">
        <f t="shared" si="211"/>
        <v>0.24426572151258305</v>
      </c>
      <c r="P4430" s="18"/>
      <c r="Q4430" s="18"/>
      <c r="R4430" s="18"/>
      <c r="S4430" s="18"/>
      <c r="T4430" s="18"/>
      <c r="U4430" s="18"/>
      <c r="V4430" s="18"/>
      <c r="W4430" s="18"/>
      <c r="X4430" s="18"/>
    </row>
    <row r="4431" spans="13:24">
      <c r="M4431" s="558">
        <f t="shared" si="212"/>
        <v>4429</v>
      </c>
      <c r="N4431" s="15">
        <f t="shared" si="210"/>
        <v>0.24421217878757531</v>
      </c>
      <c r="O4431" s="165">
        <f t="shared" si="211"/>
        <v>0.24421217878757531</v>
      </c>
      <c r="P4431" s="18"/>
      <c r="Q4431" s="18"/>
      <c r="R4431" s="18"/>
      <c r="S4431" s="18"/>
      <c r="T4431" s="18"/>
      <c r="U4431" s="18"/>
      <c r="V4431" s="18"/>
      <c r="W4431" s="18"/>
      <c r="X4431" s="18"/>
    </row>
    <row r="4432" spans="13:24">
      <c r="M4432" s="558">
        <f t="shared" si="212"/>
        <v>4430</v>
      </c>
      <c r="N4432" s="15">
        <f t="shared" si="210"/>
        <v>0.24415863878933491</v>
      </c>
      <c r="O4432" s="165">
        <f t="shared" si="211"/>
        <v>0.24415863878933491</v>
      </c>
      <c r="P4432" s="18"/>
      <c r="Q4432" s="18"/>
      <c r="R4432" s="18"/>
      <c r="S4432" s="18"/>
      <c r="T4432" s="18"/>
      <c r="U4432" s="18"/>
      <c r="V4432" s="18"/>
      <c r="W4432" s="18"/>
      <c r="X4432" s="18"/>
    </row>
    <row r="4433" spans="13:24">
      <c r="M4433" s="558">
        <f t="shared" si="212"/>
        <v>4431</v>
      </c>
      <c r="N4433" s="15">
        <f t="shared" si="210"/>
        <v>0.24410510151443993</v>
      </c>
      <c r="O4433" s="165">
        <f t="shared" si="211"/>
        <v>0.24410510151443993</v>
      </c>
      <c r="P4433" s="18"/>
      <c r="Q4433" s="18"/>
      <c r="R4433" s="18"/>
      <c r="S4433" s="18"/>
      <c r="T4433" s="18"/>
      <c r="U4433" s="18"/>
      <c r="V4433" s="18"/>
      <c r="W4433" s="18"/>
      <c r="X4433" s="18"/>
    </row>
    <row r="4434" spans="13:24">
      <c r="M4434" s="558">
        <f t="shared" si="212"/>
        <v>4432</v>
      </c>
      <c r="N4434" s="15">
        <f t="shared" si="210"/>
        <v>0.2440515669594728</v>
      </c>
      <c r="O4434" s="165">
        <f t="shared" si="211"/>
        <v>0.2440515669594728</v>
      </c>
      <c r="P4434" s="18"/>
      <c r="Q4434" s="18"/>
      <c r="R4434" s="18"/>
      <c r="S4434" s="18"/>
      <c r="T4434" s="18"/>
      <c r="U4434" s="18"/>
      <c r="V4434" s="18"/>
      <c r="W4434" s="18"/>
      <c r="X4434" s="18"/>
    </row>
    <row r="4435" spans="13:24">
      <c r="M4435" s="558">
        <f t="shared" si="212"/>
        <v>4433</v>
      </c>
      <c r="N4435" s="15">
        <f t="shared" si="210"/>
        <v>0.24399803512102022</v>
      </c>
      <c r="O4435" s="165">
        <f t="shared" si="211"/>
        <v>0.24399803512102022</v>
      </c>
      <c r="P4435" s="18"/>
      <c r="Q4435" s="18"/>
      <c r="R4435" s="18"/>
      <c r="S4435" s="18"/>
      <c r="T4435" s="18"/>
      <c r="U4435" s="18"/>
      <c r="V4435" s="18"/>
      <c r="W4435" s="18"/>
      <c r="X4435" s="18"/>
    </row>
    <row r="4436" spans="13:24">
      <c r="M4436" s="558">
        <f t="shared" si="212"/>
        <v>4434</v>
      </c>
      <c r="N4436" s="15">
        <f t="shared" si="210"/>
        <v>0.24394450599567322</v>
      </c>
      <c r="O4436" s="165">
        <f t="shared" si="211"/>
        <v>0.24394450599567322</v>
      </c>
      <c r="P4436" s="18"/>
      <c r="Q4436" s="18"/>
      <c r="R4436" s="18"/>
      <c r="S4436" s="18"/>
      <c r="T4436" s="18"/>
      <c r="U4436" s="18"/>
      <c r="V4436" s="18"/>
      <c r="W4436" s="18"/>
      <c r="X4436" s="18"/>
    </row>
    <row r="4437" spans="13:24">
      <c r="M4437" s="558">
        <f t="shared" si="212"/>
        <v>4435</v>
      </c>
      <c r="N4437" s="15">
        <f t="shared" si="210"/>
        <v>0.24389097958002701</v>
      </c>
      <c r="O4437" s="165">
        <f t="shared" si="211"/>
        <v>0.24389097958002701</v>
      </c>
      <c r="P4437" s="18"/>
      <c r="Q4437" s="18"/>
      <c r="R4437" s="18"/>
      <c r="S4437" s="18"/>
      <c r="T4437" s="18"/>
      <c r="U4437" s="18"/>
      <c r="V4437" s="18"/>
      <c r="W4437" s="18"/>
      <c r="X4437" s="18"/>
    </row>
    <row r="4438" spans="13:24">
      <c r="M4438" s="558">
        <f t="shared" si="212"/>
        <v>4436</v>
      </c>
      <c r="N4438" s="15">
        <f t="shared" si="210"/>
        <v>0.24383745587068115</v>
      </c>
      <c r="O4438" s="165">
        <f t="shared" si="211"/>
        <v>0.24383745587068115</v>
      </c>
      <c r="P4438" s="18"/>
      <c r="Q4438" s="18"/>
      <c r="R4438" s="18"/>
      <c r="S4438" s="18"/>
      <c r="T4438" s="18"/>
      <c r="U4438" s="18"/>
      <c r="V4438" s="18"/>
      <c r="W4438" s="18"/>
      <c r="X4438" s="18"/>
    </row>
    <row r="4439" spans="13:24">
      <c r="M4439" s="558">
        <f t="shared" si="212"/>
        <v>4437</v>
      </c>
      <c r="N4439" s="15">
        <f t="shared" si="210"/>
        <v>0.24378393486423949</v>
      </c>
      <c r="O4439" s="165">
        <f t="shared" si="211"/>
        <v>0.24378393486423949</v>
      </c>
      <c r="P4439" s="18"/>
      <c r="Q4439" s="18"/>
      <c r="R4439" s="18"/>
      <c r="S4439" s="18"/>
      <c r="T4439" s="18"/>
      <c r="U4439" s="18"/>
      <c r="V4439" s="18"/>
      <c r="W4439" s="18"/>
      <c r="X4439" s="18"/>
    </row>
    <row r="4440" spans="13:24">
      <c r="M4440" s="558">
        <f t="shared" si="212"/>
        <v>4438</v>
      </c>
      <c r="N4440" s="15">
        <f t="shared" si="210"/>
        <v>0.24373041655731006</v>
      </c>
      <c r="O4440" s="165">
        <f t="shared" si="211"/>
        <v>0.24373041655731006</v>
      </c>
      <c r="P4440" s="18"/>
      <c r="Q4440" s="18"/>
      <c r="R4440" s="18"/>
      <c r="S4440" s="18"/>
      <c r="T4440" s="18"/>
      <c r="U4440" s="18"/>
      <c r="V4440" s="18"/>
      <c r="W4440" s="18"/>
      <c r="X4440" s="18"/>
    </row>
    <row r="4441" spans="13:24">
      <c r="M4441" s="558">
        <f t="shared" si="212"/>
        <v>4439</v>
      </c>
      <c r="N4441" s="15">
        <f t="shared" si="210"/>
        <v>0.24367690094650524</v>
      </c>
      <c r="O4441" s="165">
        <f t="shared" si="211"/>
        <v>0.24367690094650524</v>
      </c>
      <c r="P4441" s="18"/>
      <c r="Q4441" s="18"/>
      <c r="R4441" s="18"/>
      <c r="S4441" s="18"/>
      <c r="T4441" s="18"/>
      <c r="U4441" s="18"/>
      <c r="V4441" s="18"/>
      <c r="W4441" s="18"/>
      <c r="X4441" s="18"/>
    </row>
    <row r="4442" spans="13:24">
      <c r="M4442" s="558">
        <f t="shared" si="212"/>
        <v>4440</v>
      </c>
      <c r="N4442" s="15">
        <f t="shared" si="210"/>
        <v>0.24362338802844155</v>
      </c>
      <c r="O4442" s="165">
        <f t="shared" si="211"/>
        <v>0.24362338802844155</v>
      </c>
      <c r="P4442" s="18"/>
      <c r="Q4442" s="18"/>
      <c r="R4442" s="18"/>
      <c r="S4442" s="18"/>
      <c r="T4442" s="18"/>
      <c r="U4442" s="18"/>
      <c r="V4442" s="18"/>
      <c r="W4442" s="18"/>
      <c r="X4442" s="18"/>
    </row>
    <row r="4443" spans="13:24">
      <c r="M4443" s="558">
        <f t="shared" si="212"/>
        <v>4441</v>
      </c>
      <c r="N4443" s="15">
        <f t="shared" si="210"/>
        <v>0.24356987779973985</v>
      </c>
      <c r="O4443" s="165">
        <f t="shared" si="211"/>
        <v>0.24356987779973985</v>
      </c>
      <c r="P4443" s="18"/>
      <c r="Q4443" s="18"/>
      <c r="R4443" s="18"/>
      <c r="S4443" s="18"/>
      <c r="T4443" s="18"/>
      <c r="U4443" s="18"/>
      <c r="V4443" s="18"/>
      <c r="W4443" s="18"/>
      <c r="X4443" s="18"/>
    </row>
    <row r="4444" spans="13:24">
      <c r="M4444" s="558">
        <f t="shared" si="212"/>
        <v>4442</v>
      </c>
      <c r="N4444" s="15">
        <f t="shared" si="210"/>
        <v>0.24351637025702519</v>
      </c>
      <c r="O4444" s="165">
        <f t="shared" si="211"/>
        <v>0.24351637025702519</v>
      </c>
      <c r="P4444" s="18"/>
      <c r="Q4444" s="18"/>
      <c r="R4444" s="18"/>
      <c r="S4444" s="18"/>
      <c r="T4444" s="18"/>
      <c r="U4444" s="18"/>
      <c r="V4444" s="18"/>
      <c r="W4444" s="18"/>
      <c r="X4444" s="18"/>
    </row>
    <row r="4445" spans="13:24">
      <c r="M4445" s="558">
        <f t="shared" si="212"/>
        <v>4443</v>
      </c>
      <c r="N4445" s="15">
        <f t="shared" si="210"/>
        <v>0.24346286539692691</v>
      </c>
      <c r="O4445" s="165">
        <f t="shared" si="211"/>
        <v>0.24346286539692691</v>
      </c>
      <c r="P4445" s="18"/>
      <c r="Q4445" s="18"/>
      <c r="R4445" s="18"/>
      <c r="S4445" s="18"/>
      <c r="T4445" s="18"/>
      <c r="U4445" s="18"/>
      <c r="V4445" s="18"/>
      <c r="W4445" s="18"/>
      <c r="X4445" s="18"/>
    </row>
    <row r="4446" spans="13:24">
      <c r="M4446" s="558">
        <f t="shared" si="212"/>
        <v>4444</v>
      </c>
      <c r="N4446" s="15">
        <f t="shared" si="210"/>
        <v>0.24340936321607848</v>
      </c>
      <c r="O4446" s="165">
        <f t="shared" si="211"/>
        <v>0.24340936321607848</v>
      </c>
      <c r="P4446" s="18"/>
      <c r="Q4446" s="18"/>
      <c r="R4446" s="18"/>
      <c r="S4446" s="18"/>
      <c r="T4446" s="18"/>
      <c r="U4446" s="18"/>
      <c r="V4446" s="18"/>
      <c r="W4446" s="18"/>
      <c r="X4446" s="18"/>
    </row>
    <row r="4447" spans="13:24">
      <c r="M4447" s="558">
        <f t="shared" si="212"/>
        <v>4445</v>
      </c>
      <c r="N4447" s="15">
        <f t="shared" si="210"/>
        <v>0.2433558637111177</v>
      </c>
      <c r="O4447" s="165">
        <f t="shared" si="211"/>
        <v>0.2433558637111177</v>
      </c>
      <c r="P4447" s="18"/>
      <c r="Q4447" s="18"/>
      <c r="R4447" s="18"/>
      <c r="S4447" s="18"/>
      <c r="T4447" s="18"/>
      <c r="U4447" s="18"/>
      <c r="V4447" s="18"/>
      <c r="W4447" s="18"/>
      <c r="X4447" s="18"/>
    </row>
    <row r="4448" spans="13:24">
      <c r="M4448" s="558">
        <f t="shared" si="212"/>
        <v>4446</v>
      </c>
      <c r="N4448" s="15">
        <f t="shared" si="210"/>
        <v>0.24330236687868653</v>
      </c>
      <c r="O4448" s="165">
        <f t="shared" si="211"/>
        <v>0.24330236687868653</v>
      </c>
      <c r="P4448" s="18"/>
      <c r="Q4448" s="18"/>
      <c r="R4448" s="18"/>
      <c r="S4448" s="18"/>
      <c r="T4448" s="18"/>
      <c r="U4448" s="18"/>
      <c r="V4448" s="18"/>
      <c r="W4448" s="18"/>
      <c r="X4448" s="18"/>
    </row>
    <row r="4449" spans="13:24">
      <c r="M4449" s="558">
        <f t="shared" si="212"/>
        <v>4447</v>
      </c>
      <c r="N4449" s="15">
        <f t="shared" si="210"/>
        <v>0.24324887271543119</v>
      </c>
      <c r="O4449" s="165">
        <f t="shared" si="211"/>
        <v>0.24324887271543119</v>
      </c>
      <c r="P4449" s="18"/>
      <c r="Q4449" s="18"/>
      <c r="R4449" s="18"/>
      <c r="S4449" s="18"/>
      <c r="T4449" s="18"/>
      <c r="U4449" s="18"/>
      <c r="V4449" s="18"/>
      <c r="W4449" s="18"/>
      <c r="X4449" s="18"/>
    </row>
    <row r="4450" spans="13:24">
      <c r="M4450" s="558">
        <f t="shared" si="212"/>
        <v>4448</v>
      </c>
      <c r="N4450" s="15">
        <f t="shared" si="210"/>
        <v>0.24319538121800202</v>
      </c>
      <c r="O4450" s="165">
        <f t="shared" si="211"/>
        <v>0.24319538121800202</v>
      </c>
      <c r="P4450" s="18"/>
      <c r="Q4450" s="18"/>
      <c r="R4450" s="18"/>
      <c r="S4450" s="18"/>
      <c r="T4450" s="18"/>
      <c r="U4450" s="18"/>
      <c r="V4450" s="18"/>
      <c r="W4450" s="18"/>
      <c r="X4450" s="18"/>
    </row>
    <row r="4451" spans="13:24">
      <c r="M4451" s="558">
        <f t="shared" si="212"/>
        <v>4449</v>
      </c>
      <c r="N4451" s="15">
        <f t="shared" si="210"/>
        <v>0.24314189238305367</v>
      </c>
      <c r="O4451" s="165">
        <f t="shared" si="211"/>
        <v>0.24314189238305367</v>
      </c>
      <c r="P4451" s="18"/>
      <c r="Q4451" s="18"/>
      <c r="R4451" s="18"/>
      <c r="S4451" s="18"/>
      <c r="T4451" s="18"/>
      <c r="U4451" s="18"/>
      <c r="V4451" s="18"/>
      <c r="W4451" s="18"/>
      <c r="X4451" s="18"/>
    </row>
    <row r="4452" spans="13:24">
      <c r="M4452" s="558">
        <f t="shared" si="212"/>
        <v>4450</v>
      </c>
      <c r="N4452" s="15">
        <f t="shared" si="210"/>
        <v>0.24308840620724492</v>
      </c>
      <c r="O4452" s="165">
        <f t="shared" si="211"/>
        <v>0.24308840620724492</v>
      </c>
      <c r="P4452" s="18"/>
      <c r="Q4452" s="18"/>
      <c r="R4452" s="18"/>
      <c r="S4452" s="18"/>
      <c r="T4452" s="18"/>
      <c r="U4452" s="18"/>
      <c r="V4452" s="18"/>
      <c r="W4452" s="18"/>
      <c r="X4452" s="18"/>
    </row>
    <row r="4453" spans="13:24">
      <c r="M4453" s="558">
        <f t="shared" si="212"/>
        <v>4451</v>
      </c>
      <c r="N4453" s="15">
        <f t="shared" si="210"/>
        <v>0.24303492268723875</v>
      </c>
      <c r="O4453" s="165">
        <f t="shared" si="211"/>
        <v>0.24303492268723875</v>
      </c>
      <c r="P4453" s="18"/>
      <c r="Q4453" s="18"/>
      <c r="R4453" s="18"/>
      <c r="S4453" s="18"/>
      <c r="T4453" s="18"/>
      <c r="U4453" s="18"/>
      <c r="V4453" s="18"/>
      <c r="W4453" s="18"/>
      <c r="X4453" s="18"/>
    </row>
    <row r="4454" spans="13:24">
      <c r="M4454" s="558">
        <f t="shared" si="212"/>
        <v>4452</v>
      </c>
      <c r="N4454" s="15">
        <f t="shared" si="210"/>
        <v>0.24298144181970241</v>
      </c>
      <c r="O4454" s="165">
        <f t="shared" si="211"/>
        <v>0.24298144181970241</v>
      </c>
      <c r="P4454" s="18"/>
      <c r="Q4454" s="18"/>
      <c r="R4454" s="18"/>
      <c r="S4454" s="18"/>
      <c r="T4454" s="18"/>
      <c r="U4454" s="18"/>
      <c r="V4454" s="18"/>
      <c r="W4454" s="18"/>
      <c r="X4454" s="18"/>
    </row>
    <row r="4455" spans="13:24">
      <c r="M4455" s="558">
        <f t="shared" si="212"/>
        <v>4453</v>
      </c>
      <c r="N4455" s="15">
        <f t="shared" si="210"/>
        <v>0.24292796360130717</v>
      </c>
      <c r="O4455" s="165">
        <f t="shared" si="211"/>
        <v>0.24292796360130717</v>
      </c>
      <c r="P4455" s="18"/>
      <c r="Q4455" s="18"/>
      <c r="R4455" s="18"/>
      <c r="S4455" s="18"/>
      <c r="T4455" s="18"/>
      <c r="U4455" s="18"/>
      <c r="V4455" s="18"/>
      <c r="W4455" s="18"/>
      <c r="X4455" s="18"/>
    </row>
    <row r="4456" spans="13:24">
      <c r="M4456" s="558">
        <f t="shared" si="212"/>
        <v>4454</v>
      </c>
      <c r="N4456" s="15">
        <f t="shared" si="210"/>
        <v>0.24287448802872866</v>
      </c>
      <c r="O4456" s="165">
        <f t="shared" si="211"/>
        <v>0.24287448802872866</v>
      </c>
      <c r="P4456" s="18"/>
      <c r="Q4456" s="18"/>
      <c r="R4456" s="18"/>
      <c r="S4456" s="18"/>
      <c r="T4456" s="18"/>
      <c r="U4456" s="18"/>
      <c r="V4456" s="18"/>
      <c r="W4456" s="18"/>
      <c r="X4456" s="18"/>
    </row>
    <row r="4457" spans="13:24">
      <c r="M4457" s="558">
        <f t="shared" si="212"/>
        <v>4455</v>
      </c>
      <c r="N4457" s="15">
        <f t="shared" si="210"/>
        <v>0.24282101509864651</v>
      </c>
      <c r="O4457" s="165">
        <f t="shared" si="211"/>
        <v>0.24282101509864651</v>
      </c>
      <c r="P4457" s="18"/>
      <c r="Q4457" s="18"/>
      <c r="R4457" s="18"/>
      <c r="S4457" s="18"/>
      <c r="T4457" s="18"/>
      <c r="U4457" s="18"/>
      <c r="V4457" s="18"/>
      <c r="W4457" s="18"/>
      <c r="X4457" s="18"/>
    </row>
    <row r="4458" spans="13:24">
      <c r="M4458" s="558">
        <f t="shared" si="212"/>
        <v>4456</v>
      </c>
      <c r="N4458" s="15">
        <f t="shared" si="210"/>
        <v>0.24276754480774465</v>
      </c>
      <c r="O4458" s="165">
        <f t="shared" si="211"/>
        <v>0.24276754480774465</v>
      </c>
      <c r="P4458" s="18"/>
      <c r="Q4458" s="18"/>
      <c r="R4458" s="18"/>
      <c r="S4458" s="18"/>
      <c r="T4458" s="18"/>
      <c r="U4458" s="18"/>
      <c r="V4458" s="18"/>
      <c r="W4458" s="18"/>
      <c r="X4458" s="18"/>
    </row>
    <row r="4459" spans="13:24">
      <c r="M4459" s="558">
        <f t="shared" si="212"/>
        <v>4457</v>
      </c>
      <c r="N4459" s="15">
        <f t="shared" si="210"/>
        <v>0.24271407715271109</v>
      </c>
      <c r="O4459" s="165">
        <f t="shared" si="211"/>
        <v>0.24271407715271109</v>
      </c>
      <c r="P4459" s="18"/>
      <c r="Q4459" s="18"/>
      <c r="R4459" s="18"/>
      <c r="S4459" s="18"/>
      <c r="T4459" s="18"/>
      <c r="U4459" s="18"/>
      <c r="V4459" s="18"/>
      <c r="W4459" s="18"/>
      <c r="X4459" s="18"/>
    </row>
    <row r="4460" spans="13:24">
      <c r="M4460" s="558">
        <f t="shared" si="212"/>
        <v>4458</v>
      </c>
      <c r="N4460" s="15">
        <f t="shared" si="210"/>
        <v>0.2426606121302381</v>
      </c>
      <c r="O4460" s="165">
        <f t="shared" si="211"/>
        <v>0.2426606121302381</v>
      </c>
      <c r="P4460" s="18"/>
      <c r="Q4460" s="18"/>
      <c r="R4460" s="18"/>
      <c r="S4460" s="18"/>
      <c r="T4460" s="18"/>
      <c r="U4460" s="18"/>
      <c r="V4460" s="18"/>
      <c r="W4460" s="18"/>
      <c r="X4460" s="18"/>
    </row>
    <row r="4461" spans="13:24">
      <c r="M4461" s="558">
        <f t="shared" si="212"/>
        <v>4459</v>
      </c>
      <c r="N4461" s="15">
        <f t="shared" si="210"/>
        <v>0.24260714973702191</v>
      </c>
      <c r="O4461" s="165">
        <f t="shared" si="211"/>
        <v>0.24260714973702191</v>
      </c>
      <c r="P4461" s="18"/>
      <c r="Q4461" s="18"/>
      <c r="R4461" s="18"/>
      <c r="S4461" s="18"/>
      <c r="T4461" s="18"/>
      <c r="U4461" s="18"/>
      <c r="V4461" s="18"/>
      <c r="W4461" s="18"/>
      <c r="X4461" s="18"/>
    </row>
    <row r="4462" spans="13:24">
      <c r="M4462" s="558">
        <f t="shared" si="212"/>
        <v>4460</v>
      </c>
      <c r="N4462" s="15">
        <f t="shared" si="210"/>
        <v>0.24255368996976312</v>
      </c>
      <c r="O4462" s="165">
        <f t="shared" si="211"/>
        <v>0.24255368996976312</v>
      </c>
      <c r="P4462" s="18"/>
      <c r="Q4462" s="18"/>
      <c r="R4462" s="18"/>
      <c r="S4462" s="18"/>
      <c r="T4462" s="18"/>
      <c r="U4462" s="18"/>
      <c r="V4462" s="18"/>
      <c r="W4462" s="18"/>
      <c r="X4462" s="18"/>
    </row>
    <row r="4463" spans="13:24">
      <c r="M4463" s="558">
        <f t="shared" si="212"/>
        <v>4461</v>
      </c>
      <c r="N4463" s="15">
        <f t="shared" si="210"/>
        <v>0.24250023282516628</v>
      </c>
      <c r="O4463" s="165">
        <f t="shared" si="211"/>
        <v>0.24250023282516628</v>
      </c>
      <c r="P4463" s="18"/>
      <c r="Q4463" s="18"/>
      <c r="R4463" s="18"/>
      <c r="S4463" s="18"/>
      <c r="T4463" s="18"/>
      <c r="U4463" s="18"/>
      <c r="V4463" s="18"/>
      <c r="W4463" s="18"/>
      <c r="X4463" s="18"/>
    </row>
    <row r="4464" spans="13:24">
      <c r="M4464" s="558">
        <f t="shared" si="212"/>
        <v>4462</v>
      </c>
      <c r="N4464" s="15">
        <f t="shared" si="210"/>
        <v>0.24244677829994024</v>
      </c>
      <c r="O4464" s="165">
        <f t="shared" si="211"/>
        <v>0.24244677829994024</v>
      </c>
      <c r="P4464" s="18"/>
      <c r="Q4464" s="18"/>
      <c r="R4464" s="18"/>
      <c r="S4464" s="18"/>
      <c r="T4464" s="18"/>
      <c r="U4464" s="18"/>
      <c r="V4464" s="18"/>
      <c r="W4464" s="18"/>
      <c r="X4464" s="18"/>
    </row>
    <row r="4465" spans="13:24">
      <c r="M4465" s="558">
        <f t="shared" si="212"/>
        <v>4463</v>
      </c>
      <c r="N4465" s="15">
        <f t="shared" si="210"/>
        <v>0.24239332639079783</v>
      </c>
      <c r="O4465" s="165">
        <f t="shared" si="211"/>
        <v>0.24239332639079783</v>
      </c>
      <c r="P4465" s="18"/>
      <c r="Q4465" s="18"/>
      <c r="R4465" s="18"/>
      <c r="S4465" s="18"/>
      <c r="T4465" s="18"/>
      <c r="U4465" s="18"/>
      <c r="V4465" s="18"/>
      <c r="W4465" s="18"/>
      <c r="X4465" s="18"/>
    </row>
    <row r="4466" spans="13:24">
      <c r="M4466" s="558">
        <f t="shared" si="212"/>
        <v>4464</v>
      </c>
      <c r="N4466" s="15">
        <f t="shared" si="210"/>
        <v>0.24233987709445612</v>
      </c>
      <c r="O4466" s="165">
        <f t="shared" si="211"/>
        <v>0.24233987709445612</v>
      </c>
      <c r="P4466" s="18"/>
      <c r="Q4466" s="18"/>
      <c r="R4466" s="18"/>
      <c r="S4466" s="18"/>
      <c r="T4466" s="18"/>
      <c r="U4466" s="18"/>
      <c r="V4466" s="18"/>
      <c r="W4466" s="18"/>
      <c r="X4466" s="18"/>
    </row>
    <row r="4467" spans="13:24">
      <c r="M4467" s="558">
        <f t="shared" si="212"/>
        <v>4465</v>
      </c>
      <c r="N4467" s="15">
        <f t="shared" si="210"/>
        <v>0.24228643040763623</v>
      </c>
      <c r="O4467" s="165">
        <f t="shared" si="211"/>
        <v>0.24228643040763623</v>
      </c>
      <c r="P4467" s="18"/>
      <c r="Q4467" s="18"/>
      <c r="R4467" s="18"/>
      <c r="S4467" s="18"/>
      <c r="T4467" s="18"/>
      <c r="U4467" s="18"/>
      <c r="V4467" s="18"/>
      <c r="W4467" s="18"/>
      <c r="X4467" s="18"/>
    </row>
    <row r="4468" spans="13:24">
      <c r="M4468" s="558">
        <f t="shared" si="212"/>
        <v>4466</v>
      </c>
      <c r="N4468" s="15">
        <f t="shared" si="210"/>
        <v>0.24223298632706342</v>
      </c>
      <c r="O4468" s="165">
        <f t="shared" si="211"/>
        <v>0.24223298632706342</v>
      </c>
      <c r="P4468" s="18"/>
      <c r="Q4468" s="18"/>
      <c r="R4468" s="18"/>
      <c r="S4468" s="18"/>
      <c r="T4468" s="18"/>
      <c r="U4468" s="18"/>
      <c r="V4468" s="18"/>
      <c r="W4468" s="18"/>
      <c r="X4468" s="18"/>
    </row>
    <row r="4469" spans="13:24">
      <c r="M4469" s="558">
        <f t="shared" si="212"/>
        <v>4467</v>
      </c>
      <c r="N4469" s="15">
        <f t="shared" si="210"/>
        <v>0.2421795448494671</v>
      </c>
      <c r="O4469" s="165">
        <f t="shared" si="211"/>
        <v>0.2421795448494671</v>
      </c>
      <c r="P4469" s="18"/>
      <c r="Q4469" s="18"/>
      <c r="R4469" s="18"/>
      <c r="S4469" s="18"/>
      <c r="T4469" s="18"/>
      <c r="U4469" s="18"/>
      <c r="V4469" s="18"/>
      <c r="W4469" s="18"/>
      <c r="X4469" s="18"/>
    </row>
    <row r="4470" spans="13:24">
      <c r="M4470" s="558">
        <f t="shared" si="212"/>
        <v>4468</v>
      </c>
      <c r="N4470" s="15">
        <f t="shared" si="210"/>
        <v>0.24212610597158069</v>
      </c>
      <c r="O4470" s="165">
        <f t="shared" si="211"/>
        <v>0.24212610597158069</v>
      </c>
      <c r="P4470" s="18"/>
      <c r="Q4470" s="18"/>
      <c r="R4470" s="18"/>
      <c r="S4470" s="18"/>
      <c r="T4470" s="18"/>
      <c r="U4470" s="18"/>
      <c r="V4470" s="18"/>
      <c r="W4470" s="18"/>
      <c r="X4470" s="18"/>
    </row>
    <row r="4471" spans="13:24">
      <c r="M4471" s="558">
        <f t="shared" si="212"/>
        <v>4469</v>
      </c>
      <c r="N4471" s="15">
        <f t="shared" si="210"/>
        <v>0.2420726696901418</v>
      </c>
      <c r="O4471" s="165">
        <f t="shared" si="211"/>
        <v>0.2420726696901418</v>
      </c>
      <c r="P4471" s="18"/>
      <c r="Q4471" s="18"/>
      <c r="R4471" s="18"/>
      <c r="S4471" s="18"/>
      <c r="T4471" s="18"/>
      <c r="U4471" s="18"/>
      <c r="V4471" s="18"/>
      <c r="W4471" s="18"/>
      <c r="X4471" s="18"/>
    </row>
    <row r="4472" spans="13:24">
      <c r="M4472" s="558">
        <f t="shared" si="212"/>
        <v>4470</v>
      </c>
      <c r="N4472" s="15">
        <f t="shared" si="210"/>
        <v>0.24201923600189207</v>
      </c>
      <c r="O4472" s="165">
        <f t="shared" si="211"/>
        <v>0.24201923600189207</v>
      </c>
      <c r="P4472" s="18"/>
      <c r="Q4472" s="18"/>
      <c r="R4472" s="18"/>
      <c r="S4472" s="18"/>
      <c r="T4472" s="18"/>
      <c r="U4472" s="18"/>
      <c r="V4472" s="18"/>
      <c r="W4472" s="18"/>
      <c r="X4472" s="18"/>
    </row>
    <row r="4473" spans="13:24">
      <c r="M4473" s="558">
        <f t="shared" si="212"/>
        <v>4471</v>
      </c>
      <c r="N4473" s="15">
        <f t="shared" si="210"/>
        <v>0.2419658049035773</v>
      </c>
      <c r="O4473" s="165">
        <f t="shared" si="211"/>
        <v>0.2419658049035773</v>
      </c>
      <c r="P4473" s="18"/>
      <c r="Q4473" s="18"/>
      <c r="R4473" s="18"/>
      <c r="S4473" s="18"/>
      <c r="T4473" s="18"/>
      <c r="U4473" s="18"/>
      <c r="V4473" s="18"/>
      <c r="W4473" s="18"/>
      <c r="X4473" s="18"/>
    </row>
    <row r="4474" spans="13:24">
      <c r="M4474" s="558">
        <f t="shared" si="212"/>
        <v>4472</v>
      </c>
      <c r="N4474" s="15">
        <f t="shared" si="210"/>
        <v>0.24191237639194726</v>
      </c>
      <c r="O4474" s="165">
        <f t="shared" si="211"/>
        <v>0.24191237639194726</v>
      </c>
      <c r="P4474" s="18"/>
      <c r="Q4474" s="18"/>
      <c r="R4474" s="18"/>
      <c r="S4474" s="18"/>
      <c r="T4474" s="18"/>
      <c r="U4474" s="18"/>
      <c r="V4474" s="18"/>
      <c r="W4474" s="18"/>
      <c r="X4474" s="18"/>
    </row>
    <row r="4475" spans="13:24">
      <c r="M4475" s="558">
        <f t="shared" si="212"/>
        <v>4473</v>
      </c>
      <c r="N4475" s="15">
        <f t="shared" si="210"/>
        <v>0.24185895046375594</v>
      </c>
      <c r="O4475" s="165">
        <f t="shared" si="211"/>
        <v>0.24185895046375594</v>
      </c>
      <c r="P4475" s="18"/>
      <c r="Q4475" s="18"/>
      <c r="R4475" s="18"/>
      <c r="S4475" s="18"/>
      <c r="T4475" s="18"/>
      <c r="U4475" s="18"/>
      <c r="V4475" s="18"/>
      <c r="W4475" s="18"/>
      <c r="X4475" s="18"/>
    </row>
    <row r="4476" spans="13:24">
      <c r="M4476" s="558">
        <f t="shared" si="212"/>
        <v>4474</v>
      </c>
      <c r="N4476" s="15">
        <f t="shared" si="210"/>
        <v>0.24180552711576125</v>
      </c>
      <c r="O4476" s="165">
        <f t="shared" si="211"/>
        <v>0.24180552711576125</v>
      </c>
      <c r="P4476" s="18"/>
      <c r="Q4476" s="18"/>
      <c r="R4476" s="18"/>
      <c r="S4476" s="18"/>
      <c r="T4476" s="18"/>
      <c r="U4476" s="18"/>
      <c r="V4476" s="18"/>
      <c r="W4476" s="18"/>
      <c r="X4476" s="18"/>
    </row>
    <row r="4477" spans="13:24">
      <c r="M4477" s="558">
        <f t="shared" si="212"/>
        <v>4475</v>
      </c>
      <c r="N4477" s="15">
        <f t="shared" si="210"/>
        <v>0.24175210634472535</v>
      </c>
      <c r="O4477" s="165">
        <f t="shared" si="211"/>
        <v>0.24175210634472535</v>
      </c>
      <c r="P4477" s="18"/>
      <c r="Q4477" s="18"/>
      <c r="R4477" s="18"/>
      <c r="S4477" s="18"/>
      <c r="T4477" s="18"/>
      <c r="U4477" s="18"/>
      <c r="V4477" s="18"/>
      <c r="W4477" s="18"/>
      <c r="X4477" s="18"/>
    </row>
    <row r="4478" spans="13:24">
      <c r="M4478" s="558">
        <f t="shared" si="212"/>
        <v>4476</v>
      </c>
      <c r="N4478" s="15">
        <f t="shared" si="210"/>
        <v>0.24169868814741427</v>
      </c>
      <c r="O4478" s="165">
        <f t="shared" si="211"/>
        <v>0.24169868814741427</v>
      </c>
      <c r="P4478" s="18"/>
      <c r="Q4478" s="18"/>
      <c r="R4478" s="18"/>
      <c r="S4478" s="18"/>
      <c r="T4478" s="18"/>
      <c r="U4478" s="18"/>
      <c r="V4478" s="18"/>
      <c r="W4478" s="18"/>
      <c r="X4478" s="18"/>
    </row>
    <row r="4479" spans="13:24">
      <c r="M4479" s="558">
        <f t="shared" si="212"/>
        <v>4477</v>
      </c>
      <c r="N4479" s="15">
        <f t="shared" si="210"/>
        <v>0.24164527252059828</v>
      </c>
      <c r="O4479" s="165">
        <f t="shared" si="211"/>
        <v>0.24164527252059828</v>
      </c>
      <c r="P4479" s="18"/>
      <c r="Q4479" s="18"/>
      <c r="R4479" s="18"/>
      <c r="S4479" s="18"/>
      <c r="T4479" s="18"/>
      <c r="U4479" s="18"/>
      <c r="V4479" s="18"/>
      <c r="W4479" s="18"/>
      <c r="X4479" s="18"/>
    </row>
    <row r="4480" spans="13:24">
      <c r="M4480" s="558">
        <f t="shared" si="212"/>
        <v>4478</v>
      </c>
      <c r="N4480" s="15">
        <f t="shared" si="210"/>
        <v>0.24159185946105152</v>
      </c>
      <c r="O4480" s="165">
        <f t="shared" si="211"/>
        <v>0.24159185946105152</v>
      </c>
      <c r="P4480" s="18"/>
      <c r="Q4480" s="18"/>
      <c r="R4480" s="18"/>
      <c r="S4480" s="18"/>
      <c r="T4480" s="18"/>
      <c r="U4480" s="18"/>
      <c r="V4480" s="18"/>
      <c r="W4480" s="18"/>
      <c r="X4480" s="18"/>
    </row>
    <row r="4481" spans="13:24">
      <c r="M4481" s="558">
        <f t="shared" si="212"/>
        <v>4479</v>
      </c>
      <c r="N4481" s="15">
        <f t="shared" si="210"/>
        <v>0.24153844896555235</v>
      </c>
      <c r="O4481" s="165">
        <f t="shared" si="211"/>
        <v>0.24153844896555235</v>
      </c>
      <c r="P4481" s="18"/>
      <c r="Q4481" s="18"/>
      <c r="R4481" s="18"/>
      <c r="S4481" s="18"/>
      <c r="T4481" s="18"/>
      <c r="U4481" s="18"/>
      <c r="V4481" s="18"/>
      <c r="W4481" s="18"/>
      <c r="X4481" s="18"/>
    </row>
    <row r="4482" spans="13:24">
      <c r="M4482" s="558">
        <f t="shared" si="212"/>
        <v>4480</v>
      </c>
      <c r="N4482" s="15">
        <f t="shared" si="210"/>
        <v>0.24148504103088306</v>
      </c>
      <c r="O4482" s="165">
        <f t="shared" si="211"/>
        <v>0.24148504103088306</v>
      </c>
      <c r="P4482" s="18"/>
      <c r="Q4482" s="18"/>
      <c r="R4482" s="18"/>
      <c r="S4482" s="18"/>
      <c r="T4482" s="18"/>
      <c r="U4482" s="18"/>
      <c r="V4482" s="18"/>
      <c r="W4482" s="18"/>
      <c r="X4482" s="18"/>
    </row>
    <row r="4483" spans="13:24">
      <c r="M4483" s="558">
        <f t="shared" si="212"/>
        <v>4481</v>
      </c>
      <c r="N4483" s="15">
        <f t="shared" si="210"/>
        <v>0.24143163565383002</v>
      </c>
      <c r="O4483" s="165">
        <f t="shared" si="211"/>
        <v>0.24143163565383002</v>
      </c>
      <c r="P4483" s="18"/>
      <c r="Q4483" s="18"/>
      <c r="R4483" s="18"/>
      <c r="S4483" s="18"/>
      <c r="T4483" s="18"/>
      <c r="U4483" s="18"/>
      <c r="V4483" s="18"/>
      <c r="W4483" s="18"/>
      <c r="X4483" s="18"/>
    </row>
    <row r="4484" spans="13:24">
      <c r="M4484" s="558">
        <f t="shared" si="212"/>
        <v>4482</v>
      </c>
      <c r="N4484" s="15">
        <f t="shared" ref="N4484:N4547" si="213">IF(M4484&lt;$B$31+1,$B$32+$B$33/$B$31*(8760-M4484)+$B$34*IF(M4484&lt;$B$36-$B$31/(2*$B$35),1,IF(M4484&lt;$B$36+$B$31/(2*$B$35),COS(PI()/2*(M4484-($B$36-$B$31/(2*$B$35)))*$B$35/$B$31)^2,0))+$B$37*EXP((8760-M4484)/8760*$B$38)/EXP($B$38)-(8760-$B$31)*$B$33/$B$31,0)</f>
        <v>0.24137823283118365</v>
      </c>
      <c r="O4484" s="165">
        <f t="shared" ref="O4484:O4547" si="214">MIN(N4484,C$24)</f>
        <v>0.24137823283118365</v>
      </c>
      <c r="P4484" s="18"/>
      <c r="Q4484" s="18"/>
      <c r="R4484" s="18"/>
      <c r="S4484" s="18"/>
      <c r="T4484" s="18"/>
      <c r="U4484" s="18"/>
      <c r="V4484" s="18"/>
      <c r="W4484" s="18"/>
      <c r="X4484" s="18"/>
    </row>
    <row r="4485" spans="13:24">
      <c r="M4485" s="558">
        <f t="shared" ref="M4485:M4548" si="215">M4484+1</f>
        <v>4483</v>
      </c>
      <c r="N4485" s="15">
        <f t="shared" si="213"/>
        <v>0.24132483255973833</v>
      </c>
      <c r="O4485" s="165">
        <f t="shared" si="214"/>
        <v>0.24132483255973833</v>
      </c>
      <c r="P4485" s="18"/>
      <c r="Q4485" s="18"/>
      <c r="R4485" s="18"/>
      <c r="S4485" s="18"/>
      <c r="T4485" s="18"/>
      <c r="U4485" s="18"/>
      <c r="V4485" s="18"/>
      <c r="W4485" s="18"/>
      <c r="X4485" s="18"/>
    </row>
    <row r="4486" spans="13:24">
      <c r="M4486" s="558">
        <f t="shared" si="215"/>
        <v>4484</v>
      </c>
      <c r="N4486" s="15">
        <f t="shared" si="213"/>
        <v>0.24127143483629257</v>
      </c>
      <c r="O4486" s="165">
        <f t="shared" si="214"/>
        <v>0.24127143483629257</v>
      </c>
      <c r="P4486" s="18"/>
      <c r="Q4486" s="18"/>
      <c r="R4486" s="18"/>
      <c r="S4486" s="18"/>
      <c r="T4486" s="18"/>
      <c r="U4486" s="18"/>
      <c r="V4486" s="18"/>
      <c r="W4486" s="18"/>
      <c r="X4486" s="18"/>
    </row>
    <row r="4487" spans="13:24">
      <c r="M4487" s="558">
        <f t="shared" si="215"/>
        <v>4485</v>
      </c>
      <c r="N4487" s="15">
        <f t="shared" si="213"/>
        <v>0.24121803965764876</v>
      </c>
      <c r="O4487" s="165">
        <f t="shared" si="214"/>
        <v>0.24121803965764876</v>
      </c>
      <c r="P4487" s="18"/>
      <c r="Q4487" s="18"/>
      <c r="R4487" s="18"/>
      <c r="S4487" s="18"/>
      <c r="T4487" s="18"/>
      <c r="U4487" s="18"/>
      <c r="V4487" s="18"/>
      <c r="W4487" s="18"/>
      <c r="X4487" s="18"/>
    </row>
    <row r="4488" spans="13:24">
      <c r="M4488" s="558">
        <f t="shared" si="215"/>
        <v>4486</v>
      </c>
      <c r="N4488" s="15">
        <f t="shared" si="213"/>
        <v>0.24116464702061344</v>
      </c>
      <c r="O4488" s="165">
        <f t="shared" si="214"/>
        <v>0.24116464702061344</v>
      </c>
      <c r="P4488" s="18"/>
      <c r="Q4488" s="18"/>
      <c r="R4488" s="18"/>
      <c r="S4488" s="18"/>
      <c r="T4488" s="18"/>
      <c r="U4488" s="18"/>
      <c r="V4488" s="18"/>
      <c r="W4488" s="18"/>
      <c r="X4488" s="18"/>
    </row>
    <row r="4489" spans="13:24">
      <c r="M4489" s="558">
        <f t="shared" si="215"/>
        <v>4487</v>
      </c>
      <c r="N4489" s="15">
        <f t="shared" si="213"/>
        <v>0.24111125692199706</v>
      </c>
      <c r="O4489" s="165">
        <f t="shared" si="214"/>
        <v>0.24111125692199706</v>
      </c>
      <c r="P4489" s="18"/>
      <c r="Q4489" s="18"/>
      <c r="R4489" s="18"/>
      <c r="S4489" s="18"/>
      <c r="T4489" s="18"/>
      <c r="U4489" s="18"/>
      <c r="V4489" s="18"/>
      <c r="W4489" s="18"/>
      <c r="X4489" s="18"/>
    </row>
    <row r="4490" spans="13:24">
      <c r="M4490" s="558">
        <f t="shared" si="215"/>
        <v>4488</v>
      </c>
      <c r="N4490" s="15">
        <f t="shared" si="213"/>
        <v>0.24105786935861412</v>
      </c>
      <c r="O4490" s="165">
        <f t="shared" si="214"/>
        <v>0.24105786935861412</v>
      </c>
      <c r="P4490" s="18"/>
      <c r="Q4490" s="18"/>
      <c r="R4490" s="18"/>
      <c r="S4490" s="18"/>
      <c r="T4490" s="18"/>
      <c r="U4490" s="18"/>
      <c r="V4490" s="18"/>
      <c r="W4490" s="18"/>
      <c r="X4490" s="18"/>
    </row>
    <row r="4491" spans="13:24">
      <c r="M4491" s="558">
        <f t="shared" si="215"/>
        <v>4489</v>
      </c>
      <c r="N4491" s="15">
        <f t="shared" si="213"/>
        <v>0.24100448432728308</v>
      </c>
      <c r="O4491" s="165">
        <f t="shared" si="214"/>
        <v>0.24100448432728308</v>
      </c>
      <c r="P4491" s="18"/>
      <c r="Q4491" s="18"/>
      <c r="R4491" s="18"/>
      <c r="S4491" s="18"/>
      <c r="T4491" s="18"/>
      <c r="U4491" s="18"/>
      <c r="V4491" s="18"/>
      <c r="W4491" s="18"/>
      <c r="X4491" s="18"/>
    </row>
    <row r="4492" spans="13:24">
      <c r="M4492" s="558">
        <f t="shared" si="215"/>
        <v>4490</v>
      </c>
      <c r="N4492" s="15">
        <f t="shared" si="213"/>
        <v>0.24095110182482649</v>
      </c>
      <c r="O4492" s="165">
        <f t="shared" si="214"/>
        <v>0.24095110182482649</v>
      </c>
      <c r="P4492" s="18"/>
      <c r="Q4492" s="18"/>
      <c r="R4492" s="18"/>
      <c r="S4492" s="18"/>
      <c r="T4492" s="18"/>
      <c r="U4492" s="18"/>
      <c r="V4492" s="18"/>
      <c r="W4492" s="18"/>
      <c r="X4492" s="18"/>
    </row>
    <row r="4493" spans="13:24">
      <c r="M4493" s="558">
        <f t="shared" si="215"/>
        <v>4491</v>
      </c>
      <c r="N4493" s="15">
        <f t="shared" si="213"/>
        <v>0.24089772184807073</v>
      </c>
      <c r="O4493" s="165">
        <f t="shared" si="214"/>
        <v>0.24089772184807073</v>
      </c>
      <c r="P4493" s="18"/>
      <c r="Q4493" s="18"/>
      <c r="R4493" s="18"/>
      <c r="S4493" s="18"/>
      <c r="T4493" s="18"/>
      <c r="U4493" s="18"/>
      <c r="V4493" s="18"/>
      <c r="W4493" s="18"/>
      <c r="X4493" s="18"/>
    </row>
    <row r="4494" spans="13:24">
      <c r="M4494" s="558">
        <f t="shared" si="215"/>
        <v>4492</v>
      </c>
      <c r="N4494" s="15">
        <f t="shared" si="213"/>
        <v>0.24084434439384633</v>
      </c>
      <c r="O4494" s="165">
        <f t="shared" si="214"/>
        <v>0.24084434439384633</v>
      </c>
      <c r="P4494" s="18"/>
      <c r="Q4494" s="18"/>
      <c r="R4494" s="18"/>
      <c r="S4494" s="18"/>
      <c r="T4494" s="18"/>
      <c r="U4494" s="18"/>
      <c r="V4494" s="18"/>
      <c r="W4494" s="18"/>
      <c r="X4494" s="18"/>
    </row>
    <row r="4495" spans="13:24">
      <c r="M4495" s="558">
        <f t="shared" si="215"/>
        <v>4493</v>
      </c>
      <c r="N4495" s="15">
        <f t="shared" si="213"/>
        <v>0.24079096945898762</v>
      </c>
      <c r="O4495" s="165">
        <f t="shared" si="214"/>
        <v>0.24079096945898762</v>
      </c>
      <c r="P4495" s="18"/>
      <c r="Q4495" s="18"/>
      <c r="R4495" s="18"/>
      <c r="S4495" s="18"/>
      <c r="T4495" s="18"/>
      <c r="U4495" s="18"/>
      <c r="V4495" s="18"/>
      <c r="W4495" s="18"/>
      <c r="X4495" s="18"/>
    </row>
    <row r="4496" spans="13:24">
      <c r="M4496" s="558">
        <f t="shared" si="215"/>
        <v>4494</v>
      </c>
      <c r="N4496" s="15">
        <f t="shared" si="213"/>
        <v>0.2407375970403331</v>
      </c>
      <c r="O4496" s="165">
        <f t="shared" si="214"/>
        <v>0.2407375970403331</v>
      </c>
      <c r="P4496" s="18"/>
      <c r="Q4496" s="18"/>
      <c r="R4496" s="18"/>
      <c r="S4496" s="18"/>
      <c r="T4496" s="18"/>
      <c r="U4496" s="18"/>
      <c r="V4496" s="18"/>
      <c r="W4496" s="18"/>
      <c r="X4496" s="18"/>
    </row>
    <row r="4497" spans="13:24">
      <c r="M4497" s="558">
        <f t="shared" si="215"/>
        <v>4495</v>
      </c>
      <c r="N4497" s="15">
        <f t="shared" si="213"/>
        <v>0.24068422713472507</v>
      </c>
      <c r="O4497" s="165">
        <f t="shared" si="214"/>
        <v>0.24068422713472507</v>
      </c>
      <c r="P4497" s="18"/>
      <c r="Q4497" s="18"/>
      <c r="R4497" s="18"/>
      <c r="S4497" s="18"/>
      <c r="T4497" s="18"/>
      <c r="U4497" s="18"/>
      <c r="V4497" s="18"/>
      <c r="W4497" s="18"/>
      <c r="X4497" s="18"/>
    </row>
    <row r="4498" spans="13:24">
      <c r="M4498" s="558">
        <f t="shared" si="215"/>
        <v>4496</v>
      </c>
      <c r="N4498" s="15">
        <f t="shared" si="213"/>
        <v>0.24063085973900983</v>
      </c>
      <c r="O4498" s="165">
        <f t="shared" si="214"/>
        <v>0.24063085973900983</v>
      </c>
      <c r="P4498" s="18"/>
      <c r="Q4498" s="18"/>
      <c r="R4498" s="18"/>
      <c r="S4498" s="18"/>
      <c r="T4498" s="18"/>
      <c r="U4498" s="18"/>
      <c r="V4498" s="18"/>
      <c r="W4498" s="18"/>
      <c r="X4498" s="18"/>
    </row>
    <row r="4499" spans="13:24">
      <c r="M4499" s="558">
        <f t="shared" si="215"/>
        <v>4497</v>
      </c>
      <c r="N4499" s="15">
        <f t="shared" si="213"/>
        <v>0.24057749485003777</v>
      </c>
      <c r="O4499" s="165">
        <f t="shared" si="214"/>
        <v>0.24057749485003777</v>
      </c>
      <c r="P4499" s="18"/>
      <c r="Q4499" s="18"/>
      <c r="R4499" s="18"/>
      <c r="S4499" s="18"/>
      <c r="T4499" s="18"/>
      <c r="U4499" s="18"/>
      <c r="V4499" s="18"/>
      <c r="W4499" s="18"/>
      <c r="X4499" s="18"/>
    </row>
    <row r="4500" spans="13:24">
      <c r="M4500" s="558">
        <f t="shared" si="215"/>
        <v>4498</v>
      </c>
      <c r="N4500" s="15">
        <f t="shared" si="213"/>
        <v>0.24052413246466303</v>
      </c>
      <c r="O4500" s="165">
        <f t="shared" si="214"/>
        <v>0.24052413246466303</v>
      </c>
      <c r="P4500" s="18"/>
      <c r="Q4500" s="18"/>
      <c r="R4500" s="18"/>
      <c r="S4500" s="18"/>
      <c r="T4500" s="18"/>
      <c r="U4500" s="18"/>
      <c r="V4500" s="18"/>
      <c r="W4500" s="18"/>
      <c r="X4500" s="18"/>
    </row>
    <row r="4501" spans="13:24">
      <c r="M4501" s="558">
        <f t="shared" si="215"/>
        <v>4499</v>
      </c>
      <c r="N4501" s="15">
        <f t="shared" si="213"/>
        <v>0.24047077257974389</v>
      </c>
      <c r="O4501" s="165">
        <f t="shared" si="214"/>
        <v>0.24047077257974389</v>
      </c>
      <c r="P4501" s="18"/>
      <c r="Q4501" s="18"/>
      <c r="R4501" s="18"/>
      <c r="S4501" s="18"/>
      <c r="T4501" s="18"/>
      <c r="U4501" s="18"/>
      <c r="V4501" s="18"/>
      <c r="W4501" s="18"/>
      <c r="X4501" s="18"/>
    </row>
    <row r="4502" spans="13:24">
      <c r="M4502" s="558">
        <f t="shared" si="215"/>
        <v>4500</v>
      </c>
      <c r="N4502" s="15">
        <f t="shared" si="213"/>
        <v>0.24041741519214238</v>
      </c>
      <c r="O4502" s="165">
        <f t="shared" si="214"/>
        <v>0.24041741519214238</v>
      </c>
      <c r="P4502" s="18"/>
      <c r="Q4502" s="18"/>
      <c r="R4502" s="18"/>
      <c r="S4502" s="18"/>
      <c r="T4502" s="18"/>
      <c r="U4502" s="18"/>
      <c r="V4502" s="18"/>
      <c r="W4502" s="18"/>
      <c r="X4502" s="18"/>
    </row>
    <row r="4503" spans="13:24">
      <c r="M4503" s="558">
        <f t="shared" si="215"/>
        <v>4501</v>
      </c>
      <c r="N4503" s="15">
        <f t="shared" si="213"/>
        <v>0.24036406029872465</v>
      </c>
      <c r="O4503" s="165">
        <f t="shared" si="214"/>
        <v>0.24036406029872465</v>
      </c>
      <c r="P4503" s="18"/>
      <c r="Q4503" s="18"/>
      <c r="R4503" s="18"/>
      <c r="S4503" s="18"/>
      <c r="T4503" s="18"/>
      <c r="U4503" s="18"/>
      <c r="V4503" s="18"/>
      <c r="W4503" s="18"/>
      <c r="X4503" s="18"/>
    </row>
    <row r="4504" spans="13:24">
      <c r="M4504" s="558">
        <f t="shared" si="215"/>
        <v>4502</v>
      </c>
      <c r="N4504" s="15">
        <f t="shared" si="213"/>
        <v>0.24031070789636061</v>
      </c>
      <c r="O4504" s="165">
        <f t="shared" si="214"/>
        <v>0.24031070789636061</v>
      </c>
      <c r="P4504" s="18"/>
      <c r="Q4504" s="18"/>
      <c r="R4504" s="18"/>
      <c r="S4504" s="18"/>
      <c r="T4504" s="18"/>
      <c r="U4504" s="18"/>
      <c r="V4504" s="18"/>
      <c r="W4504" s="18"/>
      <c r="X4504" s="18"/>
    </row>
    <row r="4505" spans="13:24">
      <c r="M4505" s="558">
        <f t="shared" si="215"/>
        <v>4503</v>
      </c>
      <c r="N4505" s="15">
        <f t="shared" si="213"/>
        <v>0.2402573579819243</v>
      </c>
      <c r="O4505" s="165">
        <f t="shared" si="214"/>
        <v>0.2402573579819243</v>
      </c>
      <c r="P4505" s="18"/>
      <c r="Q4505" s="18"/>
      <c r="R4505" s="18"/>
      <c r="S4505" s="18"/>
      <c r="T4505" s="18"/>
      <c r="U4505" s="18"/>
      <c r="V4505" s="18"/>
      <c r="W4505" s="18"/>
      <c r="X4505" s="18"/>
    </row>
    <row r="4506" spans="13:24">
      <c r="M4506" s="558">
        <f t="shared" si="215"/>
        <v>4504</v>
      </c>
      <c r="N4506" s="15">
        <f t="shared" si="213"/>
        <v>0.24020401055229346</v>
      </c>
      <c r="O4506" s="165">
        <f t="shared" si="214"/>
        <v>0.24020401055229346</v>
      </c>
      <c r="P4506" s="18"/>
      <c r="Q4506" s="18"/>
      <c r="R4506" s="18"/>
      <c r="S4506" s="18"/>
      <c r="T4506" s="18"/>
      <c r="U4506" s="18"/>
      <c r="V4506" s="18"/>
      <c r="W4506" s="18"/>
      <c r="X4506" s="18"/>
    </row>
    <row r="4507" spans="13:24">
      <c r="M4507" s="558">
        <f t="shared" si="215"/>
        <v>4505</v>
      </c>
      <c r="N4507" s="15">
        <f t="shared" si="213"/>
        <v>0.24015066560434994</v>
      </c>
      <c r="O4507" s="165">
        <f t="shared" si="214"/>
        <v>0.24015066560434994</v>
      </c>
      <c r="P4507" s="18"/>
      <c r="Q4507" s="18"/>
      <c r="R4507" s="18"/>
      <c r="S4507" s="18"/>
      <c r="T4507" s="18"/>
      <c r="U4507" s="18"/>
      <c r="V4507" s="18"/>
      <c r="W4507" s="18"/>
      <c r="X4507" s="18"/>
    </row>
    <row r="4508" spans="13:24">
      <c r="M4508" s="558">
        <f t="shared" si="215"/>
        <v>4506</v>
      </c>
      <c r="N4508" s="15">
        <f t="shared" si="213"/>
        <v>0.24009732313497936</v>
      </c>
      <c r="O4508" s="165">
        <f t="shared" si="214"/>
        <v>0.24009732313497936</v>
      </c>
      <c r="P4508" s="18"/>
      <c r="Q4508" s="18"/>
      <c r="R4508" s="18"/>
      <c r="S4508" s="18"/>
      <c r="T4508" s="18"/>
      <c r="U4508" s="18"/>
      <c r="V4508" s="18"/>
      <c r="W4508" s="18"/>
      <c r="X4508" s="18"/>
    </row>
    <row r="4509" spans="13:24">
      <c r="M4509" s="558">
        <f t="shared" si="215"/>
        <v>4507</v>
      </c>
      <c r="N4509" s="15">
        <f t="shared" si="213"/>
        <v>0.24004398314107137</v>
      </c>
      <c r="O4509" s="165">
        <f t="shared" si="214"/>
        <v>0.24004398314107137</v>
      </c>
      <c r="P4509" s="18"/>
      <c r="Q4509" s="18"/>
      <c r="R4509" s="18"/>
      <c r="S4509" s="18"/>
      <c r="T4509" s="18"/>
      <c r="U4509" s="18"/>
      <c r="V4509" s="18"/>
      <c r="W4509" s="18"/>
      <c r="X4509" s="18"/>
    </row>
    <row r="4510" spans="13:24">
      <c r="M4510" s="558">
        <f t="shared" si="215"/>
        <v>4508</v>
      </c>
      <c r="N4510" s="15">
        <f t="shared" si="213"/>
        <v>0.23999064561951941</v>
      </c>
      <c r="O4510" s="165">
        <f t="shared" si="214"/>
        <v>0.23999064561951941</v>
      </c>
      <c r="P4510" s="18"/>
      <c r="Q4510" s="18"/>
      <c r="R4510" s="18"/>
      <c r="S4510" s="18"/>
      <c r="T4510" s="18"/>
      <c r="U4510" s="18"/>
      <c r="V4510" s="18"/>
      <c r="W4510" s="18"/>
      <c r="X4510" s="18"/>
    </row>
    <row r="4511" spans="13:24">
      <c r="M4511" s="558">
        <f t="shared" si="215"/>
        <v>4509</v>
      </c>
      <c r="N4511" s="15">
        <f t="shared" si="213"/>
        <v>0.23993731056722092</v>
      </c>
      <c r="O4511" s="165">
        <f t="shared" si="214"/>
        <v>0.23993731056722092</v>
      </c>
      <c r="P4511" s="18"/>
      <c r="Q4511" s="18"/>
      <c r="R4511" s="18"/>
      <c r="S4511" s="18"/>
      <c r="T4511" s="18"/>
      <c r="U4511" s="18"/>
      <c r="V4511" s="18"/>
      <c r="W4511" s="18"/>
      <c r="X4511" s="18"/>
    </row>
    <row r="4512" spans="13:24">
      <c r="M4512" s="558">
        <f t="shared" si="215"/>
        <v>4510</v>
      </c>
      <c r="N4512" s="15">
        <f t="shared" si="213"/>
        <v>0.23988397798107713</v>
      </c>
      <c r="O4512" s="165">
        <f t="shared" si="214"/>
        <v>0.23988397798107713</v>
      </c>
      <c r="P4512" s="18"/>
      <c r="Q4512" s="18"/>
      <c r="R4512" s="18"/>
      <c r="S4512" s="18"/>
      <c r="T4512" s="18"/>
      <c r="U4512" s="18"/>
      <c r="V4512" s="18"/>
      <c r="W4512" s="18"/>
      <c r="X4512" s="18"/>
    </row>
    <row r="4513" spans="13:24">
      <c r="M4513" s="558">
        <f t="shared" si="215"/>
        <v>4511</v>
      </c>
      <c r="N4513" s="15">
        <f t="shared" si="213"/>
        <v>0.2398306478579933</v>
      </c>
      <c r="O4513" s="165">
        <f t="shared" si="214"/>
        <v>0.2398306478579933</v>
      </c>
      <c r="P4513" s="18"/>
      <c r="Q4513" s="18"/>
      <c r="R4513" s="18"/>
      <c r="S4513" s="18"/>
      <c r="T4513" s="18"/>
      <c r="U4513" s="18"/>
      <c r="V4513" s="18"/>
      <c r="W4513" s="18"/>
      <c r="X4513" s="18"/>
    </row>
    <row r="4514" spans="13:24">
      <c r="M4514" s="558">
        <f t="shared" si="215"/>
        <v>4512</v>
      </c>
      <c r="N4514" s="15">
        <f t="shared" si="213"/>
        <v>0.23977732019487838</v>
      </c>
      <c r="O4514" s="165">
        <f t="shared" si="214"/>
        <v>0.23977732019487838</v>
      </c>
      <c r="P4514" s="18"/>
      <c r="Q4514" s="18"/>
      <c r="R4514" s="18"/>
      <c r="S4514" s="18"/>
      <c r="T4514" s="18"/>
      <c r="U4514" s="18"/>
      <c r="V4514" s="18"/>
      <c r="W4514" s="18"/>
      <c r="X4514" s="18"/>
    </row>
    <row r="4515" spans="13:24">
      <c r="M4515" s="558">
        <f t="shared" si="215"/>
        <v>4513</v>
      </c>
      <c r="N4515" s="15">
        <f t="shared" si="213"/>
        <v>0.23972399498864536</v>
      </c>
      <c r="O4515" s="165">
        <f t="shared" si="214"/>
        <v>0.23972399498864536</v>
      </c>
      <c r="P4515" s="18"/>
      <c r="Q4515" s="18"/>
      <c r="R4515" s="18"/>
      <c r="S4515" s="18"/>
      <c r="T4515" s="18"/>
      <c r="U4515" s="18"/>
      <c r="V4515" s="18"/>
      <c r="W4515" s="18"/>
      <c r="X4515" s="18"/>
    </row>
    <row r="4516" spans="13:24">
      <c r="M4516" s="558">
        <f t="shared" si="215"/>
        <v>4514</v>
      </c>
      <c r="N4516" s="15">
        <f t="shared" si="213"/>
        <v>0.23967067223621108</v>
      </c>
      <c r="O4516" s="165">
        <f t="shared" si="214"/>
        <v>0.23967067223621108</v>
      </c>
      <c r="P4516" s="18"/>
      <c r="Q4516" s="18"/>
      <c r="R4516" s="18"/>
      <c r="S4516" s="18"/>
      <c r="T4516" s="18"/>
      <c r="U4516" s="18"/>
      <c r="V4516" s="18"/>
      <c r="W4516" s="18"/>
      <c r="X4516" s="18"/>
    </row>
    <row r="4517" spans="13:24">
      <c r="M4517" s="558">
        <f t="shared" si="215"/>
        <v>4515</v>
      </c>
      <c r="N4517" s="15">
        <f t="shared" si="213"/>
        <v>0.23961735193449615</v>
      </c>
      <c r="O4517" s="165">
        <f t="shared" si="214"/>
        <v>0.23961735193449615</v>
      </c>
      <c r="P4517" s="18"/>
      <c r="Q4517" s="18"/>
      <c r="R4517" s="18"/>
      <c r="S4517" s="18"/>
      <c r="T4517" s="18"/>
      <c r="U4517" s="18"/>
      <c r="V4517" s="18"/>
      <c r="W4517" s="18"/>
      <c r="X4517" s="18"/>
    </row>
    <row r="4518" spans="13:24">
      <c r="M4518" s="558">
        <f t="shared" si="215"/>
        <v>4516</v>
      </c>
      <c r="N4518" s="15">
        <f t="shared" si="213"/>
        <v>0.2395640340804252</v>
      </c>
      <c r="O4518" s="165">
        <f t="shared" si="214"/>
        <v>0.2395640340804252</v>
      </c>
      <c r="P4518" s="18"/>
      <c r="Q4518" s="18"/>
      <c r="R4518" s="18"/>
      <c r="S4518" s="18"/>
      <c r="T4518" s="18"/>
      <c r="U4518" s="18"/>
      <c r="V4518" s="18"/>
      <c r="W4518" s="18"/>
      <c r="X4518" s="18"/>
    </row>
    <row r="4519" spans="13:24">
      <c r="M4519" s="558">
        <f t="shared" si="215"/>
        <v>4517</v>
      </c>
      <c r="N4519" s="15">
        <f t="shared" si="213"/>
        <v>0.23951071867092655</v>
      </c>
      <c r="O4519" s="165">
        <f t="shared" si="214"/>
        <v>0.23951071867092655</v>
      </c>
      <c r="P4519" s="18"/>
      <c r="Q4519" s="18"/>
      <c r="R4519" s="18"/>
      <c r="S4519" s="18"/>
      <c r="T4519" s="18"/>
      <c r="U4519" s="18"/>
      <c r="V4519" s="18"/>
      <c r="W4519" s="18"/>
      <c r="X4519" s="18"/>
    </row>
    <row r="4520" spans="13:24">
      <c r="M4520" s="558">
        <f t="shared" si="215"/>
        <v>4518</v>
      </c>
      <c r="N4520" s="15">
        <f t="shared" si="213"/>
        <v>0.23945740570293253</v>
      </c>
      <c r="O4520" s="165">
        <f t="shared" si="214"/>
        <v>0.23945740570293253</v>
      </c>
      <c r="P4520" s="18"/>
      <c r="Q4520" s="18"/>
      <c r="R4520" s="18"/>
      <c r="S4520" s="18"/>
      <c r="T4520" s="18"/>
      <c r="U4520" s="18"/>
      <c r="V4520" s="18"/>
      <c r="W4520" s="18"/>
      <c r="X4520" s="18"/>
    </row>
    <row r="4521" spans="13:24">
      <c r="M4521" s="558">
        <f t="shared" si="215"/>
        <v>4519</v>
      </c>
      <c r="N4521" s="15">
        <f t="shared" si="213"/>
        <v>0.23940409517337918</v>
      </c>
      <c r="O4521" s="165">
        <f t="shared" si="214"/>
        <v>0.23940409517337918</v>
      </c>
      <c r="P4521" s="18"/>
      <c r="Q4521" s="18"/>
      <c r="R4521" s="18"/>
      <c r="S4521" s="18"/>
      <c r="T4521" s="18"/>
      <c r="U4521" s="18"/>
      <c r="V4521" s="18"/>
      <c r="W4521" s="18"/>
      <c r="X4521" s="18"/>
    </row>
    <row r="4522" spans="13:24">
      <c r="M4522" s="558">
        <f t="shared" si="215"/>
        <v>4520</v>
      </c>
      <c r="N4522" s="15">
        <f t="shared" si="213"/>
        <v>0.23935078707920651</v>
      </c>
      <c r="O4522" s="165">
        <f t="shared" si="214"/>
        <v>0.23935078707920651</v>
      </c>
      <c r="P4522" s="18"/>
      <c r="Q4522" s="18"/>
      <c r="R4522" s="18"/>
      <c r="S4522" s="18"/>
      <c r="T4522" s="18"/>
      <c r="U4522" s="18"/>
      <c r="V4522" s="18"/>
      <c r="W4522" s="18"/>
      <c r="X4522" s="18"/>
    </row>
    <row r="4523" spans="13:24">
      <c r="M4523" s="558">
        <f t="shared" si="215"/>
        <v>4521</v>
      </c>
      <c r="N4523" s="15">
        <f t="shared" si="213"/>
        <v>0.23929748141735827</v>
      </c>
      <c r="O4523" s="165">
        <f t="shared" si="214"/>
        <v>0.23929748141735827</v>
      </c>
      <c r="P4523" s="18"/>
      <c r="Q4523" s="18"/>
      <c r="R4523" s="18"/>
      <c r="S4523" s="18"/>
      <c r="T4523" s="18"/>
      <c r="U4523" s="18"/>
      <c r="V4523" s="18"/>
      <c r="W4523" s="18"/>
      <c r="X4523" s="18"/>
    </row>
    <row r="4524" spans="13:24">
      <c r="M4524" s="558">
        <f t="shared" si="215"/>
        <v>4522</v>
      </c>
      <c r="N4524" s="15">
        <f t="shared" si="213"/>
        <v>0.23924417818478211</v>
      </c>
      <c r="O4524" s="165">
        <f t="shared" si="214"/>
        <v>0.23924417818478211</v>
      </c>
      <c r="P4524" s="18"/>
      <c r="Q4524" s="18"/>
      <c r="R4524" s="18"/>
      <c r="S4524" s="18"/>
      <c r="T4524" s="18"/>
      <c r="U4524" s="18"/>
      <c r="V4524" s="18"/>
      <c r="W4524" s="18"/>
      <c r="X4524" s="18"/>
    </row>
    <row r="4525" spans="13:24">
      <c r="M4525" s="558">
        <f t="shared" si="215"/>
        <v>4523</v>
      </c>
      <c r="N4525" s="15">
        <f t="shared" si="213"/>
        <v>0.23919087737842948</v>
      </c>
      <c r="O4525" s="165">
        <f t="shared" si="214"/>
        <v>0.23919087737842948</v>
      </c>
      <c r="P4525" s="18"/>
      <c r="Q4525" s="18"/>
      <c r="R4525" s="18"/>
      <c r="S4525" s="18"/>
      <c r="T4525" s="18"/>
      <c r="U4525" s="18"/>
      <c r="V4525" s="18"/>
      <c r="W4525" s="18"/>
      <c r="X4525" s="18"/>
    </row>
    <row r="4526" spans="13:24">
      <c r="M4526" s="558">
        <f t="shared" si="215"/>
        <v>4524</v>
      </c>
      <c r="N4526" s="15">
        <f t="shared" si="213"/>
        <v>0.23913757899525567</v>
      </c>
      <c r="O4526" s="165">
        <f t="shared" si="214"/>
        <v>0.23913757899525567</v>
      </c>
      <c r="P4526" s="18"/>
      <c r="Q4526" s="18"/>
      <c r="R4526" s="18"/>
      <c r="S4526" s="18"/>
      <c r="T4526" s="18"/>
      <c r="U4526" s="18"/>
      <c r="V4526" s="18"/>
      <c r="W4526" s="18"/>
      <c r="X4526" s="18"/>
    </row>
    <row r="4527" spans="13:24">
      <c r="M4527" s="558">
        <f t="shared" si="215"/>
        <v>4525</v>
      </c>
      <c r="N4527" s="15">
        <f t="shared" si="213"/>
        <v>0.23908428303221979</v>
      </c>
      <c r="O4527" s="165">
        <f t="shared" si="214"/>
        <v>0.23908428303221979</v>
      </c>
      <c r="P4527" s="18"/>
      <c r="Q4527" s="18"/>
      <c r="R4527" s="18"/>
      <c r="S4527" s="18"/>
      <c r="T4527" s="18"/>
      <c r="U4527" s="18"/>
      <c r="V4527" s="18"/>
      <c r="W4527" s="18"/>
      <c r="X4527" s="18"/>
    </row>
    <row r="4528" spans="13:24">
      <c r="M4528" s="558">
        <f t="shared" si="215"/>
        <v>4526</v>
      </c>
      <c r="N4528" s="15">
        <f t="shared" si="213"/>
        <v>0.23903098948628476</v>
      </c>
      <c r="O4528" s="165">
        <f t="shared" si="214"/>
        <v>0.23903098948628476</v>
      </c>
      <c r="P4528" s="18"/>
      <c r="Q4528" s="18"/>
      <c r="R4528" s="18"/>
      <c r="S4528" s="18"/>
      <c r="T4528" s="18"/>
      <c r="U4528" s="18"/>
      <c r="V4528" s="18"/>
      <c r="W4528" s="18"/>
      <c r="X4528" s="18"/>
    </row>
    <row r="4529" spans="13:24">
      <c r="M4529" s="558">
        <f t="shared" si="215"/>
        <v>4527</v>
      </c>
      <c r="N4529" s="15">
        <f t="shared" si="213"/>
        <v>0.23897769835441729</v>
      </c>
      <c r="O4529" s="165">
        <f t="shared" si="214"/>
        <v>0.23897769835441729</v>
      </c>
      <c r="P4529" s="18"/>
      <c r="Q4529" s="18"/>
      <c r="R4529" s="18"/>
      <c r="S4529" s="18"/>
      <c r="T4529" s="18"/>
      <c r="U4529" s="18"/>
      <c r="V4529" s="18"/>
      <c r="W4529" s="18"/>
      <c r="X4529" s="18"/>
    </row>
    <row r="4530" spans="13:24">
      <c r="M4530" s="558">
        <f t="shared" si="215"/>
        <v>4528</v>
      </c>
      <c r="N4530" s="15">
        <f t="shared" si="213"/>
        <v>0.23892440963358794</v>
      </c>
      <c r="O4530" s="165">
        <f t="shared" si="214"/>
        <v>0.23892440963358794</v>
      </c>
      <c r="P4530" s="18"/>
      <c r="Q4530" s="18"/>
      <c r="R4530" s="18"/>
      <c r="S4530" s="18"/>
      <c r="T4530" s="18"/>
      <c r="U4530" s="18"/>
      <c r="V4530" s="18"/>
      <c r="W4530" s="18"/>
      <c r="X4530" s="18"/>
    </row>
    <row r="4531" spans="13:24">
      <c r="M4531" s="558">
        <f t="shared" si="215"/>
        <v>4529</v>
      </c>
      <c r="N4531" s="15">
        <f t="shared" si="213"/>
        <v>0.23887112332077107</v>
      </c>
      <c r="O4531" s="165">
        <f t="shared" si="214"/>
        <v>0.23887112332077107</v>
      </c>
      <c r="P4531" s="18"/>
      <c r="Q4531" s="18"/>
      <c r="R4531" s="18"/>
      <c r="S4531" s="18"/>
      <c r="T4531" s="18"/>
      <c r="U4531" s="18"/>
      <c r="V4531" s="18"/>
      <c r="W4531" s="18"/>
      <c r="X4531" s="18"/>
    </row>
    <row r="4532" spans="13:24">
      <c r="M4532" s="558">
        <f t="shared" si="215"/>
        <v>4530</v>
      </c>
      <c r="N4532" s="15">
        <f t="shared" si="213"/>
        <v>0.23881783941294477</v>
      </c>
      <c r="O4532" s="165">
        <f t="shared" si="214"/>
        <v>0.23881783941294477</v>
      </c>
      <c r="P4532" s="18"/>
      <c r="Q4532" s="18"/>
      <c r="R4532" s="18"/>
      <c r="S4532" s="18"/>
      <c r="T4532" s="18"/>
      <c r="U4532" s="18"/>
      <c r="V4532" s="18"/>
      <c r="W4532" s="18"/>
      <c r="X4532" s="18"/>
    </row>
    <row r="4533" spans="13:24">
      <c r="M4533" s="558">
        <f t="shared" si="215"/>
        <v>4531</v>
      </c>
      <c r="N4533" s="15">
        <f t="shared" si="213"/>
        <v>0.23876455790709103</v>
      </c>
      <c r="O4533" s="165">
        <f t="shared" si="214"/>
        <v>0.23876455790709103</v>
      </c>
      <c r="P4533" s="18"/>
      <c r="Q4533" s="18"/>
      <c r="R4533" s="18"/>
      <c r="S4533" s="18"/>
      <c r="T4533" s="18"/>
      <c r="U4533" s="18"/>
      <c r="V4533" s="18"/>
      <c r="W4533" s="18"/>
      <c r="X4533" s="18"/>
    </row>
    <row r="4534" spans="13:24">
      <c r="M4534" s="558">
        <f t="shared" si="215"/>
        <v>4532</v>
      </c>
      <c r="N4534" s="15">
        <f t="shared" si="213"/>
        <v>0.23871127880019549</v>
      </c>
      <c r="O4534" s="165">
        <f t="shared" si="214"/>
        <v>0.23871127880019549</v>
      </c>
      <c r="P4534" s="18"/>
      <c r="Q4534" s="18"/>
      <c r="R4534" s="18"/>
      <c r="S4534" s="18"/>
      <c r="T4534" s="18"/>
      <c r="U4534" s="18"/>
      <c r="V4534" s="18"/>
      <c r="W4534" s="18"/>
      <c r="X4534" s="18"/>
    </row>
    <row r="4535" spans="13:24">
      <c r="M4535" s="558">
        <f t="shared" si="215"/>
        <v>4533</v>
      </c>
      <c r="N4535" s="15">
        <f t="shared" si="213"/>
        <v>0.23865800208924773</v>
      </c>
      <c r="O4535" s="165">
        <f t="shared" si="214"/>
        <v>0.23865800208924773</v>
      </c>
      <c r="P4535" s="18"/>
      <c r="Q4535" s="18"/>
      <c r="R4535" s="18"/>
      <c r="S4535" s="18"/>
      <c r="T4535" s="18"/>
      <c r="U4535" s="18"/>
      <c r="V4535" s="18"/>
      <c r="W4535" s="18"/>
      <c r="X4535" s="18"/>
    </row>
    <row r="4536" spans="13:24">
      <c r="M4536" s="558">
        <f t="shared" si="215"/>
        <v>4534</v>
      </c>
      <c r="N4536" s="15">
        <f t="shared" si="213"/>
        <v>0.23860472777124098</v>
      </c>
      <c r="O4536" s="165">
        <f t="shared" si="214"/>
        <v>0.23860472777124098</v>
      </c>
      <c r="P4536" s="18"/>
      <c r="Q4536" s="18"/>
      <c r="R4536" s="18"/>
      <c r="S4536" s="18"/>
      <c r="T4536" s="18"/>
      <c r="U4536" s="18"/>
      <c r="V4536" s="18"/>
      <c r="W4536" s="18"/>
      <c r="X4536" s="18"/>
    </row>
    <row r="4537" spans="13:24">
      <c r="M4537" s="558">
        <f t="shared" si="215"/>
        <v>4535</v>
      </c>
      <c r="N4537" s="15">
        <f t="shared" si="213"/>
        <v>0.23855145584317231</v>
      </c>
      <c r="O4537" s="165">
        <f t="shared" si="214"/>
        <v>0.23855145584317231</v>
      </c>
      <c r="P4537" s="18"/>
      <c r="Q4537" s="18"/>
      <c r="R4537" s="18"/>
      <c r="S4537" s="18"/>
      <c r="T4537" s="18"/>
      <c r="U4537" s="18"/>
      <c r="V4537" s="18"/>
      <c r="W4537" s="18"/>
      <c r="X4537" s="18"/>
    </row>
    <row r="4538" spans="13:24">
      <c r="M4538" s="558">
        <f t="shared" si="215"/>
        <v>4536</v>
      </c>
      <c r="N4538" s="15">
        <f t="shared" si="213"/>
        <v>0.2384981863020425</v>
      </c>
      <c r="O4538" s="165">
        <f t="shared" si="214"/>
        <v>0.2384981863020425</v>
      </c>
      <c r="P4538" s="18"/>
      <c r="Q4538" s="18"/>
      <c r="R4538" s="18"/>
      <c r="S4538" s="18"/>
      <c r="T4538" s="18"/>
      <c r="U4538" s="18"/>
      <c r="V4538" s="18"/>
      <c r="W4538" s="18"/>
      <c r="X4538" s="18"/>
    </row>
    <row r="4539" spans="13:24">
      <c r="M4539" s="558">
        <f t="shared" si="215"/>
        <v>4537</v>
      </c>
      <c r="N4539" s="15">
        <f t="shared" si="213"/>
        <v>0.23844491914485619</v>
      </c>
      <c r="O4539" s="165">
        <f t="shared" si="214"/>
        <v>0.23844491914485619</v>
      </c>
      <c r="P4539" s="18"/>
      <c r="Q4539" s="18"/>
      <c r="R4539" s="18"/>
      <c r="S4539" s="18"/>
      <c r="T4539" s="18"/>
      <c r="U4539" s="18"/>
      <c r="V4539" s="18"/>
      <c r="W4539" s="18"/>
      <c r="X4539" s="18"/>
    </row>
    <row r="4540" spans="13:24">
      <c r="M4540" s="558">
        <f t="shared" si="215"/>
        <v>4538</v>
      </c>
      <c r="N4540" s="15">
        <f t="shared" si="213"/>
        <v>0.2383916543686217</v>
      </c>
      <c r="O4540" s="165">
        <f t="shared" si="214"/>
        <v>0.2383916543686217</v>
      </c>
      <c r="P4540" s="18"/>
      <c r="Q4540" s="18"/>
      <c r="R4540" s="18"/>
      <c r="S4540" s="18"/>
      <c r="T4540" s="18"/>
      <c r="U4540" s="18"/>
      <c r="V4540" s="18"/>
      <c r="W4540" s="18"/>
      <c r="X4540" s="18"/>
    </row>
    <row r="4541" spans="13:24">
      <c r="M4541" s="558">
        <f t="shared" si="215"/>
        <v>4539</v>
      </c>
      <c r="N4541" s="15">
        <f t="shared" si="213"/>
        <v>0.23833839197035112</v>
      </c>
      <c r="O4541" s="165">
        <f t="shared" si="214"/>
        <v>0.23833839197035112</v>
      </c>
      <c r="P4541" s="18"/>
      <c r="Q4541" s="18"/>
      <c r="R4541" s="18"/>
      <c r="S4541" s="18"/>
      <c r="T4541" s="18"/>
      <c r="U4541" s="18"/>
      <c r="V4541" s="18"/>
      <c r="W4541" s="18"/>
      <c r="X4541" s="18"/>
    </row>
    <row r="4542" spans="13:24">
      <c r="M4542" s="558">
        <f t="shared" si="215"/>
        <v>4540</v>
      </c>
      <c r="N4542" s="15">
        <f t="shared" si="213"/>
        <v>0.23828513194706027</v>
      </c>
      <c r="O4542" s="165">
        <f t="shared" si="214"/>
        <v>0.23828513194706027</v>
      </c>
      <c r="P4542" s="18"/>
      <c r="Q4542" s="18"/>
      <c r="R4542" s="18"/>
      <c r="S4542" s="18"/>
      <c r="T4542" s="18"/>
      <c r="U4542" s="18"/>
      <c r="V4542" s="18"/>
      <c r="W4542" s="18"/>
      <c r="X4542" s="18"/>
    </row>
    <row r="4543" spans="13:24">
      <c r="M4543" s="558">
        <f t="shared" si="215"/>
        <v>4541</v>
      </c>
      <c r="N4543" s="15">
        <f t="shared" si="213"/>
        <v>0.23823187429576884</v>
      </c>
      <c r="O4543" s="165">
        <f t="shared" si="214"/>
        <v>0.23823187429576884</v>
      </c>
      <c r="P4543" s="18"/>
      <c r="Q4543" s="18"/>
      <c r="R4543" s="18"/>
      <c r="S4543" s="18"/>
      <c r="T4543" s="18"/>
      <c r="U4543" s="18"/>
      <c r="V4543" s="18"/>
      <c r="W4543" s="18"/>
      <c r="X4543" s="18"/>
    </row>
    <row r="4544" spans="13:24">
      <c r="M4544" s="558">
        <f t="shared" si="215"/>
        <v>4542</v>
      </c>
      <c r="N4544" s="15">
        <f t="shared" si="213"/>
        <v>0.23817861901350004</v>
      </c>
      <c r="O4544" s="165">
        <f t="shared" si="214"/>
        <v>0.23817861901350004</v>
      </c>
      <c r="P4544" s="18"/>
      <c r="Q4544" s="18"/>
      <c r="R4544" s="18"/>
      <c r="S4544" s="18"/>
      <c r="T4544" s="18"/>
      <c r="U4544" s="18"/>
      <c r="V4544" s="18"/>
      <c r="W4544" s="18"/>
      <c r="X4544" s="18"/>
    </row>
    <row r="4545" spans="13:24">
      <c r="M4545" s="558">
        <f t="shared" si="215"/>
        <v>4543</v>
      </c>
      <c r="N4545" s="15">
        <f t="shared" si="213"/>
        <v>0.23812536609728099</v>
      </c>
      <c r="O4545" s="165">
        <f t="shared" si="214"/>
        <v>0.23812536609728099</v>
      </c>
      <c r="P4545" s="18"/>
      <c r="Q4545" s="18"/>
      <c r="R4545" s="18"/>
      <c r="S4545" s="18"/>
      <c r="T4545" s="18"/>
      <c r="U4545" s="18"/>
      <c r="V4545" s="18"/>
      <c r="W4545" s="18"/>
      <c r="X4545" s="18"/>
    </row>
    <row r="4546" spans="13:24">
      <c r="M4546" s="558">
        <f t="shared" si="215"/>
        <v>4544</v>
      </c>
      <c r="N4546" s="15">
        <f t="shared" si="213"/>
        <v>0.23807211554414251</v>
      </c>
      <c r="O4546" s="165">
        <f t="shared" si="214"/>
        <v>0.23807211554414251</v>
      </c>
      <c r="P4546" s="18"/>
      <c r="Q4546" s="18"/>
      <c r="R4546" s="18"/>
      <c r="S4546" s="18"/>
      <c r="T4546" s="18"/>
      <c r="U4546" s="18"/>
      <c r="V4546" s="18"/>
      <c r="W4546" s="18"/>
      <c r="X4546" s="18"/>
    </row>
    <row r="4547" spans="13:24">
      <c r="M4547" s="558">
        <f t="shared" si="215"/>
        <v>4545</v>
      </c>
      <c r="N4547" s="15">
        <f t="shared" si="213"/>
        <v>0.23801886735111907</v>
      </c>
      <c r="O4547" s="165">
        <f t="shared" si="214"/>
        <v>0.23801886735111907</v>
      </c>
      <c r="P4547" s="18"/>
      <c r="Q4547" s="18"/>
      <c r="R4547" s="18"/>
      <c r="S4547" s="18"/>
      <c r="T4547" s="18"/>
      <c r="U4547" s="18"/>
      <c r="V4547" s="18"/>
      <c r="W4547" s="18"/>
      <c r="X4547" s="18"/>
    </row>
    <row r="4548" spans="13:24">
      <c r="M4548" s="558">
        <f t="shared" si="215"/>
        <v>4546</v>
      </c>
      <c r="N4548" s="15">
        <f t="shared" ref="N4548:N4611" si="216">IF(M4548&lt;$B$31+1,$B$32+$B$33/$B$31*(8760-M4548)+$B$34*IF(M4548&lt;$B$36-$B$31/(2*$B$35),1,IF(M4548&lt;$B$36+$B$31/(2*$B$35),COS(PI()/2*(M4548-($B$36-$B$31/(2*$B$35)))*$B$35/$B$31)^2,0))+$B$37*EXP((8760-M4548)/8760*$B$38)/EXP($B$38)-(8760-$B$31)*$B$33/$B$31,0)</f>
        <v>0.237965621515249</v>
      </c>
      <c r="O4548" s="165">
        <f t="shared" ref="O4548:O4611" si="217">MIN(N4548,C$24)</f>
        <v>0.237965621515249</v>
      </c>
      <c r="P4548" s="18"/>
      <c r="Q4548" s="18"/>
      <c r="R4548" s="18"/>
      <c r="S4548" s="18"/>
      <c r="T4548" s="18"/>
      <c r="U4548" s="18"/>
      <c r="V4548" s="18"/>
      <c r="W4548" s="18"/>
      <c r="X4548" s="18"/>
    </row>
    <row r="4549" spans="13:24">
      <c r="M4549" s="558">
        <f t="shared" ref="M4549:M4612" si="218">M4548+1</f>
        <v>4547</v>
      </c>
      <c r="N4549" s="15">
        <f t="shared" si="216"/>
        <v>0.23791237803357415</v>
      </c>
      <c r="O4549" s="165">
        <f t="shared" si="217"/>
        <v>0.23791237803357415</v>
      </c>
      <c r="P4549" s="18"/>
      <c r="Q4549" s="18"/>
      <c r="R4549" s="18"/>
      <c r="S4549" s="18"/>
      <c r="T4549" s="18"/>
      <c r="U4549" s="18"/>
      <c r="V4549" s="18"/>
      <c r="W4549" s="18"/>
      <c r="X4549" s="18"/>
    </row>
    <row r="4550" spans="13:24">
      <c r="M4550" s="558">
        <f t="shared" si="218"/>
        <v>4548</v>
      </c>
      <c r="N4550" s="15">
        <f t="shared" si="216"/>
        <v>0.23785913690314028</v>
      </c>
      <c r="O4550" s="165">
        <f t="shared" si="217"/>
        <v>0.23785913690314028</v>
      </c>
      <c r="P4550" s="18"/>
      <c r="Q4550" s="18"/>
      <c r="R4550" s="18"/>
      <c r="S4550" s="18"/>
      <c r="T4550" s="18"/>
      <c r="U4550" s="18"/>
      <c r="V4550" s="18"/>
      <c r="W4550" s="18"/>
      <c r="X4550" s="18"/>
    </row>
    <row r="4551" spans="13:24">
      <c r="M4551" s="558">
        <f t="shared" si="218"/>
        <v>4549</v>
      </c>
      <c r="N4551" s="15">
        <f t="shared" si="216"/>
        <v>0.23780589812099673</v>
      </c>
      <c r="O4551" s="165">
        <f t="shared" si="217"/>
        <v>0.23780589812099673</v>
      </c>
      <c r="P4551" s="18"/>
      <c r="Q4551" s="18"/>
      <c r="R4551" s="18"/>
      <c r="S4551" s="18"/>
      <c r="T4551" s="18"/>
      <c r="U4551" s="18"/>
      <c r="V4551" s="18"/>
      <c r="W4551" s="18"/>
      <c r="X4551" s="18"/>
    </row>
    <row r="4552" spans="13:24">
      <c r="M4552" s="558">
        <f t="shared" si="218"/>
        <v>4550</v>
      </c>
      <c r="N4552" s="15">
        <f t="shared" si="216"/>
        <v>0.23775266168419665</v>
      </c>
      <c r="O4552" s="165">
        <f t="shared" si="217"/>
        <v>0.23775266168419665</v>
      </c>
      <c r="P4552" s="18"/>
      <c r="Q4552" s="18"/>
      <c r="R4552" s="18"/>
      <c r="S4552" s="18"/>
      <c r="T4552" s="18"/>
      <c r="U4552" s="18"/>
      <c r="V4552" s="18"/>
      <c r="W4552" s="18"/>
      <c r="X4552" s="18"/>
    </row>
    <row r="4553" spans="13:24">
      <c r="M4553" s="558">
        <f t="shared" si="218"/>
        <v>4551</v>
      </c>
      <c r="N4553" s="15">
        <f t="shared" si="216"/>
        <v>0.2376994275897967</v>
      </c>
      <c r="O4553" s="165">
        <f t="shared" si="217"/>
        <v>0.2376994275897967</v>
      </c>
      <c r="P4553" s="18"/>
      <c r="Q4553" s="18"/>
      <c r="R4553" s="18"/>
      <c r="S4553" s="18"/>
      <c r="T4553" s="18"/>
      <c r="U4553" s="18"/>
      <c r="V4553" s="18"/>
      <c r="W4553" s="18"/>
      <c r="X4553" s="18"/>
    </row>
    <row r="4554" spans="13:24">
      <c r="M4554" s="558">
        <f t="shared" si="218"/>
        <v>4552</v>
      </c>
      <c r="N4554" s="15">
        <f t="shared" si="216"/>
        <v>0.23764619583485747</v>
      </c>
      <c r="O4554" s="165">
        <f t="shared" si="217"/>
        <v>0.23764619583485747</v>
      </c>
      <c r="P4554" s="18"/>
      <c r="Q4554" s="18"/>
      <c r="R4554" s="18"/>
      <c r="S4554" s="18"/>
      <c r="T4554" s="18"/>
      <c r="U4554" s="18"/>
      <c r="V4554" s="18"/>
      <c r="W4554" s="18"/>
      <c r="X4554" s="18"/>
    </row>
    <row r="4555" spans="13:24">
      <c r="M4555" s="558">
        <f t="shared" si="218"/>
        <v>4553</v>
      </c>
      <c r="N4555" s="15">
        <f t="shared" si="216"/>
        <v>0.23759296641644306</v>
      </c>
      <c r="O4555" s="165">
        <f t="shared" si="217"/>
        <v>0.23759296641644306</v>
      </c>
      <c r="P4555" s="18"/>
      <c r="Q4555" s="18"/>
      <c r="R4555" s="18"/>
      <c r="S4555" s="18"/>
      <c r="T4555" s="18"/>
      <c r="U4555" s="18"/>
      <c r="V4555" s="18"/>
      <c r="W4555" s="18"/>
      <c r="X4555" s="18"/>
    </row>
    <row r="4556" spans="13:24">
      <c r="M4556" s="558">
        <f t="shared" si="218"/>
        <v>4554</v>
      </c>
      <c r="N4556" s="15">
        <f t="shared" si="216"/>
        <v>0.23753973933162137</v>
      </c>
      <c r="O4556" s="165">
        <f t="shared" si="217"/>
        <v>0.23753973933162137</v>
      </c>
      <c r="P4556" s="18"/>
      <c r="Q4556" s="18"/>
      <c r="R4556" s="18"/>
      <c r="S4556" s="18"/>
      <c r="T4556" s="18"/>
      <c r="U4556" s="18"/>
      <c r="V4556" s="18"/>
      <c r="W4556" s="18"/>
      <c r="X4556" s="18"/>
    </row>
    <row r="4557" spans="13:24">
      <c r="M4557" s="558">
        <f t="shared" si="218"/>
        <v>4555</v>
      </c>
      <c r="N4557" s="15">
        <f t="shared" si="216"/>
        <v>0.23748651457746384</v>
      </c>
      <c r="O4557" s="165">
        <f t="shared" si="217"/>
        <v>0.23748651457746384</v>
      </c>
      <c r="P4557" s="18"/>
      <c r="Q4557" s="18"/>
      <c r="R4557" s="18"/>
      <c r="S4557" s="18"/>
      <c r="T4557" s="18"/>
      <c r="U4557" s="18"/>
      <c r="V4557" s="18"/>
      <c r="W4557" s="18"/>
      <c r="X4557" s="18"/>
    </row>
    <row r="4558" spans="13:24">
      <c r="M4558" s="558">
        <f t="shared" si="218"/>
        <v>4556</v>
      </c>
      <c r="N4558" s="15">
        <f t="shared" si="216"/>
        <v>0.23743329215104578</v>
      </c>
      <c r="O4558" s="165">
        <f t="shared" si="217"/>
        <v>0.23743329215104578</v>
      </c>
      <c r="P4558" s="18"/>
      <c r="Q4558" s="18"/>
      <c r="R4558" s="18"/>
      <c r="S4558" s="18"/>
      <c r="T4558" s="18"/>
      <c r="U4558" s="18"/>
      <c r="V4558" s="18"/>
      <c r="W4558" s="18"/>
      <c r="X4558" s="18"/>
    </row>
    <row r="4559" spans="13:24">
      <c r="M4559" s="558">
        <f t="shared" si="218"/>
        <v>4557</v>
      </c>
      <c r="N4559" s="15">
        <f t="shared" si="216"/>
        <v>0.237380072049446</v>
      </c>
      <c r="O4559" s="165">
        <f t="shared" si="217"/>
        <v>0.237380072049446</v>
      </c>
      <c r="P4559" s="18"/>
      <c r="Q4559" s="18"/>
      <c r="R4559" s="18"/>
      <c r="S4559" s="18"/>
      <c r="T4559" s="18"/>
      <c r="U4559" s="18"/>
      <c r="V4559" s="18"/>
      <c r="W4559" s="18"/>
      <c r="X4559" s="18"/>
    </row>
    <row r="4560" spans="13:24">
      <c r="M4560" s="558">
        <f t="shared" si="218"/>
        <v>4558</v>
      </c>
      <c r="N4560" s="15">
        <f t="shared" si="216"/>
        <v>0.23732685426974703</v>
      </c>
      <c r="O4560" s="165">
        <f t="shared" si="217"/>
        <v>0.23732685426974703</v>
      </c>
      <c r="P4560" s="18"/>
      <c r="Q4560" s="18"/>
      <c r="R4560" s="18"/>
      <c r="S4560" s="18"/>
      <c r="T4560" s="18"/>
      <c r="U4560" s="18"/>
      <c r="V4560" s="18"/>
      <c r="W4560" s="18"/>
      <c r="X4560" s="18"/>
    </row>
    <row r="4561" spans="13:24">
      <c r="M4561" s="558">
        <f t="shared" si="218"/>
        <v>4559</v>
      </c>
      <c r="N4561" s="15">
        <f t="shared" si="216"/>
        <v>0.23727363880903515</v>
      </c>
      <c r="O4561" s="165">
        <f t="shared" si="217"/>
        <v>0.23727363880903515</v>
      </c>
      <c r="P4561" s="18"/>
      <c r="Q4561" s="18"/>
      <c r="R4561" s="18"/>
      <c r="S4561" s="18"/>
      <c r="T4561" s="18"/>
      <c r="U4561" s="18"/>
      <c r="V4561" s="18"/>
      <c r="W4561" s="18"/>
      <c r="X4561" s="18"/>
    </row>
    <row r="4562" spans="13:24">
      <c r="M4562" s="558">
        <f t="shared" si="218"/>
        <v>4560</v>
      </c>
      <c r="N4562" s="15">
        <f t="shared" si="216"/>
        <v>0.23722042566440013</v>
      </c>
      <c r="O4562" s="165">
        <f t="shared" si="217"/>
        <v>0.23722042566440013</v>
      </c>
      <c r="P4562" s="18"/>
      <c r="Q4562" s="18"/>
      <c r="R4562" s="18"/>
      <c r="S4562" s="18"/>
      <c r="T4562" s="18"/>
      <c r="U4562" s="18"/>
      <c r="V4562" s="18"/>
      <c r="W4562" s="18"/>
      <c r="X4562" s="18"/>
    </row>
    <row r="4563" spans="13:24">
      <c r="M4563" s="558">
        <f t="shared" si="218"/>
        <v>4561</v>
      </c>
      <c r="N4563" s="15">
        <f t="shared" si="216"/>
        <v>0.23716721483293554</v>
      </c>
      <c r="O4563" s="165">
        <f t="shared" si="217"/>
        <v>0.23716721483293554</v>
      </c>
      <c r="P4563" s="18"/>
      <c r="Q4563" s="18"/>
      <c r="R4563" s="18"/>
      <c r="S4563" s="18"/>
      <c r="T4563" s="18"/>
      <c r="U4563" s="18"/>
      <c r="V4563" s="18"/>
      <c r="W4563" s="18"/>
      <c r="X4563" s="18"/>
    </row>
    <row r="4564" spans="13:24">
      <c r="M4564" s="558">
        <f t="shared" si="218"/>
        <v>4562</v>
      </c>
      <c r="N4564" s="15">
        <f t="shared" si="216"/>
        <v>0.23711400631173848</v>
      </c>
      <c r="O4564" s="165">
        <f t="shared" si="217"/>
        <v>0.23711400631173848</v>
      </c>
      <c r="P4564" s="18"/>
      <c r="Q4564" s="18"/>
      <c r="R4564" s="18"/>
      <c r="S4564" s="18"/>
      <c r="T4564" s="18"/>
      <c r="U4564" s="18"/>
      <c r="V4564" s="18"/>
      <c r="W4564" s="18"/>
      <c r="X4564" s="18"/>
    </row>
    <row r="4565" spans="13:24">
      <c r="M4565" s="558">
        <f t="shared" si="218"/>
        <v>4563</v>
      </c>
      <c r="N4565" s="15">
        <f t="shared" si="216"/>
        <v>0.23706080009790981</v>
      </c>
      <c r="O4565" s="165">
        <f t="shared" si="217"/>
        <v>0.23706080009790981</v>
      </c>
      <c r="P4565" s="18"/>
      <c r="Q4565" s="18"/>
      <c r="R4565" s="18"/>
      <c r="S4565" s="18"/>
      <c r="T4565" s="18"/>
      <c r="U4565" s="18"/>
      <c r="V4565" s="18"/>
      <c r="W4565" s="18"/>
      <c r="X4565" s="18"/>
    </row>
    <row r="4566" spans="13:24">
      <c r="M4566" s="558">
        <f t="shared" si="218"/>
        <v>4564</v>
      </c>
      <c r="N4566" s="15">
        <f t="shared" si="216"/>
        <v>0.23700759618855391</v>
      </c>
      <c r="O4566" s="165">
        <f t="shared" si="217"/>
        <v>0.23700759618855391</v>
      </c>
      <c r="P4566" s="18"/>
      <c r="Q4566" s="18"/>
      <c r="R4566" s="18"/>
      <c r="S4566" s="18"/>
      <c r="T4566" s="18"/>
      <c r="U4566" s="18"/>
      <c r="V4566" s="18"/>
      <c r="W4566" s="18"/>
      <c r="X4566" s="18"/>
    </row>
    <row r="4567" spans="13:24">
      <c r="M4567" s="558">
        <f t="shared" si="218"/>
        <v>4565</v>
      </c>
      <c r="N4567" s="15">
        <f t="shared" si="216"/>
        <v>0.23695439458077888</v>
      </c>
      <c r="O4567" s="165">
        <f t="shared" si="217"/>
        <v>0.23695439458077888</v>
      </c>
      <c r="P4567" s="18"/>
      <c r="Q4567" s="18"/>
      <c r="R4567" s="18"/>
      <c r="S4567" s="18"/>
      <c r="T4567" s="18"/>
      <c r="U4567" s="18"/>
      <c r="V4567" s="18"/>
      <c r="W4567" s="18"/>
      <c r="X4567" s="18"/>
    </row>
    <row r="4568" spans="13:24">
      <c r="M4568" s="558">
        <f t="shared" si="218"/>
        <v>4566</v>
      </c>
      <c r="N4568" s="15">
        <f t="shared" si="216"/>
        <v>0.23690119527169642</v>
      </c>
      <c r="O4568" s="165">
        <f t="shared" si="217"/>
        <v>0.23690119527169642</v>
      </c>
      <c r="P4568" s="18"/>
      <c r="Q4568" s="18"/>
      <c r="R4568" s="18"/>
      <c r="S4568" s="18"/>
      <c r="T4568" s="18"/>
      <c r="U4568" s="18"/>
      <c r="V4568" s="18"/>
      <c r="W4568" s="18"/>
      <c r="X4568" s="18"/>
    </row>
    <row r="4569" spans="13:24">
      <c r="M4569" s="558">
        <f t="shared" si="218"/>
        <v>4567</v>
      </c>
      <c r="N4569" s="15">
        <f t="shared" si="216"/>
        <v>0.2368479982584219</v>
      </c>
      <c r="O4569" s="165">
        <f t="shared" si="217"/>
        <v>0.2368479982584219</v>
      </c>
      <c r="P4569" s="18"/>
      <c r="Q4569" s="18"/>
      <c r="R4569" s="18"/>
      <c r="S4569" s="18"/>
      <c r="T4569" s="18"/>
      <c r="U4569" s="18"/>
      <c r="V4569" s="18"/>
      <c r="W4569" s="18"/>
      <c r="X4569" s="18"/>
    </row>
    <row r="4570" spans="13:24">
      <c r="M4570" s="558">
        <f t="shared" si="218"/>
        <v>4568</v>
      </c>
      <c r="N4570" s="15">
        <f t="shared" si="216"/>
        <v>0.23679480353807417</v>
      </c>
      <c r="O4570" s="165">
        <f t="shared" si="217"/>
        <v>0.23679480353807417</v>
      </c>
      <c r="P4570" s="18"/>
      <c r="Q4570" s="18"/>
      <c r="R4570" s="18"/>
      <c r="S4570" s="18"/>
      <c r="T4570" s="18"/>
      <c r="U4570" s="18"/>
      <c r="V4570" s="18"/>
      <c r="W4570" s="18"/>
      <c r="X4570" s="18"/>
    </row>
    <row r="4571" spans="13:24">
      <c r="M4571" s="558">
        <f t="shared" si="218"/>
        <v>4569</v>
      </c>
      <c r="N4571" s="15">
        <f t="shared" si="216"/>
        <v>0.23674161110777586</v>
      </c>
      <c r="O4571" s="165">
        <f t="shared" si="217"/>
        <v>0.23674161110777586</v>
      </c>
      <c r="P4571" s="18"/>
      <c r="Q4571" s="18"/>
      <c r="R4571" s="18"/>
      <c r="S4571" s="18"/>
      <c r="T4571" s="18"/>
      <c r="U4571" s="18"/>
      <c r="V4571" s="18"/>
      <c r="W4571" s="18"/>
      <c r="X4571" s="18"/>
    </row>
    <row r="4572" spans="13:24">
      <c r="M4572" s="558">
        <f t="shared" si="218"/>
        <v>4570</v>
      </c>
      <c r="N4572" s="15">
        <f t="shared" si="216"/>
        <v>0.23668842096465312</v>
      </c>
      <c r="O4572" s="165">
        <f t="shared" si="217"/>
        <v>0.23668842096465312</v>
      </c>
      <c r="P4572" s="18"/>
      <c r="Q4572" s="18"/>
      <c r="R4572" s="18"/>
      <c r="S4572" s="18"/>
      <c r="T4572" s="18"/>
      <c r="U4572" s="18"/>
      <c r="V4572" s="18"/>
      <c r="W4572" s="18"/>
      <c r="X4572" s="18"/>
    </row>
    <row r="4573" spans="13:24">
      <c r="M4573" s="558">
        <f t="shared" si="218"/>
        <v>4571</v>
      </c>
      <c r="N4573" s="15">
        <f t="shared" si="216"/>
        <v>0.23663523310583576</v>
      </c>
      <c r="O4573" s="165">
        <f t="shared" si="217"/>
        <v>0.23663523310583576</v>
      </c>
      <c r="P4573" s="18"/>
      <c r="Q4573" s="18"/>
      <c r="R4573" s="18"/>
      <c r="S4573" s="18"/>
      <c r="T4573" s="18"/>
      <c r="U4573" s="18"/>
      <c r="V4573" s="18"/>
      <c r="W4573" s="18"/>
      <c r="X4573" s="18"/>
    </row>
    <row r="4574" spans="13:24">
      <c r="M4574" s="558">
        <f t="shared" si="218"/>
        <v>4572</v>
      </c>
      <c r="N4574" s="15">
        <f t="shared" si="216"/>
        <v>0.2365820475284571</v>
      </c>
      <c r="O4574" s="165">
        <f t="shared" si="217"/>
        <v>0.2365820475284571</v>
      </c>
      <c r="P4574" s="18"/>
      <c r="Q4574" s="18"/>
      <c r="R4574" s="18"/>
      <c r="S4574" s="18"/>
      <c r="T4574" s="18"/>
      <c r="U4574" s="18"/>
      <c r="V4574" s="18"/>
      <c r="W4574" s="18"/>
      <c r="X4574" s="18"/>
    </row>
    <row r="4575" spans="13:24">
      <c r="M4575" s="558">
        <f t="shared" si="218"/>
        <v>4573</v>
      </c>
      <c r="N4575" s="15">
        <f t="shared" si="216"/>
        <v>0.23652886422965413</v>
      </c>
      <c r="O4575" s="165">
        <f t="shared" si="217"/>
        <v>0.23652886422965413</v>
      </c>
      <c r="P4575" s="18"/>
      <c r="Q4575" s="18"/>
      <c r="R4575" s="18"/>
      <c r="S4575" s="18"/>
      <c r="T4575" s="18"/>
      <c r="U4575" s="18"/>
      <c r="V4575" s="18"/>
      <c r="W4575" s="18"/>
      <c r="X4575" s="18"/>
    </row>
    <row r="4576" spans="13:24">
      <c r="M4576" s="558">
        <f t="shared" si="218"/>
        <v>4574</v>
      </c>
      <c r="N4576" s="15">
        <f t="shared" si="216"/>
        <v>0.23647568320656751</v>
      </c>
      <c r="O4576" s="165">
        <f t="shared" si="217"/>
        <v>0.23647568320656751</v>
      </c>
      <c r="P4576" s="18"/>
      <c r="Q4576" s="18"/>
      <c r="R4576" s="18"/>
      <c r="S4576" s="18"/>
      <c r="T4576" s="18"/>
      <c r="U4576" s="18"/>
      <c r="V4576" s="18"/>
      <c r="W4576" s="18"/>
      <c r="X4576" s="18"/>
    </row>
    <row r="4577" spans="13:24">
      <c r="M4577" s="558">
        <f t="shared" si="218"/>
        <v>4575</v>
      </c>
      <c r="N4577" s="15">
        <f t="shared" si="216"/>
        <v>0.23642250445634128</v>
      </c>
      <c r="O4577" s="165">
        <f t="shared" si="217"/>
        <v>0.23642250445634128</v>
      </c>
      <c r="P4577" s="18"/>
      <c r="Q4577" s="18"/>
      <c r="R4577" s="18"/>
      <c r="S4577" s="18"/>
      <c r="T4577" s="18"/>
      <c r="U4577" s="18"/>
      <c r="V4577" s="18"/>
      <c r="W4577" s="18"/>
      <c r="X4577" s="18"/>
    </row>
    <row r="4578" spans="13:24">
      <c r="M4578" s="558">
        <f t="shared" si="218"/>
        <v>4576</v>
      </c>
      <c r="N4578" s="15">
        <f t="shared" si="216"/>
        <v>0.23636932797612326</v>
      </c>
      <c r="O4578" s="165">
        <f t="shared" si="217"/>
        <v>0.23636932797612326</v>
      </c>
      <c r="P4578" s="18"/>
      <c r="Q4578" s="18"/>
      <c r="R4578" s="18"/>
      <c r="S4578" s="18"/>
      <c r="T4578" s="18"/>
      <c r="U4578" s="18"/>
      <c r="V4578" s="18"/>
      <c r="W4578" s="18"/>
      <c r="X4578" s="18"/>
    </row>
    <row r="4579" spans="13:24">
      <c r="M4579" s="558">
        <f t="shared" si="218"/>
        <v>4577</v>
      </c>
      <c r="N4579" s="15">
        <f t="shared" si="216"/>
        <v>0.23631615376306472</v>
      </c>
      <c r="O4579" s="165">
        <f t="shared" si="217"/>
        <v>0.23631615376306472</v>
      </c>
      <c r="P4579" s="18"/>
      <c r="Q4579" s="18"/>
      <c r="R4579" s="18"/>
      <c r="S4579" s="18"/>
      <c r="T4579" s="18"/>
      <c r="U4579" s="18"/>
      <c r="V4579" s="18"/>
      <c r="W4579" s="18"/>
      <c r="X4579" s="18"/>
    </row>
    <row r="4580" spans="13:24">
      <c r="M4580" s="558">
        <f t="shared" si="218"/>
        <v>4578</v>
      </c>
      <c r="N4580" s="15">
        <f t="shared" si="216"/>
        <v>0.23626298181432059</v>
      </c>
      <c r="O4580" s="165">
        <f t="shared" si="217"/>
        <v>0.23626298181432059</v>
      </c>
      <c r="P4580" s="18"/>
      <c r="Q4580" s="18"/>
      <c r="R4580" s="18"/>
      <c r="S4580" s="18"/>
      <c r="T4580" s="18"/>
      <c r="U4580" s="18"/>
      <c r="V4580" s="18"/>
      <c r="W4580" s="18"/>
      <c r="X4580" s="18"/>
    </row>
    <row r="4581" spans="13:24">
      <c r="M4581" s="558">
        <f t="shared" si="218"/>
        <v>4579</v>
      </c>
      <c r="N4581" s="15">
        <f t="shared" si="216"/>
        <v>0.23620981212704933</v>
      </c>
      <c r="O4581" s="165">
        <f t="shared" si="217"/>
        <v>0.23620981212704933</v>
      </c>
      <c r="P4581" s="18"/>
      <c r="Q4581" s="18"/>
      <c r="R4581" s="18"/>
      <c r="S4581" s="18"/>
      <c r="T4581" s="18"/>
      <c r="U4581" s="18"/>
      <c r="V4581" s="18"/>
      <c r="W4581" s="18"/>
      <c r="X4581" s="18"/>
    </row>
    <row r="4582" spans="13:24">
      <c r="M4582" s="558">
        <f t="shared" si="218"/>
        <v>4580</v>
      </c>
      <c r="N4582" s="15">
        <f t="shared" si="216"/>
        <v>0.23615664469841299</v>
      </c>
      <c r="O4582" s="165">
        <f t="shared" si="217"/>
        <v>0.23615664469841299</v>
      </c>
      <c r="P4582" s="18"/>
      <c r="Q4582" s="18"/>
      <c r="R4582" s="18"/>
      <c r="S4582" s="18"/>
      <c r="T4582" s="18"/>
      <c r="U4582" s="18"/>
      <c r="V4582" s="18"/>
      <c r="W4582" s="18"/>
      <c r="X4582" s="18"/>
    </row>
    <row r="4583" spans="13:24">
      <c r="M4583" s="558">
        <f t="shared" si="218"/>
        <v>4581</v>
      </c>
      <c r="N4583" s="15">
        <f t="shared" si="216"/>
        <v>0.23610347952557711</v>
      </c>
      <c r="O4583" s="165">
        <f t="shared" si="217"/>
        <v>0.23610347952557711</v>
      </c>
      <c r="P4583" s="18"/>
      <c r="Q4583" s="18"/>
      <c r="R4583" s="18"/>
      <c r="S4583" s="18"/>
      <c r="T4583" s="18"/>
      <c r="U4583" s="18"/>
      <c r="V4583" s="18"/>
      <c r="W4583" s="18"/>
      <c r="X4583" s="18"/>
    </row>
    <row r="4584" spans="13:24">
      <c r="M4584" s="558">
        <f t="shared" si="218"/>
        <v>4582</v>
      </c>
      <c r="N4584" s="15">
        <f t="shared" si="216"/>
        <v>0.23605031660571091</v>
      </c>
      <c r="O4584" s="165">
        <f t="shared" si="217"/>
        <v>0.23605031660571091</v>
      </c>
      <c r="P4584" s="18"/>
      <c r="Q4584" s="18"/>
      <c r="R4584" s="18"/>
      <c r="S4584" s="18"/>
      <c r="T4584" s="18"/>
      <c r="U4584" s="18"/>
      <c r="V4584" s="18"/>
      <c r="W4584" s="18"/>
      <c r="X4584" s="18"/>
    </row>
    <row r="4585" spans="13:24">
      <c r="M4585" s="558">
        <f t="shared" si="218"/>
        <v>4583</v>
      </c>
      <c r="N4585" s="15">
        <f t="shared" si="216"/>
        <v>0.23599715593598705</v>
      </c>
      <c r="O4585" s="165">
        <f t="shared" si="217"/>
        <v>0.23599715593598705</v>
      </c>
      <c r="P4585" s="18"/>
      <c r="Q4585" s="18"/>
      <c r="R4585" s="18"/>
      <c r="S4585" s="18"/>
      <c r="T4585" s="18"/>
      <c r="U4585" s="18"/>
      <c r="V4585" s="18"/>
      <c r="W4585" s="18"/>
      <c r="X4585" s="18"/>
    </row>
    <row r="4586" spans="13:24">
      <c r="M4586" s="558">
        <f t="shared" si="218"/>
        <v>4584</v>
      </c>
      <c r="N4586" s="15">
        <f t="shared" si="216"/>
        <v>0.2359439975135818</v>
      </c>
      <c r="O4586" s="165">
        <f t="shared" si="217"/>
        <v>0.2359439975135818</v>
      </c>
      <c r="P4586" s="18"/>
      <c r="Q4586" s="18"/>
      <c r="R4586" s="18"/>
      <c r="S4586" s="18"/>
      <c r="T4586" s="18"/>
      <c r="U4586" s="18"/>
      <c r="V4586" s="18"/>
      <c r="W4586" s="18"/>
      <c r="X4586" s="18"/>
    </row>
    <row r="4587" spans="13:24">
      <c r="M4587" s="558">
        <f t="shared" si="218"/>
        <v>4585</v>
      </c>
      <c r="N4587" s="15">
        <f t="shared" si="216"/>
        <v>0.23589084133567492</v>
      </c>
      <c r="O4587" s="165">
        <f t="shared" si="217"/>
        <v>0.23589084133567492</v>
      </c>
      <c r="P4587" s="18"/>
      <c r="Q4587" s="18"/>
      <c r="R4587" s="18"/>
      <c r="S4587" s="18"/>
      <c r="T4587" s="18"/>
      <c r="U4587" s="18"/>
      <c r="V4587" s="18"/>
      <c r="W4587" s="18"/>
      <c r="X4587" s="18"/>
    </row>
    <row r="4588" spans="13:24">
      <c r="M4588" s="558">
        <f t="shared" si="218"/>
        <v>4586</v>
      </c>
      <c r="N4588" s="15">
        <f t="shared" si="216"/>
        <v>0.23583768739944982</v>
      </c>
      <c r="O4588" s="165">
        <f t="shared" si="217"/>
        <v>0.23583768739944982</v>
      </c>
      <c r="P4588" s="18"/>
      <c r="Q4588" s="18"/>
      <c r="R4588" s="18"/>
      <c r="S4588" s="18"/>
      <c r="T4588" s="18"/>
      <c r="U4588" s="18"/>
      <c r="V4588" s="18"/>
      <c r="W4588" s="18"/>
      <c r="X4588" s="18"/>
    </row>
    <row r="4589" spans="13:24">
      <c r="M4589" s="558">
        <f t="shared" si="218"/>
        <v>4587</v>
      </c>
      <c r="N4589" s="15">
        <f t="shared" si="216"/>
        <v>0.23578453570209329</v>
      </c>
      <c r="O4589" s="165">
        <f t="shared" si="217"/>
        <v>0.23578453570209329</v>
      </c>
      <c r="P4589" s="18"/>
      <c r="Q4589" s="18"/>
      <c r="R4589" s="18"/>
      <c r="S4589" s="18"/>
      <c r="T4589" s="18"/>
      <c r="U4589" s="18"/>
      <c r="V4589" s="18"/>
      <c r="W4589" s="18"/>
      <c r="X4589" s="18"/>
    </row>
    <row r="4590" spans="13:24">
      <c r="M4590" s="558">
        <f t="shared" si="218"/>
        <v>4588</v>
      </c>
      <c r="N4590" s="15">
        <f t="shared" si="216"/>
        <v>0.23573138624079576</v>
      </c>
      <c r="O4590" s="165">
        <f t="shared" si="217"/>
        <v>0.23573138624079576</v>
      </c>
      <c r="P4590" s="18"/>
      <c r="Q4590" s="18"/>
      <c r="R4590" s="18"/>
      <c r="S4590" s="18"/>
      <c r="T4590" s="18"/>
      <c r="U4590" s="18"/>
      <c r="V4590" s="18"/>
      <c r="W4590" s="18"/>
      <c r="X4590" s="18"/>
    </row>
    <row r="4591" spans="13:24">
      <c r="M4591" s="558">
        <f t="shared" si="218"/>
        <v>4589</v>
      </c>
      <c r="N4591" s="15">
        <f t="shared" si="216"/>
        <v>0.2356782390127512</v>
      </c>
      <c r="O4591" s="165">
        <f t="shared" si="217"/>
        <v>0.2356782390127512</v>
      </c>
      <c r="P4591" s="18"/>
      <c r="Q4591" s="18"/>
      <c r="R4591" s="18"/>
      <c r="S4591" s="18"/>
      <c r="T4591" s="18"/>
      <c r="U4591" s="18"/>
      <c r="V4591" s="18"/>
      <c r="W4591" s="18"/>
      <c r="X4591" s="18"/>
    </row>
    <row r="4592" spans="13:24">
      <c r="M4592" s="558">
        <f t="shared" si="218"/>
        <v>4590</v>
      </c>
      <c r="N4592" s="15">
        <f t="shared" si="216"/>
        <v>0.23562509401515697</v>
      </c>
      <c r="O4592" s="165">
        <f t="shared" si="217"/>
        <v>0.23562509401515697</v>
      </c>
      <c r="P4592" s="18"/>
      <c r="Q4592" s="18"/>
      <c r="R4592" s="18"/>
      <c r="S4592" s="18"/>
      <c r="T4592" s="18"/>
      <c r="U4592" s="18"/>
      <c r="V4592" s="18"/>
      <c r="W4592" s="18"/>
      <c r="X4592" s="18"/>
    </row>
    <row r="4593" spans="13:24">
      <c r="M4593" s="558">
        <f t="shared" si="218"/>
        <v>4591</v>
      </c>
      <c r="N4593" s="15">
        <f t="shared" si="216"/>
        <v>0.23557195124521413</v>
      </c>
      <c r="O4593" s="165">
        <f t="shared" si="217"/>
        <v>0.23557195124521413</v>
      </c>
      <c r="P4593" s="18"/>
      <c r="Q4593" s="18"/>
      <c r="R4593" s="18"/>
      <c r="S4593" s="18"/>
      <c r="T4593" s="18"/>
      <c r="U4593" s="18"/>
      <c r="V4593" s="18"/>
      <c r="W4593" s="18"/>
      <c r="X4593" s="18"/>
    </row>
    <row r="4594" spans="13:24">
      <c r="M4594" s="558">
        <f t="shared" si="218"/>
        <v>4592</v>
      </c>
      <c r="N4594" s="15">
        <f t="shared" si="216"/>
        <v>0.23551881070012706</v>
      </c>
      <c r="O4594" s="165">
        <f t="shared" si="217"/>
        <v>0.23551881070012706</v>
      </c>
      <c r="P4594" s="18"/>
      <c r="Q4594" s="18"/>
      <c r="R4594" s="18"/>
      <c r="S4594" s="18"/>
      <c r="T4594" s="18"/>
      <c r="U4594" s="18"/>
      <c r="V4594" s="18"/>
      <c r="W4594" s="18"/>
      <c r="X4594" s="18"/>
    </row>
    <row r="4595" spans="13:24">
      <c r="M4595" s="558">
        <f t="shared" si="218"/>
        <v>4593</v>
      </c>
      <c r="N4595" s="15">
        <f t="shared" si="216"/>
        <v>0.23546567237710381</v>
      </c>
      <c r="O4595" s="165">
        <f t="shared" si="217"/>
        <v>0.23546567237710381</v>
      </c>
      <c r="P4595" s="18"/>
      <c r="Q4595" s="18"/>
      <c r="R4595" s="18"/>
      <c r="S4595" s="18"/>
      <c r="T4595" s="18"/>
      <c r="U4595" s="18"/>
      <c r="V4595" s="18"/>
      <c r="W4595" s="18"/>
      <c r="X4595" s="18"/>
    </row>
    <row r="4596" spans="13:24">
      <c r="M4596" s="558">
        <f t="shared" si="218"/>
        <v>4594</v>
      </c>
      <c r="N4596" s="15">
        <f t="shared" si="216"/>
        <v>0.23541253627335584</v>
      </c>
      <c r="O4596" s="165">
        <f t="shared" si="217"/>
        <v>0.23541253627335584</v>
      </c>
      <c r="P4596" s="18"/>
      <c r="Q4596" s="18"/>
      <c r="R4596" s="18"/>
      <c r="S4596" s="18"/>
      <c r="T4596" s="18"/>
      <c r="U4596" s="18"/>
      <c r="V4596" s="18"/>
      <c r="W4596" s="18"/>
      <c r="X4596" s="18"/>
    </row>
    <row r="4597" spans="13:24">
      <c r="M4597" s="558">
        <f t="shared" si="218"/>
        <v>4595</v>
      </c>
      <c r="N4597" s="15">
        <f t="shared" si="216"/>
        <v>0.23535940238609818</v>
      </c>
      <c r="O4597" s="165">
        <f t="shared" si="217"/>
        <v>0.23535940238609818</v>
      </c>
      <c r="P4597" s="18"/>
      <c r="Q4597" s="18"/>
      <c r="R4597" s="18"/>
      <c r="S4597" s="18"/>
      <c r="T4597" s="18"/>
      <c r="U4597" s="18"/>
      <c r="V4597" s="18"/>
      <c r="W4597" s="18"/>
      <c r="X4597" s="18"/>
    </row>
    <row r="4598" spans="13:24">
      <c r="M4598" s="558">
        <f t="shared" si="218"/>
        <v>4596</v>
      </c>
      <c r="N4598" s="15">
        <f t="shared" si="216"/>
        <v>0.23530627071254923</v>
      </c>
      <c r="O4598" s="165">
        <f t="shared" si="217"/>
        <v>0.23530627071254923</v>
      </c>
      <c r="P4598" s="18"/>
      <c r="Q4598" s="18"/>
      <c r="R4598" s="18"/>
      <c r="S4598" s="18"/>
      <c r="T4598" s="18"/>
      <c r="U4598" s="18"/>
      <c r="V4598" s="18"/>
      <c r="W4598" s="18"/>
      <c r="X4598" s="18"/>
    </row>
    <row r="4599" spans="13:24">
      <c r="M4599" s="558">
        <f t="shared" si="218"/>
        <v>4597</v>
      </c>
      <c r="N4599" s="15">
        <f t="shared" si="216"/>
        <v>0.23525314124993107</v>
      </c>
      <c r="O4599" s="165">
        <f t="shared" si="217"/>
        <v>0.23525314124993107</v>
      </c>
      <c r="P4599" s="18"/>
      <c r="Q4599" s="18"/>
      <c r="R4599" s="18"/>
      <c r="S4599" s="18"/>
      <c r="T4599" s="18"/>
      <c r="U4599" s="18"/>
      <c r="V4599" s="18"/>
      <c r="W4599" s="18"/>
      <c r="X4599" s="18"/>
    </row>
    <row r="4600" spans="13:24">
      <c r="M4600" s="558">
        <f t="shared" si="218"/>
        <v>4598</v>
      </c>
      <c r="N4600" s="15">
        <f t="shared" si="216"/>
        <v>0.23520001399546905</v>
      </c>
      <c r="O4600" s="165">
        <f t="shared" si="217"/>
        <v>0.23520001399546905</v>
      </c>
      <c r="P4600" s="18"/>
      <c r="Q4600" s="18"/>
      <c r="R4600" s="18"/>
      <c r="S4600" s="18"/>
      <c r="T4600" s="18"/>
      <c r="U4600" s="18"/>
      <c r="V4600" s="18"/>
      <c r="W4600" s="18"/>
      <c r="X4600" s="18"/>
    </row>
    <row r="4601" spans="13:24">
      <c r="M4601" s="558">
        <f t="shared" si="218"/>
        <v>4599</v>
      </c>
      <c r="N4601" s="15">
        <f t="shared" si="216"/>
        <v>0.23514688894639221</v>
      </c>
      <c r="O4601" s="165">
        <f t="shared" si="217"/>
        <v>0.23514688894639221</v>
      </c>
      <c r="P4601" s="18"/>
      <c r="Q4601" s="18"/>
      <c r="R4601" s="18"/>
      <c r="S4601" s="18"/>
      <c r="T4601" s="18"/>
      <c r="U4601" s="18"/>
      <c r="V4601" s="18"/>
      <c r="W4601" s="18"/>
      <c r="X4601" s="18"/>
    </row>
    <row r="4602" spans="13:24">
      <c r="M4602" s="558">
        <f t="shared" si="218"/>
        <v>4600</v>
      </c>
      <c r="N4602" s="15">
        <f t="shared" si="216"/>
        <v>0.23509376609993288</v>
      </c>
      <c r="O4602" s="165">
        <f t="shared" si="217"/>
        <v>0.23509376609993288</v>
      </c>
      <c r="P4602" s="18"/>
      <c r="Q4602" s="18"/>
      <c r="R4602" s="18"/>
      <c r="S4602" s="18"/>
      <c r="T4602" s="18"/>
      <c r="U4602" s="18"/>
      <c r="V4602" s="18"/>
      <c r="W4602" s="18"/>
      <c r="X4602" s="18"/>
    </row>
    <row r="4603" spans="13:24">
      <c r="M4603" s="558">
        <f t="shared" si="218"/>
        <v>4601</v>
      </c>
      <c r="N4603" s="15">
        <f t="shared" si="216"/>
        <v>0.23504064545332704</v>
      </c>
      <c r="O4603" s="165">
        <f t="shared" si="217"/>
        <v>0.23504064545332704</v>
      </c>
      <c r="P4603" s="18"/>
      <c r="Q4603" s="18"/>
      <c r="R4603" s="18"/>
      <c r="S4603" s="18"/>
      <c r="T4603" s="18"/>
      <c r="U4603" s="18"/>
      <c r="V4603" s="18"/>
      <c r="W4603" s="18"/>
      <c r="X4603" s="18"/>
    </row>
    <row r="4604" spans="13:24">
      <c r="M4604" s="558">
        <f t="shared" si="218"/>
        <v>4602</v>
      </c>
      <c r="N4604" s="15">
        <f t="shared" si="216"/>
        <v>0.23498752700381395</v>
      </c>
      <c r="O4604" s="165">
        <f t="shared" si="217"/>
        <v>0.23498752700381395</v>
      </c>
      <c r="P4604" s="18"/>
      <c r="Q4604" s="18"/>
      <c r="R4604" s="18"/>
      <c r="S4604" s="18"/>
      <c r="T4604" s="18"/>
      <c r="U4604" s="18"/>
      <c r="V4604" s="18"/>
      <c r="W4604" s="18"/>
      <c r="X4604" s="18"/>
    </row>
    <row r="4605" spans="13:24">
      <c r="M4605" s="558">
        <f t="shared" si="218"/>
        <v>4603</v>
      </c>
      <c r="N4605" s="15">
        <f t="shared" si="216"/>
        <v>0.2349344107486365</v>
      </c>
      <c r="O4605" s="165">
        <f t="shared" si="217"/>
        <v>0.2349344107486365</v>
      </c>
      <c r="P4605" s="18"/>
      <c r="Q4605" s="18"/>
      <c r="R4605" s="18"/>
      <c r="S4605" s="18"/>
      <c r="T4605" s="18"/>
      <c r="U4605" s="18"/>
      <c r="V4605" s="18"/>
      <c r="W4605" s="18"/>
      <c r="X4605" s="18"/>
    </row>
    <row r="4606" spans="13:24">
      <c r="M4606" s="558">
        <f t="shared" si="218"/>
        <v>4604</v>
      </c>
      <c r="N4606" s="15">
        <f t="shared" si="216"/>
        <v>0.23488129668504101</v>
      </c>
      <c r="O4606" s="165">
        <f t="shared" si="217"/>
        <v>0.23488129668504101</v>
      </c>
      <c r="P4606" s="18"/>
      <c r="Q4606" s="18"/>
      <c r="R4606" s="18"/>
      <c r="S4606" s="18"/>
      <c r="T4606" s="18"/>
      <c r="U4606" s="18"/>
      <c r="V4606" s="18"/>
      <c r="W4606" s="18"/>
      <c r="X4606" s="18"/>
    </row>
    <row r="4607" spans="13:24">
      <c r="M4607" s="558">
        <f t="shared" si="218"/>
        <v>4605</v>
      </c>
      <c r="N4607" s="15">
        <f t="shared" si="216"/>
        <v>0.23482818481027715</v>
      </c>
      <c r="O4607" s="165">
        <f t="shared" si="217"/>
        <v>0.23482818481027715</v>
      </c>
      <c r="P4607" s="18"/>
      <c r="Q4607" s="18"/>
      <c r="R4607" s="18"/>
      <c r="S4607" s="18"/>
      <c r="T4607" s="18"/>
      <c r="U4607" s="18"/>
      <c r="V4607" s="18"/>
      <c r="W4607" s="18"/>
      <c r="X4607" s="18"/>
    </row>
    <row r="4608" spans="13:24">
      <c r="M4608" s="558">
        <f t="shared" si="218"/>
        <v>4606</v>
      </c>
      <c r="N4608" s="15">
        <f t="shared" si="216"/>
        <v>0.23477507512159815</v>
      </c>
      <c r="O4608" s="165">
        <f t="shared" si="217"/>
        <v>0.23477507512159815</v>
      </c>
      <c r="P4608" s="18"/>
      <c r="Q4608" s="18"/>
      <c r="R4608" s="18"/>
      <c r="S4608" s="18"/>
      <c r="T4608" s="18"/>
      <c r="U4608" s="18"/>
      <c r="V4608" s="18"/>
      <c r="W4608" s="18"/>
      <c r="X4608" s="18"/>
    </row>
    <row r="4609" spans="13:24">
      <c r="M4609" s="558">
        <f t="shared" si="218"/>
        <v>4607</v>
      </c>
      <c r="N4609" s="15">
        <f t="shared" si="216"/>
        <v>0.2347219676162606</v>
      </c>
      <c r="O4609" s="165">
        <f t="shared" si="217"/>
        <v>0.2347219676162606</v>
      </c>
      <c r="P4609" s="18"/>
      <c r="Q4609" s="18"/>
      <c r="R4609" s="18"/>
      <c r="S4609" s="18"/>
      <c r="T4609" s="18"/>
      <c r="U4609" s="18"/>
      <c r="V4609" s="18"/>
      <c r="W4609" s="18"/>
      <c r="X4609" s="18"/>
    </row>
    <row r="4610" spans="13:24">
      <c r="M4610" s="558">
        <f t="shared" si="218"/>
        <v>4608</v>
      </c>
      <c r="N4610" s="15">
        <f t="shared" si="216"/>
        <v>0.23466886229152467</v>
      </c>
      <c r="O4610" s="165">
        <f t="shared" si="217"/>
        <v>0.23466886229152467</v>
      </c>
      <c r="P4610" s="18"/>
      <c r="Q4610" s="18"/>
      <c r="R4610" s="18"/>
      <c r="S4610" s="18"/>
      <c r="T4610" s="18"/>
      <c r="U4610" s="18"/>
      <c r="V4610" s="18"/>
      <c r="W4610" s="18"/>
      <c r="X4610" s="18"/>
    </row>
    <row r="4611" spans="13:24">
      <c r="M4611" s="558">
        <f t="shared" si="218"/>
        <v>4609</v>
      </c>
      <c r="N4611" s="15">
        <f t="shared" si="216"/>
        <v>0.2346157591446538</v>
      </c>
      <c r="O4611" s="165">
        <f t="shared" si="217"/>
        <v>0.2346157591446538</v>
      </c>
      <c r="P4611" s="18"/>
      <c r="Q4611" s="18"/>
      <c r="R4611" s="18"/>
      <c r="S4611" s="18"/>
      <c r="T4611" s="18"/>
      <c r="U4611" s="18"/>
      <c r="V4611" s="18"/>
      <c r="W4611" s="18"/>
      <c r="X4611" s="18"/>
    </row>
    <row r="4612" spans="13:24">
      <c r="M4612" s="558">
        <f t="shared" si="218"/>
        <v>4610</v>
      </c>
      <c r="N4612" s="15">
        <f t="shared" ref="N4612:N4675" si="219">IF(M4612&lt;$B$31+1,$B$32+$B$33/$B$31*(8760-M4612)+$B$34*IF(M4612&lt;$B$36-$B$31/(2*$B$35),1,IF(M4612&lt;$B$36+$B$31/(2*$B$35),COS(PI()/2*(M4612-($B$36-$B$31/(2*$B$35)))*$B$35/$B$31)^2,0))+$B$37*EXP((8760-M4612)/8760*$B$38)/EXP($B$38)-(8760-$B$31)*$B$33/$B$31,0)</f>
        <v>0.23456265817291497</v>
      </c>
      <c r="O4612" s="165">
        <f t="shared" ref="O4612:O4675" si="220">MIN(N4612,C$24)</f>
        <v>0.23456265817291497</v>
      </c>
      <c r="P4612" s="18"/>
      <c r="Q4612" s="18"/>
      <c r="R4612" s="18"/>
      <c r="S4612" s="18"/>
      <c r="T4612" s="18"/>
      <c r="U4612" s="18"/>
      <c r="V4612" s="18"/>
      <c r="W4612" s="18"/>
      <c r="X4612" s="18"/>
    </row>
    <row r="4613" spans="13:24">
      <c r="M4613" s="558">
        <f t="shared" ref="M4613:M4676" si="221">M4612+1</f>
        <v>4611</v>
      </c>
      <c r="N4613" s="15">
        <f t="shared" si="219"/>
        <v>0.23450955937357856</v>
      </c>
      <c r="O4613" s="165">
        <f t="shared" si="220"/>
        <v>0.23450955937357856</v>
      </c>
      <c r="P4613" s="18"/>
      <c r="Q4613" s="18"/>
      <c r="R4613" s="18"/>
      <c r="S4613" s="18"/>
      <c r="T4613" s="18"/>
      <c r="U4613" s="18"/>
      <c r="V4613" s="18"/>
      <c r="W4613" s="18"/>
      <c r="X4613" s="18"/>
    </row>
    <row r="4614" spans="13:24">
      <c r="M4614" s="558">
        <f t="shared" si="221"/>
        <v>4612</v>
      </c>
      <c r="N4614" s="15">
        <f t="shared" si="219"/>
        <v>0.23445646274391843</v>
      </c>
      <c r="O4614" s="165">
        <f t="shared" si="220"/>
        <v>0.23445646274391843</v>
      </c>
      <c r="P4614" s="18"/>
      <c r="Q4614" s="18"/>
      <c r="R4614" s="18"/>
      <c r="S4614" s="18"/>
      <c r="T4614" s="18"/>
      <c r="U4614" s="18"/>
      <c r="V4614" s="18"/>
      <c r="W4614" s="18"/>
      <c r="X4614" s="18"/>
    </row>
    <row r="4615" spans="13:24">
      <c r="M4615" s="558">
        <f t="shared" si="221"/>
        <v>4613</v>
      </c>
      <c r="N4615" s="15">
        <f t="shared" si="219"/>
        <v>0.23440336828121172</v>
      </c>
      <c r="O4615" s="165">
        <f t="shared" si="220"/>
        <v>0.23440336828121172</v>
      </c>
      <c r="P4615" s="18"/>
      <c r="Q4615" s="18"/>
      <c r="R4615" s="18"/>
      <c r="S4615" s="18"/>
      <c r="T4615" s="18"/>
      <c r="U4615" s="18"/>
      <c r="V4615" s="18"/>
      <c r="W4615" s="18"/>
      <c r="X4615" s="18"/>
    </row>
    <row r="4616" spans="13:24">
      <c r="M4616" s="558">
        <f t="shared" si="221"/>
        <v>4614</v>
      </c>
      <c r="N4616" s="15">
        <f t="shared" si="219"/>
        <v>0.23435027598273916</v>
      </c>
      <c r="O4616" s="165">
        <f t="shared" si="220"/>
        <v>0.23435027598273916</v>
      </c>
      <c r="P4616" s="18"/>
      <c r="Q4616" s="18"/>
      <c r="R4616" s="18"/>
      <c r="S4616" s="18"/>
      <c r="T4616" s="18"/>
      <c r="U4616" s="18"/>
      <c r="V4616" s="18"/>
      <c r="W4616" s="18"/>
      <c r="X4616" s="18"/>
    </row>
    <row r="4617" spans="13:24">
      <c r="M4617" s="558">
        <f t="shared" si="221"/>
        <v>4615</v>
      </c>
      <c r="N4617" s="15">
        <f t="shared" si="219"/>
        <v>0.23429718584578474</v>
      </c>
      <c r="O4617" s="165">
        <f t="shared" si="220"/>
        <v>0.23429718584578474</v>
      </c>
      <c r="P4617" s="18"/>
      <c r="Q4617" s="18"/>
      <c r="R4617" s="18"/>
      <c r="S4617" s="18"/>
      <c r="T4617" s="18"/>
      <c r="U4617" s="18"/>
      <c r="V4617" s="18"/>
      <c r="W4617" s="18"/>
      <c r="X4617" s="18"/>
    </row>
    <row r="4618" spans="13:24">
      <c r="M4618" s="558">
        <f t="shared" si="221"/>
        <v>4616</v>
      </c>
      <c r="N4618" s="15">
        <f t="shared" si="219"/>
        <v>0.234244097867636</v>
      </c>
      <c r="O4618" s="165">
        <f t="shared" si="220"/>
        <v>0.234244097867636</v>
      </c>
      <c r="P4618" s="18"/>
      <c r="Q4618" s="18"/>
      <c r="R4618" s="18"/>
      <c r="S4618" s="18"/>
      <c r="T4618" s="18"/>
      <c r="U4618" s="18"/>
      <c r="V4618" s="18"/>
      <c r="W4618" s="18"/>
      <c r="X4618" s="18"/>
    </row>
    <row r="4619" spans="13:24">
      <c r="M4619" s="558">
        <f t="shared" si="221"/>
        <v>4617</v>
      </c>
      <c r="N4619" s="15">
        <f t="shared" si="219"/>
        <v>0.23419101204558374</v>
      </c>
      <c r="O4619" s="165">
        <f t="shared" si="220"/>
        <v>0.23419101204558374</v>
      </c>
      <c r="P4619" s="18"/>
      <c r="Q4619" s="18"/>
      <c r="R4619" s="18"/>
      <c r="S4619" s="18"/>
      <c r="T4619" s="18"/>
      <c r="U4619" s="18"/>
      <c r="V4619" s="18"/>
      <c r="W4619" s="18"/>
      <c r="X4619" s="18"/>
    </row>
    <row r="4620" spans="13:24">
      <c r="M4620" s="558">
        <f t="shared" si="221"/>
        <v>4618</v>
      </c>
      <c r="N4620" s="15">
        <f t="shared" si="219"/>
        <v>0.23413792837692229</v>
      </c>
      <c r="O4620" s="165">
        <f t="shared" si="220"/>
        <v>0.23413792837692229</v>
      </c>
      <c r="P4620" s="18"/>
      <c r="Q4620" s="18"/>
      <c r="R4620" s="18"/>
      <c r="S4620" s="18"/>
      <c r="T4620" s="18"/>
      <c r="U4620" s="18"/>
      <c r="V4620" s="18"/>
      <c r="W4620" s="18"/>
      <c r="X4620" s="18"/>
    </row>
    <row r="4621" spans="13:24">
      <c r="M4621" s="558">
        <f t="shared" si="221"/>
        <v>4619</v>
      </c>
      <c r="N4621" s="15">
        <f t="shared" si="219"/>
        <v>0.23408484685894929</v>
      </c>
      <c r="O4621" s="165">
        <f t="shared" si="220"/>
        <v>0.23408484685894929</v>
      </c>
      <c r="P4621" s="18"/>
      <c r="Q4621" s="18"/>
      <c r="R4621" s="18"/>
      <c r="S4621" s="18"/>
      <c r="T4621" s="18"/>
      <c r="U4621" s="18"/>
      <c r="V4621" s="18"/>
      <c r="W4621" s="18"/>
      <c r="X4621" s="18"/>
    </row>
    <row r="4622" spans="13:24">
      <c r="M4622" s="558">
        <f t="shared" si="221"/>
        <v>4620</v>
      </c>
      <c r="N4622" s="15">
        <f t="shared" si="219"/>
        <v>0.23403176748896579</v>
      </c>
      <c r="O4622" s="165">
        <f t="shared" si="220"/>
        <v>0.23403176748896579</v>
      </c>
      <c r="P4622" s="18"/>
      <c r="Q4622" s="18"/>
      <c r="R4622" s="18"/>
      <c r="S4622" s="18"/>
      <c r="T4622" s="18"/>
      <c r="U4622" s="18"/>
      <c r="V4622" s="18"/>
      <c r="W4622" s="18"/>
      <c r="X4622" s="18"/>
    </row>
    <row r="4623" spans="13:24">
      <c r="M4623" s="558">
        <f t="shared" si="221"/>
        <v>4621</v>
      </c>
      <c r="N4623" s="15">
        <f t="shared" si="219"/>
        <v>0.23397869026427626</v>
      </c>
      <c r="O4623" s="165">
        <f t="shared" si="220"/>
        <v>0.23397869026427626</v>
      </c>
      <c r="P4623" s="18"/>
      <c r="Q4623" s="18"/>
      <c r="R4623" s="18"/>
      <c r="S4623" s="18"/>
      <c r="T4623" s="18"/>
      <c r="U4623" s="18"/>
      <c r="V4623" s="18"/>
      <c r="W4623" s="18"/>
      <c r="X4623" s="18"/>
    </row>
    <row r="4624" spans="13:24">
      <c r="M4624" s="558">
        <f t="shared" si="221"/>
        <v>4622</v>
      </c>
      <c r="N4624" s="15">
        <f t="shared" si="219"/>
        <v>0.23392561518218849</v>
      </c>
      <c r="O4624" s="165">
        <f t="shared" si="220"/>
        <v>0.23392561518218849</v>
      </c>
      <c r="P4624" s="18"/>
      <c r="Q4624" s="18"/>
      <c r="R4624" s="18"/>
      <c r="S4624" s="18"/>
      <c r="T4624" s="18"/>
      <c r="U4624" s="18"/>
      <c r="V4624" s="18"/>
      <c r="W4624" s="18"/>
      <c r="X4624" s="18"/>
    </row>
    <row r="4625" spans="13:24">
      <c r="M4625" s="558">
        <f t="shared" si="221"/>
        <v>4623</v>
      </c>
      <c r="N4625" s="15">
        <f t="shared" si="219"/>
        <v>0.23387254224001378</v>
      </c>
      <c r="O4625" s="165">
        <f t="shared" si="220"/>
        <v>0.23387254224001378</v>
      </c>
      <c r="P4625" s="18"/>
      <c r="Q4625" s="18"/>
      <c r="R4625" s="18"/>
      <c r="S4625" s="18"/>
      <c r="T4625" s="18"/>
      <c r="U4625" s="18"/>
      <c r="V4625" s="18"/>
      <c r="W4625" s="18"/>
      <c r="X4625" s="18"/>
    </row>
    <row r="4626" spans="13:24">
      <c r="M4626" s="558">
        <f t="shared" si="221"/>
        <v>4624</v>
      </c>
      <c r="N4626" s="15">
        <f t="shared" si="219"/>
        <v>0.23381947143506659</v>
      </c>
      <c r="O4626" s="165">
        <f t="shared" si="220"/>
        <v>0.23381947143506659</v>
      </c>
      <c r="P4626" s="18"/>
      <c r="Q4626" s="18"/>
      <c r="R4626" s="18"/>
      <c r="S4626" s="18"/>
      <c r="T4626" s="18"/>
      <c r="U4626" s="18"/>
      <c r="V4626" s="18"/>
      <c r="W4626" s="18"/>
      <c r="X4626" s="18"/>
    </row>
    <row r="4627" spans="13:24">
      <c r="M4627" s="558">
        <f t="shared" si="221"/>
        <v>4625</v>
      </c>
      <c r="N4627" s="15">
        <f t="shared" si="219"/>
        <v>0.23376640276466495</v>
      </c>
      <c r="O4627" s="165">
        <f t="shared" si="220"/>
        <v>0.23376640276466495</v>
      </c>
      <c r="P4627" s="18"/>
      <c r="Q4627" s="18"/>
      <c r="R4627" s="18"/>
      <c r="S4627" s="18"/>
      <c r="T4627" s="18"/>
      <c r="U4627" s="18"/>
      <c r="V4627" s="18"/>
      <c r="W4627" s="18"/>
      <c r="X4627" s="18"/>
    </row>
    <row r="4628" spans="13:24">
      <c r="M4628" s="558">
        <f t="shared" si="221"/>
        <v>4626</v>
      </c>
      <c r="N4628" s="15">
        <f t="shared" si="219"/>
        <v>0.23371333622613014</v>
      </c>
      <c r="O4628" s="165">
        <f t="shared" si="220"/>
        <v>0.23371333622613014</v>
      </c>
      <c r="P4628" s="18"/>
      <c r="Q4628" s="18"/>
      <c r="R4628" s="18"/>
      <c r="S4628" s="18"/>
      <c r="T4628" s="18"/>
      <c r="U4628" s="18"/>
      <c r="V4628" s="18"/>
      <c r="W4628" s="18"/>
      <c r="X4628" s="18"/>
    </row>
    <row r="4629" spans="13:24">
      <c r="M4629" s="558">
        <f t="shared" si="221"/>
        <v>4627</v>
      </c>
      <c r="N4629" s="15">
        <f t="shared" si="219"/>
        <v>0.23366027181678686</v>
      </c>
      <c r="O4629" s="165">
        <f t="shared" si="220"/>
        <v>0.23366027181678686</v>
      </c>
      <c r="P4629" s="18"/>
      <c r="Q4629" s="18"/>
      <c r="R4629" s="18"/>
      <c r="S4629" s="18"/>
      <c r="T4629" s="18"/>
      <c r="U4629" s="18"/>
      <c r="V4629" s="18"/>
      <c r="W4629" s="18"/>
      <c r="X4629" s="18"/>
    </row>
    <row r="4630" spans="13:24">
      <c r="M4630" s="558">
        <f t="shared" si="221"/>
        <v>4628</v>
      </c>
      <c r="N4630" s="15">
        <f t="shared" si="219"/>
        <v>0.23360720953396313</v>
      </c>
      <c r="O4630" s="165">
        <f t="shared" si="220"/>
        <v>0.23360720953396313</v>
      </c>
      <c r="P4630" s="18"/>
      <c r="Q4630" s="18"/>
      <c r="R4630" s="18"/>
      <c r="S4630" s="18"/>
      <c r="T4630" s="18"/>
      <c r="U4630" s="18"/>
      <c r="V4630" s="18"/>
      <c r="W4630" s="18"/>
      <c r="X4630" s="18"/>
    </row>
    <row r="4631" spans="13:24">
      <c r="M4631" s="558">
        <f t="shared" si="221"/>
        <v>4629</v>
      </c>
      <c r="N4631" s="15">
        <f t="shared" si="219"/>
        <v>0.23355414937499036</v>
      </c>
      <c r="O4631" s="165">
        <f t="shared" si="220"/>
        <v>0.23355414937499036</v>
      </c>
      <c r="P4631" s="18"/>
      <c r="Q4631" s="18"/>
      <c r="R4631" s="18"/>
      <c r="S4631" s="18"/>
      <c r="T4631" s="18"/>
      <c r="U4631" s="18"/>
      <c r="V4631" s="18"/>
      <c r="W4631" s="18"/>
      <c r="X4631" s="18"/>
    </row>
    <row r="4632" spans="13:24">
      <c r="M4632" s="558">
        <f t="shared" si="221"/>
        <v>4630</v>
      </c>
      <c r="N4632" s="15">
        <f t="shared" si="219"/>
        <v>0.23350109133720326</v>
      </c>
      <c r="O4632" s="165">
        <f t="shared" si="220"/>
        <v>0.23350109133720326</v>
      </c>
      <c r="P4632" s="18"/>
      <c r="Q4632" s="18"/>
      <c r="R4632" s="18"/>
      <c r="S4632" s="18"/>
      <c r="T4632" s="18"/>
      <c r="U4632" s="18"/>
      <c r="V4632" s="18"/>
      <c r="W4632" s="18"/>
      <c r="X4632" s="18"/>
    </row>
    <row r="4633" spans="13:24">
      <c r="M4633" s="558">
        <f t="shared" si="221"/>
        <v>4631</v>
      </c>
      <c r="N4633" s="15">
        <f t="shared" si="219"/>
        <v>0.23344803541793993</v>
      </c>
      <c r="O4633" s="165">
        <f t="shared" si="220"/>
        <v>0.23344803541793993</v>
      </c>
      <c r="P4633" s="18"/>
      <c r="Q4633" s="18"/>
      <c r="R4633" s="18"/>
      <c r="S4633" s="18"/>
      <c r="T4633" s="18"/>
      <c r="U4633" s="18"/>
      <c r="V4633" s="18"/>
      <c r="W4633" s="18"/>
      <c r="X4633" s="18"/>
    </row>
    <row r="4634" spans="13:24">
      <c r="M4634" s="558">
        <f t="shared" si="221"/>
        <v>4632</v>
      </c>
      <c r="N4634" s="15">
        <f t="shared" si="219"/>
        <v>0.23339498161454178</v>
      </c>
      <c r="O4634" s="165">
        <f t="shared" si="220"/>
        <v>0.23339498161454178</v>
      </c>
      <c r="P4634" s="18"/>
      <c r="Q4634" s="18"/>
      <c r="R4634" s="18"/>
      <c r="S4634" s="18"/>
      <c r="T4634" s="18"/>
      <c r="U4634" s="18"/>
      <c r="V4634" s="18"/>
      <c r="W4634" s="18"/>
      <c r="X4634" s="18"/>
    </row>
    <row r="4635" spans="13:24">
      <c r="M4635" s="558">
        <f t="shared" si="221"/>
        <v>4633</v>
      </c>
      <c r="N4635" s="15">
        <f t="shared" si="219"/>
        <v>0.2333419299243536</v>
      </c>
      <c r="O4635" s="165">
        <f t="shared" si="220"/>
        <v>0.2333419299243536</v>
      </c>
      <c r="P4635" s="18"/>
      <c r="Q4635" s="18"/>
      <c r="R4635" s="18"/>
      <c r="S4635" s="18"/>
      <c r="T4635" s="18"/>
      <c r="U4635" s="18"/>
      <c r="V4635" s="18"/>
      <c r="W4635" s="18"/>
      <c r="X4635" s="18"/>
    </row>
    <row r="4636" spans="13:24">
      <c r="M4636" s="558">
        <f t="shared" si="221"/>
        <v>4634</v>
      </c>
      <c r="N4636" s="15">
        <f t="shared" si="219"/>
        <v>0.23328888034472345</v>
      </c>
      <c r="O4636" s="165">
        <f t="shared" si="220"/>
        <v>0.23328888034472345</v>
      </c>
      <c r="P4636" s="18"/>
      <c r="Q4636" s="18"/>
      <c r="R4636" s="18"/>
      <c r="S4636" s="18"/>
      <c r="T4636" s="18"/>
      <c r="U4636" s="18"/>
      <c r="V4636" s="18"/>
      <c r="W4636" s="18"/>
      <c r="X4636" s="18"/>
    </row>
    <row r="4637" spans="13:24">
      <c r="M4637" s="558">
        <f t="shared" si="221"/>
        <v>4635</v>
      </c>
      <c r="N4637" s="15">
        <f t="shared" si="219"/>
        <v>0.23323583287300273</v>
      </c>
      <c r="O4637" s="165">
        <f t="shared" si="220"/>
        <v>0.23323583287300273</v>
      </c>
      <c r="P4637" s="18"/>
      <c r="Q4637" s="18"/>
      <c r="R4637" s="18"/>
      <c r="S4637" s="18"/>
      <c r="T4637" s="18"/>
      <c r="U4637" s="18"/>
      <c r="V4637" s="18"/>
      <c r="W4637" s="18"/>
      <c r="X4637" s="18"/>
    </row>
    <row r="4638" spans="13:24">
      <c r="M4638" s="558">
        <f t="shared" si="221"/>
        <v>4636</v>
      </c>
      <c r="N4638" s="15">
        <f t="shared" si="219"/>
        <v>0.23318278750654625</v>
      </c>
      <c r="O4638" s="165">
        <f t="shared" si="220"/>
        <v>0.23318278750654625</v>
      </c>
      <c r="P4638" s="18"/>
      <c r="Q4638" s="18"/>
      <c r="R4638" s="18"/>
      <c r="S4638" s="18"/>
      <c r="T4638" s="18"/>
      <c r="U4638" s="18"/>
      <c r="V4638" s="18"/>
      <c r="W4638" s="18"/>
      <c r="X4638" s="18"/>
    </row>
    <row r="4639" spans="13:24">
      <c r="M4639" s="558">
        <f t="shared" si="221"/>
        <v>4637</v>
      </c>
      <c r="N4639" s="15">
        <f t="shared" si="219"/>
        <v>0.23312974424271199</v>
      </c>
      <c r="O4639" s="165">
        <f t="shared" si="220"/>
        <v>0.23312974424271199</v>
      </c>
      <c r="P4639" s="18"/>
      <c r="Q4639" s="18"/>
      <c r="R4639" s="18"/>
      <c r="S4639" s="18"/>
      <c r="T4639" s="18"/>
      <c r="U4639" s="18"/>
      <c r="V4639" s="18"/>
      <c r="W4639" s="18"/>
      <c r="X4639" s="18"/>
    </row>
    <row r="4640" spans="13:24">
      <c r="M4640" s="558">
        <f t="shared" si="221"/>
        <v>4638</v>
      </c>
      <c r="N4640" s="15">
        <f t="shared" si="219"/>
        <v>0.23307670307886141</v>
      </c>
      <c r="O4640" s="165">
        <f t="shared" si="220"/>
        <v>0.23307670307886141</v>
      </c>
      <c r="P4640" s="18"/>
      <c r="Q4640" s="18"/>
      <c r="R4640" s="18"/>
      <c r="S4640" s="18"/>
      <c r="T4640" s="18"/>
      <c r="U4640" s="18"/>
      <c r="V4640" s="18"/>
      <c r="W4640" s="18"/>
      <c r="X4640" s="18"/>
    </row>
    <row r="4641" spans="13:24">
      <c r="M4641" s="558">
        <f t="shared" si="221"/>
        <v>4639</v>
      </c>
      <c r="N4641" s="15">
        <f t="shared" si="219"/>
        <v>0.23302366401235916</v>
      </c>
      <c r="O4641" s="165">
        <f t="shared" si="220"/>
        <v>0.23302366401235916</v>
      </c>
      <c r="P4641" s="18"/>
      <c r="Q4641" s="18"/>
      <c r="R4641" s="18"/>
      <c r="S4641" s="18"/>
      <c r="T4641" s="18"/>
      <c r="U4641" s="18"/>
      <c r="V4641" s="18"/>
      <c r="W4641" s="18"/>
      <c r="X4641" s="18"/>
    </row>
    <row r="4642" spans="13:24">
      <c r="M4642" s="558">
        <f t="shared" si="221"/>
        <v>4640</v>
      </c>
      <c r="N4642" s="15">
        <f t="shared" si="219"/>
        <v>0.23297062704057322</v>
      </c>
      <c r="O4642" s="165">
        <f t="shared" si="220"/>
        <v>0.23297062704057322</v>
      </c>
      <c r="P4642" s="18"/>
      <c r="Q4642" s="18"/>
      <c r="R4642" s="18"/>
      <c r="S4642" s="18"/>
      <c r="T4642" s="18"/>
      <c r="U4642" s="18"/>
      <c r="V4642" s="18"/>
      <c r="W4642" s="18"/>
      <c r="X4642" s="18"/>
    </row>
    <row r="4643" spans="13:24">
      <c r="M4643" s="558">
        <f t="shared" si="221"/>
        <v>4641</v>
      </c>
      <c r="N4643" s="15">
        <f t="shared" si="219"/>
        <v>0.2329175921608749</v>
      </c>
      <c r="O4643" s="165">
        <f t="shared" si="220"/>
        <v>0.2329175921608749</v>
      </c>
      <c r="P4643" s="18"/>
      <c r="Q4643" s="18"/>
      <c r="R4643" s="18"/>
      <c r="S4643" s="18"/>
      <c r="T4643" s="18"/>
      <c r="U4643" s="18"/>
      <c r="V4643" s="18"/>
      <c r="W4643" s="18"/>
      <c r="X4643" s="18"/>
    </row>
    <row r="4644" spans="13:24">
      <c r="M4644" s="558">
        <f t="shared" si="221"/>
        <v>4642</v>
      </c>
      <c r="N4644" s="15">
        <f t="shared" si="219"/>
        <v>0.23286455937063885</v>
      </c>
      <c r="O4644" s="165">
        <f t="shared" si="220"/>
        <v>0.23286455937063885</v>
      </c>
      <c r="P4644" s="18"/>
      <c r="Q4644" s="18"/>
      <c r="R4644" s="18"/>
      <c r="S4644" s="18"/>
      <c r="T4644" s="18"/>
      <c r="U4644" s="18"/>
      <c r="V4644" s="18"/>
      <c r="W4644" s="18"/>
      <c r="X4644" s="18"/>
    </row>
    <row r="4645" spans="13:24">
      <c r="M4645" s="558">
        <f t="shared" si="221"/>
        <v>4643</v>
      </c>
      <c r="N4645" s="15">
        <f t="shared" si="219"/>
        <v>0.23281152866724286</v>
      </c>
      <c r="O4645" s="165">
        <f t="shared" si="220"/>
        <v>0.23281152866724286</v>
      </c>
      <c r="P4645" s="18"/>
      <c r="Q4645" s="18"/>
      <c r="R4645" s="18"/>
      <c r="S4645" s="18"/>
      <c r="T4645" s="18"/>
      <c r="U4645" s="18"/>
      <c r="V4645" s="18"/>
      <c r="W4645" s="18"/>
      <c r="X4645" s="18"/>
    </row>
    <row r="4646" spans="13:24">
      <c r="M4646" s="558">
        <f t="shared" si="221"/>
        <v>4644</v>
      </c>
      <c r="N4646" s="15">
        <f t="shared" si="219"/>
        <v>0.23275850004806822</v>
      </c>
      <c r="O4646" s="165">
        <f t="shared" si="220"/>
        <v>0.23275850004806822</v>
      </c>
      <c r="P4646" s="18"/>
      <c r="Q4646" s="18"/>
      <c r="R4646" s="18"/>
      <c r="S4646" s="18"/>
      <c r="T4646" s="18"/>
      <c r="U4646" s="18"/>
      <c r="V4646" s="18"/>
      <c r="W4646" s="18"/>
      <c r="X4646" s="18"/>
    </row>
    <row r="4647" spans="13:24">
      <c r="M4647" s="558">
        <f t="shared" si="221"/>
        <v>4645</v>
      </c>
      <c r="N4647" s="15">
        <f t="shared" si="219"/>
        <v>0.23270547351049931</v>
      </c>
      <c r="O4647" s="165">
        <f t="shared" si="220"/>
        <v>0.23270547351049931</v>
      </c>
      <c r="P4647" s="18"/>
      <c r="Q4647" s="18"/>
      <c r="R4647" s="18"/>
      <c r="S4647" s="18"/>
      <c r="T4647" s="18"/>
      <c r="U4647" s="18"/>
      <c r="V4647" s="18"/>
      <c r="W4647" s="18"/>
      <c r="X4647" s="18"/>
    </row>
    <row r="4648" spans="13:24">
      <c r="M4648" s="558">
        <f t="shared" si="221"/>
        <v>4646</v>
      </c>
      <c r="N4648" s="15">
        <f t="shared" si="219"/>
        <v>0.23265244905192395</v>
      </c>
      <c r="O4648" s="165">
        <f t="shared" si="220"/>
        <v>0.23265244905192395</v>
      </c>
      <c r="P4648" s="18"/>
      <c r="Q4648" s="18"/>
      <c r="R4648" s="18"/>
      <c r="S4648" s="18"/>
      <c r="T4648" s="18"/>
      <c r="U4648" s="18"/>
      <c r="V4648" s="18"/>
      <c r="W4648" s="18"/>
      <c r="X4648" s="18"/>
    </row>
    <row r="4649" spans="13:24">
      <c r="M4649" s="558">
        <f t="shared" si="221"/>
        <v>4647</v>
      </c>
      <c r="N4649" s="15">
        <f t="shared" si="219"/>
        <v>0.2325994266697331</v>
      </c>
      <c r="O4649" s="165">
        <f t="shared" si="220"/>
        <v>0.2325994266697331</v>
      </c>
      <c r="P4649" s="18"/>
      <c r="Q4649" s="18"/>
      <c r="R4649" s="18"/>
      <c r="S4649" s="18"/>
      <c r="T4649" s="18"/>
      <c r="U4649" s="18"/>
      <c r="V4649" s="18"/>
      <c r="W4649" s="18"/>
      <c r="X4649" s="18"/>
    </row>
    <row r="4650" spans="13:24">
      <c r="M4650" s="558">
        <f t="shared" si="221"/>
        <v>4648</v>
      </c>
      <c r="N4650" s="15">
        <f t="shared" si="219"/>
        <v>0.23254640636132115</v>
      </c>
      <c r="O4650" s="165">
        <f t="shared" si="220"/>
        <v>0.23254640636132115</v>
      </c>
      <c r="P4650" s="18"/>
      <c r="Q4650" s="18"/>
      <c r="R4650" s="18"/>
      <c r="S4650" s="18"/>
      <c r="T4650" s="18"/>
      <c r="U4650" s="18"/>
      <c r="V4650" s="18"/>
      <c r="W4650" s="18"/>
      <c r="X4650" s="18"/>
    </row>
    <row r="4651" spans="13:24">
      <c r="M4651" s="558">
        <f t="shared" si="221"/>
        <v>4649</v>
      </c>
      <c r="N4651" s="15">
        <f t="shared" si="219"/>
        <v>0.2324933881240856</v>
      </c>
      <c r="O4651" s="165">
        <f t="shared" si="220"/>
        <v>0.2324933881240856</v>
      </c>
      <c r="P4651" s="18"/>
      <c r="Q4651" s="18"/>
      <c r="R4651" s="18"/>
      <c r="S4651" s="18"/>
      <c r="T4651" s="18"/>
      <c r="U4651" s="18"/>
      <c r="V4651" s="18"/>
      <c r="W4651" s="18"/>
      <c r="X4651" s="18"/>
    </row>
    <row r="4652" spans="13:24">
      <c r="M4652" s="558">
        <f t="shared" si="221"/>
        <v>4650</v>
      </c>
      <c r="N4652" s="15">
        <f t="shared" si="219"/>
        <v>0.23244037195542733</v>
      </c>
      <c r="O4652" s="165">
        <f t="shared" si="220"/>
        <v>0.23244037195542733</v>
      </c>
      <c r="P4652" s="18"/>
      <c r="Q4652" s="18"/>
      <c r="R4652" s="18"/>
      <c r="S4652" s="18"/>
      <c r="T4652" s="18"/>
      <c r="U4652" s="18"/>
      <c r="V4652" s="18"/>
      <c r="W4652" s="18"/>
      <c r="X4652" s="18"/>
    </row>
    <row r="4653" spans="13:24">
      <c r="M4653" s="558">
        <f t="shared" si="221"/>
        <v>4651</v>
      </c>
      <c r="N4653" s="15">
        <f t="shared" si="219"/>
        <v>0.23238735785275044</v>
      </c>
      <c r="O4653" s="165">
        <f t="shared" si="220"/>
        <v>0.23238735785275044</v>
      </c>
      <c r="P4653" s="18"/>
      <c r="Q4653" s="18"/>
      <c r="R4653" s="18"/>
      <c r="S4653" s="18"/>
      <c r="T4653" s="18"/>
      <c r="U4653" s="18"/>
      <c r="V4653" s="18"/>
      <c r="W4653" s="18"/>
      <c r="X4653" s="18"/>
    </row>
    <row r="4654" spans="13:24">
      <c r="M4654" s="558">
        <f t="shared" si="221"/>
        <v>4652</v>
      </c>
      <c r="N4654" s="15">
        <f t="shared" si="219"/>
        <v>0.23233434581346227</v>
      </c>
      <c r="O4654" s="165">
        <f t="shared" si="220"/>
        <v>0.23233434581346227</v>
      </c>
      <c r="P4654" s="18"/>
      <c r="Q4654" s="18"/>
      <c r="R4654" s="18"/>
      <c r="S4654" s="18"/>
      <c r="T4654" s="18"/>
      <c r="U4654" s="18"/>
      <c r="V4654" s="18"/>
      <c r="W4654" s="18"/>
      <c r="X4654" s="18"/>
    </row>
    <row r="4655" spans="13:24">
      <c r="M4655" s="558">
        <f t="shared" si="221"/>
        <v>4653</v>
      </c>
      <c r="N4655" s="15">
        <f t="shared" si="219"/>
        <v>0.23228133583497346</v>
      </c>
      <c r="O4655" s="165">
        <f t="shared" si="220"/>
        <v>0.23228133583497346</v>
      </c>
      <c r="P4655" s="18"/>
      <c r="Q4655" s="18"/>
      <c r="R4655" s="18"/>
      <c r="S4655" s="18"/>
      <c r="T4655" s="18"/>
      <c r="U4655" s="18"/>
      <c r="V4655" s="18"/>
      <c r="W4655" s="18"/>
      <c r="X4655" s="18"/>
    </row>
    <row r="4656" spans="13:24">
      <c r="M4656" s="558">
        <f t="shared" si="221"/>
        <v>4654</v>
      </c>
      <c r="N4656" s="15">
        <f t="shared" si="219"/>
        <v>0.23222832791469783</v>
      </c>
      <c r="O4656" s="165">
        <f t="shared" si="220"/>
        <v>0.23222832791469783</v>
      </c>
      <c r="P4656" s="18"/>
      <c r="Q4656" s="18"/>
      <c r="R4656" s="18"/>
      <c r="S4656" s="18"/>
      <c r="T4656" s="18"/>
      <c r="U4656" s="18"/>
      <c r="V4656" s="18"/>
      <c r="W4656" s="18"/>
      <c r="X4656" s="18"/>
    </row>
    <row r="4657" spans="13:24">
      <c r="M4657" s="558">
        <f t="shared" si="221"/>
        <v>4655</v>
      </c>
      <c r="N4657" s="15">
        <f t="shared" si="219"/>
        <v>0.23217532205005253</v>
      </c>
      <c r="O4657" s="165">
        <f t="shared" si="220"/>
        <v>0.23217532205005253</v>
      </c>
      <c r="P4657" s="18"/>
      <c r="Q4657" s="18"/>
      <c r="R4657" s="18"/>
      <c r="S4657" s="18"/>
      <c r="T4657" s="18"/>
      <c r="U4657" s="18"/>
      <c r="V4657" s="18"/>
      <c r="W4657" s="18"/>
      <c r="X4657" s="18"/>
    </row>
    <row r="4658" spans="13:24">
      <c r="M4658" s="558">
        <f t="shared" si="221"/>
        <v>4656</v>
      </c>
      <c r="N4658" s="15">
        <f t="shared" si="219"/>
        <v>0.23212231823845789</v>
      </c>
      <c r="O4658" s="165">
        <f t="shared" si="220"/>
        <v>0.23212231823845789</v>
      </c>
      <c r="P4658" s="18"/>
      <c r="Q4658" s="18"/>
      <c r="R4658" s="18"/>
      <c r="S4658" s="18"/>
      <c r="T4658" s="18"/>
      <c r="U4658" s="18"/>
      <c r="V4658" s="18"/>
      <c r="W4658" s="18"/>
      <c r="X4658" s="18"/>
    </row>
    <row r="4659" spans="13:24">
      <c r="M4659" s="558">
        <f t="shared" si="221"/>
        <v>4657</v>
      </c>
      <c r="N4659" s="15">
        <f t="shared" si="219"/>
        <v>0.2320693164773375</v>
      </c>
      <c r="O4659" s="165">
        <f t="shared" si="220"/>
        <v>0.2320693164773375</v>
      </c>
      <c r="P4659" s="18"/>
      <c r="Q4659" s="18"/>
      <c r="R4659" s="18"/>
      <c r="S4659" s="18"/>
      <c r="T4659" s="18"/>
      <c r="U4659" s="18"/>
      <c r="V4659" s="18"/>
      <c r="W4659" s="18"/>
      <c r="X4659" s="18"/>
    </row>
    <row r="4660" spans="13:24">
      <c r="M4660" s="558">
        <f t="shared" si="221"/>
        <v>4658</v>
      </c>
      <c r="N4660" s="15">
        <f t="shared" si="219"/>
        <v>0.23201631676411819</v>
      </c>
      <c r="O4660" s="165">
        <f t="shared" si="220"/>
        <v>0.23201631676411819</v>
      </c>
      <c r="P4660" s="18"/>
      <c r="Q4660" s="18"/>
      <c r="R4660" s="18"/>
      <c r="S4660" s="18"/>
      <c r="T4660" s="18"/>
      <c r="U4660" s="18"/>
      <c r="V4660" s="18"/>
      <c r="W4660" s="18"/>
      <c r="X4660" s="18"/>
    </row>
    <row r="4661" spans="13:24">
      <c r="M4661" s="558">
        <f t="shared" si="221"/>
        <v>4659</v>
      </c>
      <c r="N4661" s="15">
        <f t="shared" si="219"/>
        <v>0.23196331909623</v>
      </c>
      <c r="O4661" s="165">
        <f t="shared" si="220"/>
        <v>0.23196331909623</v>
      </c>
      <c r="P4661" s="18"/>
      <c r="Q4661" s="18"/>
      <c r="R4661" s="18"/>
      <c r="S4661" s="18"/>
      <c r="T4661" s="18"/>
      <c r="U4661" s="18"/>
      <c r="V4661" s="18"/>
      <c r="W4661" s="18"/>
      <c r="X4661" s="18"/>
    </row>
    <row r="4662" spans="13:24">
      <c r="M4662" s="558">
        <f t="shared" si="221"/>
        <v>4660</v>
      </c>
      <c r="N4662" s="15">
        <f t="shared" si="219"/>
        <v>0.23191032347110616</v>
      </c>
      <c r="O4662" s="165">
        <f t="shared" si="220"/>
        <v>0.23191032347110616</v>
      </c>
      <c r="P4662" s="18"/>
      <c r="Q4662" s="18"/>
      <c r="R4662" s="18"/>
      <c r="S4662" s="18"/>
      <c r="T4662" s="18"/>
      <c r="U4662" s="18"/>
      <c r="V4662" s="18"/>
      <c r="W4662" s="18"/>
      <c r="X4662" s="18"/>
    </row>
    <row r="4663" spans="13:24">
      <c r="M4663" s="558">
        <f t="shared" si="221"/>
        <v>4661</v>
      </c>
      <c r="N4663" s="15">
        <f t="shared" si="219"/>
        <v>0.23185732988618324</v>
      </c>
      <c r="O4663" s="165">
        <f t="shared" si="220"/>
        <v>0.23185732988618324</v>
      </c>
      <c r="P4663" s="18"/>
      <c r="Q4663" s="18"/>
      <c r="R4663" s="18"/>
      <c r="S4663" s="18"/>
      <c r="T4663" s="18"/>
      <c r="U4663" s="18"/>
      <c r="V4663" s="18"/>
      <c r="W4663" s="18"/>
      <c r="X4663" s="18"/>
    </row>
    <row r="4664" spans="13:24">
      <c r="M4664" s="558">
        <f t="shared" si="221"/>
        <v>4662</v>
      </c>
      <c r="N4664" s="15">
        <f t="shared" si="219"/>
        <v>0.23180433833890091</v>
      </c>
      <c r="O4664" s="165">
        <f t="shared" si="220"/>
        <v>0.23180433833890091</v>
      </c>
      <c r="P4664" s="18"/>
      <c r="Q4664" s="18"/>
      <c r="R4664" s="18"/>
      <c r="S4664" s="18"/>
      <c r="T4664" s="18"/>
      <c r="U4664" s="18"/>
      <c r="V4664" s="18"/>
      <c r="W4664" s="18"/>
      <c r="X4664" s="18"/>
    </row>
    <row r="4665" spans="13:24">
      <c r="M4665" s="558">
        <f t="shared" si="221"/>
        <v>4663</v>
      </c>
      <c r="N4665" s="15">
        <f t="shared" si="219"/>
        <v>0.23175134882670212</v>
      </c>
      <c r="O4665" s="165">
        <f t="shared" si="220"/>
        <v>0.23175134882670212</v>
      </c>
      <c r="P4665" s="18"/>
      <c r="Q4665" s="18"/>
      <c r="R4665" s="18"/>
      <c r="S4665" s="18"/>
      <c r="T4665" s="18"/>
      <c r="U4665" s="18"/>
      <c r="V4665" s="18"/>
      <c r="W4665" s="18"/>
      <c r="X4665" s="18"/>
    </row>
    <row r="4666" spans="13:24">
      <c r="M4666" s="558">
        <f t="shared" si="221"/>
        <v>4664</v>
      </c>
      <c r="N4666" s="15">
        <f t="shared" si="219"/>
        <v>0.23169836134703295</v>
      </c>
      <c r="O4666" s="165">
        <f t="shared" si="220"/>
        <v>0.23169836134703295</v>
      </c>
      <c r="P4666" s="18"/>
      <c r="Q4666" s="18"/>
      <c r="R4666" s="18"/>
      <c r="S4666" s="18"/>
      <c r="T4666" s="18"/>
      <c r="U4666" s="18"/>
      <c r="V4666" s="18"/>
      <c r="W4666" s="18"/>
      <c r="X4666" s="18"/>
    </row>
    <row r="4667" spans="13:24">
      <c r="M4667" s="558">
        <f t="shared" si="221"/>
        <v>4665</v>
      </c>
      <c r="N4667" s="15">
        <f t="shared" si="219"/>
        <v>0.23164537589734277</v>
      </c>
      <c r="O4667" s="165">
        <f t="shared" si="220"/>
        <v>0.23164537589734277</v>
      </c>
      <c r="P4667" s="18"/>
      <c r="Q4667" s="18"/>
      <c r="R4667" s="18"/>
      <c r="S4667" s="18"/>
      <c r="T4667" s="18"/>
      <c r="U4667" s="18"/>
      <c r="V4667" s="18"/>
      <c r="W4667" s="18"/>
      <c r="X4667" s="18"/>
    </row>
    <row r="4668" spans="13:24">
      <c r="M4668" s="558">
        <f t="shared" si="221"/>
        <v>4666</v>
      </c>
      <c r="N4668" s="15">
        <f t="shared" si="219"/>
        <v>0.23159239247508415</v>
      </c>
      <c r="O4668" s="165">
        <f t="shared" si="220"/>
        <v>0.23159239247508415</v>
      </c>
      <c r="P4668" s="18"/>
      <c r="Q4668" s="18"/>
      <c r="R4668" s="18"/>
      <c r="S4668" s="18"/>
      <c r="T4668" s="18"/>
      <c r="U4668" s="18"/>
      <c r="V4668" s="18"/>
      <c r="W4668" s="18"/>
      <c r="X4668" s="18"/>
    </row>
    <row r="4669" spans="13:24">
      <c r="M4669" s="558">
        <f t="shared" si="221"/>
        <v>4667</v>
      </c>
      <c r="N4669" s="15">
        <f t="shared" si="219"/>
        <v>0.23153941107771278</v>
      </c>
      <c r="O4669" s="165">
        <f t="shared" si="220"/>
        <v>0.23153941107771278</v>
      </c>
      <c r="P4669" s="18"/>
      <c r="Q4669" s="18"/>
      <c r="R4669" s="18"/>
      <c r="S4669" s="18"/>
      <c r="T4669" s="18"/>
      <c r="U4669" s="18"/>
      <c r="V4669" s="18"/>
      <c r="W4669" s="18"/>
      <c r="X4669" s="18"/>
    </row>
    <row r="4670" spans="13:24">
      <c r="M4670" s="558">
        <f t="shared" si="221"/>
        <v>4668</v>
      </c>
      <c r="N4670" s="15">
        <f t="shared" si="219"/>
        <v>0.23148643170268765</v>
      </c>
      <c r="O4670" s="165">
        <f t="shared" si="220"/>
        <v>0.23148643170268765</v>
      </c>
      <c r="P4670" s="18"/>
      <c r="Q4670" s="18"/>
      <c r="R4670" s="18"/>
      <c r="S4670" s="18"/>
      <c r="T4670" s="18"/>
      <c r="U4670" s="18"/>
      <c r="V4670" s="18"/>
      <c r="W4670" s="18"/>
      <c r="X4670" s="18"/>
    </row>
    <row r="4671" spans="13:24">
      <c r="M4671" s="558">
        <f t="shared" si="221"/>
        <v>4669</v>
      </c>
      <c r="N4671" s="15">
        <f t="shared" si="219"/>
        <v>0.23143345434747079</v>
      </c>
      <c r="O4671" s="165">
        <f t="shared" si="220"/>
        <v>0.23143345434747079</v>
      </c>
      <c r="P4671" s="18"/>
      <c r="Q4671" s="18"/>
      <c r="R4671" s="18"/>
      <c r="S4671" s="18"/>
      <c r="T4671" s="18"/>
      <c r="U4671" s="18"/>
      <c r="V4671" s="18"/>
      <c r="W4671" s="18"/>
      <c r="X4671" s="18"/>
    </row>
    <row r="4672" spans="13:24">
      <c r="M4672" s="558">
        <f t="shared" si="221"/>
        <v>4670</v>
      </c>
      <c r="N4672" s="15">
        <f t="shared" si="219"/>
        <v>0.2313804790095276</v>
      </c>
      <c r="O4672" s="165">
        <f t="shared" si="220"/>
        <v>0.2313804790095276</v>
      </c>
      <c r="P4672" s="18"/>
      <c r="Q4672" s="18"/>
      <c r="R4672" s="18"/>
      <c r="S4672" s="18"/>
      <c r="T4672" s="18"/>
      <c r="U4672" s="18"/>
      <c r="V4672" s="18"/>
      <c r="W4672" s="18"/>
      <c r="X4672" s="18"/>
    </row>
    <row r="4673" spans="13:24">
      <c r="M4673" s="558">
        <f t="shared" si="221"/>
        <v>4671</v>
      </c>
      <c r="N4673" s="15">
        <f t="shared" si="219"/>
        <v>0.23132750568632646</v>
      </c>
      <c r="O4673" s="165">
        <f t="shared" si="220"/>
        <v>0.23132750568632646</v>
      </c>
      <c r="P4673" s="18"/>
      <c r="Q4673" s="18"/>
      <c r="R4673" s="18"/>
      <c r="S4673" s="18"/>
      <c r="T4673" s="18"/>
      <c r="U4673" s="18"/>
      <c r="V4673" s="18"/>
      <c r="W4673" s="18"/>
      <c r="X4673" s="18"/>
    </row>
    <row r="4674" spans="13:24">
      <c r="M4674" s="558">
        <f t="shared" si="221"/>
        <v>4672</v>
      </c>
      <c r="N4674" s="15">
        <f t="shared" si="219"/>
        <v>0.23127453437533912</v>
      </c>
      <c r="O4674" s="165">
        <f t="shared" si="220"/>
        <v>0.23127453437533912</v>
      </c>
      <c r="P4674" s="18"/>
      <c r="Q4674" s="18"/>
      <c r="R4674" s="18"/>
      <c r="S4674" s="18"/>
      <c r="T4674" s="18"/>
      <c r="U4674" s="18"/>
      <c r="V4674" s="18"/>
      <c r="W4674" s="18"/>
      <c r="X4674" s="18"/>
    </row>
    <row r="4675" spans="13:24">
      <c r="M4675" s="558">
        <f t="shared" si="221"/>
        <v>4673</v>
      </c>
      <c r="N4675" s="15">
        <f t="shared" si="219"/>
        <v>0.23122156507404035</v>
      </c>
      <c r="O4675" s="165">
        <f t="shared" si="220"/>
        <v>0.23122156507404035</v>
      </c>
      <c r="P4675" s="18"/>
      <c r="Q4675" s="18"/>
      <c r="R4675" s="18"/>
      <c r="S4675" s="18"/>
      <c r="T4675" s="18"/>
      <c r="U4675" s="18"/>
      <c r="V4675" s="18"/>
      <c r="W4675" s="18"/>
      <c r="X4675" s="18"/>
    </row>
    <row r="4676" spans="13:24">
      <c r="M4676" s="558">
        <f t="shared" si="221"/>
        <v>4674</v>
      </c>
      <c r="N4676" s="15">
        <f t="shared" ref="N4676:N4739" si="222">IF(M4676&lt;$B$31+1,$B$32+$B$33/$B$31*(8760-M4676)+$B$34*IF(M4676&lt;$B$36-$B$31/(2*$B$35),1,IF(M4676&lt;$B$36+$B$31/(2*$B$35),COS(PI()/2*(M4676-($B$36-$B$31/(2*$B$35)))*$B$35/$B$31)^2,0))+$B$37*EXP((8760-M4676)/8760*$B$38)/EXP($B$38)-(8760-$B$31)*$B$33/$B$31,0)</f>
        <v>0.23116859777990822</v>
      </c>
      <c r="O4676" s="165">
        <f t="shared" ref="O4676:O4739" si="223">MIN(N4676,C$24)</f>
        <v>0.23116859777990822</v>
      </c>
      <c r="P4676" s="18"/>
      <c r="Q4676" s="18"/>
      <c r="R4676" s="18"/>
      <c r="S4676" s="18"/>
      <c r="T4676" s="18"/>
      <c r="U4676" s="18"/>
      <c r="V4676" s="18"/>
      <c r="W4676" s="18"/>
      <c r="X4676" s="18"/>
    </row>
    <row r="4677" spans="13:24">
      <c r="M4677" s="558">
        <f t="shared" ref="M4677:M4740" si="224">M4676+1</f>
        <v>4675</v>
      </c>
      <c r="N4677" s="15">
        <f t="shared" si="222"/>
        <v>0.2311156324904238</v>
      </c>
      <c r="O4677" s="165">
        <f t="shared" si="223"/>
        <v>0.2311156324904238</v>
      </c>
      <c r="P4677" s="18"/>
      <c r="Q4677" s="18"/>
      <c r="R4677" s="18"/>
      <c r="S4677" s="18"/>
      <c r="T4677" s="18"/>
      <c r="U4677" s="18"/>
      <c r="V4677" s="18"/>
      <c r="W4677" s="18"/>
      <c r="X4677" s="18"/>
    </row>
    <row r="4678" spans="13:24">
      <c r="M4678" s="558">
        <f t="shared" si="224"/>
        <v>4676</v>
      </c>
      <c r="N4678" s="15">
        <f t="shared" si="222"/>
        <v>0.23106266920307153</v>
      </c>
      <c r="O4678" s="165">
        <f t="shared" si="223"/>
        <v>0.23106266920307153</v>
      </c>
      <c r="P4678" s="18"/>
      <c r="Q4678" s="18"/>
      <c r="R4678" s="18"/>
      <c r="S4678" s="18"/>
      <c r="T4678" s="18"/>
      <c r="U4678" s="18"/>
      <c r="V4678" s="18"/>
      <c r="W4678" s="18"/>
      <c r="X4678" s="18"/>
    </row>
    <row r="4679" spans="13:24">
      <c r="M4679" s="558">
        <f t="shared" si="224"/>
        <v>4677</v>
      </c>
      <c r="N4679" s="15">
        <f t="shared" si="222"/>
        <v>0.23100970791533879</v>
      </c>
      <c r="O4679" s="165">
        <f t="shared" si="223"/>
        <v>0.23100970791533879</v>
      </c>
      <c r="P4679" s="18"/>
      <c r="Q4679" s="18"/>
      <c r="R4679" s="18"/>
      <c r="S4679" s="18"/>
      <c r="T4679" s="18"/>
      <c r="U4679" s="18"/>
      <c r="V4679" s="18"/>
      <c r="W4679" s="18"/>
      <c r="X4679" s="18"/>
    </row>
    <row r="4680" spans="13:24">
      <c r="M4680" s="558">
        <f t="shared" si="224"/>
        <v>4678</v>
      </c>
      <c r="N4680" s="15">
        <f t="shared" si="222"/>
        <v>0.23095674862471632</v>
      </c>
      <c r="O4680" s="165">
        <f t="shared" si="223"/>
        <v>0.23095674862471632</v>
      </c>
      <c r="P4680" s="18"/>
      <c r="Q4680" s="18"/>
      <c r="R4680" s="18"/>
      <c r="S4680" s="18"/>
      <c r="T4680" s="18"/>
      <c r="U4680" s="18"/>
      <c r="V4680" s="18"/>
      <c r="W4680" s="18"/>
      <c r="X4680" s="18"/>
    </row>
    <row r="4681" spans="13:24">
      <c r="M4681" s="558">
        <f t="shared" si="224"/>
        <v>4679</v>
      </c>
      <c r="N4681" s="15">
        <f t="shared" si="222"/>
        <v>0.23090379132869782</v>
      </c>
      <c r="O4681" s="165">
        <f t="shared" si="223"/>
        <v>0.23090379132869782</v>
      </c>
      <c r="P4681" s="18"/>
      <c r="Q4681" s="18"/>
      <c r="R4681" s="18"/>
      <c r="S4681" s="18"/>
      <c r="T4681" s="18"/>
      <c r="U4681" s="18"/>
      <c r="V4681" s="18"/>
      <c r="W4681" s="18"/>
      <c r="X4681" s="18"/>
    </row>
    <row r="4682" spans="13:24">
      <c r="M4682" s="558">
        <f t="shared" si="224"/>
        <v>4680</v>
      </c>
      <c r="N4682" s="15">
        <f t="shared" si="222"/>
        <v>0.23085083602478024</v>
      </c>
      <c r="O4682" s="165">
        <f t="shared" si="223"/>
        <v>0.23085083602478024</v>
      </c>
      <c r="P4682" s="18"/>
      <c r="Q4682" s="18"/>
      <c r="R4682" s="18"/>
      <c r="S4682" s="18"/>
      <c r="T4682" s="18"/>
      <c r="U4682" s="18"/>
      <c r="V4682" s="18"/>
      <c r="W4682" s="18"/>
      <c r="X4682" s="18"/>
    </row>
    <row r="4683" spans="13:24">
      <c r="M4683" s="558">
        <f t="shared" si="224"/>
        <v>4681</v>
      </c>
      <c r="N4683" s="15">
        <f t="shared" si="222"/>
        <v>0.2307978827104637</v>
      </c>
      <c r="O4683" s="165">
        <f t="shared" si="223"/>
        <v>0.2307978827104637</v>
      </c>
      <c r="P4683" s="18"/>
      <c r="Q4683" s="18"/>
      <c r="R4683" s="18"/>
      <c r="S4683" s="18"/>
      <c r="T4683" s="18"/>
      <c r="U4683" s="18"/>
      <c r="V4683" s="18"/>
      <c r="W4683" s="18"/>
      <c r="X4683" s="18"/>
    </row>
    <row r="4684" spans="13:24">
      <c r="M4684" s="558">
        <f t="shared" si="224"/>
        <v>4682</v>
      </c>
      <c r="N4684" s="15">
        <f t="shared" si="222"/>
        <v>0.23074493138325136</v>
      </c>
      <c r="O4684" s="165">
        <f t="shared" si="223"/>
        <v>0.23074493138325136</v>
      </c>
      <c r="P4684" s="18"/>
      <c r="Q4684" s="18"/>
      <c r="R4684" s="18"/>
      <c r="S4684" s="18"/>
      <c r="T4684" s="18"/>
      <c r="U4684" s="18"/>
      <c r="V4684" s="18"/>
      <c r="W4684" s="18"/>
      <c r="X4684" s="18"/>
    </row>
    <row r="4685" spans="13:24">
      <c r="M4685" s="558">
        <f t="shared" si="224"/>
        <v>4683</v>
      </c>
      <c r="N4685" s="15">
        <f t="shared" si="222"/>
        <v>0.23069198204064961</v>
      </c>
      <c r="O4685" s="165">
        <f t="shared" si="223"/>
        <v>0.23069198204064961</v>
      </c>
      <c r="P4685" s="18"/>
      <c r="Q4685" s="18"/>
      <c r="R4685" s="18"/>
      <c r="S4685" s="18"/>
      <c r="T4685" s="18"/>
      <c r="U4685" s="18"/>
      <c r="V4685" s="18"/>
      <c r="W4685" s="18"/>
      <c r="X4685" s="18"/>
    </row>
    <row r="4686" spans="13:24">
      <c r="M4686" s="558">
        <f t="shared" si="224"/>
        <v>4684</v>
      </c>
      <c r="N4686" s="15">
        <f t="shared" si="222"/>
        <v>0.23063903468016786</v>
      </c>
      <c r="O4686" s="165">
        <f t="shared" si="223"/>
        <v>0.23063903468016786</v>
      </c>
      <c r="P4686" s="18"/>
      <c r="Q4686" s="18"/>
      <c r="R4686" s="18"/>
      <c r="S4686" s="18"/>
      <c r="T4686" s="18"/>
      <c r="U4686" s="18"/>
      <c r="V4686" s="18"/>
      <c r="W4686" s="18"/>
      <c r="X4686" s="18"/>
    </row>
    <row r="4687" spans="13:24">
      <c r="M4687" s="558">
        <f t="shared" si="224"/>
        <v>4685</v>
      </c>
      <c r="N4687" s="15">
        <f t="shared" si="222"/>
        <v>0.23058608929931879</v>
      </c>
      <c r="O4687" s="165">
        <f t="shared" si="223"/>
        <v>0.23058608929931879</v>
      </c>
      <c r="P4687" s="18"/>
      <c r="Q4687" s="18"/>
      <c r="R4687" s="18"/>
      <c r="S4687" s="18"/>
      <c r="T4687" s="18"/>
      <c r="U4687" s="18"/>
      <c r="V4687" s="18"/>
      <c r="W4687" s="18"/>
      <c r="X4687" s="18"/>
    </row>
    <row r="4688" spans="13:24">
      <c r="M4688" s="558">
        <f t="shared" si="224"/>
        <v>4686</v>
      </c>
      <c r="N4688" s="15">
        <f t="shared" si="222"/>
        <v>0.23053314589561805</v>
      </c>
      <c r="O4688" s="165">
        <f t="shared" si="223"/>
        <v>0.23053314589561805</v>
      </c>
      <c r="P4688" s="18"/>
      <c r="Q4688" s="18"/>
      <c r="R4688" s="18"/>
      <c r="S4688" s="18"/>
      <c r="T4688" s="18"/>
      <c r="U4688" s="18"/>
      <c r="V4688" s="18"/>
      <c r="W4688" s="18"/>
      <c r="X4688" s="18"/>
    </row>
    <row r="4689" spans="13:24">
      <c r="M4689" s="558">
        <f t="shared" si="224"/>
        <v>4687</v>
      </c>
      <c r="N4689" s="15">
        <f t="shared" si="222"/>
        <v>0.23048020446658452</v>
      </c>
      <c r="O4689" s="165">
        <f t="shared" si="223"/>
        <v>0.23048020446658452</v>
      </c>
      <c r="P4689" s="18"/>
      <c r="Q4689" s="18"/>
      <c r="R4689" s="18"/>
      <c r="S4689" s="18"/>
      <c r="T4689" s="18"/>
      <c r="U4689" s="18"/>
      <c r="V4689" s="18"/>
      <c r="W4689" s="18"/>
      <c r="X4689" s="18"/>
    </row>
    <row r="4690" spans="13:24">
      <c r="M4690" s="558">
        <f t="shared" si="224"/>
        <v>4688</v>
      </c>
      <c r="N4690" s="15">
        <f t="shared" si="222"/>
        <v>0.23042726500974012</v>
      </c>
      <c r="O4690" s="165">
        <f t="shared" si="223"/>
        <v>0.23042726500974012</v>
      </c>
      <c r="P4690" s="18"/>
      <c r="Q4690" s="18"/>
      <c r="R4690" s="18"/>
      <c r="S4690" s="18"/>
      <c r="T4690" s="18"/>
      <c r="U4690" s="18"/>
      <c r="V4690" s="18"/>
      <c r="W4690" s="18"/>
      <c r="X4690" s="18"/>
    </row>
    <row r="4691" spans="13:24">
      <c r="M4691" s="558">
        <f t="shared" si="224"/>
        <v>4689</v>
      </c>
      <c r="N4691" s="15">
        <f t="shared" si="222"/>
        <v>0.23037432752260995</v>
      </c>
      <c r="O4691" s="165">
        <f t="shared" si="223"/>
        <v>0.23037432752260995</v>
      </c>
      <c r="P4691" s="18"/>
      <c r="Q4691" s="18"/>
      <c r="R4691" s="18"/>
      <c r="S4691" s="18"/>
      <c r="T4691" s="18"/>
      <c r="U4691" s="18"/>
      <c r="V4691" s="18"/>
      <c r="W4691" s="18"/>
      <c r="X4691" s="18"/>
    </row>
    <row r="4692" spans="13:24">
      <c r="M4692" s="558">
        <f t="shared" si="224"/>
        <v>4690</v>
      </c>
      <c r="N4692" s="15">
        <f t="shared" si="222"/>
        <v>0.23032139200272209</v>
      </c>
      <c r="O4692" s="165">
        <f t="shared" si="223"/>
        <v>0.23032139200272209</v>
      </c>
      <c r="P4692" s="18"/>
      <c r="Q4692" s="18"/>
      <c r="R4692" s="18"/>
      <c r="S4692" s="18"/>
      <c r="T4692" s="18"/>
      <c r="U4692" s="18"/>
      <c r="V4692" s="18"/>
      <c r="W4692" s="18"/>
      <c r="X4692" s="18"/>
    </row>
    <row r="4693" spans="13:24">
      <c r="M4693" s="558">
        <f t="shared" si="224"/>
        <v>4691</v>
      </c>
      <c r="N4693" s="15">
        <f t="shared" si="222"/>
        <v>0.23026845844760793</v>
      </c>
      <c r="O4693" s="165">
        <f t="shared" si="223"/>
        <v>0.23026845844760793</v>
      </c>
      <c r="P4693" s="18"/>
      <c r="Q4693" s="18"/>
      <c r="R4693" s="18"/>
      <c r="S4693" s="18"/>
      <c r="T4693" s="18"/>
      <c r="U4693" s="18"/>
      <c r="V4693" s="18"/>
      <c r="W4693" s="18"/>
      <c r="X4693" s="18"/>
    </row>
    <row r="4694" spans="13:24">
      <c r="M4694" s="558">
        <f t="shared" si="224"/>
        <v>4692</v>
      </c>
      <c r="N4694" s="15">
        <f t="shared" si="222"/>
        <v>0.23021552685480176</v>
      </c>
      <c r="O4694" s="165">
        <f t="shared" si="223"/>
        <v>0.23021552685480176</v>
      </c>
      <c r="P4694" s="18"/>
      <c r="Q4694" s="18"/>
      <c r="R4694" s="18"/>
      <c r="S4694" s="18"/>
      <c r="T4694" s="18"/>
      <c r="U4694" s="18"/>
      <c r="V4694" s="18"/>
      <c r="W4694" s="18"/>
      <c r="X4694" s="18"/>
    </row>
    <row r="4695" spans="13:24">
      <c r="M4695" s="558">
        <f t="shared" si="224"/>
        <v>4693</v>
      </c>
      <c r="N4695" s="15">
        <f t="shared" si="222"/>
        <v>0.23016259722184107</v>
      </c>
      <c r="O4695" s="165">
        <f t="shared" si="223"/>
        <v>0.23016259722184107</v>
      </c>
      <c r="P4695" s="18"/>
      <c r="Q4695" s="18"/>
      <c r="R4695" s="18"/>
      <c r="S4695" s="18"/>
      <c r="T4695" s="18"/>
      <c r="U4695" s="18"/>
      <c r="V4695" s="18"/>
      <c r="W4695" s="18"/>
      <c r="X4695" s="18"/>
    </row>
    <row r="4696" spans="13:24">
      <c r="M4696" s="558">
        <f t="shared" si="224"/>
        <v>4694</v>
      </c>
      <c r="N4696" s="15">
        <f t="shared" si="222"/>
        <v>0.23010966954626638</v>
      </c>
      <c r="O4696" s="165">
        <f t="shared" si="223"/>
        <v>0.23010966954626638</v>
      </c>
      <c r="P4696" s="18"/>
      <c r="Q4696" s="18"/>
      <c r="R4696" s="18"/>
      <c r="S4696" s="18"/>
      <c r="T4696" s="18"/>
      <c r="U4696" s="18"/>
      <c r="V4696" s="18"/>
      <c r="W4696" s="18"/>
      <c r="X4696" s="18"/>
    </row>
    <row r="4697" spans="13:24">
      <c r="M4697" s="558">
        <f t="shared" si="224"/>
        <v>4695</v>
      </c>
      <c r="N4697" s="15">
        <f t="shared" si="222"/>
        <v>0.23005674382562136</v>
      </c>
      <c r="O4697" s="165">
        <f t="shared" si="223"/>
        <v>0.23005674382562136</v>
      </c>
      <c r="P4697" s="18"/>
      <c r="Q4697" s="18"/>
      <c r="R4697" s="18"/>
      <c r="S4697" s="18"/>
      <c r="T4697" s="18"/>
      <c r="U4697" s="18"/>
      <c r="V4697" s="18"/>
      <c r="W4697" s="18"/>
      <c r="X4697" s="18"/>
    </row>
    <row r="4698" spans="13:24">
      <c r="M4698" s="558">
        <f t="shared" si="224"/>
        <v>4696</v>
      </c>
      <c r="N4698" s="15">
        <f t="shared" si="222"/>
        <v>0.23000382005745271</v>
      </c>
      <c r="O4698" s="165">
        <f t="shared" si="223"/>
        <v>0.23000382005745271</v>
      </c>
      <c r="P4698" s="18"/>
      <c r="Q4698" s="18"/>
      <c r="R4698" s="18"/>
      <c r="S4698" s="18"/>
      <c r="T4698" s="18"/>
      <c r="U4698" s="18"/>
      <c r="V4698" s="18"/>
      <c r="W4698" s="18"/>
      <c r="X4698" s="18"/>
    </row>
    <row r="4699" spans="13:24">
      <c r="M4699" s="558">
        <f t="shared" si="224"/>
        <v>4697</v>
      </c>
      <c r="N4699" s="15">
        <f t="shared" si="222"/>
        <v>0.22995089823931025</v>
      </c>
      <c r="O4699" s="165">
        <f t="shared" si="223"/>
        <v>0.22995089823931025</v>
      </c>
      <c r="P4699" s="18"/>
      <c r="Q4699" s="18"/>
      <c r="R4699" s="18"/>
      <c r="S4699" s="18"/>
      <c r="T4699" s="18"/>
      <c r="U4699" s="18"/>
      <c r="V4699" s="18"/>
      <c r="W4699" s="18"/>
      <c r="X4699" s="18"/>
    </row>
    <row r="4700" spans="13:24">
      <c r="M4700" s="558">
        <f t="shared" si="224"/>
        <v>4698</v>
      </c>
      <c r="N4700" s="15">
        <f t="shared" si="222"/>
        <v>0.22989797836874684</v>
      </c>
      <c r="O4700" s="165">
        <f t="shared" si="223"/>
        <v>0.22989797836874684</v>
      </c>
      <c r="P4700" s="18"/>
      <c r="Q4700" s="18"/>
      <c r="R4700" s="18"/>
      <c r="S4700" s="18"/>
      <c r="T4700" s="18"/>
      <c r="U4700" s="18"/>
      <c r="V4700" s="18"/>
      <c r="W4700" s="18"/>
      <c r="X4700" s="18"/>
    </row>
    <row r="4701" spans="13:24">
      <c r="M4701" s="558">
        <f t="shared" si="224"/>
        <v>4699</v>
      </c>
      <c r="N4701" s="15">
        <f t="shared" si="222"/>
        <v>0.22984506044331843</v>
      </c>
      <c r="O4701" s="165">
        <f t="shared" si="223"/>
        <v>0.22984506044331843</v>
      </c>
      <c r="P4701" s="18"/>
      <c r="Q4701" s="18"/>
      <c r="R4701" s="18"/>
      <c r="S4701" s="18"/>
      <c r="T4701" s="18"/>
      <c r="U4701" s="18"/>
      <c r="V4701" s="18"/>
      <c r="W4701" s="18"/>
      <c r="X4701" s="18"/>
    </row>
    <row r="4702" spans="13:24">
      <c r="M4702" s="558">
        <f t="shared" si="224"/>
        <v>4700</v>
      </c>
      <c r="N4702" s="15">
        <f t="shared" si="222"/>
        <v>0.22979214446058402</v>
      </c>
      <c r="O4702" s="165">
        <f t="shared" si="223"/>
        <v>0.22979214446058402</v>
      </c>
      <c r="P4702" s="18"/>
      <c r="Q4702" s="18"/>
      <c r="R4702" s="18"/>
      <c r="S4702" s="18"/>
      <c r="T4702" s="18"/>
      <c r="U4702" s="18"/>
      <c r="V4702" s="18"/>
      <c r="W4702" s="18"/>
      <c r="X4702" s="18"/>
    </row>
    <row r="4703" spans="13:24">
      <c r="M4703" s="558">
        <f t="shared" si="224"/>
        <v>4701</v>
      </c>
      <c r="N4703" s="15">
        <f t="shared" si="222"/>
        <v>0.22973923041810568</v>
      </c>
      <c r="O4703" s="165">
        <f t="shared" si="223"/>
        <v>0.22973923041810568</v>
      </c>
      <c r="P4703" s="18"/>
      <c r="Q4703" s="18"/>
      <c r="R4703" s="18"/>
      <c r="S4703" s="18"/>
      <c r="T4703" s="18"/>
      <c r="U4703" s="18"/>
      <c r="V4703" s="18"/>
      <c r="W4703" s="18"/>
      <c r="X4703" s="18"/>
    </row>
    <row r="4704" spans="13:24">
      <c r="M4704" s="558">
        <f t="shared" si="224"/>
        <v>4702</v>
      </c>
      <c r="N4704" s="15">
        <f t="shared" si="222"/>
        <v>0.22968631831344857</v>
      </c>
      <c r="O4704" s="165">
        <f t="shared" si="223"/>
        <v>0.22968631831344857</v>
      </c>
      <c r="P4704" s="18"/>
      <c r="Q4704" s="18"/>
      <c r="R4704" s="18"/>
      <c r="S4704" s="18"/>
      <c r="T4704" s="18"/>
      <c r="U4704" s="18"/>
      <c r="V4704" s="18"/>
      <c r="W4704" s="18"/>
      <c r="X4704" s="18"/>
    </row>
    <row r="4705" spans="13:24">
      <c r="M4705" s="558">
        <f t="shared" si="224"/>
        <v>4703</v>
      </c>
      <c r="N4705" s="15">
        <f t="shared" si="222"/>
        <v>0.22963340814418087</v>
      </c>
      <c r="O4705" s="165">
        <f t="shared" si="223"/>
        <v>0.22963340814418087</v>
      </c>
      <c r="P4705" s="18"/>
      <c r="Q4705" s="18"/>
      <c r="R4705" s="18"/>
      <c r="S4705" s="18"/>
      <c r="T4705" s="18"/>
      <c r="U4705" s="18"/>
      <c r="V4705" s="18"/>
      <c r="W4705" s="18"/>
      <c r="X4705" s="18"/>
    </row>
    <row r="4706" spans="13:24">
      <c r="M4706" s="558">
        <f t="shared" si="224"/>
        <v>4704</v>
      </c>
      <c r="N4706" s="15">
        <f t="shared" si="222"/>
        <v>0.22958049990787383</v>
      </c>
      <c r="O4706" s="165">
        <f t="shared" si="223"/>
        <v>0.22958049990787383</v>
      </c>
      <c r="P4706" s="18"/>
      <c r="Q4706" s="18"/>
      <c r="R4706" s="18"/>
      <c r="S4706" s="18"/>
      <c r="T4706" s="18"/>
      <c r="U4706" s="18"/>
      <c r="V4706" s="18"/>
      <c r="W4706" s="18"/>
      <c r="X4706" s="18"/>
    </row>
    <row r="4707" spans="13:24">
      <c r="M4707" s="558">
        <f t="shared" si="224"/>
        <v>4705</v>
      </c>
      <c r="N4707" s="15">
        <f t="shared" si="222"/>
        <v>0.2295275936021017</v>
      </c>
      <c r="O4707" s="165">
        <f t="shared" si="223"/>
        <v>0.2295275936021017</v>
      </c>
      <c r="P4707" s="18"/>
      <c r="Q4707" s="18"/>
      <c r="R4707" s="18"/>
      <c r="S4707" s="18"/>
      <c r="T4707" s="18"/>
      <c r="U4707" s="18"/>
      <c r="V4707" s="18"/>
      <c r="W4707" s="18"/>
      <c r="X4707" s="18"/>
    </row>
    <row r="4708" spans="13:24">
      <c r="M4708" s="558">
        <f t="shared" si="224"/>
        <v>4706</v>
      </c>
      <c r="N4708" s="15">
        <f t="shared" si="222"/>
        <v>0.22947468922444189</v>
      </c>
      <c r="O4708" s="165">
        <f t="shared" si="223"/>
        <v>0.22947468922444189</v>
      </c>
      <c r="P4708" s="18"/>
      <c r="Q4708" s="18"/>
      <c r="R4708" s="18"/>
      <c r="S4708" s="18"/>
      <c r="T4708" s="18"/>
      <c r="U4708" s="18"/>
      <c r="V4708" s="18"/>
      <c r="W4708" s="18"/>
      <c r="X4708" s="18"/>
    </row>
    <row r="4709" spans="13:24">
      <c r="M4709" s="558">
        <f t="shared" si="224"/>
        <v>4707</v>
      </c>
      <c r="N4709" s="15">
        <f t="shared" si="222"/>
        <v>0.22942178677247468</v>
      </c>
      <c r="O4709" s="165">
        <f t="shared" si="223"/>
        <v>0.22942178677247468</v>
      </c>
      <c r="P4709" s="18"/>
      <c r="Q4709" s="18"/>
      <c r="R4709" s="18"/>
      <c r="S4709" s="18"/>
      <c r="T4709" s="18"/>
      <c r="U4709" s="18"/>
      <c r="V4709" s="18"/>
      <c r="W4709" s="18"/>
      <c r="X4709" s="18"/>
    </row>
    <row r="4710" spans="13:24">
      <c r="M4710" s="558">
        <f t="shared" si="224"/>
        <v>4708</v>
      </c>
      <c r="N4710" s="15">
        <f t="shared" si="222"/>
        <v>0.22936888624378354</v>
      </c>
      <c r="O4710" s="165">
        <f t="shared" si="223"/>
        <v>0.22936888624378354</v>
      </c>
      <c r="P4710" s="18"/>
      <c r="Q4710" s="18"/>
      <c r="R4710" s="18"/>
      <c r="S4710" s="18"/>
      <c r="T4710" s="18"/>
      <c r="U4710" s="18"/>
      <c r="V4710" s="18"/>
      <c r="W4710" s="18"/>
      <c r="X4710" s="18"/>
    </row>
    <row r="4711" spans="13:24">
      <c r="M4711" s="558">
        <f t="shared" si="224"/>
        <v>4709</v>
      </c>
      <c r="N4711" s="15">
        <f t="shared" si="222"/>
        <v>0.2293159876359549</v>
      </c>
      <c r="O4711" s="165">
        <f t="shared" si="223"/>
        <v>0.2293159876359549</v>
      </c>
      <c r="P4711" s="18"/>
      <c r="Q4711" s="18"/>
      <c r="R4711" s="18"/>
      <c r="S4711" s="18"/>
      <c r="T4711" s="18"/>
      <c r="U4711" s="18"/>
      <c r="V4711" s="18"/>
      <c r="W4711" s="18"/>
      <c r="X4711" s="18"/>
    </row>
    <row r="4712" spans="13:24">
      <c r="M4712" s="558">
        <f t="shared" si="224"/>
        <v>4710</v>
      </c>
      <c r="N4712" s="15">
        <f t="shared" si="222"/>
        <v>0.22926309094657821</v>
      </c>
      <c r="O4712" s="165">
        <f t="shared" si="223"/>
        <v>0.22926309094657821</v>
      </c>
      <c r="P4712" s="18"/>
      <c r="Q4712" s="18"/>
      <c r="R4712" s="18"/>
      <c r="S4712" s="18"/>
      <c r="T4712" s="18"/>
      <c r="U4712" s="18"/>
      <c r="V4712" s="18"/>
      <c r="W4712" s="18"/>
      <c r="X4712" s="18"/>
    </row>
    <row r="4713" spans="13:24">
      <c r="M4713" s="558">
        <f t="shared" si="224"/>
        <v>4711</v>
      </c>
      <c r="N4713" s="15">
        <f t="shared" si="222"/>
        <v>0.22921019617324603</v>
      </c>
      <c r="O4713" s="165">
        <f t="shared" si="223"/>
        <v>0.22921019617324603</v>
      </c>
      <c r="P4713" s="18"/>
      <c r="Q4713" s="18"/>
      <c r="R4713" s="18"/>
      <c r="S4713" s="18"/>
      <c r="T4713" s="18"/>
      <c r="U4713" s="18"/>
      <c r="V4713" s="18"/>
      <c r="W4713" s="18"/>
      <c r="X4713" s="18"/>
    </row>
    <row r="4714" spans="13:24">
      <c r="M4714" s="558">
        <f t="shared" si="224"/>
        <v>4712</v>
      </c>
      <c r="N4714" s="15">
        <f t="shared" si="222"/>
        <v>0.2291573033135538</v>
      </c>
      <c r="O4714" s="165">
        <f t="shared" si="223"/>
        <v>0.2291573033135538</v>
      </c>
      <c r="P4714" s="18"/>
      <c r="Q4714" s="18"/>
      <c r="R4714" s="18"/>
      <c r="S4714" s="18"/>
      <c r="T4714" s="18"/>
      <c r="U4714" s="18"/>
      <c r="V4714" s="18"/>
      <c r="W4714" s="18"/>
      <c r="X4714" s="18"/>
    </row>
    <row r="4715" spans="13:24">
      <c r="M4715" s="558">
        <f t="shared" si="224"/>
        <v>4713</v>
      </c>
      <c r="N4715" s="15">
        <f t="shared" si="222"/>
        <v>0.22910441236510012</v>
      </c>
      <c r="O4715" s="165">
        <f t="shared" si="223"/>
        <v>0.22910441236510012</v>
      </c>
      <c r="P4715" s="18"/>
      <c r="Q4715" s="18"/>
      <c r="R4715" s="18"/>
      <c r="S4715" s="18"/>
      <c r="T4715" s="18"/>
      <c r="U4715" s="18"/>
      <c r="V4715" s="18"/>
      <c r="W4715" s="18"/>
      <c r="X4715" s="18"/>
    </row>
    <row r="4716" spans="13:24">
      <c r="M4716" s="558">
        <f t="shared" si="224"/>
        <v>4714</v>
      </c>
      <c r="N4716" s="15">
        <f t="shared" si="222"/>
        <v>0.22905152332548651</v>
      </c>
      <c r="O4716" s="165">
        <f t="shared" si="223"/>
        <v>0.22905152332548651</v>
      </c>
      <c r="P4716" s="18"/>
      <c r="Q4716" s="18"/>
      <c r="R4716" s="18"/>
      <c r="S4716" s="18"/>
      <c r="T4716" s="18"/>
      <c r="U4716" s="18"/>
      <c r="V4716" s="18"/>
      <c r="W4716" s="18"/>
      <c r="X4716" s="18"/>
    </row>
    <row r="4717" spans="13:24">
      <c r="M4717" s="558">
        <f t="shared" si="224"/>
        <v>4715</v>
      </c>
      <c r="N4717" s="15">
        <f t="shared" si="222"/>
        <v>0.22899863619231753</v>
      </c>
      <c r="O4717" s="165">
        <f t="shared" si="223"/>
        <v>0.22899863619231753</v>
      </c>
      <c r="P4717" s="18"/>
      <c r="Q4717" s="18"/>
      <c r="R4717" s="18"/>
      <c r="S4717" s="18"/>
      <c r="T4717" s="18"/>
      <c r="U4717" s="18"/>
      <c r="V4717" s="18"/>
      <c r="W4717" s="18"/>
      <c r="X4717" s="18"/>
    </row>
    <row r="4718" spans="13:24">
      <c r="M4718" s="558">
        <f t="shared" si="224"/>
        <v>4716</v>
      </c>
      <c r="N4718" s="15">
        <f t="shared" si="222"/>
        <v>0.22894575096320072</v>
      </c>
      <c r="O4718" s="165">
        <f t="shared" si="223"/>
        <v>0.22894575096320072</v>
      </c>
      <c r="P4718" s="18"/>
      <c r="Q4718" s="18"/>
      <c r="R4718" s="18"/>
      <c r="S4718" s="18"/>
      <c r="T4718" s="18"/>
      <c r="U4718" s="18"/>
      <c r="V4718" s="18"/>
      <c r="W4718" s="18"/>
      <c r="X4718" s="18"/>
    </row>
    <row r="4719" spans="13:24">
      <c r="M4719" s="558">
        <f t="shared" si="224"/>
        <v>4717</v>
      </c>
      <c r="N4719" s="15">
        <f t="shared" si="222"/>
        <v>0.22889286763574671</v>
      </c>
      <c r="O4719" s="165">
        <f t="shared" si="223"/>
        <v>0.22889286763574671</v>
      </c>
      <c r="P4719" s="18"/>
      <c r="Q4719" s="18"/>
      <c r="R4719" s="18"/>
      <c r="S4719" s="18"/>
      <c r="T4719" s="18"/>
      <c r="U4719" s="18"/>
      <c r="V4719" s="18"/>
      <c r="W4719" s="18"/>
      <c r="X4719" s="18"/>
    </row>
    <row r="4720" spans="13:24">
      <c r="M4720" s="558">
        <f t="shared" si="224"/>
        <v>4718</v>
      </c>
      <c r="N4720" s="15">
        <f t="shared" si="222"/>
        <v>0.22883998620756899</v>
      </c>
      <c r="O4720" s="165">
        <f t="shared" si="223"/>
        <v>0.22883998620756899</v>
      </c>
      <c r="P4720" s="18"/>
      <c r="Q4720" s="18"/>
      <c r="R4720" s="18"/>
      <c r="S4720" s="18"/>
      <c r="T4720" s="18"/>
      <c r="U4720" s="18"/>
      <c r="V4720" s="18"/>
      <c r="W4720" s="18"/>
      <c r="X4720" s="18"/>
    </row>
    <row r="4721" spans="13:24">
      <c r="M4721" s="558">
        <f t="shared" si="224"/>
        <v>4719</v>
      </c>
      <c r="N4721" s="15">
        <f t="shared" si="222"/>
        <v>0.22878710667628419</v>
      </c>
      <c r="O4721" s="165">
        <f t="shared" si="223"/>
        <v>0.22878710667628419</v>
      </c>
      <c r="P4721" s="18"/>
      <c r="Q4721" s="18"/>
      <c r="R4721" s="18"/>
      <c r="S4721" s="18"/>
      <c r="T4721" s="18"/>
      <c r="U4721" s="18"/>
      <c r="V4721" s="18"/>
      <c r="W4721" s="18"/>
      <c r="X4721" s="18"/>
    </row>
    <row r="4722" spans="13:24">
      <c r="M4722" s="558">
        <f t="shared" si="224"/>
        <v>4720</v>
      </c>
      <c r="N4722" s="15">
        <f t="shared" si="222"/>
        <v>0.22873422903951179</v>
      </c>
      <c r="O4722" s="165">
        <f t="shared" si="223"/>
        <v>0.22873422903951179</v>
      </c>
      <c r="P4722" s="18"/>
      <c r="Q4722" s="18"/>
      <c r="R4722" s="18"/>
      <c r="S4722" s="18"/>
      <c r="T4722" s="18"/>
      <c r="U4722" s="18"/>
      <c r="V4722" s="18"/>
      <c r="W4722" s="18"/>
      <c r="X4722" s="18"/>
    </row>
    <row r="4723" spans="13:24">
      <c r="M4723" s="558">
        <f t="shared" si="224"/>
        <v>4721</v>
      </c>
      <c r="N4723" s="15">
        <f t="shared" si="222"/>
        <v>0.22868135329487441</v>
      </c>
      <c r="O4723" s="165">
        <f t="shared" si="223"/>
        <v>0.22868135329487441</v>
      </c>
      <c r="P4723" s="18"/>
      <c r="Q4723" s="18"/>
      <c r="R4723" s="18"/>
      <c r="S4723" s="18"/>
      <c r="T4723" s="18"/>
      <c r="U4723" s="18"/>
      <c r="V4723" s="18"/>
      <c r="W4723" s="18"/>
      <c r="X4723" s="18"/>
    </row>
    <row r="4724" spans="13:24">
      <c r="M4724" s="558">
        <f t="shared" si="224"/>
        <v>4722</v>
      </c>
      <c r="N4724" s="15">
        <f t="shared" si="222"/>
        <v>0.22862847943999751</v>
      </c>
      <c r="O4724" s="165">
        <f t="shared" si="223"/>
        <v>0.22862847943999751</v>
      </c>
      <c r="P4724" s="18"/>
      <c r="Q4724" s="18"/>
      <c r="R4724" s="18"/>
      <c r="S4724" s="18"/>
      <c r="T4724" s="18"/>
      <c r="U4724" s="18"/>
      <c r="V4724" s="18"/>
      <c r="W4724" s="18"/>
      <c r="X4724" s="18"/>
    </row>
    <row r="4725" spans="13:24">
      <c r="M4725" s="558">
        <f t="shared" si="224"/>
        <v>4723</v>
      </c>
      <c r="N4725" s="15">
        <f t="shared" si="222"/>
        <v>0.22857560747250966</v>
      </c>
      <c r="O4725" s="165">
        <f t="shared" si="223"/>
        <v>0.22857560747250966</v>
      </c>
      <c r="P4725" s="18"/>
      <c r="Q4725" s="18"/>
      <c r="R4725" s="18"/>
      <c r="S4725" s="18"/>
      <c r="T4725" s="18"/>
      <c r="U4725" s="18"/>
      <c r="V4725" s="18"/>
      <c r="W4725" s="18"/>
      <c r="X4725" s="18"/>
    </row>
    <row r="4726" spans="13:24">
      <c r="M4726" s="558">
        <f t="shared" si="224"/>
        <v>4724</v>
      </c>
      <c r="N4726" s="15">
        <f t="shared" si="222"/>
        <v>0.22852273739004222</v>
      </c>
      <c r="O4726" s="165">
        <f t="shared" si="223"/>
        <v>0.22852273739004222</v>
      </c>
      <c r="P4726" s="18"/>
      <c r="Q4726" s="18"/>
      <c r="R4726" s="18"/>
      <c r="S4726" s="18"/>
      <c r="T4726" s="18"/>
      <c r="U4726" s="18"/>
      <c r="V4726" s="18"/>
      <c r="W4726" s="18"/>
      <c r="X4726" s="18"/>
    </row>
    <row r="4727" spans="13:24">
      <c r="M4727" s="558">
        <f t="shared" si="224"/>
        <v>4725</v>
      </c>
      <c r="N4727" s="15">
        <f t="shared" si="222"/>
        <v>0.22846986919022977</v>
      </c>
      <c r="O4727" s="165">
        <f t="shared" si="223"/>
        <v>0.22846986919022977</v>
      </c>
      <c r="P4727" s="18"/>
      <c r="Q4727" s="18"/>
      <c r="R4727" s="18"/>
      <c r="S4727" s="18"/>
      <c r="T4727" s="18"/>
      <c r="U4727" s="18"/>
      <c r="V4727" s="18"/>
      <c r="W4727" s="18"/>
      <c r="X4727" s="18"/>
    </row>
    <row r="4728" spans="13:24">
      <c r="M4728" s="558">
        <f t="shared" si="224"/>
        <v>4726</v>
      </c>
      <c r="N4728" s="15">
        <f t="shared" si="222"/>
        <v>0.22841700287070965</v>
      </c>
      <c r="O4728" s="165">
        <f t="shared" si="223"/>
        <v>0.22841700287070965</v>
      </c>
      <c r="P4728" s="18"/>
      <c r="Q4728" s="18"/>
      <c r="R4728" s="18"/>
      <c r="S4728" s="18"/>
      <c r="T4728" s="18"/>
      <c r="U4728" s="18"/>
      <c r="V4728" s="18"/>
      <c r="W4728" s="18"/>
      <c r="X4728" s="18"/>
    </row>
    <row r="4729" spans="13:24">
      <c r="M4729" s="558">
        <f t="shared" si="224"/>
        <v>4727</v>
      </c>
      <c r="N4729" s="15">
        <f t="shared" si="222"/>
        <v>0.22836413842912226</v>
      </c>
      <c r="O4729" s="165">
        <f t="shared" si="223"/>
        <v>0.22836413842912226</v>
      </c>
      <c r="P4729" s="18"/>
      <c r="Q4729" s="18"/>
      <c r="R4729" s="18"/>
      <c r="S4729" s="18"/>
      <c r="T4729" s="18"/>
      <c r="U4729" s="18"/>
      <c r="V4729" s="18"/>
      <c r="W4729" s="18"/>
      <c r="X4729" s="18"/>
    </row>
    <row r="4730" spans="13:24">
      <c r="M4730" s="558">
        <f t="shared" si="224"/>
        <v>4728</v>
      </c>
      <c r="N4730" s="15">
        <f t="shared" si="222"/>
        <v>0.22831127586311098</v>
      </c>
      <c r="O4730" s="165">
        <f t="shared" si="223"/>
        <v>0.22831127586311098</v>
      </c>
      <c r="P4730" s="18"/>
      <c r="Q4730" s="18"/>
      <c r="R4730" s="18"/>
      <c r="S4730" s="18"/>
      <c r="T4730" s="18"/>
      <c r="U4730" s="18"/>
      <c r="V4730" s="18"/>
      <c r="W4730" s="18"/>
      <c r="X4730" s="18"/>
    </row>
    <row r="4731" spans="13:24">
      <c r="M4731" s="558">
        <f t="shared" si="224"/>
        <v>4729</v>
      </c>
      <c r="N4731" s="15">
        <f t="shared" si="222"/>
        <v>0.22825841517032205</v>
      </c>
      <c r="O4731" s="165">
        <f t="shared" si="223"/>
        <v>0.22825841517032205</v>
      </c>
      <c r="P4731" s="18"/>
      <c r="Q4731" s="18"/>
      <c r="R4731" s="18"/>
      <c r="S4731" s="18"/>
      <c r="T4731" s="18"/>
      <c r="U4731" s="18"/>
      <c r="V4731" s="18"/>
      <c r="W4731" s="18"/>
      <c r="X4731" s="18"/>
    </row>
    <row r="4732" spans="13:24">
      <c r="M4732" s="558">
        <f t="shared" si="224"/>
        <v>4730</v>
      </c>
      <c r="N4732" s="15">
        <f t="shared" si="222"/>
        <v>0.22820555634840481</v>
      </c>
      <c r="O4732" s="165">
        <f t="shared" si="223"/>
        <v>0.22820555634840481</v>
      </c>
      <c r="P4732" s="18"/>
      <c r="Q4732" s="18"/>
      <c r="R4732" s="18"/>
      <c r="S4732" s="18"/>
      <c r="T4732" s="18"/>
      <c r="U4732" s="18"/>
      <c r="V4732" s="18"/>
      <c r="W4732" s="18"/>
      <c r="X4732" s="18"/>
    </row>
    <row r="4733" spans="13:24">
      <c r="M4733" s="558">
        <f t="shared" si="224"/>
        <v>4731</v>
      </c>
      <c r="N4733" s="15">
        <f t="shared" si="222"/>
        <v>0.22815269939501137</v>
      </c>
      <c r="O4733" s="165">
        <f t="shared" si="223"/>
        <v>0.22815269939501137</v>
      </c>
      <c r="P4733" s="18"/>
      <c r="Q4733" s="18"/>
      <c r="R4733" s="18"/>
      <c r="S4733" s="18"/>
      <c r="T4733" s="18"/>
      <c r="U4733" s="18"/>
      <c r="V4733" s="18"/>
      <c r="W4733" s="18"/>
      <c r="X4733" s="18"/>
    </row>
    <row r="4734" spans="13:24">
      <c r="M4734" s="558">
        <f t="shared" si="224"/>
        <v>4732</v>
      </c>
      <c r="N4734" s="15">
        <f t="shared" si="222"/>
        <v>0.22809984430779695</v>
      </c>
      <c r="O4734" s="165">
        <f t="shared" si="223"/>
        <v>0.22809984430779695</v>
      </c>
      <c r="P4734" s="18"/>
      <c r="Q4734" s="18"/>
      <c r="R4734" s="18"/>
      <c r="S4734" s="18"/>
      <c r="T4734" s="18"/>
      <c r="U4734" s="18"/>
      <c r="V4734" s="18"/>
      <c r="W4734" s="18"/>
      <c r="X4734" s="18"/>
    </row>
    <row r="4735" spans="13:24">
      <c r="M4735" s="558">
        <f t="shared" si="224"/>
        <v>4733</v>
      </c>
      <c r="N4735" s="15">
        <f t="shared" si="222"/>
        <v>0.22804699108441961</v>
      </c>
      <c r="O4735" s="165">
        <f t="shared" si="223"/>
        <v>0.22804699108441961</v>
      </c>
      <c r="P4735" s="18"/>
      <c r="Q4735" s="18"/>
      <c r="R4735" s="18"/>
      <c r="S4735" s="18"/>
      <c r="T4735" s="18"/>
      <c r="U4735" s="18"/>
      <c r="V4735" s="18"/>
      <c r="W4735" s="18"/>
      <c r="X4735" s="18"/>
    </row>
    <row r="4736" spans="13:24">
      <c r="M4736" s="558">
        <f t="shared" si="224"/>
        <v>4734</v>
      </c>
      <c r="N4736" s="15">
        <f t="shared" si="222"/>
        <v>0.22799413972254046</v>
      </c>
      <c r="O4736" s="165">
        <f t="shared" si="223"/>
        <v>0.22799413972254046</v>
      </c>
      <c r="P4736" s="18"/>
      <c r="Q4736" s="18"/>
      <c r="R4736" s="18"/>
      <c r="S4736" s="18"/>
      <c r="T4736" s="18"/>
      <c r="U4736" s="18"/>
      <c r="V4736" s="18"/>
      <c r="W4736" s="18"/>
      <c r="X4736" s="18"/>
    </row>
    <row r="4737" spans="13:24">
      <c r="M4737" s="558">
        <f t="shared" si="224"/>
        <v>4735</v>
      </c>
      <c r="N4737" s="15">
        <f t="shared" si="222"/>
        <v>0.22794129021982334</v>
      </c>
      <c r="O4737" s="165">
        <f t="shared" si="223"/>
        <v>0.22794129021982334</v>
      </c>
      <c r="P4737" s="18"/>
      <c r="Q4737" s="18"/>
      <c r="R4737" s="18"/>
      <c r="S4737" s="18"/>
      <c r="T4737" s="18"/>
      <c r="U4737" s="18"/>
      <c r="V4737" s="18"/>
      <c r="W4737" s="18"/>
      <c r="X4737" s="18"/>
    </row>
    <row r="4738" spans="13:24">
      <c r="M4738" s="558">
        <f t="shared" si="224"/>
        <v>4736</v>
      </c>
      <c r="N4738" s="15">
        <f t="shared" si="222"/>
        <v>0.22788844257393526</v>
      </c>
      <c r="O4738" s="165">
        <f t="shared" si="223"/>
        <v>0.22788844257393526</v>
      </c>
      <c r="P4738" s="18"/>
      <c r="Q4738" s="18"/>
      <c r="R4738" s="18"/>
      <c r="S4738" s="18"/>
      <c r="T4738" s="18"/>
      <c r="U4738" s="18"/>
      <c r="V4738" s="18"/>
      <c r="W4738" s="18"/>
      <c r="X4738" s="18"/>
    </row>
    <row r="4739" spans="13:24">
      <c r="M4739" s="558">
        <f t="shared" si="224"/>
        <v>4737</v>
      </c>
      <c r="N4739" s="15">
        <f t="shared" si="222"/>
        <v>0.22783559678254597</v>
      </c>
      <c r="O4739" s="165">
        <f t="shared" si="223"/>
        <v>0.22783559678254597</v>
      </c>
      <c r="P4739" s="18"/>
      <c r="Q4739" s="18"/>
      <c r="R4739" s="18"/>
      <c r="S4739" s="18"/>
      <c r="T4739" s="18"/>
      <c r="U4739" s="18"/>
      <c r="V4739" s="18"/>
      <c r="W4739" s="18"/>
      <c r="X4739" s="18"/>
    </row>
    <row r="4740" spans="13:24">
      <c r="M4740" s="558">
        <f t="shared" si="224"/>
        <v>4738</v>
      </c>
      <c r="N4740" s="15">
        <f t="shared" ref="N4740:N4803" si="225">IF(M4740&lt;$B$31+1,$B$32+$B$33/$B$31*(8760-M4740)+$B$34*IF(M4740&lt;$B$36-$B$31/(2*$B$35),1,IF(M4740&lt;$B$36+$B$31/(2*$B$35),COS(PI()/2*(M4740-($B$36-$B$31/(2*$B$35)))*$B$35/$B$31)^2,0))+$B$37*EXP((8760-M4740)/8760*$B$38)/EXP($B$38)-(8760-$B$31)*$B$33/$B$31,0)</f>
        <v>0.2277827528433283</v>
      </c>
      <c r="O4740" s="165">
        <f t="shared" ref="O4740:O4803" si="226">MIN(N4740,C$24)</f>
        <v>0.2277827528433283</v>
      </c>
      <c r="P4740" s="18"/>
      <c r="Q4740" s="18"/>
      <c r="R4740" s="18"/>
      <c r="S4740" s="18"/>
      <c r="T4740" s="18"/>
      <c r="U4740" s="18"/>
      <c r="V4740" s="18"/>
      <c r="W4740" s="18"/>
      <c r="X4740" s="18"/>
    </row>
    <row r="4741" spans="13:24">
      <c r="M4741" s="558">
        <f t="shared" ref="M4741:M4804" si="227">M4740+1</f>
        <v>4739</v>
      </c>
      <c r="N4741" s="15">
        <f t="shared" si="225"/>
        <v>0.22772991075395785</v>
      </c>
      <c r="O4741" s="165">
        <f t="shared" si="226"/>
        <v>0.22772991075395785</v>
      </c>
      <c r="P4741" s="18"/>
      <c r="Q4741" s="18"/>
      <c r="R4741" s="18"/>
      <c r="S4741" s="18"/>
      <c r="T4741" s="18"/>
      <c r="U4741" s="18"/>
      <c r="V4741" s="18"/>
      <c r="W4741" s="18"/>
      <c r="X4741" s="18"/>
    </row>
    <row r="4742" spans="13:24">
      <c r="M4742" s="558">
        <f t="shared" si="227"/>
        <v>4740</v>
      </c>
      <c r="N4742" s="15">
        <f t="shared" si="225"/>
        <v>0.22767707051211331</v>
      </c>
      <c r="O4742" s="165">
        <f t="shared" si="226"/>
        <v>0.22767707051211331</v>
      </c>
      <c r="P4742" s="18"/>
      <c r="Q4742" s="18"/>
      <c r="R4742" s="18"/>
      <c r="S4742" s="18"/>
      <c r="T4742" s="18"/>
      <c r="U4742" s="18"/>
      <c r="V4742" s="18"/>
      <c r="W4742" s="18"/>
      <c r="X4742" s="18"/>
    </row>
    <row r="4743" spans="13:24">
      <c r="M4743" s="558">
        <f t="shared" si="227"/>
        <v>4741</v>
      </c>
      <c r="N4743" s="15">
        <f t="shared" si="225"/>
        <v>0.22762423211547606</v>
      </c>
      <c r="O4743" s="165">
        <f t="shared" si="226"/>
        <v>0.22762423211547606</v>
      </c>
      <c r="P4743" s="18"/>
      <c r="Q4743" s="18"/>
      <c r="R4743" s="18"/>
      <c r="S4743" s="18"/>
      <c r="T4743" s="18"/>
      <c r="U4743" s="18"/>
      <c r="V4743" s="18"/>
      <c r="W4743" s="18"/>
      <c r="X4743" s="18"/>
    </row>
    <row r="4744" spans="13:24">
      <c r="M4744" s="558">
        <f t="shared" si="227"/>
        <v>4742</v>
      </c>
      <c r="N4744" s="15">
        <f t="shared" si="225"/>
        <v>0.22757139556173056</v>
      </c>
      <c r="O4744" s="165">
        <f t="shared" si="226"/>
        <v>0.22757139556173056</v>
      </c>
      <c r="P4744" s="18"/>
      <c r="Q4744" s="18"/>
      <c r="R4744" s="18"/>
      <c r="S4744" s="18"/>
      <c r="T4744" s="18"/>
      <c r="U4744" s="18"/>
      <c r="V4744" s="18"/>
      <c r="W4744" s="18"/>
      <c r="X4744" s="18"/>
    </row>
    <row r="4745" spans="13:24">
      <c r="M4745" s="558">
        <f t="shared" si="227"/>
        <v>4743</v>
      </c>
      <c r="N4745" s="15">
        <f t="shared" si="225"/>
        <v>0.22751856084856417</v>
      </c>
      <c r="O4745" s="165">
        <f t="shared" si="226"/>
        <v>0.22751856084856417</v>
      </c>
      <c r="P4745" s="18"/>
      <c r="Q4745" s="18"/>
      <c r="R4745" s="18"/>
      <c r="S4745" s="18"/>
      <c r="T4745" s="18"/>
      <c r="U4745" s="18"/>
      <c r="V4745" s="18"/>
      <c r="W4745" s="18"/>
      <c r="X4745" s="18"/>
    </row>
    <row r="4746" spans="13:24">
      <c r="M4746" s="558">
        <f t="shared" si="227"/>
        <v>4744</v>
      </c>
      <c r="N4746" s="15">
        <f t="shared" si="225"/>
        <v>0.22746572797366707</v>
      </c>
      <c r="O4746" s="165">
        <f t="shared" si="226"/>
        <v>0.22746572797366707</v>
      </c>
      <c r="P4746" s="18"/>
      <c r="Q4746" s="18"/>
      <c r="R4746" s="18"/>
      <c r="S4746" s="18"/>
      <c r="T4746" s="18"/>
      <c r="U4746" s="18"/>
      <c r="V4746" s="18"/>
      <c r="W4746" s="18"/>
      <c r="X4746" s="18"/>
    </row>
    <row r="4747" spans="13:24">
      <c r="M4747" s="558">
        <f t="shared" si="227"/>
        <v>4745</v>
      </c>
      <c r="N4747" s="15">
        <f t="shared" si="225"/>
        <v>0.22741289693473241</v>
      </c>
      <c r="O4747" s="165">
        <f t="shared" si="226"/>
        <v>0.22741289693473241</v>
      </c>
      <c r="P4747" s="18"/>
      <c r="Q4747" s="18"/>
      <c r="R4747" s="18"/>
      <c r="S4747" s="18"/>
      <c r="T4747" s="18"/>
      <c r="U4747" s="18"/>
      <c r="V4747" s="18"/>
      <c r="W4747" s="18"/>
      <c r="X4747" s="18"/>
    </row>
    <row r="4748" spans="13:24">
      <c r="M4748" s="558">
        <f t="shared" si="227"/>
        <v>4746</v>
      </c>
      <c r="N4748" s="15">
        <f t="shared" si="225"/>
        <v>0.22736006772945616</v>
      </c>
      <c r="O4748" s="165">
        <f t="shared" si="226"/>
        <v>0.22736006772945616</v>
      </c>
      <c r="P4748" s="18"/>
      <c r="Q4748" s="18"/>
      <c r="R4748" s="18"/>
      <c r="S4748" s="18"/>
      <c r="T4748" s="18"/>
      <c r="U4748" s="18"/>
      <c r="V4748" s="18"/>
      <c r="W4748" s="18"/>
      <c r="X4748" s="18"/>
    </row>
    <row r="4749" spans="13:24">
      <c r="M4749" s="558">
        <f t="shared" si="227"/>
        <v>4747</v>
      </c>
      <c r="N4749" s="15">
        <f t="shared" si="225"/>
        <v>0.22730724035553729</v>
      </c>
      <c r="O4749" s="165">
        <f t="shared" si="226"/>
        <v>0.22730724035553729</v>
      </c>
      <c r="P4749" s="18"/>
      <c r="Q4749" s="18"/>
      <c r="R4749" s="18"/>
      <c r="S4749" s="18"/>
      <c r="T4749" s="18"/>
      <c r="U4749" s="18"/>
      <c r="V4749" s="18"/>
      <c r="W4749" s="18"/>
      <c r="X4749" s="18"/>
    </row>
    <row r="4750" spans="13:24">
      <c r="M4750" s="558">
        <f t="shared" si="227"/>
        <v>4748</v>
      </c>
      <c r="N4750" s="15">
        <f t="shared" si="225"/>
        <v>0.22725441481067751</v>
      </c>
      <c r="O4750" s="165">
        <f t="shared" si="226"/>
        <v>0.22725441481067751</v>
      </c>
      <c r="P4750" s="18"/>
      <c r="Q4750" s="18"/>
      <c r="R4750" s="18"/>
      <c r="S4750" s="18"/>
      <c r="T4750" s="18"/>
      <c r="U4750" s="18"/>
      <c r="V4750" s="18"/>
      <c r="W4750" s="18"/>
      <c r="X4750" s="18"/>
    </row>
    <row r="4751" spans="13:24">
      <c r="M4751" s="558">
        <f t="shared" si="227"/>
        <v>4749</v>
      </c>
      <c r="N4751" s="15">
        <f t="shared" si="225"/>
        <v>0.22720159109258159</v>
      </c>
      <c r="O4751" s="165">
        <f t="shared" si="226"/>
        <v>0.22720159109258159</v>
      </c>
      <c r="P4751" s="18"/>
      <c r="Q4751" s="18"/>
      <c r="R4751" s="18"/>
      <c r="S4751" s="18"/>
      <c r="T4751" s="18"/>
      <c r="U4751" s="18"/>
      <c r="V4751" s="18"/>
      <c r="W4751" s="18"/>
      <c r="X4751" s="18"/>
    </row>
    <row r="4752" spans="13:24">
      <c r="M4752" s="558">
        <f t="shared" si="227"/>
        <v>4750</v>
      </c>
      <c r="N4752" s="15">
        <f t="shared" si="225"/>
        <v>0.22714876919895702</v>
      </c>
      <c r="O4752" s="165">
        <f t="shared" si="226"/>
        <v>0.22714876919895702</v>
      </c>
      <c r="P4752" s="18"/>
      <c r="Q4752" s="18"/>
      <c r="R4752" s="18"/>
      <c r="S4752" s="18"/>
      <c r="T4752" s="18"/>
      <c r="U4752" s="18"/>
      <c r="V4752" s="18"/>
      <c r="W4752" s="18"/>
      <c r="X4752" s="18"/>
    </row>
    <row r="4753" spans="13:24">
      <c r="M4753" s="558">
        <f t="shared" si="227"/>
        <v>4751</v>
      </c>
      <c r="N4753" s="15">
        <f t="shared" si="225"/>
        <v>0.22709594912751424</v>
      </c>
      <c r="O4753" s="165">
        <f t="shared" si="226"/>
        <v>0.22709594912751424</v>
      </c>
      <c r="P4753" s="18"/>
      <c r="Q4753" s="18"/>
      <c r="R4753" s="18"/>
      <c r="S4753" s="18"/>
      <c r="T4753" s="18"/>
      <c r="U4753" s="18"/>
      <c r="V4753" s="18"/>
      <c r="W4753" s="18"/>
      <c r="X4753" s="18"/>
    </row>
    <row r="4754" spans="13:24">
      <c r="M4754" s="558">
        <f t="shared" si="227"/>
        <v>4752</v>
      </c>
      <c r="N4754" s="15">
        <f t="shared" si="225"/>
        <v>0.22704313087596659</v>
      </c>
      <c r="O4754" s="165">
        <f t="shared" si="226"/>
        <v>0.22704313087596659</v>
      </c>
      <c r="P4754" s="18"/>
      <c r="Q4754" s="18"/>
      <c r="R4754" s="18"/>
      <c r="S4754" s="18"/>
      <c r="T4754" s="18"/>
      <c r="U4754" s="18"/>
      <c r="V4754" s="18"/>
      <c r="W4754" s="18"/>
      <c r="X4754" s="18"/>
    </row>
    <row r="4755" spans="13:24">
      <c r="M4755" s="558">
        <f t="shared" si="227"/>
        <v>4753</v>
      </c>
      <c r="N4755" s="15">
        <f t="shared" si="225"/>
        <v>0.22699031444203024</v>
      </c>
      <c r="O4755" s="165">
        <f t="shared" si="226"/>
        <v>0.22699031444203024</v>
      </c>
      <c r="P4755" s="18"/>
      <c r="Q4755" s="18"/>
      <c r="R4755" s="18"/>
      <c r="S4755" s="18"/>
      <c r="T4755" s="18"/>
      <c r="U4755" s="18"/>
      <c r="V4755" s="18"/>
      <c r="W4755" s="18"/>
      <c r="X4755" s="18"/>
    </row>
    <row r="4756" spans="13:24">
      <c r="M4756" s="558">
        <f t="shared" si="227"/>
        <v>4754</v>
      </c>
      <c r="N4756" s="15">
        <f t="shared" si="225"/>
        <v>0.2269374998234242</v>
      </c>
      <c r="O4756" s="165">
        <f t="shared" si="226"/>
        <v>0.2269374998234242</v>
      </c>
      <c r="P4756" s="18"/>
      <c r="Q4756" s="18"/>
      <c r="R4756" s="18"/>
      <c r="S4756" s="18"/>
      <c r="T4756" s="18"/>
      <c r="U4756" s="18"/>
      <c r="V4756" s="18"/>
      <c r="W4756" s="18"/>
      <c r="X4756" s="18"/>
    </row>
    <row r="4757" spans="13:24">
      <c r="M4757" s="558">
        <f t="shared" si="227"/>
        <v>4755</v>
      </c>
      <c r="N4757" s="15">
        <f t="shared" si="225"/>
        <v>0.22688468701787043</v>
      </c>
      <c r="O4757" s="165">
        <f t="shared" si="226"/>
        <v>0.22688468701787043</v>
      </c>
      <c r="P4757" s="18"/>
      <c r="Q4757" s="18"/>
      <c r="R4757" s="18"/>
      <c r="S4757" s="18"/>
      <c r="T4757" s="18"/>
      <c r="U4757" s="18"/>
      <c r="V4757" s="18"/>
      <c r="W4757" s="18"/>
      <c r="X4757" s="18"/>
    </row>
    <row r="4758" spans="13:24">
      <c r="M4758" s="558">
        <f t="shared" si="227"/>
        <v>4756</v>
      </c>
      <c r="N4758" s="15">
        <f t="shared" si="225"/>
        <v>0.22683187602309365</v>
      </c>
      <c r="O4758" s="165">
        <f t="shared" si="226"/>
        <v>0.22683187602309365</v>
      </c>
      <c r="P4758" s="18"/>
      <c r="Q4758" s="18"/>
      <c r="R4758" s="18"/>
      <c r="S4758" s="18"/>
      <c r="T4758" s="18"/>
      <c r="U4758" s="18"/>
      <c r="V4758" s="18"/>
      <c r="W4758" s="18"/>
      <c r="X4758" s="18"/>
    </row>
    <row r="4759" spans="13:24">
      <c r="M4759" s="558">
        <f t="shared" si="227"/>
        <v>4757</v>
      </c>
      <c r="N4759" s="15">
        <f t="shared" si="225"/>
        <v>0.2267790668368215</v>
      </c>
      <c r="O4759" s="165">
        <f t="shared" si="226"/>
        <v>0.2267790668368215</v>
      </c>
      <c r="P4759" s="18"/>
      <c r="Q4759" s="18"/>
      <c r="R4759" s="18"/>
      <c r="S4759" s="18"/>
      <c r="T4759" s="18"/>
      <c r="U4759" s="18"/>
      <c r="V4759" s="18"/>
      <c r="W4759" s="18"/>
      <c r="X4759" s="18"/>
    </row>
    <row r="4760" spans="13:24">
      <c r="M4760" s="558">
        <f t="shared" si="227"/>
        <v>4758</v>
      </c>
      <c r="N4760" s="15">
        <f t="shared" si="225"/>
        <v>0.22672625945678446</v>
      </c>
      <c r="O4760" s="165">
        <f t="shared" si="226"/>
        <v>0.22672625945678446</v>
      </c>
      <c r="P4760" s="18"/>
      <c r="Q4760" s="18"/>
      <c r="R4760" s="18"/>
      <c r="S4760" s="18"/>
      <c r="T4760" s="18"/>
      <c r="U4760" s="18"/>
      <c r="V4760" s="18"/>
      <c r="W4760" s="18"/>
      <c r="X4760" s="18"/>
    </row>
    <row r="4761" spans="13:24">
      <c r="M4761" s="558">
        <f t="shared" si="227"/>
        <v>4759</v>
      </c>
      <c r="N4761" s="15">
        <f t="shared" si="225"/>
        <v>0.2266734538807158</v>
      </c>
      <c r="O4761" s="165">
        <f t="shared" si="226"/>
        <v>0.2266734538807158</v>
      </c>
      <c r="P4761" s="18"/>
      <c r="Q4761" s="18"/>
      <c r="R4761" s="18"/>
      <c r="S4761" s="18"/>
      <c r="T4761" s="18"/>
      <c r="U4761" s="18"/>
      <c r="V4761" s="18"/>
      <c r="W4761" s="18"/>
      <c r="X4761" s="18"/>
    </row>
    <row r="4762" spans="13:24">
      <c r="M4762" s="558">
        <f t="shared" si="227"/>
        <v>4760</v>
      </c>
      <c r="N4762" s="15">
        <f t="shared" si="225"/>
        <v>0.2266206501063518</v>
      </c>
      <c r="O4762" s="165">
        <f t="shared" si="226"/>
        <v>0.2266206501063518</v>
      </c>
      <c r="P4762" s="18"/>
      <c r="Q4762" s="18"/>
      <c r="R4762" s="18"/>
      <c r="S4762" s="18"/>
      <c r="T4762" s="18"/>
      <c r="U4762" s="18"/>
      <c r="V4762" s="18"/>
      <c r="W4762" s="18"/>
      <c r="X4762" s="18"/>
    </row>
    <row r="4763" spans="13:24">
      <c r="M4763" s="558">
        <f t="shared" si="227"/>
        <v>4761</v>
      </c>
      <c r="N4763" s="15">
        <f t="shared" si="225"/>
        <v>0.22656784813143133</v>
      </c>
      <c r="O4763" s="165">
        <f t="shared" si="226"/>
        <v>0.22656784813143133</v>
      </c>
      <c r="P4763" s="18"/>
      <c r="Q4763" s="18"/>
      <c r="R4763" s="18"/>
      <c r="S4763" s="18"/>
      <c r="T4763" s="18"/>
      <c r="U4763" s="18"/>
      <c r="V4763" s="18"/>
      <c r="W4763" s="18"/>
      <c r="X4763" s="18"/>
    </row>
    <row r="4764" spans="13:24">
      <c r="M4764" s="558">
        <f t="shared" si="227"/>
        <v>4762</v>
      </c>
      <c r="N4764" s="15">
        <f t="shared" si="225"/>
        <v>0.22651504795369631</v>
      </c>
      <c r="O4764" s="165">
        <f t="shared" si="226"/>
        <v>0.22651504795369631</v>
      </c>
      <c r="P4764" s="18"/>
      <c r="Q4764" s="18"/>
      <c r="R4764" s="18"/>
      <c r="S4764" s="18"/>
      <c r="T4764" s="18"/>
      <c r="U4764" s="18"/>
      <c r="V4764" s="18"/>
      <c r="W4764" s="18"/>
      <c r="X4764" s="18"/>
    </row>
    <row r="4765" spans="13:24">
      <c r="M4765" s="558">
        <f t="shared" si="227"/>
        <v>4763</v>
      </c>
      <c r="N4765" s="15">
        <f t="shared" si="225"/>
        <v>0.22646224957089139</v>
      </c>
      <c r="O4765" s="165">
        <f t="shared" si="226"/>
        <v>0.22646224957089139</v>
      </c>
      <c r="P4765" s="18"/>
      <c r="Q4765" s="18"/>
      <c r="R4765" s="18"/>
      <c r="S4765" s="18"/>
      <c r="T4765" s="18"/>
      <c r="U4765" s="18"/>
      <c r="V4765" s="18"/>
      <c r="W4765" s="18"/>
      <c r="X4765" s="18"/>
    </row>
    <row r="4766" spans="13:24">
      <c r="M4766" s="558">
        <f t="shared" si="227"/>
        <v>4764</v>
      </c>
      <c r="N4766" s="15">
        <f t="shared" si="225"/>
        <v>0.22640945298076409</v>
      </c>
      <c r="O4766" s="165">
        <f t="shared" si="226"/>
        <v>0.22640945298076409</v>
      </c>
      <c r="P4766" s="18"/>
      <c r="Q4766" s="18"/>
      <c r="R4766" s="18"/>
      <c r="S4766" s="18"/>
      <c r="T4766" s="18"/>
      <c r="U4766" s="18"/>
      <c r="V4766" s="18"/>
      <c r="W4766" s="18"/>
      <c r="X4766" s="18"/>
    </row>
    <row r="4767" spans="13:24">
      <c r="M4767" s="558">
        <f t="shared" si="227"/>
        <v>4765</v>
      </c>
      <c r="N4767" s="15">
        <f t="shared" si="225"/>
        <v>0.22635665818106473</v>
      </c>
      <c r="O4767" s="165">
        <f t="shared" si="226"/>
        <v>0.22635665818106473</v>
      </c>
      <c r="P4767" s="18"/>
      <c r="Q4767" s="18"/>
      <c r="R4767" s="18"/>
      <c r="S4767" s="18"/>
      <c r="T4767" s="18"/>
      <c r="U4767" s="18"/>
      <c r="V4767" s="18"/>
      <c r="W4767" s="18"/>
      <c r="X4767" s="18"/>
    </row>
    <row r="4768" spans="13:24">
      <c r="M4768" s="558">
        <f t="shared" si="227"/>
        <v>4766</v>
      </c>
      <c r="N4768" s="15">
        <f t="shared" si="225"/>
        <v>0.22630386516954651</v>
      </c>
      <c r="O4768" s="165">
        <f t="shared" si="226"/>
        <v>0.22630386516954651</v>
      </c>
      <c r="P4768" s="18"/>
      <c r="Q4768" s="18"/>
      <c r="R4768" s="18"/>
      <c r="S4768" s="18"/>
      <c r="T4768" s="18"/>
      <c r="U4768" s="18"/>
      <c r="V4768" s="18"/>
      <c r="W4768" s="18"/>
      <c r="X4768" s="18"/>
    </row>
    <row r="4769" spans="13:24">
      <c r="M4769" s="558">
        <f t="shared" si="227"/>
        <v>4767</v>
      </c>
      <c r="N4769" s="15">
        <f t="shared" si="225"/>
        <v>0.22625107394396532</v>
      </c>
      <c r="O4769" s="165">
        <f t="shared" si="226"/>
        <v>0.22625107394396532</v>
      </c>
      <c r="P4769" s="18"/>
      <c r="Q4769" s="18"/>
      <c r="R4769" s="18"/>
      <c r="S4769" s="18"/>
      <c r="T4769" s="18"/>
      <c r="U4769" s="18"/>
      <c r="V4769" s="18"/>
      <c r="W4769" s="18"/>
      <c r="X4769" s="18"/>
    </row>
    <row r="4770" spans="13:24">
      <c r="M4770" s="558">
        <f t="shared" si="227"/>
        <v>4768</v>
      </c>
      <c r="N4770" s="15">
        <f t="shared" si="225"/>
        <v>0.22619828450208007</v>
      </c>
      <c r="O4770" s="165">
        <f t="shared" si="226"/>
        <v>0.22619828450208007</v>
      </c>
      <c r="P4770" s="18"/>
      <c r="Q4770" s="18"/>
      <c r="R4770" s="18"/>
      <c r="S4770" s="18"/>
      <c r="T4770" s="18"/>
      <c r="U4770" s="18"/>
      <c r="V4770" s="18"/>
      <c r="W4770" s="18"/>
      <c r="X4770" s="18"/>
    </row>
    <row r="4771" spans="13:24">
      <c r="M4771" s="558">
        <f t="shared" si="227"/>
        <v>4769</v>
      </c>
      <c r="N4771" s="15">
        <f t="shared" si="225"/>
        <v>0.22614549684165225</v>
      </c>
      <c r="O4771" s="165">
        <f t="shared" si="226"/>
        <v>0.22614549684165225</v>
      </c>
      <c r="P4771" s="18"/>
      <c r="Q4771" s="18"/>
      <c r="R4771" s="18"/>
      <c r="S4771" s="18"/>
      <c r="T4771" s="18"/>
      <c r="U4771" s="18"/>
      <c r="V4771" s="18"/>
      <c r="W4771" s="18"/>
      <c r="X4771" s="18"/>
    </row>
    <row r="4772" spans="13:24">
      <c r="M4772" s="558">
        <f t="shared" si="227"/>
        <v>4770</v>
      </c>
      <c r="N4772" s="15">
        <f t="shared" si="225"/>
        <v>0.22609271096044634</v>
      </c>
      <c r="O4772" s="165">
        <f t="shared" si="226"/>
        <v>0.22609271096044634</v>
      </c>
      <c r="P4772" s="18"/>
      <c r="Q4772" s="18"/>
      <c r="R4772" s="18"/>
      <c r="S4772" s="18"/>
      <c r="T4772" s="18"/>
      <c r="U4772" s="18"/>
      <c r="V4772" s="18"/>
      <c r="W4772" s="18"/>
      <c r="X4772" s="18"/>
    </row>
    <row r="4773" spans="13:24">
      <c r="M4773" s="558">
        <f t="shared" si="227"/>
        <v>4771</v>
      </c>
      <c r="N4773" s="15">
        <f t="shared" si="225"/>
        <v>0.22603992685622953</v>
      </c>
      <c r="O4773" s="165">
        <f t="shared" si="226"/>
        <v>0.22603992685622953</v>
      </c>
      <c r="P4773" s="18"/>
      <c r="Q4773" s="18"/>
      <c r="R4773" s="18"/>
      <c r="S4773" s="18"/>
      <c r="T4773" s="18"/>
      <c r="U4773" s="18"/>
      <c r="V4773" s="18"/>
      <c r="W4773" s="18"/>
      <c r="X4773" s="18"/>
    </row>
    <row r="4774" spans="13:24">
      <c r="M4774" s="558">
        <f t="shared" si="227"/>
        <v>4772</v>
      </c>
      <c r="N4774" s="15">
        <f t="shared" si="225"/>
        <v>0.22598714452677185</v>
      </c>
      <c r="O4774" s="165">
        <f t="shared" si="226"/>
        <v>0.22598714452677185</v>
      </c>
      <c r="P4774" s="18"/>
      <c r="Q4774" s="18"/>
      <c r="R4774" s="18"/>
      <c r="S4774" s="18"/>
      <c r="T4774" s="18"/>
      <c r="U4774" s="18"/>
      <c r="V4774" s="18"/>
      <c r="W4774" s="18"/>
      <c r="X4774" s="18"/>
    </row>
    <row r="4775" spans="13:24">
      <c r="M4775" s="558">
        <f t="shared" si="227"/>
        <v>4773</v>
      </c>
      <c r="N4775" s="15">
        <f t="shared" si="225"/>
        <v>0.22593436396984615</v>
      </c>
      <c r="O4775" s="165">
        <f t="shared" si="226"/>
        <v>0.22593436396984615</v>
      </c>
      <c r="P4775" s="18"/>
      <c r="Q4775" s="18"/>
      <c r="R4775" s="18"/>
      <c r="S4775" s="18"/>
      <c r="T4775" s="18"/>
      <c r="U4775" s="18"/>
      <c r="V4775" s="18"/>
      <c r="W4775" s="18"/>
      <c r="X4775" s="18"/>
    </row>
    <row r="4776" spans="13:24">
      <c r="M4776" s="558">
        <f t="shared" si="227"/>
        <v>4774</v>
      </c>
      <c r="N4776" s="15">
        <f t="shared" si="225"/>
        <v>0.22588158518322798</v>
      </c>
      <c r="O4776" s="165">
        <f t="shared" si="226"/>
        <v>0.22588158518322798</v>
      </c>
      <c r="P4776" s="18"/>
      <c r="Q4776" s="18"/>
      <c r="R4776" s="18"/>
      <c r="S4776" s="18"/>
      <c r="T4776" s="18"/>
      <c r="U4776" s="18"/>
      <c r="V4776" s="18"/>
      <c r="W4776" s="18"/>
      <c r="X4776" s="18"/>
    </row>
    <row r="4777" spans="13:24">
      <c r="M4777" s="558">
        <f t="shared" si="227"/>
        <v>4775</v>
      </c>
      <c r="N4777" s="15">
        <f t="shared" si="225"/>
        <v>0.22582880816469583</v>
      </c>
      <c r="O4777" s="165">
        <f t="shared" si="226"/>
        <v>0.22582880816469583</v>
      </c>
      <c r="P4777" s="18"/>
      <c r="Q4777" s="18"/>
      <c r="R4777" s="18"/>
      <c r="S4777" s="18"/>
      <c r="T4777" s="18"/>
      <c r="U4777" s="18"/>
      <c r="V4777" s="18"/>
      <c r="W4777" s="18"/>
      <c r="X4777" s="18"/>
    </row>
    <row r="4778" spans="13:24">
      <c r="M4778" s="558">
        <f t="shared" si="227"/>
        <v>4776</v>
      </c>
      <c r="N4778" s="15">
        <f t="shared" si="225"/>
        <v>0.22577603291203083</v>
      </c>
      <c r="O4778" s="165">
        <f t="shared" si="226"/>
        <v>0.22577603291203083</v>
      </c>
      <c r="P4778" s="18"/>
      <c r="Q4778" s="18"/>
      <c r="R4778" s="18"/>
      <c r="S4778" s="18"/>
      <c r="T4778" s="18"/>
      <c r="U4778" s="18"/>
      <c r="V4778" s="18"/>
      <c r="W4778" s="18"/>
      <c r="X4778" s="18"/>
    </row>
    <row r="4779" spans="13:24">
      <c r="M4779" s="558">
        <f t="shared" si="227"/>
        <v>4777</v>
      </c>
      <c r="N4779" s="15">
        <f t="shared" si="225"/>
        <v>0.22572325942301699</v>
      </c>
      <c r="O4779" s="165">
        <f t="shared" si="226"/>
        <v>0.22572325942301699</v>
      </c>
      <c r="P4779" s="18"/>
      <c r="Q4779" s="18"/>
      <c r="R4779" s="18"/>
      <c r="S4779" s="18"/>
      <c r="T4779" s="18"/>
      <c r="U4779" s="18"/>
      <c r="V4779" s="18"/>
      <c r="W4779" s="18"/>
      <c r="X4779" s="18"/>
    </row>
    <row r="4780" spans="13:24">
      <c r="M4780" s="558">
        <f t="shared" si="227"/>
        <v>4778</v>
      </c>
      <c r="N4780" s="15">
        <f t="shared" si="225"/>
        <v>0.22567048769544104</v>
      </c>
      <c r="O4780" s="165">
        <f t="shared" si="226"/>
        <v>0.22567048769544104</v>
      </c>
      <c r="P4780" s="18"/>
      <c r="Q4780" s="18"/>
      <c r="R4780" s="18"/>
      <c r="S4780" s="18"/>
      <c r="T4780" s="18"/>
      <c r="U4780" s="18"/>
      <c r="V4780" s="18"/>
      <c r="W4780" s="18"/>
      <c r="X4780" s="18"/>
    </row>
    <row r="4781" spans="13:24">
      <c r="M4781" s="558">
        <f t="shared" si="227"/>
        <v>4779</v>
      </c>
      <c r="N4781" s="15">
        <f t="shared" si="225"/>
        <v>0.22561771772709255</v>
      </c>
      <c r="O4781" s="165">
        <f t="shared" si="226"/>
        <v>0.22561771772709255</v>
      </c>
      <c r="P4781" s="18"/>
      <c r="Q4781" s="18"/>
      <c r="R4781" s="18"/>
      <c r="S4781" s="18"/>
      <c r="T4781" s="18"/>
      <c r="U4781" s="18"/>
      <c r="V4781" s="18"/>
      <c r="W4781" s="18"/>
      <c r="X4781" s="18"/>
    </row>
    <row r="4782" spans="13:24">
      <c r="M4782" s="558">
        <f t="shared" si="227"/>
        <v>4780</v>
      </c>
      <c r="N4782" s="15">
        <f t="shared" si="225"/>
        <v>0.22556494951576378</v>
      </c>
      <c r="O4782" s="165">
        <f t="shared" si="226"/>
        <v>0.22556494951576378</v>
      </c>
      <c r="P4782" s="18"/>
      <c r="Q4782" s="18"/>
      <c r="R4782" s="18"/>
      <c r="S4782" s="18"/>
      <c r="T4782" s="18"/>
      <c r="U4782" s="18"/>
      <c r="V4782" s="18"/>
      <c r="W4782" s="18"/>
      <c r="X4782" s="18"/>
    </row>
    <row r="4783" spans="13:24">
      <c r="M4783" s="558">
        <f t="shared" si="227"/>
        <v>4781</v>
      </c>
      <c r="N4783" s="15">
        <f t="shared" si="225"/>
        <v>0.22551218305924989</v>
      </c>
      <c r="O4783" s="165">
        <f t="shared" si="226"/>
        <v>0.22551218305924989</v>
      </c>
      <c r="P4783" s="18"/>
      <c r="Q4783" s="18"/>
      <c r="R4783" s="18"/>
      <c r="S4783" s="18"/>
      <c r="T4783" s="18"/>
      <c r="U4783" s="18"/>
      <c r="V4783" s="18"/>
      <c r="W4783" s="18"/>
      <c r="X4783" s="18"/>
    </row>
    <row r="4784" spans="13:24">
      <c r="M4784" s="558">
        <f t="shared" si="227"/>
        <v>4782</v>
      </c>
      <c r="N4784" s="15">
        <f t="shared" si="225"/>
        <v>0.22545941835534866</v>
      </c>
      <c r="O4784" s="165">
        <f t="shared" si="226"/>
        <v>0.22545941835534866</v>
      </c>
      <c r="P4784" s="18"/>
      <c r="Q4784" s="18"/>
      <c r="R4784" s="18"/>
      <c r="S4784" s="18"/>
      <c r="T4784" s="18"/>
      <c r="U4784" s="18"/>
      <c r="V4784" s="18"/>
      <c r="W4784" s="18"/>
      <c r="X4784" s="18"/>
    </row>
    <row r="4785" spans="13:24">
      <c r="M4785" s="558">
        <f t="shared" si="227"/>
        <v>4783</v>
      </c>
      <c r="N4785" s="15">
        <f t="shared" si="225"/>
        <v>0.22540665540186075</v>
      </c>
      <c r="O4785" s="165">
        <f t="shared" si="226"/>
        <v>0.22540665540186075</v>
      </c>
      <c r="P4785" s="18"/>
      <c r="Q4785" s="18"/>
      <c r="R4785" s="18"/>
      <c r="S4785" s="18"/>
      <c r="T4785" s="18"/>
      <c r="U4785" s="18"/>
      <c r="V4785" s="18"/>
      <c r="W4785" s="18"/>
      <c r="X4785" s="18"/>
    </row>
    <row r="4786" spans="13:24">
      <c r="M4786" s="558">
        <f t="shared" si="227"/>
        <v>4784</v>
      </c>
      <c r="N4786" s="15">
        <f t="shared" si="225"/>
        <v>0.22535389419658947</v>
      </c>
      <c r="O4786" s="165">
        <f t="shared" si="226"/>
        <v>0.22535389419658947</v>
      </c>
      <c r="P4786" s="18"/>
      <c r="Q4786" s="18"/>
      <c r="R4786" s="18"/>
      <c r="S4786" s="18"/>
      <c r="T4786" s="18"/>
      <c r="U4786" s="18"/>
      <c r="V4786" s="18"/>
      <c r="W4786" s="18"/>
      <c r="X4786" s="18"/>
    </row>
    <row r="4787" spans="13:24">
      <c r="M4787" s="558">
        <f t="shared" si="227"/>
        <v>4785</v>
      </c>
      <c r="N4787" s="15">
        <f t="shared" si="225"/>
        <v>0.22530113473734101</v>
      </c>
      <c r="O4787" s="165">
        <f t="shared" si="226"/>
        <v>0.22530113473734101</v>
      </c>
      <c r="P4787" s="18"/>
      <c r="Q4787" s="18"/>
      <c r="R4787" s="18"/>
      <c r="S4787" s="18"/>
      <c r="T4787" s="18"/>
      <c r="U4787" s="18"/>
      <c r="V4787" s="18"/>
      <c r="W4787" s="18"/>
      <c r="X4787" s="18"/>
    </row>
    <row r="4788" spans="13:24">
      <c r="M4788" s="558">
        <f t="shared" si="227"/>
        <v>4786</v>
      </c>
      <c r="N4788" s="15">
        <f t="shared" si="225"/>
        <v>0.22524837702192421</v>
      </c>
      <c r="O4788" s="165">
        <f t="shared" si="226"/>
        <v>0.22524837702192421</v>
      </c>
      <c r="P4788" s="18"/>
      <c r="Q4788" s="18"/>
      <c r="R4788" s="18"/>
      <c r="S4788" s="18"/>
      <c r="T4788" s="18"/>
      <c r="U4788" s="18"/>
      <c r="V4788" s="18"/>
      <c r="W4788" s="18"/>
      <c r="X4788" s="18"/>
    </row>
    <row r="4789" spans="13:24">
      <c r="M4789" s="558">
        <f t="shared" si="227"/>
        <v>4787</v>
      </c>
      <c r="N4789" s="15">
        <f t="shared" si="225"/>
        <v>0.22519562104815072</v>
      </c>
      <c r="O4789" s="165">
        <f t="shared" si="226"/>
        <v>0.22519562104815072</v>
      </c>
      <c r="P4789" s="18"/>
      <c r="Q4789" s="18"/>
      <c r="R4789" s="18"/>
      <c r="S4789" s="18"/>
      <c r="T4789" s="18"/>
      <c r="U4789" s="18"/>
      <c r="V4789" s="18"/>
      <c r="W4789" s="18"/>
      <c r="X4789" s="18"/>
    </row>
    <row r="4790" spans="13:24">
      <c r="M4790" s="558">
        <f t="shared" si="227"/>
        <v>4788</v>
      </c>
      <c r="N4790" s="15">
        <f t="shared" si="225"/>
        <v>0.22514286681383494</v>
      </c>
      <c r="O4790" s="165">
        <f t="shared" si="226"/>
        <v>0.22514286681383494</v>
      </c>
      <c r="P4790" s="18"/>
      <c r="Q4790" s="18"/>
      <c r="R4790" s="18"/>
      <c r="S4790" s="18"/>
      <c r="T4790" s="18"/>
      <c r="U4790" s="18"/>
      <c r="V4790" s="18"/>
      <c r="W4790" s="18"/>
      <c r="X4790" s="18"/>
    </row>
    <row r="4791" spans="13:24">
      <c r="M4791" s="558">
        <f t="shared" si="227"/>
        <v>4789</v>
      </c>
      <c r="N4791" s="15">
        <f t="shared" si="225"/>
        <v>0.22509011431679396</v>
      </c>
      <c r="O4791" s="165">
        <f t="shared" si="226"/>
        <v>0.22509011431679396</v>
      </c>
      <c r="P4791" s="18"/>
      <c r="Q4791" s="18"/>
      <c r="R4791" s="18"/>
      <c r="S4791" s="18"/>
      <c r="T4791" s="18"/>
      <c r="U4791" s="18"/>
      <c r="V4791" s="18"/>
      <c r="W4791" s="18"/>
      <c r="X4791" s="18"/>
    </row>
    <row r="4792" spans="13:24">
      <c r="M4792" s="558">
        <f t="shared" si="227"/>
        <v>4790</v>
      </c>
      <c r="N4792" s="15">
        <f t="shared" si="225"/>
        <v>0.22503736355484766</v>
      </c>
      <c r="O4792" s="165">
        <f t="shared" si="226"/>
        <v>0.22503736355484766</v>
      </c>
      <c r="P4792" s="18"/>
      <c r="Q4792" s="18"/>
      <c r="R4792" s="18"/>
      <c r="S4792" s="18"/>
      <c r="T4792" s="18"/>
      <c r="U4792" s="18"/>
      <c r="V4792" s="18"/>
      <c r="W4792" s="18"/>
      <c r="X4792" s="18"/>
    </row>
    <row r="4793" spans="13:24">
      <c r="M4793" s="558">
        <f t="shared" si="227"/>
        <v>4791</v>
      </c>
      <c r="N4793" s="15">
        <f t="shared" si="225"/>
        <v>0.22498461452581858</v>
      </c>
      <c r="O4793" s="165">
        <f t="shared" si="226"/>
        <v>0.22498461452581858</v>
      </c>
      <c r="P4793" s="18"/>
      <c r="Q4793" s="18"/>
      <c r="R4793" s="18"/>
      <c r="S4793" s="18"/>
      <c r="T4793" s="18"/>
      <c r="U4793" s="18"/>
      <c r="V4793" s="18"/>
      <c r="W4793" s="18"/>
      <c r="X4793" s="18"/>
    </row>
    <row r="4794" spans="13:24">
      <c r="M4794" s="558">
        <f t="shared" si="227"/>
        <v>4792</v>
      </c>
      <c r="N4794" s="15">
        <f t="shared" si="225"/>
        <v>0.22493186722753214</v>
      </c>
      <c r="O4794" s="165">
        <f t="shared" si="226"/>
        <v>0.22493186722753214</v>
      </c>
      <c r="P4794" s="18"/>
      <c r="Q4794" s="18"/>
      <c r="R4794" s="18"/>
      <c r="S4794" s="18"/>
      <c r="T4794" s="18"/>
      <c r="U4794" s="18"/>
      <c r="V4794" s="18"/>
      <c r="W4794" s="18"/>
      <c r="X4794" s="18"/>
    </row>
    <row r="4795" spans="13:24">
      <c r="M4795" s="558">
        <f t="shared" si="227"/>
        <v>4793</v>
      </c>
      <c r="N4795" s="15">
        <f t="shared" si="225"/>
        <v>0.22487912165781632</v>
      </c>
      <c r="O4795" s="165">
        <f t="shared" si="226"/>
        <v>0.22487912165781632</v>
      </c>
      <c r="P4795" s="18"/>
      <c r="Q4795" s="18"/>
      <c r="R4795" s="18"/>
      <c r="S4795" s="18"/>
      <c r="T4795" s="18"/>
      <c r="U4795" s="18"/>
      <c r="V4795" s="18"/>
      <c r="W4795" s="18"/>
      <c r="X4795" s="18"/>
    </row>
    <row r="4796" spans="13:24">
      <c r="M4796" s="558">
        <f t="shared" si="227"/>
        <v>4794</v>
      </c>
      <c r="N4796" s="15">
        <f t="shared" si="225"/>
        <v>0.22482637781450193</v>
      </c>
      <c r="O4796" s="165">
        <f t="shared" si="226"/>
        <v>0.22482637781450193</v>
      </c>
      <c r="P4796" s="18"/>
      <c r="Q4796" s="18"/>
      <c r="R4796" s="18"/>
      <c r="S4796" s="18"/>
      <c r="T4796" s="18"/>
      <c r="U4796" s="18"/>
      <c r="V4796" s="18"/>
      <c r="W4796" s="18"/>
      <c r="X4796" s="18"/>
    </row>
    <row r="4797" spans="13:24">
      <c r="M4797" s="558">
        <f t="shared" si="227"/>
        <v>4795</v>
      </c>
      <c r="N4797" s="15">
        <f t="shared" si="225"/>
        <v>0.22477363569542247</v>
      </c>
      <c r="O4797" s="165">
        <f t="shared" si="226"/>
        <v>0.22477363569542247</v>
      </c>
      <c r="P4797" s="18"/>
      <c r="Q4797" s="18"/>
      <c r="R4797" s="18"/>
      <c r="S4797" s="18"/>
      <c r="T4797" s="18"/>
      <c r="U4797" s="18"/>
      <c r="V4797" s="18"/>
      <c r="W4797" s="18"/>
      <c r="X4797" s="18"/>
    </row>
    <row r="4798" spans="13:24">
      <c r="M4798" s="558">
        <f t="shared" si="227"/>
        <v>4796</v>
      </c>
      <c r="N4798" s="15">
        <f t="shared" si="225"/>
        <v>0.22472089529841419</v>
      </c>
      <c r="O4798" s="165">
        <f t="shared" si="226"/>
        <v>0.22472089529841419</v>
      </c>
      <c r="P4798" s="18"/>
      <c r="Q4798" s="18"/>
      <c r="R4798" s="18"/>
      <c r="S4798" s="18"/>
      <c r="T4798" s="18"/>
      <c r="U4798" s="18"/>
      <c r="V4798" s="18"/>
      <c r="W4798" s="18"/>
      <c r="X4798" s="18"/>
    </row>
    <row r="4799" spans="13:24">
      <c r="M4799" s="558">
        <f t="shared" si="227"/>
        <v>4797</v>
      </c>
      <c r="N4799" s="15">
        <f t="shared" si="225"/>
        <v>0.22466815662131598</v>
      </c>
      <c r="O4799" s="165">
        <f t="shared" si="226"/>
        <v>0.22466815662131598</v>
      </c>
      <c r="P4799" s="18"/>
      <c r="Q4799" s="18"/>
      <c r="R4799" s="18"/>
      <c r="S4799" s="18"/>
      <c r="T4799" s="18"/>
      <c r="U4799" s="18"/>
      <c r="V4799" s="18"/>
      <c r="W4799" s="18"/>
      <c r="X4799" s="18"/>
    </row>
    <row r="4800" spans="13:24">
      <c r="M4800" s="558">
        <f t="shared" si="227"/>
        <v>4798</v>
      </c>
      <c r="N4800" s="15">
        <f t="shared" si="225"/>
        <v>0.22461541966196955</v>
      </c>
      <c r="O4800" s="165">
        <f t="shared" si="226"/>
        <v>0.22461541966196955</v>
      </c>
      <c r="P4800" s="18"/>
      <c r="Q4800" s="18"/>
      <c r="R4800" s="18"/>
      <c r="S4800" s="18"/>
      <c r="T4800" s="18"/>
      <c r="U4800" s="18"/>
      <c r="V4800" s="18"/>
      <c r="W4800" s="18"/>
      <c r="X4800" s="18"/>
    </row>
    <row r="4801" spans="13:24">
      <c r="M4801" s="558">
        <f t="shared" si="227"/>
        <v>4799</v>
      </c>
      <c r="N4801" s="15">
        <f t="shared" si="225"/>
        <v>0.22456268441821919</v>
      </c>
      <c r="O4801" s="165">
        <f t="shared" si="226"/>
        <v>0.22456268441821919</v>
      </c>
      <c r="P4801" s="18"/>
      <c r="Q4801" s="18"/>
      <c r="R4801" s="18"/>
      <c r="S4801" s="18"/>
      <c r="T4801" s="18"/>
      <c r="U4801" s="18"/>
      <c r="V4801" s="18"/>
      <c r="W4801" s="18"/>
      <c r="X4801" s="18"/>
    </row>
    <row r="4802" spans="13:24">
      <c r="M4802" s="558">
        <f t="shared" si="227"/>
        <v>4800</v>
      </c>
      <c r="N4802" s="15">
        <f t="shared" si="225"/>
        <v>0.22450995088791206</v>
      </c>
      <c r="O4802" s="165">
        <f t="shared" si="226"/>
        <v>0.22450995088791206</v>
      </c>
      <c r="P4802" s="18"/>
      <c r="Q4802" s="18"/>
      <c r="R4802" s="18"/>
      <c r="S4802" s="18"/>
      <c r="T4802" s="18"/>
      <c r="U4802" s="18"/>
      <c r="V4802" s="18"/>
      <c r="W4802" s="18"/>
      <c r="X4802" s="18"/>
    </row>
    <row r="4803" spans="13:24">
      <c r="M4803" s="558">
        <f t="shared" si="227"/>
        <v>4801</v>
      </c>
      <c r="N4803" s="15">
        <f t="shared" si="225"/>
        <v>0.22445721906889782</v>
      </c>
      <c r="O4803" s="165">
        <f t="shared" si="226"/>
        <v>0.22445721906889782</v>
      </c>
      <c r="P4803" s="18"/>
      <c r="Q4803" s="18"/>
      <c r="R4803" s="18"/>
      <c r="S4803" s="18"/>
      <c r="T4803" s="18"/>
      <c r="U4803" s="18"/>
      <c r="V4803" s="18"/>
      <c r="W4803" s="18"/>
      <c r="X4803" s="18"/>
    </row>
    <row r="4804" spans="13:24">
      <c r="M4804" s="558">
        <f t="shared" si="227"/>
        <v>4802</v>
      </c>
      <c r="N4804" s="15">
        <f t="shared" ref="N4804:N4867" si="228">IF(M4804&lt;$B$31+1,$B$32+$B$33/$B$31*(8760-M4804)+$B$34*IF(M4804&lt;$B$36-$B$31/(2*$B$35),1,IF(M4804&lt;$B$36+$B$31/(2*$B$35),COS(PI()/2*(M4804-($B$36-$B$31/(2*$B$35)))*$B$35/$B$31)^2,0))+$B$37*EXP((8760-M4804)/8760*$B$38)/EXP($B$38)-(8760-$B$31)*$B$33/$B$31,0)</f>
        <v>0.22440448895902898</v>
      </c>
      <c r="O4804" s="165">
        <f t="shared" ref="O4804:O4867" si="229">MIN(N4804,C$24)</f>
        <v>0.22440448895902898</v>
      </c>
      <c r="P4804" s="18"/>
      <c r="Q4804" s="18"/>
      <c r="R4804" s="18"/>
      <c r="S4804" s="18"/>
      <c r="T4804" s="18"/>
      <c r="U4804" s="18"/>
      <c r="V4804" s="18"/>
      <c r="W4804" s="18"/>
      <c r="X4804" s="18"/>
    </row>
    <row r="4805" spans="13:24">
      <c r="M4805" s="558">
        <f t="shared" ref="M4805:M4868" si="230">M4804+1</f>
        <v>4803</v>
      </c>
      <c r="N4805" s="15">
        <f t="shared" si="228"/>
        <v>0.22435176055616074</v>
      </c>
      <c r="O4805" s="165">
        <f t="shared" si="229"/>
        <v>0.22435176055616074</v>
      </c>
      <c r="P4805" s="18"/>
      <c r="Q4805" s="18"/>
      <c r="R4805" s="18"/>
      <c r="S4805" s="18"/>
      <c r="T4805" s="18"/>
      <c r="U4805" s="18"/>
      <c r="V4805" s="18"/>
      <c r="W4805" s="18"/>
      <c r="X4805" s="18"/>
    </row>
    <row r="4806" spans="13:24">
      <c r="M4806" s="558">
        <f t="shared" si="230"/>
        <v>4804</v>
      </c>
      <c r="N4806" s="15">
        <f t="shared" si="228"/>
        <v>0.22429903385815089</v>
      </c>
      <c r="O4806" s="165">
        <f t="shared" si="229"/>
        <v>0.22429903385815089</v>
      </c>
      <c r="P4806" s="18"/>
      <c r="Q4806" s="18"/>
      <c r="R4806" s="18"/>
      <c r="S4806" s="18"/>
      <c r="T4806" s="18"/>
      <c r="U4806" s="18"/>
      <c r="V4806" s="18"/>
      <c r="W4806" s="18"/>
      <c r="X4806" s="18"/>
    </row>
    <row r="4807" spans="13:24">
      <c r="M4807" s="558">
        <f t="shared" si="230"/>
        <v>4805</v>
      </c>
      <c r="N4807" s="15">
        <f t="shared" si="228"/>
        <v>0.22424630886286001</v>
      </c>
      <c r="O4807" s="165">
        <f t="shared" si="229"/>
        <v>0.22424630886286001</v>
      </c>
      <c r="P4807" s="18"/>
      <c r="Q4807" s="18"/>
      <c r="R4807" s="18"/>
      <c r="S4807" s="18"/>
      <c r="T4807" s="18"/>
      <c r="U4807" s="18"/>
      <c r="V4807" s="18"/>
      <c r="W4807" s="18"/>
      <c r="X4807" s="18"/>
    </row>
    <row r="4808" spans="13:24">
      <c r="M4808" s="558">
        <f t="shared" si="230"/>
        <v>4806</v>
      </c>
      <c r="N4808" s="15">
        <f t="shared" si="228"/>
        <v>0.22419358556815128</v>
      </c>
      <c r="O4808" s="165">
        <f t="shared" si="229"/>
        <v>0.22419358556815128</v>
      </c>
      <c r="P4808" s="18"/>
      <c r="Q4808" s="18"/>
      <c r="R4808" s="18"/>
      <c r="S4808" s="18"/>
      <c r="T4808" s="18"/>
      <c r="U4808" s="18"/>
      <c r="V4808" s="18"/>
      <c r="W4808" s="18"/>
      <c r="X4808" s="18"/>
    </row>
    <row r="4809" spans="13:24">
      <c r="M4809" s="558">
        <f t="shared" si="230"/>
        <v>4807</v>
      </c>
      <c r="N4809" s="15">
        <f t="shared" si="228"/>
        <v>0.22414086397189067</v>
      </c>
      <c r="O4809" s="165">
        <f t="shared" si="229"/>
        <v>0.22414086397189067</v>
      </c>
      <c r="P4809" s="18"/>
      <c r="Q4809" s="18"/>
      <c r="R4809" s="18"/>
      <c r="S4809" s="18"/>
      <c r="T4809" s="18"/>
      <c r="U4809" s="18"/>
      <c r="V4809" s="18"/>
      <c r="W4809" s="18"/>
      <c r="X4809" s="18"/>
    </row>
    <row r="4810" spans="13:24">
      <c r="M4810" s="558">
        <f t="shared" si="230"/>
        <v>4808</v>
      </c>
      <c r="N4810" s="15">
        <f t="shared" si="228"/>
        <v>0.22408814407194672</v>
      </c>
      <c r="O4810" s="165">
        <f t="shared" si="229"/>
        <v>0.22408814407194672</v>
      </c>
      <c r="P4810" s="18"/>
      <c r="Q4810" s="18"/>
      <c r="R4810" s="18"/>
      <c r="S4810" s="18"/>
      <c r="T4810" s="18"/>
      <c r="U4810" s="18"/>
      <c r="V4810" s="18"/>
      <c r="W4810" s="18"/>
      <c r="X4810" s="18"/>
    </row>
    <row r="4811" spans="13:24">
      <c r="M4811" s="558">
        <f t="shared" si="230"/>
        <v>4809</v>
      </c>
      <c r="N4811" s="15">
        <f t="shared" si="228"/>
        <v>0.22403542586619071</v>
      </c>
      <c r="O4811" s="165">
        <f t="shared" si="229"/>
        <v>0.22403542586619071</v>
      </c>
      <c r="P4811" s="18"/>
      <c r="Q4811" s="18"/>
      <c r="R4811" s="18"/>
      <c r="S4811" s="18"/>
      <c r="T4811" s="18"/>
      <c r="U4811" s="18"/>
      <c r="V4811" s="18"/>
      <c r="W4811" s="18"/>
      <c r="X4811" s="18"/>
    </row>
    <row r="4812" spans="13:24">
      <c r="M4812" s="558">
        <f t="shared" si="230"/>
        <v>4810</v>
      </c>
      <c r="N4812" s="15">
        <f t="shared" si="228"/>
        <v>0.22398270935249651</v>
      </c>
      <c r="O4812" s="165">
        <f t="shared" si="229"/>
        <v>0.22398270935249651</v>
      </c>
      <c r="P4812" s="18"/>
      <c r="Q4812" s="18"/>
      <c r="R4812" s="18"/>
      <c r="S4812" s="18"/>
      <c r="T4812" s="18"/>
      <c r="U4812" s="18"/>
      <c r="V4812" s="18"/>
      <c r="W4812" s="18"/>
      <c r="X4812" s="18"/>
    </row>
    <row r="4813" spans="13:24">
      <c r="M4813" s="558">
        <f t="shared" si="230"/>
        <v>4811</v>
      </c>
      <c r="N4813" s="15">
        <f t="shared" si="228"/>
        <v>0.22392999452874082</v>
      </c>
      <c r="O4813" s="165">
        <f t="shared" si="229"/>
        <v>0.22392999452874082</v>
      </c>
      <c r="P4813" s="18"/>
      <c r="Q4813" s="18"/>
      <c r="R4813" s="18"/>
      <c r="S4813" s="18"/>
      <c r="T4813" s="18"/>
      <c r="U4813" s="18"/>
      <c r="V4813" s="18"/>
      <c r="W4813" s="18"/>
      <c r="X4813" s="18"/>
    </row>
    <row r="4814" spans="13:24">
      <c r="M4814" s="558">
        <f t="shared" si="230"/>
        <v>4812</v>
      </c>
      <c r="N4814" s="15">
        <f t="shared" si="228"/>
        <v>0.2238772813928028</v>
      </c>
      <c r="O4814" s="165">
        <f t="shared" si="229"/>
        <v>0.2238772813928028</v>
      </c>
      <c r="P4814" s="18"/>
      <c r="Q4814" s="18"/>
      <c r="R4814" s="18"/>
      <c r="S4814" s="18"/>
      <c r="T4814" s="18"/>
      <c r="U4814" s="18"/>
      <c r="V4814" s="18"/>
      <c r="W4814" s="18"/>
      <c r="X4814" s="18"/>
    </row>
    <row r="4815" spans="13:24">
      <c r="M4815" s="558">
        <f t="shared" si="230"/>
        <v>4813</v>
      </c>
      <c r="N4815" s="15">
        <f t="shared" si="228"/>
        <v>0.22382456994256447</v>
      </c>
      <c r="O4815" s="165">
        <f t="shared" si="229"/>
        <v>0.22382456994256447</v>
      </c>
      <c r="P4815" s="18"/>
      <c r="Q4815" s="18"/>
      <c r="R4815" s="18"/>
      <c r="S4815" s="18"/>
      <c r="T4815" s="18"/>
      <c r="U4815" s="18"/>
      <c r="V4815" s="18"/>
      <c r="W4815" s="18"/>
      <c r="X4815" s="18"/>
    </row>
    <row r="4816" spans="13:24">
      <c r="M4816" s="558">
        <f t="shared" si="230"/>
        <v>4814</v>
      </c>
      <c r="N4816" s="15">
        <f t="shared" si="228"/>
        <v>0.22377186017591036</v>
      </c>
      <c r="O4816" s="165">
        <f t="shared" si="229"/>
        <v>0.22377186017591036</v>
      </c>
      <c r="P4816" s="18"/>
      <c r="Q4816" s="18"/>
      <c r="R4816" s="18"/>
      <c r="S4816" s="18"/>
      <c r="T4816" s="18"/>
      <c r="U4816" s="18"/>
      <c r="V4816" s="18"/>
      <c r="W4816" s="18"/>
      <c r="X4816" s="18"/>
    </row>
    <row r="4817" spans="13:24">
      <c r="M4817" s="558">
        <f t="shared" si="230"/>
        <v>4815</v>
      </c>
      <c r="N4817" s="15">
        <f t="shared" si="228"/>
        <v>0.22371915209072771</v>
      </c>
      <c r="O4817" s="165">
        <f t="shared" si="229"/>
        <v>0.22371915209072771</v>
      </c>
      <c r="P4817" s="18"/>
      <c r="Q4817" s="18"/>
      <c r="R4817" s="18"/>
      <c r="S4817" s="18"/>
      <c r="T4817" s="18"/>
      <c r="U4817" s="18"/>
      <c r="V4817" s="18"/>
      <c r="W4817" s="18"/>
      <c r="X4817" s="18"/>
    </row>
    <row r="4818" spans="13:24">
      <c r="M4818" s="558">
        <f t="shared" si="230"/>
        <v>4816</v>
      </c>
      <c r="N4818" s="15">
        <f t="shared" si="228"/>
        <v>0.22366644568490637</v>
      </c>
      <c r="O4818" s="165">
        <f t="shared" si="229"/>
        <v>0.22366644568490637</v>
      </c>
      <c r="P4818" s="18"/>
      <c r="Q4818" s="18"/>
      <c r="R4818" s="18"/>
      <c r="S4818" s="18"/>
      <c r="T4818" s="18"/>
      <c r="U4818" s="18"/>
      <c r="V4818" s="18"/>
      <c r="W4818" s="18"/>
      <c r="X4818" s="18"/>
    </row>
    <row r="4819" spans="13:24">
      <c r="M4819" s="558">
        <f t="shared" si="230"/>
        <v>4817</v>
      </c>
      <c r="N4819" s="15">
        <f t="shared" si="228"/>
        <v>0.22361374095633896</v>
      </c>
      <c r="O4819" s="165">
        <f t="shared" si="229"/>
        <v>0.22361374095633896</v>
      </c>
      <c r="P4819" s="18"/>
      <c r="Q4819" s="18"/>
      <c r="R4819" s="18"/>
      <c r="S4819" s="18"/>
      <c r="T4819" s="18"/>
      <c r="U4819" s="18"/>
      <c r="V4819" s="18"/>
      <c r="W4819" s="18"/>
      <c r="X4819" s="18"/>
    </row>
    <row r="4820" spans="13:24">
      <c r="M4820" s="558">
        <f t="shared" si="230"/>
        <v>4818</v>
      </c>
      <c r="N4820" s="15">
        <f t="shared" si="228"/>
        <v>0.22356103790292062</v>
      </c>
      <c r="O4820" s="165">
        <f t="shared" si="229"/>
        <v>0.22356103790292062</v>
      </c>
      <c r="P4820" s="18"/>
      <c r="Q4820" s="18"/>
      <c r="R4820" s="18"/>
      <c r="S4820" s="18"/>
      <c r="T4820" s="18"/>
      <c r="U4820" s="18"/>
      <c r="V4820" s="18"/>
      <c r="W4820" s="18"/>
      <c r="X4820" s="18"/>
    </row>
    <row r="4821" spans="13:24">
      <c r="M4821" s="558">
        <f t="shared" si="230"/>
        <v>4819</v>
      </c>
      <c r="N4821" s="15">
        <f t="shared" si="228"/>
        <v>0.22350833652254914</v>
      </c>
      <c r="O4821" s="165">
        <f t="shared" si="229"/>
        <v>0.22350833652254914</v>
      </c>
      <c r="P4821" s="18"/>
      <c r="Q4821" s="18"/>
      <c r="R4821" s="18"/>
      <c r="S4821" s="18"/>
      <c r="T4821" s="18"/>
      <c r="U4821" s="18"/>
      <c r="V4821" s="18"/>
      <c r="W4821" s="18"/>
      <c r="X4821" s="18"/>
    </row>
    <row r="4822" spans="13:24">
      <c r="M4822" s="558">
        <f t="shared" si="230"/>
        <v>4820</v>
      </c>
      <c r="N4822" s="15">
        <f t="shared" si="228"/>
        <v>0.22345563681312505</v>
      </c>
      <c r="O4822" s="165">
        <f t="shared" si="229"/>
        <v>0.22345563681312505</v>
      </c>
      <c r="P4822" s="18"/>
      <c r="Q4822" s="18"/>
      <c r="R4822" s="18"/>
      <c r="S4822" s="18"/>
      <c r="T4822" s="18"/>
      <c r="U4822" s="18"/>
      <c r="V4822" s="18"/>
      <c r="W4822" s="18"/>
      <c r="X4822" s="18"/>
    </row>
    <row r="4823" spans="13:24">
      <c r="M4823" s="558">
        <f t="shared" si="230"/>
        <v>4821</v>
      </c>
      <c r="N4823" s="15">
        <f t="shared" si="228"/>
        <v>0.22340293877255135</v>
      </c>
      <c r="O4823" s="165">
        <f t="shared" si="229"/>
        <v>0.22340293877255135</v>
      </c>
      <c r="P4823" s="18"/>
      <c r="Q4823" s="18"/>
      <c r="R4823" s="18"/>
      <c r="S4823" s="18"/>
      <c r="T4823" s="18"/>
      <c r="U4823" s="18"/>
      <c r="V4823" s="18"/>
      <c r="W4823" s="18"/>
      <c r="X4823" s="18"/>
    </row>
    <row r="4824" spans="13:24">
      <c r="M4824" s="558">
        <f t="shared" si="230"/>
        <v>4822</v>
      </c>
      <c r="N4824" s="15">
        <f t="shared" si="228"/>
        <v>0.22335024239873388</v>
      </c>
      <c r="O4824" s="165">
        <f t="shared" si="229"/>
        <v>0.22335024239873388</v>
      </c>
      <c r="P4824" s="18"/>
      <c r="Q4824" s="18"/>
      <c r="R4824" s="18"/>
      <c r="S4824" s="18"/>
      <c r="T4824" s="18"/>
      <c r="U4824" s="18"/>
      <c r="V4824" s="18"/>
      <c r="W4824" s="18"/>
      <c r="X4824" s="18"/>
    </row>
    <row r="4825" spans="13:24">
      <c r="M4825" s="558">
        <f t="shared" si="230"/>
        <v>4823</v>
      </c>
      <c r="N4825" s="15">
        <f t="shared" si="228"/>
        <v>0.22329754768958093</v>
      </c>
      <c r="O4825" s="165">
        <f t="shared" si="229"/>
        <v>0.22329754768958093</v>
      </c>
      <c r="P4825" s="18"/>
      <c r="Q4825" s="18"/>
      <c r="R4825" s="18"/>
      <c r="S4825" s="18"/>
      <c r="T4825" s="18"/>
      <c r="U4825" s="18"/>
      <c r="V4825" s="18"/>
      <c r="W4825" s="18"/>
      <c r="X4825" s="18"/>
    </row>
    <row r="4826" spans="13:24">
      <c r="M4826" s="558">
        <f t="shared" si="230"/>
        <v>4824</v>
      </c>
      <c r="N4826" s="15">
        <f t="shared" si="228"/>
        <v>0.22324485464300348</v>
      </c>
      <c r="O4826" s="165">
        <f t="shared" si="229"/>
        <v>0.22324485464300348</v>
      </c>
      <c r="P4826" s="18"/>
      <c r="Q4826" s="18"/>
      <c r="R4826" s="18"/>
      <c r="S4826" s="18"/>
      <c r="T4826" s="18"/>
      <c r="U4826" s="18"/>
      <c r="V4826" s="18"/>
      <c r="W4826" s="18"/>
      <c r="X4826" s="18"/>
    </row>
    <row r="4827" spans="13:24">
      <c r="M4827" s="558">
        <f t="shared" si="230"/>
        <v>4825</v>
      </c>
      <c r="N4827" s="15">
        <f t="shared" si="228"/>
        <v>0.22319216325691513</v>
      </c>
      <c r="O4827" s="165">
        <f t="shared" si="229"/>
        <v>0.22319216325691513</v>
      </c>
      <c r="P4827" s="18"/>
      <c r="Q4827" s="18"/>
      <c r="R4827" s="18"/>
      <c r="S4827" s="18"/>
      <c r="T4827" s="18"/>
      <c r="U4827" s="18"/>
      <c r="V4827" s="18"/>
      <c r="W4827" s="18"/>
      <c r="X4827" s="18"/>
    </row>
    <row r="4828" spans="13:24">
      <c r="M4828" s="558">
        <f t="shared" si="230"/>
        <v>4826</v>
      </c>
      <c r="N4828" s="15">
        <f t="shared" si="228"/>
        <v>0.22313947352923214</v>
      </c>
      <c r="O4828" s="165">
        <f t="shared" si="229"/>
        <v>0.22313947352923214</v>
      </c>
      <c r="P4828" s="18"/>
      <c r="Q4828" s="18"/>
      <c r="R4828" s="18"/>
      <c r="S4828" s="18"/>
      <c r="T4828" s="18"/>
      <c r="U4828" s="18"/>
      <c r="V4828" s="18"/>
      <c r="W4828" s="18"/>
      <c r="X4828" s="18"/>
    </row>
    <row r="4829" spans="13:24">
      <c r="M4829" s="558">
        <f t="shared" si="230"/>
        <v>4827</v>
      </c>
      <c r="N4829" s="15">
        <f t="shared" si="228"/>
        <v>0.22308678545787328</v>
      </c>
      <c r="O4829" s="165">
        <f t="shared" si="229"/>
        <v>0.22308678545787328</v>
      </c>
      <c r="P4829" s="18"/>
      <c r="Q4829" s="18"/>
      <c r="R4829" s="18"/>
      <c r="S4829" s="18"/>
      <c r="T4829" s="18"/>
      <c r="U4829" s="18"/>
      <c r="V4829" s="18"/>
      <c r="W4829" s="18"/>
      <c r="X4829" s="18"/>
    </row>
    <row r="4830" spans="13:24">
      <c r="M4830" s="558">
        <f t="shared" si="230"/>
        <v>4828</v>
      </c>
      <c r="N4830" s="15">
        <f t="shared" si="228"/>
        <v>0.22303409904076005</v>
      </c>
      <c r="O4830" s="165">
        <f t="shared" si="229"/>
        <v>0.22303409904076005</v>
      </c>
      <c r="P4830" s="18"/>
      <c r="Q4830" s="18"/>
      <c r="R4830" s="18"/>
      <c r="S4830" s="18"/>
      <c r="T4830" s="18"/>
      <c r="U4830" s="18"/>
      <c r="V4830" s="18"/>
      <c r="W4830" s="18"/>
      <c r="X4830" s="18"/>
    </row>
    <row r="4831" spans="13:24">
      <c r="M4831" s="558">
        <f t="shared" si="230"/>
        <v>4829</v>
      </c>
      <c r="N4831" s="15">
        <f t="shared" si="228"/>
        <v>0.22298141427581647</v>
      </c>
      <c r="O4831" s="165">
        <f t="shared" si="229"/>
        <v>0.22298141427581647</v>
      </c>
      <c r="P4831" s="18"/>
      <c r="Q4831" s="18"/>
      <c r="R4831" s="18"/>
      <c r="S4831" s="18"/>
      <c r="T4831" s="18"/>
      <c r="U4831" s="18"/>
      <c r="V4831" s="18"/>
      <c r="W4831" s="18"/>
      <c r="X4831" s="18"/>
    </row>
    <row r="4832" spans="13:24">
      <c r="M4832" s="558">
        <f t="shared" si="230"/>
        <v>4830</v>
      </c>
      <c r="N4832" s="15">
        <f t="shared" si="228"/>
        <v>0.22292873116096923</v>
      </c>
      <c r="O4832" s="165">
        <f t="shared" si="229"/>
        <v>0.22292873116096923</v>
      </c>
      <c r="P4832" s="18"/>
      <c r="Q4832" s="18"/>
      <c r="R4832" s="18"/>
      <c r="S4832" s="18"/>
      <c r="T4832" s="18"/>
      <c r="U4832" s="18"/>
      <c r="V4832" s="18"/>
      <c r="W4832" s="18"/>
      <c r="X4832" s="18"/>
    </row>
    <row r="4833" spans="13:24">
      <c r="M4833" s="558">
        <f t="shared" si="230"/>
        <v>4831</v>
      </c>
      <c r="N4833" s="15">
        <f t="shared" si="228"/>
        <v>0.22287604969414754</v>
      </c>
      <c r="O4833" s="165">
        <f t="shared" si="229"/>
        <v>0.22287604969414754</v>
      </c>
      <c r="P4833" s="18"/>
      <c r="Q4833" s="18"/>
      <c r="R4833" s="18"/>
      <c r="S4833" s="18"/>
      <c r="T4833" s="18"/>
      <c r="U4833" s="18"/>
      <c r="V4833" s="18"/>
      <c r="W4833" s="18"/>
      <c r="X4833" s="18"/>
    </row>
    <row r="4834" spans="13:24">
      <c r="M4834" s="558">
        <f t="shared" si="230"/>
        <v>4832</v>
      </c>
      <c r="N4834" s="15">
        <f t="shared" si="228"/>
        <v>0.22282336987328333</v>
      </c>
      <c r="O4834" s="165">
        <f t="shared" si="229"/>
        <v>0.22282336987328333</v>
      </c>
      <c r="P4834" s="18"/>
      <c r="Q4834" s="18"/>
      <c r="R4834" s="18"/>
      <c r="S4834" s="18"/>
      <c r="T4834" s="18"/>
      <c r="U4834" s="18"/>
      <c r="V4834" s="18"/>
      <c r="W4834" s="18"/>
      <c r="X4834" s="18"/>
    </row>
    <row r="4835" spans="13:24">
      <c r="M4835" s="558">
        <f t="shared" si="230"/>
        <v>4833</v>
      </c>
      <c r="N4835" s="15">
        <f t="shared" si="228"/>
        <v>0.222770691696311</v>
      </c>
      <c r="O4835" s="165">
        <f t="shared" si="229"/>
        <v>0.222770691696311</v>
      </c>
      <c r="P4835" s="18"/>
      <c r="Q4835" s="18"/>
      <c r="R4835" s="18"/>
      <c r="S4835" s="18"/>
      <c r="T4835" s="18"/>
      <c r="U4835" s="18"/>
      <c r="V4835" s="18"/>
      <c r="W4835" s="18"/>
      <c r="X4835" s="18"/>
    </row>
    <row r="4836" spans="13:24">
      <c r="M4836" s="558">
        <f t="shared" si="230"/>
        <v>4834</v>
      </c>
      <c r="N4836" s="15">
        <f t="shared" si="228"/>
        <v>0.22271801516116763</v>
      </c>
      <c r="O4836" s="165">
        <f t="shared" si="229"/>
        <v>0.22271801516116763</v>
      </c>
      <c r="P4836" s="18"/>
      <c r="Q4836" s="18"/>
      <c r="R4836" s="18"/>
      <c r="S4836" s="18"/>
      <c r="T4836" s="18"/>
      <c r="U4836" s="18"/>
      <c r="V4836" s="18"/>
      <c r="W4836" s="18"/>
      <c r="X4836" s="18"/>
    </row>
    <row r="4837" spans="13:24">
      <c r="M4837" s="558">
        <f t="shared" si="230"/>
        <v>4835</v>
      </c>
      <c r="N4837" s="15">
        <f t="shared" si="228"/>
        <v>0.22266534026579285</v>
      </c>
      <c r="O4837" s="165">
        <f t="shared" si="229"/>
        <v>0.22266534026579285</v>
      </c>
      <c r="P4837" s="18"/>
      <c r="Q4837" s="18"/>
      <c r="R4837" s="18"/>
      <c r="S4837" s="18"/>
      <c r="T4837" s="18"/>
      <c r="U4837" s="18"/>
      <c r="V4837" s="18"/>
      <c r="W4837" s="18"/>
      <c r="X4837" s="18"/>
    </row>
    <row r="4838" spans="13:24">
      <c r="M4838" s="558">
        <f t="shared" si="230"/>
        <v>4836</v>
      </c>
      <c r="N4838" s="15">
        <f t="shared" si="228"/>
        <v>0.22261266700812887</v>
      </c>
      <c r="O4838" s="165">
        <f t="shared" si="229"/>
        <v>0.22261266700812887</v>
      </c>
      <c r="P4838" s="18"/>
      <c r="Q4838" s="18"/>
      <c r="R4838" s="18"/>
      <c r="S4838" s="18"/>
      <c r="T4838" s="18"/>
      <c r="U4838" s="18"/>
      <c r="V4838" s="18"/>
      <c r="W4838" s="18"/>
      <c r="X4838" s="18"/>
    </row>
    <row r="4839" spans="13:24">
      <c r="M4839" s="558">
        <f t="shared" si="230"/>
        <v>4837</v>
      </c>
      <c r="N4839" s="15">
        <f t="shared" si="228"/>
        <v>0.22255999538612053</v>
      </c>
      <c r="O4839" s="165">
        <f t="shared" si="229"/>
        <v>0.22255999538612053</v>
      </c>
      <c r="P4839" s="18"/>
      <c r="Q4839" s="18"/>
      <c r="R4839" s="18"/>
      <c r="S4839" s="18"/>
      <c r="T4839" s="18"/>
      <c r="U4839" s="18"/>
      <c r="V4839" s="18"/>
      <c r="W4839" s="18"/>
      <c r="X4839" s="18"/>
    </row>
    <row r="4840" spans="13:24">
      <c r="M4840" s="558">
        <f t="shared" si="230"/>
        <v>4838</v>
      </c>
      <c r="N4840" s="15">
        <f t="shared" si="228"/>
        <v>0.22250732539771514</v>
      </c>
      <c r="O4840" s="165">
        <f t="shared" si="229"/>
        <v>0.22250732539771514</v>
      </c>
      <c r="P4840" s="18"/>
      <c r="Q4840" s="18"/>
      <c r="R4840" s="18"/>
      <c r="S4840" s="18"/>
      <c r="T4840" s="18"/>
      <c r="U4840" s="18"/>
      <c r="V4840" s="18"/>
      <c r="W4840" s="18"/>
      <c r="X4840" s="18"/>
    </row>
    <row r="4841" spans="13:24">
      <c r="M4841" s="558">
        <f t="shared" si="230"/>
        <v>4839</v>
      </c>
      <c r="N4841" s="15">
        <f t="shared" si="228"/>
        <v>0.22245465704086276</v>
      </c>
      <c r="O4841" s="165">
        <f t="shared" si="229"/>
        <v>0.22245465704086276</v>
      </c>
      <c r="P4841" s="18"/>
      <c r="Q4841" s="18"/>
      <c r="R4841" s="18"/>
      <c r="S4841" s="18"/>
      <c r="T4841" s="18"/>
      <c r="U4841" s="18"/>
      <c r="V4841" s="18"/>
      <c r="W4841" s="18"/>
      <c r="X4841" s="18"/>
    </row>
    <row r="4842" spans="13:24">
      <c r="M4842" s="558">
        <f t="shared" si="230"/>
        <v>4840</v>
      </c>
      <c r="N4842" s="15">
        <f t="shared" si="228"/>
        <v>0.22240199031351582</v>
      </c>
      <c r="O4842" s="165">
        <f t="shared" si="229"/>
        <v>0.22240199031351582</v>
      </c>
      <c r="P4842" s="18"/>
      <c r="Q4842" s="18"/>
      <c r="R4842" s="18"/>
      <c r="S4842" s="18"/>
      <c r="T4842" s="18"/>
      <c r="U4842" s="18"/>
      <c r="V4842" s="18"/>
      <c r="W4842" s="18"/>
      <c r="X4842" s="18"/>
    </row>
    <row r="4843" spans="13:24">
      <c r="M4843" s="558">
        <f t="shared" si="230"/>
        <v>4841</v>
      </c>
      <c r="N4843" s="15">
        <f t="shared" si="228"/>
        <v>0.22234932521362949</v>
      </c>
      <c r="O4843" s="165">
        <f t="shared" si="229"/>
        <v>0.22234932521362949</v>
      </c>
      <c r="P4843" s="18"/>
      <c r="Q4843" s="18"/>
      <c r="R4843" s="18"/>
      <c r="S4843" s="18"/>
      <c r="T4843" s="18"/>
      <c r="U4843" s="18"/>
      <c r="V4843" s="18"/>
      <c r="W4843" s="18"/>
      <c r="X4843" s="18"/>
    </row>
    <row r="4844" spans="13:24">
      <c r="M4844" s="558">
        <f t="shared" si="230"/>
        <v>4842</v>
      </c>
      <c r="N4844" s="15">
        <f t="shared" si="228"/>
        <v>0.22229666173916141</v>
      </c>
      <c r="O4844" s="165">
        <f t="shared" si="229"/>
        <v>0.22229666173916141</v>
      </c>
      <c r="P4844" s="18"/>
      <c r="Q4844" s="18"/>
      <c r="R4844" s="18"/>
      <c r="S4844" s="18"/>
      <c r="T4844" s="18"/>
      <c r="U4844" s="18"/>
      <c r="V4844" s="18"/>
      <c r="W4844" s="18"/>
      <c r="X4844" s="18"/>
    </row>
    <row r="4845" spans="13:24">
      <c r="M4845" s="558">
        <f t="shared" si="230"/>
        <v>4843</v>
      </c>
      <c r="N4845" s="15">
        <f t="shared" si="228"/>
        <v>0.22224399988807184</v>
      </c>
      <c r="O4845" s="165">
        <f t="shared" si="229"/>
        <v>0.22224399988807184</v>
      </c>
      <c r="P4845" s="18"/>
      <c r="Q4845" s="18"/>
      <c r="R4845" s="18"/>
      <c r="S4845" s="18"/>
      <c r="T4845" s="18"/>
      <c r="U4845" s="18"/>
      <c r="V4845" s="18"/>
      <c r="W4845" s="18"/>
      <c r="X4845" s="18"/>
    </row>
    <row r="4846" spans="13:24">
      <c r="M4846" s="558">
        <f t="shared" si="230"/>
        <v>4844</v>
      </c>
      <c r="N4846" s="15">
        <f t="shared" si="228"/>
        <v>0.22219133965832349</v>
      </c>
      <c r="O4846" s="165">
        <f t="shared" si="229"/>
        <v>0.22219133965832349</v>
      </c>
      <c r="P4846" s="18"/>
      <c r="Q4846" s="18"/>
      <c r="R4846" s="18"/>
      <c r="S4846" s="18"/>
      <c r="T4846" s="18"/>
      <c r="U4846" s="18"/>
      <c r="V4846" s="18"/>
      <c r="W4846" s="18"/>
      <c r="X4846" s="18"/>
    </row>
    <row r="4847" spans="13:24">
      <c r="M4847" s="558">
        <f t="shared" si="230"/>
        <v>4845</v>
      </c>
      <c r="N4847" s="15">
        <f t="shared" si="228"/>
        <v>0.22213868104788184</v>
      </c>
      <c r="O4847" s="165">
        <f t="shared" si="229"/>
        <v>0.22213868104788184</v>
      </c>
      <c r="P4847" s="18"/>
      <c r="Q4847" s="18"/>
      <c r="R4847" s="18"/>
      <c r="S4847" s="18"/>
      <c r="T4847" s="18"/>
      <c r="U4847" s="18"/>
      <c r="V4847" s="18"/>
      <c r="W4847" s="18"/>
      <c r="X4847" s="18"/>
    </row>
    <row r="4848" spans="13:24">
      <c r="M4848" s="558">
        <f t="shared" si="230"/>
        <v>4846</v>
      </c>
      <c r="N4848" s="15">
        <f t="shared" si="228"/>
        <v>0.22208602405471464</v>
      </c>
      <c r="O4848" s="165">
        <f t="shared" si="229"/>
        <v>0.22208602405471464</v>
      </c>
      <c r="P4848" s="18"/>
      <c r="Q4848" s="18"/>
      <c r="R4848" s="18"/>
      <c r="S4848" s="18"/>
      <c r="T4848" s="18"/>
      <c r="U4848" s="18"/>
      <c r="V4848" s="18"/>
      <c r="W4848" s="18"/>
      <c r="X4848" s="18"/>
    </row>
    <row r="4849" spans="13:24">
      <c r="M4849" s="558">
        <f t="shared" si="230"/>
        <v>4847</v>
      </c>
      <c r="N4849" s="15">
        <f t="shared" si="228"/>
        <v>0.22203336867679249</v>
      </c>
      <c r="O4849" s="165">
        <f t="shared" si="229"/>
        <v>0.22203336867679249</v>
      </c>
      <c r="P4849" s="18"/>
      <c r="Q4849" s="18"/>
      <c r="R4849" s="18"/>
      <c r="S4849" s="18"/>
      <c r="T4849" s="18"/>
      <c r="U4849" s="18"/>
      <c r="V4849" s="18"/>
      <c r="W4849" s="18"/>
      <c r="X4849" s="18"/>
    </row>
    <row r="4850" spans="13:24">
      <c r="M4850" s="558">
        <f t="shared" si="230"/>
        <v>4848</v>
      </c>
      <c r="N4850" s="15">
        <f t="shared" si="228"/>
        <v>0.22198071491208826</v>
      </c>
      <c r="O4850" s="165">
        <f t="shared" si="229"/>
        <v>0.22198071491208826</v>
      </c>
      <c r="P4850" s="18"/>
      <c r="Q4850" s="18"/>
      <c r="R4850" s="18"/>
      <c r="S4850" s="18"/>
      <c r="T4850" s="18"/>
      <c r="U4850" s="18"/>
      <c r="V4850" s="18"/>
      <c r="W4850" s="18"/>
      <c r="X4850" s="18"/>
    </row>
    <row r="4851" spans="13:24">
      <c r="M4851" s="558">
        <f t="shared" si="230"/>
        <v>4849</v>
      </c>
      <c r="N4851" s="15">
        <f t="shared" si="228"/>
        <v>0.22192806275857754</v>
      </c>
      <c r="O4851" s="165">
        <f t="shared" si="229"/>
        <v>0.22192806275857754</v>
      </c>
      <c r="P4851" s="18"/>
      <c r="Q4851" s="18"/>
      <c r="R4851" s="18"/>
      <c r="S4851" s="18"/>
      <c r="T4851" s="18"/>
      <c r="U4851" s="18"/>
      <c r="V4851" s="18"/>
      <c r="W4851" s="18"/>
      <c r="X4851" s="18"/>
    </row>
    <row r="4852" spans="13:24">
      <c r="M4852" s="558">
        <f t="shared" si="230"/>
        <v>4850</v>
      </c>
      <c r="N4852" s="15">
        <f t="shared" si="228"/>
        <v>0.22187541221423845</v>
      </c>
      <c r="O4852" s="165">
        <f t="shared" si="229"/>
        <v>0.22187541221423845</v>
      </c>
      <c r="P4852" s="18"/>
      <c r="Q4852" s="18"/>
      <c r="R4852" s="18"/>
      <c r="S4852" s="18"/>
      <c r="T4852" s="18"/>
      <c r="U4852" s="18"/>
      <c r="V4852" s="18"/>
      <c r="W4852" s="18"/>
      <c r="X4852" s="18"/>
    </row>
    <row r="4853" spans="13:24">
      <c r="M4853" s="558">
        <f t="shared" si="230"/>
        <v>4851</v>
      </c>
      <c r="N4853" s="15">
        <f t="shared" si="228"/>
        <v>0.22182276327705153</v>
      </c>
      <c r="O4853" s="165">
        <f t="shared" si="229"/>
        <v>0.22182276327705153</v>
      </c>
      <c r="P4853" s="18"/>
      <c r="Q4853" s="18"/>
      <c r="R4853" s="18"/>
      <c r="S4853" s="18"/>
      <c r="T4853" s="18"/>
      <c r="U4853" s="18"/>
      <c r="V4853" s="18"/>
      <c r="W4853" s="18"/>
      <c r="X4853" s="18"/>
    </row>
    <row r="4854" spans="13:24">
      <c r="M4854" s="558">
        <f t="shared" si="230"/>
        <v>4852</v>
      </c>
      <c r="N4854" s="15">
        <f t="shared" si="228"/>
        <v>0.22177011594500001</v>
      </c>
      <c r="O4854" s="165">
        <f t="shared" si="229"/>
        <v>0.22177011594500001</v>
      </c>
      <c r="P4854" s="18"/>
      <c r="Q4854" s="18"/>
      <c r="R4854" s="18"/>
      <c r="S4854" s="18"/>
      <c r="T4854" s="18"/>
      <c r="U4854" s="18"/>
      <c r="V4854" s="18"/>
      <c r="W4854" s="18"/>
      <c r="X4854" s="18"/>
    </row>
    <row r="4855" spans="13:24">
      <c r="M4855" s="558">
        <f t="shared" si="230"/>
        <v>4853</v>
      </c>
      <c r="N4855" s="15">
        <f t="shared" si="228"/>
        <v>0.22171747021606952</v>
      </c>
      <c r="O4855" s="165">
        <f t="shared" si="229"/>
        <v>0.22171747021606952</v>
      </c>
      <c r="P4855" s="18"/>
      <c r="Q4855" s="18"/>
      <c r="R4855" s="18"/>
      <c r="S4855" s="18"/>
      <c r="T4855" s="18"/>
      <c r="U4855" s="18"/>
      <c r="V4855" s="18"/>
      <c r="W4855" s="18"/>
      <c r="X4855" s="18"/>
    </row>
    <row r="4856" spans="13:24">
      <c r="M4856" s="558">
        <f t="shared" si="230"/>
        <v>4854</v>
      </c>
      <c r="N4856" s="15">
        <f t="shared" si="228"/>
        <v>0.22166482608824833</v>
      </c>
      <c r="O4856" s="165">
        <f t="shared" si="229"/>
        <v>0.22166482608824833</v>
      </c>
      <c r="P4856" s="18"/>
      <c r="Q4856" s="18"/>
      <c r="R4856" s="18"/>
      <c r="S4856" s="18"/>
      <c r="T4856" s="18"/>
      <c r="U4856" s="18"/>
      <c r="V4856" s="18"/>
      <c r="W4856" s="18"/>
      <c r="X4856" s="18"/>
    </row>
    <row r="4857" spans="13:24">
      <c r="M4857" s="558">
        <f t="shared" si="230"/>
        <v>4855</v>
      </c>
      <c r="N4857" s="15">
        <f t="shared" si="228"/>
        <v>0.22161218355952711</v>
      </c>
      <c r="O4857" s="165">
        <f t="shared" si="229"/>
        <v>0.22161218355952711</v>
      </c>
      <c r="P4857" s="18"/>
      <c r="Q4857" s="18"/>
      <c r="R4857" s="18"/>
      <c r="S4857" s="18"/>
      <c r="T4857" s="18"/>
      <c r="U4857" s="18"/>
      <c r="V4857" s="18"/>
      <c r="W4857" s="18"/>
      <c r="X4857" s="18"/>
    </row>
    <row r="4858" spans="13:24">
      <c r="M4858" s="558">
        <f t="shared" si="230"/>
        <v>4856</v>
      </c>
      <c r="N4858" s="15">
        <f t="shared" si="228"/>
        <v>0.22155954262789918</v>
      </c>
      <c r="O4858" s="165">
        <f t="shared" si="229"/>
        <v>0.22155954262789918</v>
      </c>
      <c r="P4858" s="18"/>
      <c r="Q4858" s="18"/>
      <c r="R4858" s="18"/>
      <c r="S4858" s="18"/>
      <c r="T4858" s="18"/>
      <c r="U4858" s="18"/>
      <c r="V4858" s="18"/>
      <c r="W4858" s="18"/>
      <c r="X4858" s="18"/>
    </row>
    <row r="4859" spans="13:24">
      <c r="M4859" s="558">
        <f t="shared" si="230"/>
        <v>4857</v>
      </c>
      <c r="N4859" s="15">
        <f t="shared" si="228"/>
        <v>0.22150690329136022</v>
      </c>
      <c r="O4859" s="165">
        <f t="shared" si="229"/>
        <v>0.22150690329136022</v>
      </c>
      <c r="P4859" s="18"/>
      <c r="Q4859" s="18"/>
      <c r="R4859" s="18"/>
      <c r="S4859" s="18"/>
      <c r="T4859" s="18"/>
      <c r="U4859" s="18"/>
      <c r="V4859" s="18"/>
      <c r="W4859" s="18"/>
      <c r="X4859" s="18"/>
    </row>
    <row r="4860" spans="13:24">
      <c r="M4860" s="558">
        <f t="shared" si="230"/>
        <v>4858</v>
      </c>
      <c r="N4860" s="15">
        <f t="shared" si="228"/>
        <v>0.22145426554790865</v>
      </c>
      <c r="O4860" s="165">
        <f t="shared" si="229"/>
        <v>0.22145426554790865</v>
      </c>
      <c r="P4860" s="18"/>
      <c r="Q4860" s="18"/>
      <c r="R4860" s="18"/>
      <c r="S4860" s="18"/>
      <c r="T4860" s="18"/>
      <c r="U4860" s="18"/>
      <c r="V4860" s="18"/>
      <c r="W4860" s="18"/>
      <c r="X4860" s="18"/>
    </row>
    <row r="4861" spans="13:24">
      <c r="M4861" s="558">
        <f t="shared" si="230"/>
        <v>4859</v>
      </c>
      <c r="N4861" s="15">
        <f t="shared" si="228"/>
        <v>0.22140162939554514</v>
      </c>
      <c r="O4861" s="165">
        <f t="shared" si="229"/>
        <v>0.22140162939554514</v>
      </c>
      <c r="P4861" s="18"/>
      <c r="Q4861" s="18"/>
      <c r="R4861" s="18"/>
      <c r="S4861" s="18"/>
      <c r="T4861" s="18"/>
      <c r="U4861" s="18"/>
      <c r="V4861" s="18"/>
      <c r="W4861" s="18"/>
      <c r="X4861" s="18"/>
    </row>
    <row r="4862" spans="13:24">
      <c r="M4862" s="558">
        <f t="shared" si="230"/>
        <v>4860</v>
      </c>
      <c r="N4862" s="15">
        <f t="shared" si="228"/>
        <v>0.22134899483227313</v>
      </c>
      <c r="O4862" s="165">
        <f t="shared" si="229"/>
        <v>0.22134899483227313</v>
      </c>
      <c r="P4862" s="18"/>
      <c r="Q4862" s="18"/>
      <c r="R4862" s="18"/>
      <c r="S4862" s="18"/>
      <c r="T4862" s="18"/>
      <c r="U4862" s="18"/>
      <c r="V4862" s="18"/>
      <c r="W4862" s="18"/>
      <c r="X4862" s="18"/>
    </row>
    <row r="4863" spans="13:24">
      <c r="M4863" s="558">
        <f t="shared" si="230"/>
        <v>4861</v>
      </c>
      <c r="N4863" s="15">
        <f t="shared" si="228"/>
        <v>0.22129636185609836</v>
      </c>
      <c r="O4863" s="165">
        <f t="shared" si="229"/>
        <v>0.22129636185609836</v>
      </c>
      <c r="P4863" s="18"/>
      <c r="Q4863" s="18"/>
      <c r="R4863" s="18"/>
      <c r="S4863" s="18"/>
      <c r="T4863" s="18"/>
      <c r="U4863" s="18"/>
      <c r="V4863" s="18"/>
      <c r="W4863" s="18"/>
      <c r="X4863" s="18"/>
    </row>
    <row r="4864" spans="13:24">
      <c r="M4864" s="558">
        <f t="shared" si="230"/>
        <v>4862</v>
      </c>
      <c r="N4864" s="15">
        <f t="shared" si="228"/>
        <v>0.22124373046502918</v>
      </c>
      <c r="O4864" s="165">
        <f t="shared" si="229"/>
        <v>0.22124373046502918</v>
      </c>
      <c r="P4864" s="18"/>
      <c r="Q4864" s="18"/>
      <c r="R4864" s="18"/>
      <c r="S4864" s="18"/>
      <c r="T4864" s="18"/>
      <c r="U4864" s="18"/>
      <c r="V4864" s="18"/>
      <c r="W4864" s="18"/>
      <c r="X4864" s="18"/>
    </row>
    <row r="4865" spans="13:24">
      <c r="M4865" s="558">
        <f t="shared" si="230"/>
        <v>4863</v>
      </c>
      <c r="N4865" s="15">
        <f t="shared" si="228"/>
        <v>0.22119110065707637</v>
      </c>
      <c r="O4865" s="165">
        <f t="shared" si="229"/>
        <v>0.22119110065707637</v>
      </c>
      <c r="P4865" s="18"/>
      <c r="Q4865" s="18"/>
      <c r="R4865" s="18"/>
      <c r="S4865" s="18"/>
      <c r="T4865" s="18"/>
      <c r="U4865" s="18"/>
      <c r="V4865" s="18"/>
      <c r="W4865" s="18"/>
      <c r="X4865" s="18"/>
    </row>
    <row r="4866" spans="13:24">
      <c r="M4866" s="558">
        <f t="shared" si="230"/>
        <v>4864</v>
      </c>
      <c r="N4866" s="15">
        <f t="shared" si="228"/>
        <v>0.22113847243025325</v>
      </c>
      <c r="O4866" s="165">
        <f t="shared" si="229"/>
        <v>0.22113847243025325</v>
      </c>
      <c r="P4866" s="18"/>
      <c r="Q4866" s="18"/>
      <c r="R4866" s="18"/>
      <c r="S4866" s="18"/>
      <c r="T4866" s="18"/>
      <c r="U4866" s="18"/>
      <c r="V4866" s="18"/>
      <c r="W4866" s="18"/>
      <c r="X4866" s="18"/>
    </row>
    <row r="4867" spans="13:24">
      <c r="M4867" s="558">
        <f t="shared" si="230"/>
        <v>4865</v>
      </c>
      <c r="N4867" s="15">
        <f t="shared" si="228"/>
        <v>0.22108584578257573</v>
      </c>
      <c r="O4867" s="165">
        <f t="shared" si="229"/>
        <v>0.22108584578257573</v>
      </c>
      <c r="P4867" s="18"/>
      <c r="Q4867" s="18"/>
      <c r="R4867" s="18"/>
      <c r="S4867" s="18"/>
      <c r="T4867" s="18"/>
      <c r="U4867" s="18"/>
      <c r="V4867" s="18"/>
      <c r="W4867" s="18"/>
      <c r="X4867" s="18"/>
    </row>
    <row r="4868" spans="13:24">
      <c r="M4868" s="558">
        <f t="shared" si="230"/>
        <v>4866</v>
      </c>
      <c r="N4868" s="15">
        <f t="shared" ref="N4868:N4931" si="231">IF(M4868&lt;$B$31+1,$B$32+$B$33/$B$31*(8760-M4868)+$B$34*IF(M4868&lt;$B$36-$B$31/(2*$B$35),1,IF(M4868&lt;$B$36+$B$31/(2*$B$35),COS(PI()/2*(M4868-($B$36-$B$31/(2*$B$35)))*$B$35/$B$31)^2,0))+$B$37*EXP((8760-M4868)/8760*$B$38)/EXP($B$38)-(8760-$B$31)*$B$33/$B$31,0)</f>
        <v>0.22103322071206197</v>
      </c>
      <c r="O4868" s="165">
        <f t="shared" ref="O4868:O4931" si="232">MIN(N4868,C$24)</f>
        <v>0.22103322071206197</v>
      </c>
      <c r="P4868" s="18"/>
      <c r="Q4868" s="18"/>
      <c r="R4868" s="18"/>
      <c r="S4868" s="18"/>
      <c r="T4868" s="18"/>
      <c r="U4868" s="18"/>
      <c r="V4868" s="18"/>
      <c r="W4868" s="18"/>
      <c r="X4868" s="18"/>
    </row>
    <row r="4869" spans="13:24">
      <c r="M4869" s="558">
        <f t="shared" ref="M4869:M4932" si="233">M4868+1</f>
        <v>4867</v>
      </c>
      <c r="N4869" s="15">
        <f t="shared" si="231"/>
        <v>0.22098059721673285</v>
      </c>
      <c r="O4869" s="165">
        <f t="shared" si="232"/>
        <v>0.22098059721673285</v>
      </c>
      <c r="P4869" s="18"/>
      <c r="Q4869" s="18"/>
      <c r="R4869" s="18"/>
      <c r="S4869" s="18"/>
      <c r="T4869" s="18"/>
      <c r="U4869" s="18"/>
      <c r="V4869" s="18"/>
      <c r="W4869" s="18"/>
      <c r="X4869" s="18"/>
    </row>
    <row r="4870" spans="13:24">
      <c r="M4870" s="558">
        <f t="shared" si="233"/>
        <v>4868</v>
      </c>
      <c r="N4870" s="15">
        <f t="shared" si="231"/>
        <v>0.22092797529461158</v>
      </c>
      <c r="O4870" s="165">
        <f t="shared" si="232"/>
        <v>0.22092797529461158</v>
      </c>
      <c r="P4870" s="18"/>
      <c r="Q4870" s="18"/>
      <c r="R4870" s="18"/>
      <c r="S4870" s="18"/>
      <c r="T4870" s="18"/>
      <c r="U4870" s="18"/>
      <c r="V4870" s="18"/>
      <c r="W4870" s="18"/>
      <c r="X4870" s="18"/>
    </row>
    <row r="4871" spans="13:24">
      <c r="M4871" s="558">
        <f t="shared" si="233"/>
        <v>4869</v>
      </c>
      <c r="N4871" s="15">
        <f t="shared" si="231"/>
        <v>0.22087535494372398</v>
      </c>
      <c r="O4871" s="165">
        <f t="shared" si="232"/>
        <v>0.22087535494372398</v>
      </c>
      <c r="P4871" s="18"/>
      <c r="Q4871" s="18"/>
      <c r="R4871" s="18"/>
      <c r="S4871" s="18"/>
      <c r="T4871" s="18"/>
      <c r="U4871" s="18"/>
      <c r="V4871" s="18"/>
      <c r="W4871" s="18"/>
      <c r="X4871" s="18"/>
    </row>
    <row r="4872" spans="13:24">
      <c r="M4872" s="558">
        <f t="shared" si="233"/>
        <v>4870</v>
      </c>
      <c r="N4872" s="15">
        <f t="shared" si="231"/>
        <v>0.22082273616209822</v>
      </c>
      <c r="O4872" s="165">
        <f t="shared" si="232"/>
        <v>0.22082273616209822</v>
      </c>
      <c r="P4872" s="18"/>
      <c r="Q4872" s="18"/>
      <c r="R4872" s="18"/>
      <c r="S4872" s="18"/>
      <c r="T4872" s="18"/>
      <c r="U4872" s="18"/>
      <c r="V4872" s="18"/>
      <c r="W4872" s="18"/>
      <c r="X4872" s="18"/>
    </row>
    <row r="4873" spans="13:24">
      <c r="M4873" s="558">
        <f t="shared" si="233"/>
        <v>4871</v>
      </c>
      <c r="N4873" s="15">
        <f t="shared" si="231"/>
        <v>0.22077011894776502</v>
      </c>
      <c r="O4873" s="165">
        <f t="shared" si="232"/>
        <v>0.22077011894776502</v>
      </c>
      <c r="P4873" s="18"/>
      <c r="Q4873" s="18"/>
      <c r="R4873" s="18"/>
      <c r="S4873" s="18"/>
      <c r="T4873" s="18"/>
      <c r="U4873" s="18"/>
      <c r="V4873" s="18"/>
      <c r="W4873" s="18"/>
      <c r="X4873" s="18"/>
    </row>
    <row r="4874" spans="13:24">
      <c r="M4874" s="558">
        <f t="shared" si="233"/>
        <v>4872</v>
      </c>
      <c r="N4874" s="15">
        <f t="shared" si="231"/>
        <v>0.22071750329875753</v>
      </c>
      <c r="O4874" s="165">
        <f t="shared" si="232"/>
        <v>0.22071750329875753</v>
      </c>
      <c r="P4874" s="18"/>
      <c r="Q4874" s="18"/>
      <c r="R4874" s="18"/>
      <c r="S4874" s="18"/>
      <c r="T4874" s="18"/>
      <c r="U4874" s="18"/>
      <c r="V4874" s="18"/>
      <c r="W4874" s="18"/>
      <c r="X4874" s="18"/>
    </row>
    <row r="4875" spans="13:24">
      <c r="M4875" s="558">
        <f t="shared" si="233"/>
        <v>4873</v>
      </c>
      <c r="N4875" s="15">
        <f t="shared" si="231"/>
        <v>0.22066488921311145</v>
      </c>
      <c r="O4875" s="165">
        <f t="shared" si="232"/>
        <v>0.22066488921311145</v>
      </c>
      <c r="P4875" s="18"/>
      <c r="Q4875" s="18"/>
      <c r="R4875" s="18"/>
      <c r="S4875" s="18"/>
      <c r="T4875" s="18"/>
      <c r="U4875" s="18"/>
      <c r="V4875" s="18"/>
      <c r="W4875" s="18"/>
      <c r="X4875" s="18"/>
    </row>
    <row r="4876" spans="13:24">
      <c r="M4876" s="558">
        <f t="shared" si="233"/>
        <v>4874</v>
      </c>
      <c r="N4876" s="15">
        <f t="shared" si="231"/>
        <v>0.22061227668886482</v>
      </c>
      <c r="O4876" s="165">
        <f t="shared" si="232"/>
        <v>0.22061227668886482</v>
      </c>
      <c r="P4876" s="18"/>
      <c r="Q4876" s="18"/>
      <c r="R4876" s="18"/>
      <c r="S4876" s="18"/>
      <c r="T4876" s="18"/>
      <c r="U4876" s="18"/>
      <c r="V4876" s="18"/>
      <c r="W4876" s="18"/>
      <c r="X4876" s="18"/>
    </row>
    <row r="4877" spans="13:24">
      <c r="M4877" s="558">
        <f t="shared" si="233"/>
        <v>4875</v>
      </c>
      <c r="N4877" s="15">
        <f t="shared" si="231"/>
        <v>0.22055966572405827</v>
      </c>
      <c r="O4877" s="165">
        <f t="shared" si="232"/>
        <v>0.22055966572405827</v>
      </c>
      <c r="P4877" s="18"/>
      <c r="Q4877" s="18"/>
      <c r="R4877" s="18"/>
      <c r="S4877" s="18"/>
      <c r="T4877" s="18"/>
      <c r="U4877" s="18"/>
      <c r="V4877" s="18"/>
      <c r="W4877" s="18"/>
      <c r="X4877" s="18"/>
    </row>
    <row r="4878" spans="13:24">
      <c r="M4878" s="558">
        <f t="shared" si="233"/>
        <v>4876</v>
      </c>
      <c r="N4878" s="15">
        <f t="shared" si="231"/>
        <v>0.22050705631673478</v>
      </c>
      <c r="O4878" s="165">
        <f t="shared" si="232"/>
        <v>0.22050705631673478</v>
      </c>
      <c r="P4878" s="18"/>
      <c r="Q4878" s="18"/>
      <c r="R4878" s="18"/>
      <c r="S4878" s="18"/>
      <c r="T4878" s="18"/>
      <c r="U4878" s="18"/>
      <c r="V4878" s="18"/>
      <c r="W4878" s="18"/>
      <c r="X4878" s="18"/>
    </row>
    <row r="4879" spans="13:24">
      <c r="M4879" s="558">
        <f t="shared" si="233"/>
        <v>4877</v>
      </c>
      <c r="N4879" s="15">
        <f t="shared" si="231"/>
        <v>0.22045444846493986</v>
      </c>
      <c r="O4879" s="165">
        <f t="shared" si="232"/>
        <v>0.22045444846493986</v>
      </c>
      <c r="P4879" s="18"/>
      <c r="Q4879" s="18"/>
      <c r="R4879" s="18"/>
      <c r="S4879" s="18"/>
      <c r="T4879" s="18"/>
      <c r="U4879" s="18"/>
      <c r="V4879" s="18"/>
      <c r="W4879" s="18"/>
      <c r="X4879" s="18"/>
    </row>
    <row r="4880" spans="13:24">
      <c r="M4880" s="558">
        <f t="shared" si="233"/>
        <v>4878</v>
      </c>
      <c r="N4880" s="15">
        <f t="shared" si="231"/>
        <v>0.22040184216672143</v>
      </c>
      <c r="O4880" s="165">
        <f t="shared" si="232"/>
        <v>0.22040184216672143</v>
      </c>
      <c r="P4880" s="18"/>
      <c r="Q4880" s="18"/>
      <c r="R4880" s="18"/>
      <c r="S4880" s="18"/>
      <c r="T4880" s="18"/>
      <c r="U4880" s="18"/>
      <c r="V4880" s="18"/>
      <c r="W4880" s="18"/>
      <c r="X4880" s="18"/>
    </row>
    <row r="4881" spans="13:24">
      <c r="M4881" s="558">
        <f t="shared" si="233"/>
        <v>4879</v>
      </c>
      <c r="N4881" s="15">
        <f t="shared" si="231"/>
        <v>0.22034923742012988</v>
      </c>
      <c r="O4881" s="165">
        <f t="shared" si="232"/>
        <v>0.22034923742012988</v>
      </c>
      <c r="P4881" s="18"/>
      <c r="Q4881" s="18"/>
      <c r="R4881" s="18"/>
      <c r="S4881" s="18"/>
      <c r="T4881" s="18"/>
      <c r="U4881" s="18"/>
      <c r="V4881" s="18"/>
      <c r="W4881" s="18"/>
      <c r="X4881" s="18"/>
    </row>
    <row r="4882" spans="13:24">
      <c r="M4882" s="558">
        <f t="shared" si="233"/>
        <v>4880</v>
      </c>
      <c r="N4882" s="15">
        <f t="shared" si="231"/>
        <v>0.22029663422321807</v>
      </c>
      <c r="O4882" s="165">
        <f t="shared" si="232"/>
        <v>0.22029663422321807</v>
      </c>
      <c r="P4882" s="18"/>
      <c r="Q4882" s="18"/>
      <c r="R4882" s="18"/>
      <c r="S4882" s="18"/>
      <c r="T4882" s="18"/>
      <c r="U4882" s="18"/>
      <c r="V4882" s="18"/>
      <c r="W4882" s="18"/>
      <c r="X4882" s="18"/>
    </row>
    <row r="4883" spans="13:24">
      <c r="M4883" s="558">
        <f t="shared" si="233"/>
        <v>4881</v>
      </c>
      <c r="N4883" s="15">
        <f t="shared" si="231"/>
        <v>0.22024403257404124</v>
      </c>
      <c r="O4883" s="165">
        <f t="shared" si="232"/>
        <v>0.22024403257404124</v>
      </c>
      <c r="P4883" s="18"/>
      <c r="Q4883" s="18"/>
      <c r="R4883" s="18"/>
      <c r="S4883" s="18"/>
      <c r="T4883" s="18"/>
      <c r="U4883" s="18"/>
      <c r="V4883" s="18"/>
      <c r="W4883" s="18"/>
      <c r="X4883" s="18"/>
    </row>
    <row r="4884" spans="13:24">
      <c r="M4884" s="558">
        <f t="shared" si="233"/>
        <v>4882</v>
      </c>
      <c r="N4884" s="15">
        <f t="shared" si="231"/>
        <v>0.22019143247065714</v>
      </c>
      <c r="O4884" s="165">
        <f t="shared" si="232"/>
        <v>0.22019143247065714</v>
      </c>
      <c r="P4884" s="18"/>
      <c r="Q4884" s="18"/>
      <c r="R4884" s="18"/>
      <c r="S4884" s="18"/>
      <c r="T4884" s="18"/>
      <c r="U4884" s="18"/>
      <c r="V4884" s="18"/>
      <c r="W4884" s="18"/>
      <c r="X4884" s="18"/>
    </row>
    <row r="4885" spans="13:24">
      <c r="M4885" s="558">
        <f t="shared" si="233"/>
        <v>4883</v>
      </c>
      <c r="N4885" s="15">
        <f t="shared" si="231"/>
        <v>0.22013883391112588</v>
      </c>
      <c r="O4885" s="165">
        <f t="shared" si="232"/>
        <v>0.22013883391112588</v>
      </c>
      <c r="P4885" s="18"/>
      <c r="Q4885" s="18"/>
      <c r="R4885" s="18"/>
      <c r="S4885" s="18"/>
      <c r="T4885" s="18"/>
      <c r="U4885" s="18"/>
      <c r="V4885" s="18"/>
      <c r="W4885" s="18"/>
      <c r="X4885" s="18"/>
    </row>
    <row r="4886" spans="13:24">
      <c r="M4886" s="558">
        <f t="shared" si="233"/>
        <v>4884</v>
      </c>
      <c r="N4886" s="15">
        <f t="shared" si="231"/>
        <v>0.22008623689351012</v>
      </c>
      <c r="O4886" s="165">
        <f t="shared" si="232"/>
        <v>0.22008623689351012</v>
      </c>
      <c r="P4886" s="18"/>
      <c r="Q4886" s="18"/>
      <c r="R4886" s="18"/>
      <c r="S4886" s="18"/>
      <c r="T4886" s="18"/>
      <c r="U4886" s="18"/>
      <c r="V4886" s="18"/>
      <c r="W4886" s="18"/>
      <c r="X4886" s="18"/>
    </row>
    <row r="4887" spans="13:24">
      <c r="M4887" s="558">
        <f t="shared" si="233"/>
        <v>4885</v>
      </c>
      <c r="N4887" s="15">
        <f t="shared" si="231"/>
        <v>0.22003364141587478</v>
      </c>
      <c r="O4887" s="165">
        <f t="shared" si="232"/>
        <v>0.22003364141587478</v>
      </c>
      <c r="P4887" s="18"/>
      <c r="Q4887" s="18"/>
      <c r="R4887" s="18"/>
      <c r="S4887" s="18"/>
      <c r="T4887" s="18"/>
      <c r="U4887" s="18"/>
      <c r="V4887" s="18"/>
      <c r="W4887" s="18"/>
      <c r="X4887" s="18"/>
    </row>
    <row r="4888" spans="13:24">
      <c r="M4888" s="558">
        <f t="shared" si="233"/>
        <v>4886</v>
      </c>
      <c r="N4888" s="15">
        <f t="shared" si="231"/>
        <v>0.21998104747628738</v>
      </c>
      <c r="O4888" s="165">
        <f t="shared" si="232"/>
        <v>0.21998104747628738</v>
      </c>
      <c r="P4888" s="18"/>
      <c r="Q4888" s="18"/>
      <c r="R4888" s="18"/>
      <c r="S4888" s="18"/>
      <c r="T4888" s="18"/>
      <c r="U4888" s="18"/>
      <c r="V4888" s="18"/>
      <c r="W4888" s="18"/>
      <c r="X4888" s="18"/>
    </row>
    <row r="4889" spans="13:24">
      <c r="M4889" s="558">
        <f t="shared" si="233"/>
        <v>4887</v>
      </c>
      <c r="N4889" s="15">
        <f t="shared" si="231"/>
        <v>0.21992845507281777</v>
      </c>
      <c r="O4889" s="165">
        <f t="shared" si="232"/>
        <v>0.21992845507281777</v>
      </c>
      <c r="P4889" s="18"/>
      <c r="Q4889" s="18"/>
      <c r="R4889" s="18"/>
      <c r="S4889" s="18"/>
      <c r="T4889" s="18"/>
      <c r="U4889" s="18"/>
      <c r="V4889" s="18"/>
      <c r="W4889" s="18"/>
      <c r="X4889" s="18"/>
    </row>
    <row r="4890" spans="13:24">
      <c r="M4890" s="558">
        <f t="shared" si="233"/>
        <v>4888</v>
      </c>
      <c r="N4890" s="15">
        <f t="shared" si="231"/>
        <v>0.2198758642035383</v>
      </c>
      <c r="O4890" s="165">
        <f t="shared" si="232"/>
        <v>0.2198758642035383</v>
      </c>
      <c r="P4890" s="18"/>
      <c r="Q4890" s="18"/>
      <c r="R4890" s="18"/>
      <c r="S4890" s="18"/>
      <c r="T4890" s="18"/>
      <c r="U4890" s="18"/>
      <c r="V4890" s="18"/>
      <c r="W4890" s="18"/>
      <c r="X4890" s="18"/>
    </row>
    <row r="4891" spans="13:24">
      <c r="M4891" s="558">
        <f t="shared" si="233"/>
        <v>4889</v>
      </c>
      <c r="N4891" s="15">
        <f t="shared" si="231"/>
        <v>0.21982327486652359</v>
      </c>
      <c r="O4891" s="165">
        <f t="shared" si="232"/>
        <v>0.21982327486652359</v>
      </c>
      <c r="P4891" s="18"/>
      <c r="Q4891" s="18"/>
      <c r="R4891" s="18"/>
      <c r="S4891" s="18"/>
      <c r="T4891" s="18"/>
      <c r="U4891" s="18"/>
      <c r="V4891" s="18"/>
      <c r="W4891" s="18"/>
      <c r="X4891" s="18"/>
    </row>
    <row r="4892" spans="13:24">
      <c r="M4892" s="558">
        <f t="shared" si="233"/>
        <v>4890</v>
      </c>
      <c r="N4892" s="15">
        <f t="shared" si="231"/>
        <v>0.21977068705985084</v>
      </c>
      <c r="O4892" s="165">
        <f t="shared" si="232"/>
        <v>0.21977068705985084</v>
      </c>
      <c r="P4892" s="18"/>
      <c r="Q4892" s="18"/>
      <c r="R4892" s="18"/>
      <c r="S4892" s="18"/>
      <c r="T4892" s="18"/>
      <c r="U4892" s="18"/>
      <c r="V4892" s="18"/>
      <c r="W4892" s="18"/>
      <c r="X4892" s="18"/>
    </row>
    <row r="4893" spans="13:24">
      <c r="M4893" s="558">
        <f t="shared" si="233"/>
        <v>4891</v>
      </c>
      <c r="N4893" s="15">
        <f t="shared" si="231"/>
        <v>0.21971810078159953</v>
      </c>
      <c r="O4893" s="165">
        <f t="shared" si="232"/>
        <v>0.21971810078159953</v>
      </c>
      <c r="P4893" s="18"/>
      <c r="Q4893" s="18"/>
      <c r="R4893" s="18"/>
      <c r="S4893" s="18"/>
      <c r="T4893" s="18"/>
      <c r="U4893" s="18"/>
      <c r="V4893" s="18"/>
      <c r="W4893" s="18"/>
      <c r="X4893" s="18"/>
    </row>
    <row r="4894" spans="13:24">
      <c r="M4894" s="558">
        <f t="shared" si="233"/>
        <v>4892</v>
      </c>
      <c r="N4894" s="15">
        <f t="shared" si="231"/>
        <v>0.21966551602985171</v>
      </c>
      <c r="O4894" s="165">
        <f t="shared" si="232"/>
        <v>0.21966551602985171</v>
      </c>
      <c r="P4894" s="18"/>
      <c r="Q4894" s="18"/>
      <c r="R4894" s="18"/>
      <c r="S4894" s="18"/>
      <c r="T4894" s="18"/>
      <c r="U4894" s="18"/>
      <c r="V4894" s="18"/>
      <c r="W4894" s="18"/>
      <c r="X4894" s="18"/>
    </row>
    <row r="4895" spans="13:24">
      <c r="M4895" s="558">
        <f t="shared" si="233"/>
        <v>4893</v>
      </c>
      <c r="N4895" s="15">
        <f t="shared" si="231"/>
        <v>0.21961293280269165</v>
      </c>
      <c r="O4895" s="165">
        <f t="shared" si="232"/>
        <v>0.21961293280269165</v>
      </c>
      <c r="P4895" s="18"/>
      <c r="Q4895" s="18"/>
      <c r="R4895" s="18"/>
      <c r="S4895" s="18"/>
      <c r="T4895" s="18"/>
      <c r="U4895" s="18"/>
      <c r="V4895" s="18"/>
      <c r="W4895" s="18"/>
      <c r="X4895" s="18"/>
    </row>
    <row r="4896" spans="13:24">
      <c r="M4896" s="558">
        <f t="shared" si="233"/>
        <v>4894</v>
      </c>
      <c r="N4896" s="15">
        <f t="shared" si="231"/>
        <v>0.21956035109820612</v>
      </c>
      <c r="O4896" s="165">
        <f t="shared" si="232"/>
        <v>0.21956035109820612</v>
      </c>
      <c r="P4896" s="18"/>
      <c r="Q4896" s="18"/>
      <c r="R4896" s="18"/>
      <c r="S4896" s="18"/>
      <c r="T4896" s="18"/>
      <c r="U4896" s="18"/>
      <c r="V4896" s="18"/>
      <c r="W4896" s="18"/>
      <c r="X4896" s="18"/>
    </row>
    <row r="4897" spans="13:24">
      <c r="M4897" s="558">
        <f t="shared" si="233"/>
        <v>4895</v>
      </c>
      <c r="N4897" s="15">
        <f t="shared" si="231"/>
        <v>0.2195077709144844</v>
      </c>
      <c r="O4897" s="165">
        <f t="shared" si="232"/>
        <v>0.2195077709144844</v>
      </c>
      <c r="P4897" s="18"/>
      <c r="Q4897" s="18"/>
      <c r="R4897" s="18"/>
      <c r="S4897" s="18"/>
      <c r="T4897" s="18"/>
      <c r="U4897" s="18"/>
      <c r="V4897" s="18"/>
      <c r="W4897" s="18"/>
      <c r="X4897" s="18"/>
    </row>
    <row r="4898" spans="13:24">
      <c r="M4898" s="558">
        <f t="shared" si="233"/>
        <v>4896</v>
      </c>
      <c r="N4898" s="15">
        <f t="shared" si="231"/>
        <v>0.2194551922496179</v>
      </c>
      <c r="O4898" s="165">
        <f t="shared" si="232"/>
        <v>0.2194551922496179</v>
      </c>
      <c r="P4898" s="18"/>
      <c r="Q4898" s="18"/>
      <c r="R4898" s="18"/>
      <c r="S4898" s="18"/>
      <c r="T4898" s="18"/>
      <c r="U4898" s="18"/>
      <c r="V4898" s="18"/>
      <c r="W4898" s="18"/>
      <c r="X4898" s="18"/>
    </row>
    <row r="4899" spans="13:24">
      <c r="M4899" s="558">
        <f t="shared" si="233"/>
        <v>4897</v>
      </c>
      <c r="N4899" s="15">
        <f t="shared" si="231"/>
        <v>0.21940261510170067</v>
      </c>
      <c r="O4899" s="165">
        <f t="shared" si="232"/>
        <v>0.21940261510170067</v>
      </c>
      <c r="P4899" s="18"/>
      <c r="Q4899" s="18"/>
      <c r="R4899" s="18"/>
      <c r="S4899" s="18"/>
      <c r="T4899" s="18"/>
      <c r="U4899" s="18"/>
      <c r="V4899" s="18"/>
      <c r="W4899" s="18"/>
      <c r="X4899" s="18"/>
    </row>
    <row r="4900" spans="13:24">
      <c r="M4900" s="558">
        <f t="shared" si="233"/>
        <v>4898</v>
      </c>
      <c r="N4900" s="15">
        <f t="shared" si="231"/>
        <v>0.21935003946882906</v>
      </c>
      <c r="O4900" s="165">
        <f t="shared" si="232"/>
        <v>0.21935003946882906</v>
      </c>
      <c r="P4900" s="18"/>
      <c r="Q4900" s="18"/>
      <c r="R4900" s="18"/>
      <c r="S4900" s="18"/>
      <c r="T4900" s="18"/>
      <c r="U4900" s="18"/>
      <c r="V4900" s="18"/>
      <c r="W4900" s="18"/>
      <c r="X4900" s="18"/>
    </row>
    <row r="4901" spans="13:24">
      <c r="M4901" s="558">
        <f t="shared" si="233"/>
        <v>4899</v>
      </c>
      <c r="N4901" s="15">
        <f t="shared" si="231"/>
        <v>0.21929746534910177</v>
      </c>
      <c r="O4901" s="165">
        <f t="shared" si="232"/>
        <v>0.21929746534910177</v>
      </c>
      <c r="P4901" s="18"/>
      <c r="Q4901" s="18"/>
      <c r="R4901" s="18"/>
      <c r="S4901" s="18"/>
      <c r="T4901" s="18"/>
      <c r="U4901" s="18"/>
      <c r="V4901" s="18"/>
      <c r="W4901" s="18"/>
      <c r="X4901" s="18"/>
    </row>
    <row r="4902" spans="13:24">
      <c r="M4902" s="558">
        <f t="shared" si="233"/>
        <v>4900</v>
      </c>
      <c r="N4902" s="15">
        <f t="shared" si="231"/>
        <v>0.21924489274061992</v>
      </c>
      <c r="O4902" s="165">
        <f t="shared" si="232"/>
        <v>0.21924489274061992</v>
      </c>
      <c r="P4902" s="18"/>
      <c r="Q4902" s="18"/>
      <c r="R4902" s="18"/>
      <c r="S4902" s="18"/>
      <c r="T4902" s="18"/>
      <c r="U4902" s="18"/>
      <c r="V4902" s="18"/>
      <c r="W4902" s="18"/>
      <c r="X4902" s="18"/>
    </row>
    <row r="4903" spans="13:24">
      <c r="M4903" s="558">
        <f t="shared" si="233"/>
        <v>4901</v>
      </c>
      <c r="N4903" s="15">
        <f t="shared" si="231"/>
        <v>0.21919232164148708</v>
      </c>
      <c r="O4903" s="165">
        <f t="shared" si="232"/>
        <v>0.21919232164148708</v>
      </c>
      <c r="P4903" s="18"/>
      <c r="Q4903" s="18"/>
      <c r="R4903" s="18"/>
      <c r="S4903" s="18"/>
      <c r="T4903" s="18"/>
      <c r="U4903" s="18"/>
      <c r="V4903" s="18"/>
      <c r="W4903" s="18"/>
      <c r="X4903" s="18"/>
    </row>
    <row r="4904" spans="13:24">
      <c r="M4904" s="558">
        <f t="shared" si="233"/>
        <v>4902</v>
      </c>
      <c r="N4904" s="15">
        <f t="shared" si="231"/>
        <v>0.21913975204980907</v>
      </c>
      <c r="O4904" s="165">
        <f t="shared" si="232"/>
        <v>0.21913975204980907</v>
      </c>
      <c r="P4904" s="18"/>
      <c r="Q4904" s="18"/>
      <c r="R4904" s="18"/>
      <c r="S4904" s="18"/>
      <c r="T4904" s="18"/>
      <c r="U4904" s="18"/>
      <c r="V4904" s="18"/>
      <c r="W4904" s="18"/>
      <c r="X4904" s="18"/>
    </row>
    <row r="4905" spans="13:24">
      <c r="M4905" s="558">
        <f t="shared" si="233"/>
        <v>4903</v>
      </c>
      <c r="N4905" s="15">
        <f t="shared" si="231"/>
        <v>0.21908718396369423</v>
      </c>
      <c r="O4905" s="165">
        <f t="shared" si="232"/>
        <v>0.21908718396369423</v>
      </c>
      <c r="P4905" s="18"/>
      <c r="Q4905" s="18"/>
      <c r="R4905" s="18"/>
      <c r="S4905" s="18"/>
      <c r="T4905" s="18"/>
      <c r="U4905" s="18"/>
      <c r="V4905" s="18"/>
      <c r="W4905" s="18"/>
      <c r="X4905" s="18"/>
    </row>
    <row r="4906" spans="13:24">
      <c r="M4906" s="558">
        <f t="shared" si="233"/>
        <v>4904</v>
      </c>
      <c r="N4906" s="15">
        <f t="shared" si="231"/>
        <v>0.2190346173812531</v>
      </c>
      <c r="O4906" s="165">
        <f t="shared" si="232"/>
        <v>0.2190346173812531</v>
      </c>
      <c r="P4906" s="18"/>
      <c r="Q4906" s="18"/>
      <c r="R4906" s="18"/>
      <c r="S4906" s="18"/>
      <c r="T4906" s="18"/>
      <c r="U4906" s="18"/>
      <c r="V4906" s="18"/>
      <c r="W4906" s="18"/>
      <c r="X4906" s="18"/>
    </row>
    <row r="4907" spans="13:24">
      <c r="M4907" s="558">
        <f t="shared" si="233"/>
        <v>4905</v>
      </c>
      <c r="N4907" s="15">
        <f t="shared" si="231"/>
        <v>0.21898205230059878</v>
      </c>
      <c r="O4907" s="165">
        <f t="shared" si="232"/>
        <v>0.21898205230059878</v>
      </c>
      <c r="P4907" s="18"/>
      <c r="Q4907" s="18"/>
      <c r="R4907" s="18"/>
      <c r="S4907" s="18"/>
      <c r="T4907" s="18"/>
      <c r="U4907" s="18"/>
      <c r="V4907" s="18"/>
      <c r="W4907" s="18"/>
      <c r="X4907" s="18"/>
    </row>
    <row r="4908" spans="13:24">
      <c r="M4908" s="558">
        <f t="shared" si="233"/>
        <v>4906</v>
      </c>
      <c r="N4908" s="15">
        <f t="shared" si="231"/>
        <v>0.21892948871984658</v>
      </c>
      <c r="O4908" s="165">
        <f t="shared" si="232"/>
        <v>0.21892948871984658</v>
      </c>
      <c r="P4908" s="18"/>
      <c r="Q4908" s="18"/>
      <c r="R4908" s="18"/>
      <c r="S4908" s="18"/>
      <c r="T4908" s="18"/>
      <c r="U4908" s="18"/>
      <c r="V4908" s="18"/>
      <c r="W4908" s="18"/>
      <c r="X4908" s="18"/>
    </row>
    <row r="4909" spans="13:24">
      <c r="M4909" s="558">
        <f t="shared" si="233"/>
        <v>4907</v>
      </c>
      <c r="N4909" s="15">
        <f t="shared" si="231"/>
        <v>0.21887692663711433</v>
      </c>
      <c r="O4909" s="165">
        <f t="shared" si="232"/>
        <v>0.21887692663711433</v>
      </c>
      <c r="P4909" s="18"/>
      <c r="Q4909" s="18"/>
      <c r="R4909" s="18"/>
      <c r="S4909" s="18"/>
      <c r="T4909" s="18"/>
      <c r="U4909" s="18"/>
      <c r="V4909" s="18"/>
      <c r="W4909" s="18"/>
      <c r="X4909" s="18"/>
    </row>
    <row r="4910" spans="13:24">
      <c r="M4910" s="558">
        <f t="shared" si="233"/>
        <v>4908</v>
      </c>
      <c r="N4910" s="15">
        <f t="shared" si="231"/>
        <v>0.21882436605052202</v>
      </c>
      <c r="O4910" s="165">
        <f t="shared" si="232"/>
        <v>0.21882436605052202</v>
      </c>
      <c r="P4910" s="18"/>
      <c r="Q4910" s="18"/>
      <c r="R4910" s="18"/>
      <c r="S4910" s="18"/>
      <c r="T4910" s="18"/>
      <c r="U4910" s="18"/>
      <c r="V4910" s="18"/>
      <c r="W4910" s="18"/>
      <c r="X4910" s="18"/>
    </row>
    <row r="4911" spans="13:24">
      <c r="M4911" s="558">
        <f t="shared" si="233"/>
        <v>4909</v>
      </c>
      <c r="N4911" s="15">
        <f t="shared" si="231"/>
        <v>0.21877180695819221</v>
      </c>
      <c r="O4911" s="165">
        <f t="shared" si="232"/>
        <v>0.21877180695819221</v>
      </c>
      <c r="P4911" s="18"/>
      <c r="Q4911" s="18"/>
      <c r="R4911" s="18"/>
      <c r="S4911" s="18"/>
      <c r="T4911" s="18"/>
      <c r="U4911" s="18"/>
      <c r="V4911" s="18"/>
      <c r="W4911" s="18"/>
      <c r="X4911" s="18"/>
    </row>
    <row r="4912" spans="13:24">
      <c r="M4912" s="558">
        <f t="shared" si="233"/>
        <v>4910</v>
      </c>
      <c r="N4912" s="15">
        <f t="shared" si="231"/>
        <v>0.21871924935824968</v>
      </c>
      <c r="O4912" s="165">
        <f t="shared" si="232"/>
        <v>0.21871924935824968</v>
      </c>
      <c r="P4912" s="18"/>
      <c r="Q4912" s="18"/>
      <c r="R4912" s="18"/>
      <c r="S4912" s="18"/>
      <c r="T4912" s="18"/>
      <c r="U4912" s="18"/>
      <c r="V4912" s="18"/>
      <c r="W4912" s="18"/>
      <c r="X4912" s="18"/>
    </row>
    <row r="4913" spans="13:24">
      <c r="M4913" s="558">
        <f t="shared" si="233"/>
        <v>4911</v>
      </c>
      <c r="N4913" s="15">
        <f t="shared" si="231"/>
        <v>0.2186666932488216</v>
      </c>
      <c r="O4913" s="165">
        <f t="shared" si="232"/>
        <v>0.2186666932488216</v>
      </c>
      <c r="P4913" s="18"/>
      <c r="Q4913" s="18"/>
      <c r="R4913" s="18"/>
      <c r="S4913" s="18"/>
      <c r="T4913" s="18"/>
      <c r="U4913" s="18"/>
      <c r="V4913" s="18"/>
      <c r="W4913" s="18"/>
      <c r="X4913" s="18"/>
    </row>
    <row r="4914" spans="13:24">
      <c r="M4914" s="558">
        <f t="shared" si="233"/>
        <v>4912</v>
      </c>
      <c r="N4914" s="15">
        <f t="shared" si="231"/>
        <v>0.21861413862803752</v>
      </c>
      <c r="O4914" s="165">
        <f t="shared" si="232"/>
        <v>0.21861413862803752</v>
      </c>
      <c r="P4914" s="18"/>
      <c r="Q4914" s="18"/>
      <c r="R4914" s="18"/>
      <c r="S4914" s="18"/>
      <c r="T4914" s="18"/>
      <c r="U4914" s="18"/>
      <c r="V4914" s="18"/>
      <c r="W4914" s="18"/>
      <c r="X4914" s="18"/>
    </row>
    <row r="4915" spans="13:24">
      <c r="M4915" s="558">
        <f t="shared" si="233"/>
        <v>4913</v>
      </c>
      <c r="N4915" s="15">
        <f t="shared" si="231"/>
        <v>0.21856158549402929</v>
      </c>
      <c r="O4915" s="165">
        <f t="shared" si="232"/>
        <v>0.21856158549402929</v>
      </c>
      <c r="P4915" s="18"/>
      <c r="Q4915" s="18"/>
      <c r="R4915" s="18"/>
      <c r="S4915" s="18"/>
      <c r="T4915" s="18"/>
      <c r="U4915" s="18"/>
      <c r="V4915" s="18"/>
      <c r="W4915" s="18"/>
      <c r="X4915" s="18"/>
    </row>
    <row r="4916" spans="13:24">
      <c r="M4916" s="558">
        <f t="shared" si="233"/>
        <v>4914</v>
      </c>
      <c r="N4916" s="15">
        <f t="shared" si="231"/>
        <v>0.21850903384493114</v>
      </c>
      <c r="O4916" s="165">
        <f t="shared" si="232"/>
        <v>0.21850903384493114</v>
      </c>
      <c r="P4916" s="18"/>
      <c r="Q4916" s="18"/>
      <c r="R4916" s="18"/>
      <c r="S4916" s="18"/>
      <c r="T4916" s="18"/>
      <c r="U4916" s="18"/>
      <c r="V4916" s="18"/>
      <c r="W4916" s="18"/>
      <c r="X4916" s="18"/>
    </row>
    <row r="4917" spans="13:24">
      <c r="M4917" s="558">
        <f t="shared" si="233"/>
        <v>4915</v>
      </c>
      <c r="N4917" s="15">
        <f t="shared" si="231"/>
        <v>0.2184564836788796</v>
      </c>
      <c r="O4917" s="165">
        <f t="shared" si="232"/>
        <v>0.2184564836788796</v>
      </c>
      <c r="P4917" s="18"/>
      <c r="Q4917" s="18"/>
      <c r="R4917" s="18"/>
      <c r="S4917" s="18"/>
      <c r="T4917" s="18"/>
      <c r="U4917" s="18"/>
      <c r="V4917" s="18"/>
      <c r="W4917" s="18"/>
      <c r="X4917" s="18"/>
    </row>
    <row r="4918" spans="13:24">
      <c r="M4918" s="558">
        <f t="shared" si="233"/>
        <v>4916</v>
      </c>
      <c r="N4918" s="15">
        <f t="shared" si="231"/>
        <v>0.21840393499401362</v>
      </c>
      <c r="O4918" s="165">
        <f t="shared" si="232"/>
        <v>0.21840393499401362</v>
      </c>
      <c r="P4918" s="18"/>
      <c r="Q4918" s="18"/>
      <c r="R4918" s="18"/>
      <c r="S4918" s="18"/>
      <c r="T4918" s="18"/>
      <c r="U4918" s="18"/>
      <c r="V4918" s="18"/>
      <c r="W4918" s="18"/>
      <c r="X4918" s="18"/>
    </row>
    <row r="4919" spans="13:24">
      <c r="M4919" s="558">
        <f t="shared" si="233"/>
        <v>4917</v>
      </c>
      <c r="N4919" s="15">
        <f t="shared" si="231"/>
        <v>0.21835138778847435</v>
      </c>
      <c r="O4919" s="165">
        <f t="shared" si="232"/>
        <v>0.21835138778847435</v>
      </c>
      <c r="P4919" s="18"/>
      <c r="Q4919" s="18"/>
      <c r="R4919" s="18"/>
      <c r="S4919" s="18"/>
      <c r="T4919" s="18"/>
      <c r="U4919" s="18"/>
      <c r="V4919" s="18"/>
      <c r="W4919" s="18"/>
      <c r="X4919" s="18"/>
    </row>
    <row r="4920" spans="13:24">
      <c r="M4920" s="558">
        <f t="shared" si="233"/>
        <v>4918</v>
      </c>
      <c r="N4920" s="15">
        <f t="shared" si="231"/>
        <v>0.21829884206040545</v>
      </c>
      <c r="O4920" s="165">
        <f t="shared" si="232"/>
        <v>0.21829884206040545</v>
      </c>
      <c r="P4920" s="18"/>
      <c r="Q4920" s="18"/>
      <c r="R4920" s="18"/>
      <c r="S4920" s="18"/>
      <c r="T4920" s="18"/>
      <c r="U4920" s="18"/>
      <c r="V4920" s="18"/>
      <c r="W4920" s="18"/>
      <c r="X4920" s="18"/>
    </row>
    <row r="4921" spans="13:24">
      <c r="M4921" s="558">
        <f t="shared" si="233"/>
        <v>4919</v>
      </c>
      <c r="N4921" s="15">
        <f t="shared" si="231"/>
        <v>0.21824629780795271</v>
      </c>
      <c r="O4921" s="165">
        <f t="shared" si="232"/>
        <v>0.21824629780795271</v>
      </c>
      <c r="P4921" s="18"/>
      <c r="Q4921" s="18"/>
      <c r="R4921" s="18"/>
      <c r="S4921" s="18"/>
      <c r="T4921" s="18"/>
      <c r="U4921" s="18"/>
      <c r="V4921" s="18"/>
      <c r="W4921" s="18"/>
      <c r="X4921" s="18"/>
    </row>
    <row r="4922" spans="13:24">
      <c r="M4922" s="558">
        <f t="shared" si="233"/>
        <v>4920</v>
      </c>
      <c r="N4922" s="15">
        <f t="shared" si="231"/>
        <v>0.21819375502926444</v>
      </c>
      <c r="O4922" s="165">
        <f t="shared" si="232"/>
        <v>0.21819375502926444</v>
      </c>
      <c r="P4922" s="18"/>
      <c r="Q4922" s="18"/>
      <c r="R4922" s="18"/>
      <c r="S4922" s="18"/>
      <c r="T4922" s="18"/>
      <c r="U4922" s="18"/>
      <c r="V4922" s="18"/>
      <c r="W4922" s="18"/>
      <c r="X4922" s="18"/>
    </row>
    <row r="4923" spans="13:24">
      <c r="M4923" s="558">
        <f t="shared" si="233"/>
        <v>4921</v>
      </c>
      <c r="N4923" s="15">
        <f t="shared" si="231"/>
        <v>0.21814121372249112</v>
      </c>
      <c r="O4923" s="165">
        <f t="shared" si="232"/>
        <v>0.21814121372249112</v>
      </c>
      <c r="P4923" s="18"/>
      <c r="Q4923" s="18"/>
      <c r="R4923" s="18"/>
      <c r="S4923" s="18"/>
      <c r="T4923" s="18"/>
      <c r="U4923" s="18"/>
      <c r="V4923" s="18"/>
      <c r="W4923" s="18"/>
      <c r="X4923" s="18"/>
    </row>
    <row r="4924" spans="13:24">
      <c r="M4924" s="558">
        <f t="shared" si="233"/>
        <v>4922</v>
      </c>
      <c r="N4924" s="15">
        <f t="shared" si="231"/>
        <v>0.21808867388578565</v>
      </c>
      <c r="O4924" s="165">
        <f t="shared" si="232"/>
        <v>0.21808867388578565</v>
      </c>
      <c r="P4924" s="18"/>
      <c r="Q4924" s="18"/>
      <c r="R4924" s="18"/>
      <c r="S4924" s="18"/>
      <c r="T4924" s="18"/>
      <c r="U4924" s="18"/>
      <c r="V4924" s="18"/>
      <c r="W4924" s="18"/>
      <c r="X4924" s="18"/>
    </row>
    <row r="4925" spans="13:24">
      <c r="M4925" s="558">
        <f t="shared" si="233"/>
        <v>4923</v>
      </c>
      <c r="N4925" s="15">
        <f t="shared" si="231"/>
        <v>0.21803613551730319</v>
      </c>
      <c r="O4925" s="165">
        <f t="shared" si="232"/>
        <v>0.21803613551730319</v>
      </c>
      <c r="P4925" s="18"/>
      <c r="Q4925" s="18"/>
      <c r="R4925" s="18"/>
      <c r="S4925" s="18"/>
      <c r="T4925" s="18"/>
      <c r="U4925" s="18"/>
      <c r="V4925" s="18"/>
      <c r="W4925" s="18"/>
      <c r="X4925" s="18"/>
    </row>
    <row r="4926" spans="13:24">
      <c r="M4926" s="558">
        <f t="shared" si="233"/>
        <v>4924</v>
      </c>
      <c r="N4926" s="15">
        <f t="shared" si="231"/>
        <v>0.21798359861520128</v>
      </c>
      <c r="O4926" s="165">
        <f t="shared" si="232"/>
        <v>0.21798359861520128</v>
      </c>
      <c r="P4926" s="18"/>
      <c r="Q4926" s="18"/>
      <c r="R4926" s="18"/>
      <c r="S4926" s="18"/>
      <c r="T4926" s="18"/>
      <c r="U4926" s="18"/>
      <c r="V4926" s="18"/>
      <c r="W4926" s="18"/>
      <c r="X4926" s="18"/>
    </row>
    <row r="4927" spans="13:24">
      <c r="M4927" s="558">
        <f t="shared" si="233"/>
        <v>4925</v>
      </c>
      <c r="N4927" s="15">
        <f t="shared" si="231"/>
        <v>0.21793106317763969</v>
      </c>
      <c r="O4927" s="165">
        <f t="shared" si="232"/>
        <v>0.21793106317763969</v>
      </c>
      <c r="P4927" s="18"/>
      <c r="Q4927" s="18"/>
      <c r="R4927" s="18"/>
      <c r="S4927" s="18"/>
      <c r="T4927" s="18"/>
      <c r="U4927" s="18"/>
      <c r="V4927" s="18"/>
      <c r="W4927" s="18"/>
      <c r="X4927" s="18"/>
    </row>
    <row r="4928" spans="13:24">
      <c r="M4928" s="558">
        <f t="shared" si="233"/>
        <v>4926</v>
      </c>
      <c r="N4928" s="15">
        <f t="shared" si="231"/>
        <v>0.21787852920278053</v>
      </c>
      <c r="O4928" s="165">
        <f t="shared" si="232"/>
        <v>0.21787852920278053</v>
      </c>
      <c r="P4928" s="18"/>
      <c r="Q4928" s="18"/>
      <c r="R4928" s="18"/>
      <c r="S4928" s="18"/>
      <c r="T4928" s="18"/>
      <c r="U4928" s="18"/>
      <c r="V4928" s="18"/>
      <c r="W4928" s="18"/>
      <c r="X4928" s="18"/>
    </row>
    <row r="4929" spans="13:24">
      <c r="M4929" s="558">
        <f t="shared" si="233"/>
        <v>4927</v>
      </c>
      <c r="N4929" s="15">
        <f t="shared" si="231"/>
        <v>0.2178259966887883</v>
      </c>
      <c r="O4929" s="165">
        <f t="shared" si="232"/>
        <v>0.2178259966887883</v>
      </c>
      <c r="P4929" s="18"/>
      <c r="Q4929" s="18"/>
      <c r="R4929" s="18"/>
      <c r="S4929" s="18"/>
      <c r="T4929" s="18"/>
      <c r="U4929" s="18"/>
      <c r="V4929" s="18"/>
      <c r="W4929" s="18"/>
      <c r="X4929" s="18"/>
    </row>
    <row r="4930" spans="13:24">
      <c r="M4930" s="558">
        <f t="shared" si="233"/>
        <v>4928</v>
      </c>
      <c r="N4930" s="15">
        <f t="shared" si="231"/>
        <v>0.21777346563382963</v>
      </c>
      <c r="O4930" s="165">
        <f t="shared" si="232"/>
        <v>0.21777346563382963</v>
      </c>
      <c r="P4930" s="18"/>
      <c r="Q4930" s="18"/>
      <c r="R4930" s="18"/>
      <c r="S4930" s="18"/>
      <c r="T4930" s="18"/>
      <c r="U4930" s="18"/>
      <c r="V4930" s="18"/>
      <c r="W4930" s="18"/>
      <c r="X4930" s="18"/>
    </row>
    <row r="4931" spans="13:24">
      <c r="M4931" s="558">
        <f t="shared" si="233"/>
        <v>4929</v>
      </c>
      <c r="N4931" s="15">
        <f t="shared" si="231"/>
        <v>0.21772093603607362</v>
      </c>
      <c r="O4931" s="165">
        <f t="shared" si="232"/>
        <v>0.21772093603607362</v>
      </c>
      <c r="P4931" s="18"/>
      <c r="Q4931" s="18"/>
      <c r="R4931" s="18"/>
      <c r="S4931" s="18"/>
      <c r="T4931" s="18"/>
      <c r="U4931" s="18"/>
      <c r="V4931" s="18"/>
      <c r="W4931" s="18"/>
      <c r="X4931" s="18"/>
    </row>
    <row r="4932" spans="13:24">
      <c r="M4932" s="558">
        <f t="shared" si="233"/>
        <v>4930</v>
      </c>
      <c r="N4932" s="15">
        <f t="shared" ref="N4932:N4995" si="234">IF(M4932&lt;$B$31+1,$B$32+$B$33/$B$31*(8760-M4932)+$B$34*IF(M4932&lt;$B$36-$B$31/(2*$B$35),1,IF(M4932&lt;$B$36+$B$31/(2*$B$35),COS(PI()/2*(M4932-($B$36-$B$31/(2*$B$35)))*$B$35/$B$31)^2,0))+$B$37*EXP((8760-M4932)/8760*$B$38)/EXP($B$38)-(8760-$B$31)*$B$33/$B$31,0)</f>
        <v>0.21766840789369157</v>
      </c>
      <c r="O4932" s="165">
        <f t="shared" ref="O4932:O4995" si="235">MIN(N4932,C$24)</f>
        <v>0.21766840789369157</v>
      </c>
      <c r="P4932" s="18"/>
      <c r="Q4932" s="18"/>
      <c r="R4932" s="18"/>
      <c r="S4932" s="18"/>
      <c r="T4932" s="18"/>
      <c r="U4932" s="18"/>
      <c r="V4932" s="18"/>
      <c r="W4932" s="18"/>
      <c r="X4932" s="18"/>
    </row>
    <row r="4933" spans="13:24">
      <c r="M4933" s="558">
        <f t="shared" ref="M4933:M4996" si="236">M4932+1</f>
        <v>4931</v>
      </c>
      <c r="N4933" s="15">
        <f t="shared" si="234"/>
        <v>0.21761588120485711</v>
      </c>
      <c r="O4933" s="165">
        <f t="shared" si="235"/>
        <v>0.21761588120485711</v>
      </c>
      <c r="P4933" s="18"/>
      <c r="Q4933" s="18"/>
      <c r="R4933" s="18"/>
      <c r="S4933" s="18"/>
      <c r="T4933" s="18"/>
      <c r="U4933" s="18"/>
      <c r="V4933" s="18"/>
      <c r="W4933" s="18"/>
      <c r="X4933" s="18"/>
    </row>
    <row r="4934" spans="13:24">
      <c r="M4934" s="558">
        <f t="shared" si="236"/>
        <v>4932</v>
      </c>
      <c r="N4934" s="15">
        <f t="shared" si="234"/>
        <v>0.21756335596774615</v>
      </c>
      <c r="O4934" s="165">
        <f t="shared" si="235"/>
        <v>0.21756335596774615</v>
      </c>
      <c r="P4934" s="18"/>
      <c r="Q4934" s="18"/>
      <c r="R4934" s="18"/>
      <c r="S4934" s="18"/>
      <c r="T4934" s="18"/>
      <c r="U4934" s="18"/>
      <c r="V4934" s="18"/>
      <c r="W4934" s="18"/>
      <c r="X4934" s="18"/>
    </row>
    <row r="4935" spans="13:24">
      <c r="M4935" s="558">
        <f t="shared" si="236"/>
        <v>4933</v>
      </c>
      <c r="N4935" s="15">
        <f t="shared" si="234"/>
        <v>0.21751083218053691</v>
      </c>
      <c r="O4935" s="165">
        <f t="shared" si="235"/>
        <v>0.21751083218053691</v>
      </c>
      <c r="P4935" s="18"/>
      <c r="Q4935" s="18"/>
      <c r="R4935" s="18"/>
      <c r="S4935" s="18"/>
      <c r="T4935" s="18"/>
      <c r="U4935" s="18"/>
      <c r="V4935" s="18"/>
      <c r="W4935" s="18"/>
      <c r="X4935" s="18"/>
    </row>
    <row r="4936" spans="13:24">
      <c r="M4936" s="558">
        <f t="shared" si="236"/>
        <v>4934</v>
      </c>
      <c r="N4936" s="15">
        <f t="shared" si="234"/>
        <v>0.21745830984140985</v>
      </c>
      <c r="O4936" s="165">
        <f t="shared" si="235"/>
        <v>0.21745830984140985</v>
      </c>
      <c r="P4936" s="18"/>
      <c r="Q4936" s="18"/>
      <c r="R4936" s="18"/>
      <c r="S4936" s="18"/>
      <c r="T4936" s="18"/>
      <c r="U4936" s="18"/>
      <c r="V4936" s="18"/>
      <c r="W4936" s="18"/>
      <c r="X4936" s="18"/>
    </row>
    <row r="4937" spans="13:24">
      <c r="M4937" s="558">
        <f t="shared" si="236"/>
        <v>4935</v>
      </c>
      <c r="N4937" s="15">
        <f t="shared" si="234"/>
        <v>0.21740578894854776</v>
      </c>
      <c r="O4937" s="165">
        <f t="shared" si="235"/>
        <v>0.21740578894854776</v>
      </c>
      <c r="P4937" s="18"/>
      <c r="Q4937" s="18"/>
      <c r="R4937" s="18"/>
      <c r="S4937" s="18"/>
      <c r="T4937" s="18"/>
      <c r="U4937" s="18"/>
      <c r="V4937" s="18"/>
      <c r="W4937" s="18"/>
      <c r="X4937" s="18"/>
    </row>
    <row r="4938" spans="13:24">
      <c r="M4938" s="558">
        <f t="shared" si="236"/>
        <v>4936</v>
      </c>
      <c r="N4938" s="15">
        <f t="shared" si="234"/>
        <v>0.21735326950013567</v>
      </c>
      <c r="O4938" s="165">
        <f t="shared" si="235"/>
        <v>0.21735326950013567</v>
      </c>
      <c r="P4938" s="18"/>
      <c r="Q4938" s="18"/>
      <c r="R4938" s="18"/>
      <c r="S4938" s="18"/>
      <c r="T4938" s="18"/>
      <c r="U4938" s="18"/>
      <c r="V4938" s="18"/>
      <c r="W4938" s="18"/>
      <c r="X4938" s="18"/>
    </row>
    <row r="4939" spans="13:24">
      <c r="M4939" s="558">
        <f t="shared" si="236"/>
        <v>4937</v>
      </c>
      <c r="N4939" s="15">
        <f t="shared" si="234"/>
        <v>0.21730075149436098</v>
      </c>
      <c r="O4939" s="165">
        <f t="shared" si="235"/>
        <v>0.21730075149436098</v>
      </c>
      <c r="P4939" s="18"/>
      <c r="Q4939" s="18"/>
      <c r="R4939" s="18"/>
      <c r="S4939" s="18"/>
      <c r="T4939" s="18"/>
      <c r="U4939" s="18"/>
      <c r="V4939" s="18"/>
      <c r="W4939" s="18"/>
      <c r="X4939" s="18"/>
    </row>
    <row r="4940" spans="13:24">
      <c r="M4940" s="558">
        <f t="shared" si="236"/>
        <v>4938</v>
      </c>
      <c r="N4940" s="15">
        <f t="shared" si="234"/>
        <v>0.21724823492941323</v>
      </c>
      <c r="O4940" s="165">
        <f t="shared" si="235"/>
        <v>0.21724823492941323</v>
      </c>
      <c r="P4940" s="18"/>
      <c r="Q4940" s="18"/>
      <c r="R4940" s="18"/>
      <c r="S4940" s="18"/>
      <c r="T4940" s="18"/>
      <c r="U4940" s="18"/>
      <c r="V4940" s="18"/>
      <c r="W4940" s="18"/>
      <c r="X4940" s="18"/>
    </row>
    <row r="4941" spans="13:24">
      <c r="M4941" s="558">
        <f t="shared" si="236"/>
        <v>4939</v>
      </c>
      <c r="N4941" s="15">
        <f t="shared" si="234"/>
        <v>0.21719571980348432</v>
      </c>
      <c r="O4941" s="165">
        <f t="shared" si="235"/>
        <v>0.21719571980348432</v>
      </c>
      <c r="P4941" s="18"/>
      <c r="Q4941" s="18"/>
      <c r="R4941" s="18"/>
      <c r="S4941" s="18"/>
      <c r="T4941" s="18"/>
      <c r="U4941" s="18"/>
      <c r="V4941" s="18"/>
      <c r="W4941" s="18"/>
      <c r="X4941" s="18"/>
    </row>
    <row r="4942" spans="13:24">
      <c r="M4942" s="558">
        <f t="shared" si="236"/>
        <v>4940</v>
      </c>
      <c r="N4942" s="15">
        <f t="shared" si="234"/>
        <v>0.21714320611476837</v>
      </c>
      <c r="O4942" s="165">
        <f t="shared" si="235"/>
        <v>0.21714320611476837</v>
      </c>
      <c r="P4942" s="18"/>
      <c r="Q4942" s="18"/>
      <c r="R4942" s="18"/>
      <c r="S4942" s="18"/>
      <c r="T4942" s="18"/>
      <c r="U4942" s="18"/>
      <c r="V4942" s="18"/>
      <c r="W4942" s="18"/>
      <c r="X4942" s="18"/>
    </row>
    <row r="4943" spans="13:24">
      <c r="M4943" s="558">
        <f t="shared" si="236"/>
        <v>4941</v>
      </c>
      <c r="N4943" s="15">
        <f t="shared" si="234"/>
        <v>0.21709069386146182</v>
      </c>
      <c r="O4943" s="165">
        <f t="shared" si="235"/>
        <v>0.21709069386146182</v>
      </c>
      <c r="P4943" s="18"/>
      <c r="Q4943" s="18"/>
      <c r="R4943" s="18"/>
      <c r="S4943" s="18"/>
      <c r="T4943" s="18"/>
      <c r="U4943" s="18"/>
      <c r="V4943" s="18"/>
      <c r="W4943" s="18"/>
      <c r="X4943" s="18"/>
    </row>
    <row r="4944" spans="13:24">
      <c r="M4944" s="558">
        <f t="shared" si="236"/>
        <v>4942</v>
      </c>
      <c r="N4944" s="15">
        <f t="shared" si="234"/>
        <v>0.21703818304176337</v>
      </c>
      <c r="O4944" s="165">
        <f t="shared" si="235"/>
        <v>0.21703818304176337</v>
      </c>
      <c r="P4944" s="18"/>
      <c r="Q4944" s="18"/>
      <c r="R4944" s="18"/>
      <c r="S4944" s="18"/>
      <c r="T4944" s="18"/>
      <c r="U4944" s="18"/>
      <c r="V4944" s="18"/>
      <c r="W4944" s="18"/>
      <c r="X4944" s="18"/>
    </row>
    <row r="4945" spans="13:24">
      <c r="M4945" s="558">
        <f t="shared" si="236"/>
        <v>4943</v>
      </c>
      <c r="N4945" s="15">
        <f t="shared" si="234"/>
        <v>0.21698567365387389</v>
      </c>
      <c r="O4945" s="165">
        <f t="shared" si="235"/>
        <v>0.21698567365387389</v>
      </c>
      <c r="P4945" s="18"/>
      <c r="Q4945" s="18"/>
      <c r="R4945" s="18"/>
      <c r="S4945" s="18"/>
      <c r="T4945" s="18"/>
      <c r="U4945" s="18"/>
      <c r="V4945" s="18"/>
      <c r="W4945" s="18"/>
      <c r="X4945" s="18"/>
    </row>
    <row r="4946" spans="13:24">
      <c r="M4946" s="558">
        <f t="shared" si="236"/>
        <v>4944</v>
      </c>
      <c r="N4946" s="15">
        <f t="shared" si="234"/>
        <v>0.21693316569599666</v>
      </c>
      <c r="O4946" s="165">
        <f t="shared" si="235"/>
        <v>0.21693316569599666</v>
      </c>
      <c r="P4946" s="18"/>
      <c r="Q4946" s="18"/>
      <c r="R4946" s="18"/>
      <c r="S4946" s="18"/>
      <c r="T4946" s="18"/>
      <c r="U4946" s="18"/>
      <c r="V4946" s="18"/>
      <c r="W4946" s="18"/>
      <c r="X4946" s="18"/>
    </row>
    <row r="4947" spans="13:24">
      <c r="M4947" s="558">
        <f t="shared" si="236"/>
        <v>4945</v>
      </c>
      <c r="N4947" s="15">
        <f t="shared" si="234"/>
        <v>0.21688065916633706</v>
      </c>
      <c r="O4947" s="165">
        <f t="shared" si="235"/>
        <v>0.21688065916633706</v>
      </c>
      <c r="P4947" s="18"/>
      <c r="Q4947" s="18"/>
      <c r="R4947" s="18"/>
      <c r="S4947" s="18"/>
      <c r="T4947" s="18"/>
      <c r="U4947" s="18"/>
      <c r="V4947" s="18"/>
      <c r="W4947" s="18"/>
      <c r="X4947" s="18"/>
    </row>
    <row r="4948" spans="13:24">
      <c r="M4948" s="558">
        <f t="shared" si="236"/>
        <v>4946</v>
      </c>
      <c r="N4948" s="15">
        <f t="shared" si="234"/>
        <v>0.21682815406310285</v>
      </c>
      <c r="O4948" s="165">
        <f t="shared" si="235"/>
        <v>0.21682815406310285</v>
      </c>
      <c r="P4948" s="18"/>
      <c r="Q4948" s="18"/>
      <c r="R4948" s="18"/>
      <c r="S4948" s="18"/>
      <c r="T4948" s="18"/>
      <c r="U4948" s="18"/>
      <c r="V4948" s="18"/>
      <c r="W4948" s="18"/>
      <c r="X4948" s="18"/>
    </row>
    <row r="4949" spans="13:24">
      <c r="M4949" s="558">
        <f t="shared" si="236"/>
        <v>4947</v>
      </c>
      <c r="N4949" s="15">
        <f t="shared" si="234"/>
        <v>0.21677565038450392</v>
      </c>
      <c r="O4949" s="165">
        <f t="shared" si="235"/>
        <v>0.21677565038450392</v>
      </c>
      <c r="P4949" s="18"/>
      <c r="Q4949" s="18"/>
      <c r="R4949" s="18"/>
      <c r="S4949" s="18"/>
      <c r="T4949" s="18"/>
      <c r="U4949" s="18"/>
      <c r="V4949" s="18"/>
      <c r="W4949" s="18"/>
      <c r="X4949" s="18"/>
    </row>
    <row r="4950" spans="13:24">
      <c r="M4950" s="558">
        <f t="shared" si="236"/>
        <v>4948</v>
      </c>
      <c r="N4950" s="15">
        <f t="shared" si="234"/>
        <v>0.21672314812875251</v>
      </c>
      <c r="O4950" s="165">
        <f t="shared" si="235"/>
        <v>0.21672314812875251</v>
      </c>
      <c r="P4950" s="18"/>
      <c r="Q4950" s="18"/>
      <c r="R4950" s="18"/>
      <c r="S4950" s="18"/>
      <c r="T4950" s="18"/>
      <c r="U4950" s="18"/>
      <c r="V4950" s="18"/>
      <c r="W4950" s="18"/>
      <c r="X4950" s="18"/>
    </row>
    <row r="4951" spans="13:24">
      <c r="M4951" s="558">
        <f t="shared" si="236"/>
        <v>4949</v>
      </c>
      <c r="N4951" s="15">
        <f t="shared" si="234"/>
        <v>0.21667064729406302</v>
      </c>
      <c r="O4951" s="165">
        <f t="shared" si="235"/>
        <v>0.21667064729406302</v>
      </c>
      <c r="P4951" s="18"/>
      <c r="Q4951" s="18"/>
      <c r="R4951" s="18"/>
      <c r="S4951" s="18"/>
      <c r="T4951" s="18"/>
      <c r="U4951" s="18"/>
      <c r="V4951" s="18"/>
      <c r="W4951" s="18"/>
      <c r="X4951" s="18"/>
    </row>
    <row r="4952" spans="13:24">
      <c r="M4952" s="558">
        <f t="shared" si="236"/>
        <v>4950</v>
      </c>
      <c r="N4952" s="15">
        <f t="shared" si="234"/>
        <v>0.21661814787865216</v>
      </c>
      <c r="O4952" s="165">
        <f t="shared" si="235"/>
        <v>0.21661814787865216</v>
      </c>
      <c r="P4952" s="18"/>
      <c r="Q4952" s="18"/>
      <c r="R4952" s="18"/>
      <c r="S4952" s="18"/>
      <c r="T4952" s="18"/>
      <c r="U4952" s="18"/>
      <c r="V4952" s="18"/>
      <c r="W4952" s="18"/>
      <c r="X4952" s="18"/>
    </row>
    <row r="4953" spans="13:24">
      <c r="M4953" s="558">
        <f t="shared" si="236"/>
        <v>4951</v>
      </c>
      <c r="N4953" s="15">
        <f t="shared" si="234"/>
        <v>0.21656564988073884</v>
      </c>
      <c r="O4953" s="165">
        <f t="shared" si="235"/>
        <v>0.21656564988073884</v>
      </c>
      <c r="P4953" s="18"/>
      <c r="Q4953" s="18"/>
      <c r="R4953" s="18"/>
      <c r="S4953" s="18"/>
      <c r="T4953" s="18"/>
      <c r="U4953" s="18"/>
      <c r="V4953" s="18"/>
      <c r="W4953" s="18"/>
      <c r="X4953" s="18"/>
    </row>
    <row r="4954" spans="13:24">
      <c r="M4954" s="558">
        <f t="shared" si="236"/>
        <v>4952</v>
      </c>
      <c r="N4954" s="15">
        <f t="shared" si="234"/>
        <v>0.21651315329854426</v>
      </c>
      <c r="O4954" s="165">
        <f t="shared" si="235"/>
        <v>0.21651315329854426</v>
      </c>
      <c r="P4954" s="18"/>
      <c r="Q4954" s="18"/>
      <c r="R4954" s="18"/>
      <c r="S4954" s="18"/>
      <c r="T4954" s="18"/>
      <c r="U4954" s="18"/>
      <c r="V4954" s="18"/>
      <c r="W4954" s="18"/>
      <c r="X4954" s="18"/>
    </row>
    <row r="4955" spans="13:24">
      <c r="M4955" s="558">
        <f t="shared" si="236"/>
        <v>4953</v>
      </c>
      <c r="N4955" s="15">
        <f t="shared" si="234"/>
        <v>0.21646065813029172</v>
      </c>
      <c r="O4955" s="165">
        <f t="shared" si="235"/>
        <v>0.21646065813029172</v>
      </c>
      <c r="P4955" s="18"/>
      <c r="Q4955" s="18"/>
      <c r="R4955" s="18"/>
      <c r="S4955" s="18"/>
      <c r="T4955" s="18"/>
      <c r="U4955" s="18"/>
      <c r="V4955" s="18"/>
      <c r="W4955" s="18"/>
      <c r="X4955" s="18"/>
    </row>
    <row r="4956" spans="13:24">
      <c r="M4956" s="558">
        <f t="shared" si="236"/>
        <v>4954</v>
      </c>
      <c r="N4956" s="15">
        <f t="shared" si="234"/>
        <v>0.21640816437420693</v>
      </c>
      <c r="O4956" s="165">
        <f t="shared" si="235"/>
        <v>0.21640816437420693</v>
      </c>
      <c r="P4956" s="18"/>
      <c r="Q4956" s="18"/>
      <c r="R4956" s="18"/>
      <c r="S4956" s="18"/>
      <c r="T4956" s="18"/>
      <c r="U4956" s="18"/>
      <c r="V4956" s="18"/>
      <c r="W4956" s="18"/>
      <c r="X4956" s="18"/>
    </row>
    <row r="4957" spans="13:24">
      <c r="M4957" s="558">
        <f t="shared" si="236"/>
        <v>4955</v>
      </c>
      <c r="N4957" s="15">
        <f t="shared" si="234"/>
        <v>0.21635567202851766</v>
      </c>
      <c r="O4957" s="165">
        <f t="shared" si="235"/>
        <v>0.21635567202851766</v>
      </c>
      <c r="P4957" s="18"/>
      <c r="Q4957" s="18"/>
      <c r="R4957" s="18"/>
      <c r="S4957" s="18"/>
      <c r="T4957" s="18"/>
      <c r="U4957" s="18"/>
      <c r="V4957" s="18"/>
      <c r="W4957" s="18"/>
      <c r="X4957" s="18"/>
    </row>
    <row r="4958" spans="13:24">
      <c r="M4958" s="558">
        <f t="shared" si="236"/>
        <v>4956</v>
      </c>
      <c r="N4958" s="15">
        <f t="shared" si="234"/>
        <v>0.21630318109145397</v>
      </c>
      <c r="O4958" s="165">
        <f t="shared" si="235"/>
        <v>0.21630318109145397</v>
      </c>
      <c r="P4958" s="18"/>
      <c r="Q4958" s="18"/>
      <c r="R4958" s="18"/>
      <c r="S4958" s="18"/>
      <c r="T4958" s="18"/>
      <c r="U4958" s="18"/>
      <c r="V4958" s="18"/>
      <c r="W4958" s="18"/>
      <c r="X4958" s="18"/>
    </row>
    <row r="4959" spans="13:24">
      <c r="M4959" s="558">
        <f t="shared" si="236"/>
        <v>4957</v>
      </c>
      <c r="N4959" s="15">
        <f t="shared" si="234"/>
        <v>0.21625069156124824</v>
      </c>
      <c r="O4959" s="165">
        <f t="shared" si="235"/>
        <v>0.21625069156124824</v>
      </c>
      <c r="P4959" s="18"/>
      <c r="Q4959" s="18"/>
      <c r="R4959" s="18"/>
      <c r="S4959" s="18"/>
      <c r="T4959" s="18"/>
      <c r="U4959" s="18"/>
      <c r="V4959" s="18"/>
      <c r="W4959" s="18"/>
      <c r="X4959" s="18"/>
    </row>
    <row r="4960" spans="13:24">
      <c r="M4960" s="558">
        <f t="shared" si="236"/>
        <v>4958</v>
      </c>
      <c r="N4960" s="15">
        <f t="shared" si="234"/>
        <v>0.21619820343613488</v>
      </c>
      <c r="O4960" s="165">
        <f t="shared" si="235"/>
        <v>0.21619820343613488</v>
      </c>
      <c r="P4960" s="18"/>
      <c r="Q4960" s="18"/>
      <c r="R4960" s="18"/>
      <c r="S4960" s="18"/>
      <c r="T4960" s="18"/>
      <c r="U4960" s="18"/>
      <c r="V4960" s="18"/>
      <c r="W4960" s="18"/>
      <c r="X4960" s="18"/>
    </row>
    <row r="4961" spans="13:24">
      <c r="M4961" s="558">
        <f t="shared" si="236"/>
        <v>4959</v>
      </c>
      <c r="N4961" s="15">
        <f t="shared" si="234"/>
        <v>0.21614571671435068</v>
      </c>
      <c r="O4961" s="165">
        <f t="shared" si="235"/>
        <v>0.21614571671435068</v>
      </c>
      <c r="P4961" s="18"/>
      <c r="Q4961" s="18"/>
      <c r="R4961" s="18"/>
      <c r="S4961" s="18"/>
      <c r="T4961" s="18"/>
      <c r="U4961" s="18"/>
      <c r="V4961" s="18"/>
      <c r="W4961" s="18"/>
      <c r="X4961" s="18"/>
    </row>
    <row r="4962" spans="13:24">
      <c r="M4962" s="558">
        <f t="shared" si="236"/>
        <v>4960</v>
      </c>
      <c r="N4962" s="15">
        <f t="shared" si="234"/>
        <v>0.2160932313941345</v>
      </c>
      <c r="O4962" s="165">
        <f t="shared" si="235"/>
        <v>0.2160932313941345</v>
      </c>
      <c r="P4962" s="18"/>
      <c r="Q4962" s="18"/>
      <c r="R4962" s="18"/>
      <c r="S4962" s="18"/>
      <c r="T4962" s="18"/>
      <c r="U4962" s="18"/>
      <c r="V4962" s="18"/>
      <c r="W4962" s="18"/>
      <c r="X4962" s="18"/>
    </row>
    <row r="4963" spans="13:24">
      <c r="M4963" s="558">
        <f t="shared" si="236"/>
        <v>4961</v>
      </c>
      <c r="N4963" s="15">
        <f t="shared" si="234"/>
        <v>0.21604074747372756</v>
      </c>
      <c r="O4963" s="165">
        <f t="shared" si="235"/>
        <v>0.21604074747372756</v>
      </c>
      <c r="P4963" s="18"/>
      <c r="Q4963" s="18"/>
      <c r="R4963" s="18"/>
      <c r="S4963" s="18"/>
      <c r="T4963" s="18"/>
      <c r="U4963" s="18"/>
      <c r="V4963" s="18"/>
      <c r="W4963" s="18"/>
      <c r="X4963" s="18"/>
    </row>
    <row r="4964" spans="13:24">
      <c r="M4964" s="558">
        <f t="shared" si="236"/>
        <v>4962</v>
      </c>
      <c r="N4964" s="15">
        <f t="shared" si="234"/>
        <v>0.21598826495137316</v>
      </c>
      <c r="O4964" s="165">
        <f t="shared" si="235"/>
        <v>0.21598826495137316</v>
      </c>
      <c r="P4964" s="18"/>
      <c r="Q4964" s="18"/>
      <c r="R4964" s="18"/>
      <c r="S4964" s="18"/>
      <c r="T4964" s="18"/>
      <c r="U4964" s="18"/>
      <c r="V4964" s="18"/>
      <c r="W4964" s="18"/>
      <c r="X4964" s="18"/>
    </row>
    <row r="4965" spans="13:24">
      <c r="M4965" s="558">
        <f t="shared" si="236"/>
        <v>4963</v>
      </c>
      <c r="N4965" s="15">
        <f t="shared" si="234"/>
        <v>0.21593578382531692</v>
      </c>
      <c r="O4965" s="165">
        <f t="shared" si="235"/>
        <v>0.21593578382531692</v>
      </c>
      <c r="P4965" s="18"/>
      <c r="Q4965" s="18"/>
      <c r="R4965" s="18"/>
      <c r="S4965" s="18"/>
      <c r="T4965" s="18"/>
      <c r="U4965" s="18"/>
      <c r="V4965" s="18"/>
      <c r="W4965" s="18"/>
      <c r="X4965" s="18"/>
    </row>
    <row r="4966" spans="13:24">
      <c r="M4966" s="558">
        <f t="shared" si="236"/>
        <v>4964</v>
      </c>
      <c r="N4966" s="15">
        <f t="shared" si="234"/>
        <v>0.21588330409380649</v>
      </c>
      <c r="O4966" s="165">
        <f t="shared" si="235"/>
        <v>0.21588330409380649</v>
      </c>
      <c r="P4966" s="18"/>
      <c r="Q4966" s="18"/>
      <c r="R4966" s="18"/>
      <c r="S4966" s="18"/>
      <c r="T4966" s="18"/>
      <c r="U4966" s="18"/>
      <c r="V4966" s="18"/>
      <c r="W4966" s="18"/>
      <c r="X4966" s="18"/>
    </row>
    <row r="4967" spans="13:24">
      <c r="M4967" s="558">
        <f t="shared" si="236"/>
        <v>4965</v>
      </c>
      <c r="N4967" s="15">
        <f t="shared" si="234"/>
        <v>0.21583082575509194</v>
      </c>
      <c r="O4967" s="165">
        <f t="shared" si="235"/>
        <v>0.21583082575509194</v>
      </c>
      <c r="P4967" s="18"/>
      <c r="Q4967" s="18"/>
      <c r="R4967" s="18"/>
      <c r="S4967" s="18"/>
      <c r="T4967" s="18"/>
      <c r="U4967" s="18"/>
      <c r="V4967" s="18"/>
      <c r="W4967" s="18"/>
      <c r="X4967" s="18"/>
    </row>
    <row r="4968" spans="13:24">
      <c r="M4968" s="558">
        <f t="shared" si="236"/>
        <v>4966</v>
      </c>
      <c r="N4968" s="15">
        <f t="shared" si="234"/>
        <v>0.21577834880742536</v>
      </c>
      <c r="O4968" s="165">
        <f t="shared" si="235"/>
        <v>0.21577834880742536</v>
      </c>
      <c r="P4968" s="18"/>
      <c r="Q4968" s="18"/>
      <c r="R4968" s="18"/>
      <c r="S4968" s="18"/>
      <c r="T4968" s="18"/>
      <c r="U4968" s="18"/>
      <c r="V4968" s="18"/>
      <c r="W4968" s="18"/>
      <c r="X4968" s="18"/>
    </row>
    <row r="4969" spans="13:24">
      <c r="M4969" s="558">
        <f t="shared" si="236"/>
        <v>4967</v>
      </c>
      <c r="N4969" s="15">
        <f t="shared" si="234"/>
        <v>0.21572587324906112</v>
      </c>
      <c r="O4969" s="165">
        <f t="shared" si="235"/>
        <v>0.21572587324906112</v>
      </c>
      <c r="P4969" s="18"/>
      <c r="Q4969" s="18"/>
      <c r="R4969" s="18"/>
      <c r="S4969" s="18"/>
      <c r="T4969" s="18"/>
      <c r="U4969" s="18"/>
      <c r="V4969" s="18"/>
      <c r="W4969" s="18"/>
      <c r="X4969" s="18"/>
    </row>
    <row r="4970" spans="13:24">
      <c r="M4970" s="558">
        <f t="shared" si="236"/>
        <v>4968</v>
      </c>
      <c r="N4970" s="15">
        <f t="shared" si="234"/>
        <v>0.21567339907825572</v>
      </c>
      <c r="O4970" s="165">
        <f t="shared" si="235"/>
        <v>0.21567339907825572</v>
      </c>
      <c r="P4970" s="18"/>
      <c r="Q4970" s="18"/>
      <c r="R4970" s="18"/>
      <c r="S4970" s="18"/>
      <c r="T4970" s="18"/>
      <c r="U4970" s="18"/>
      <c r="V4970" s="18"/>
      <c r="W4970" s="18"/>
      <c r="X4970" s="18"/>
    </row>
    <row r="4971" spans="13:24">
      <c r="M4971" s="558">
        <f t="shared" si="236"/>
        <v>4969</v>
      </c>
      <c r="N4971" s="15">
        <f t="shared" si="234"/>
        <v>0.21562092629326796</v>
      </c>
      <c r="O4971" s="165">
        <f t="shared" si="235"/>
        <v>0.21562092629326796</v>
      </c>
      <c r="P4971" s="18"/>
      <c r="Q4971" s="18"/>
      <c r="R4971" s="18"/>
      <c r="S4971" s="18"/>
      <c r="T4971" s="18"/>
      <c r="U4971" s="18"/>
      <c r="V4971" s="18"/>
      <c r="W4971" s="18"/>
      <c r="X4971" s="18"/>
    </row>
    <row r="4972" spans="13:24">
      <c r="M4972" s="558">
        <f t="shared" si="236"/>
        <v>4970</v>
      </c>
      <c r="N4972" s="15">
        <f t="shared" si="234"/>
        <v>0.21556845489235865</v>
      </c>
      <c r="O4972" s="165">
        <f t="shared" si="235"/>
        <v>0.21556845489235865</v>
      </c>
      <c r="P4972" s="18"/>
      <c r="Q4972" s="18"/>
      <c r="R4972" s="18"/>
      <c r="S4972" s="18"/>
      <c r="T4972" s="18"/>
      <c r="U4972" s="18"/>
      <c r="V4972" s="18"/>
      <c r="W4972" s="18"/>
      <c r="X4972" s="18"/>
    </row>
    <row r="4973" spans="13:24">
      <c r="M4973" s="558">
        <f t="shared" si="236"/>
        <v>4971</v>
      </c>
      <c r="N4973" s="15">
        <f t="shared" si="234"/>
        <v>0.21551598487379095</v>
      </c>
      <c r="O4973" s="165">
        <f t="shared" si="235"/>
        <v>0.21551598487379095</v>
      </c>
      <c r="P4973" s="18"/>
      <c r="Q4973" s="18"/>
      <c r="R4973" s="18"/>
      <c r="S4973" s="18"/>
      <c r="T4973" s="18"/>
      <c r="U4973" s="18"/>
      <c r="V4973" s="18"/>
      <c r="W4973" s="18"/>
      <c r="X4973" s="18"/>
    </row>
    <row r="4974" spans="13:24">
      <c r="M4974" s="558">
        <f t="shared" si="236"/>
        <v>4972</v>
      </c>
      <c r="N4974" s="15">
        <f t="shared" si="234"/>
        <v>0.21546351623583015</v>
      </c>
      <c r="O4974" s="165">
        <f t="shared" si="235"/>
        <v>0.21546351623583015</v>
      </c>
      <c r="P4974" s="18"/>
      <c r="Q4974" s="18"/>
      <c r="R4974" s="18"/>
      <c r="S4974" s="18"/>
      <c r="T4974" s="18"/>
      <c r="U4974" s="18"/>
      <c r="V4974" s="18"/>
      <c r="W4974" s="18"/>
      <c r="X4974" s="18"/>
    </row>
    <row r="4975" spans="13:24">
      <c r="M4975" s="558">
        <f t="shared" si="236"/>
        <v>4973</v>
      </c>
      <c r="N4975" s="15">
        <f t="shared" si="234"/>
        <v>0.21541104897674362</v>
      </c>
      <c r="O4975" s="165">
        <f t="shared" si="235"/>
        <v>0.21541104897674362</v>
      </c>
      <c r="P4975" s="18"/>
      <c r="Q4975" s="18"/>
      <c r="R4975" s="18"/>
      <c r="S4975" s="18"/>
      <c r="T4975" s="18"/>
      <c r="U4975" s="18"/>
      <c r="V4975" s="18"/>
      <c r="W4975" s="18"/>
      <c r="X4975" s="18"/>
    </row>
    <row r="4976" spans="13:24">
      <c r="M4976" s="558">
        <f t="shared" si="236"/>
        <v>4974</v>
      </c>
      <c r="N4976" s="15">
        <f t="shared" si="234"/>
        <v>0.21535858309480108</v>
      </c>
      <c r="O4976" s="165">
        <f t="shared" si="235"/>
        <v>0.21535858309480108</v>
      </c>
      <c r="P4976" s="18"/>
      <c r="Q4976" s="18"/>
      <c r="R4976" s="18"/>
      <c r="S4976" s="18"/>
      <c r="T4976" s="18"/>
      <c r="U4976" s="18"/>
      <c r="V4976" s="18"/>
      <c r="W4976" s="18"/>
      <c r="X4976" s="18"/>
    </row>
    <row r="4977" spans="13:24">
      <c r="M4977" s="558">
        <f t="shared" si="236"/>
        <v>4975</v>
      </c>
      <c r="N4977" s="15">
        <f t="shared" si="234"/>
        <v>0.21530611858827425</v>
      </c>
      <c r="O4977" s="165">
        <f t="shared" si="235"/>
        <v>0.21530611858827425</v>
      </c>
      <c r="P4977" s="18"/>
      <c r="Q4977" s="18"/>
      <c r="R4977" s="18"/>
      <c r="S4977" s="18"/>
      <c r="T4977" s="18"/>
      <c r="U4977" s="18"/>
      <c r="V4977" s="18"/>
      <c r="W4977" s="18"/>
      <c r="X4977" s="18"/>
    </row>
    <row r="4978" spans="13:24">
      <c r="M4978" s="558">
        <f t="shared" si="236"/>
        <v>4976</v>
      </c>
      <c r="N4978" s="15">
        <f t="shared" si="234"/>
        <v>0.21525365545543715</v>
      </c>
      <c r="O4978" s="165">
        <f t="shared" si="235"/>
        <v>0.21525365545543715</v>
      </c>
      <c r="P4978" s="18"/>
      <c r="Q4978" s="18"/>
      <c r="R4978" s="18"/>
      <c r="S4978" s="18"/>
      <c r="T4978" s="18"/>
      <c r="U4978" s="18"/>
      <c r="V4978" s="18"/>
      <c r="W4978" s="18"/>
      <c r="X4978" s="18"/>
    </row>
    <row r="4979" spans="13:24">
      <c r="M4979" s="558">
        <f t="shared" si="236"/>
        <v>4977</v>
      </c>
      <c r="N4979" s="15">
        <f t="shared" si="234"/>
        <v>0.21520119369456583</v>
      </c>
      <c r="O4979" s="165">
        <f t="shared" si="235"/>
        <v>0.21520119369456583</v>
      </c>
      <c r="P4979" s="18"/>
      <c r="Q4979" s="18"/>
      <c r="R4979" s="18"/>
      <c r="S4979" s="18"/>
      <c r="T4979" s="18"/>
      <c r="U4979" s="18"/>
      <c r="V4979" s="18"/>
      <c r="W4979" s="18"/>
      <c r="X4979" s="18"/>
    </row>
    <row r="4980" spans="13:24">
      <c r="M4980" s="558">
        <f t="shared" si="236"/>
        <v>4978</v>
      </c>
      <c r="N4980" s="15">
        <f t="shared" si="234"/>
        <v>0.21514873330393866</v>
      </c>
      <c r="O4980" s="165">
        <f t="shared" si="235"/>
        <v>0.21514873330393866</v>
      </c>
      <c r="P4980" s="18"/>
      <c r="Q4980" s="18"/>
      <c r="R4980" s="18"/>
      <c r="S4980" s="18"/>
      <c r="T4980" s="18"/>
      <c r="U4980" s="18"/>
      <c r="V4980" s="18"/>
      <c r="W4980" s="18"/>
      <c r="X4980" s="18"/>
    </row>
    <row r="4981" spans="13:24">
      <c r="M4981" s="558">
        <f t="shared" si="236"/>
        <v>4979</v>
      </c>
      <c r="N4981" s="15">
        <f t="shared" si="234"/>
        <v>0.21509627428183606</v>
      </c>
      <c r="O4981" s="165">
        <f t="shared" si="235"/>
        <v>0.21509627428183606</v>
      </c>
      <c r="P4981" s="18"/>
      <c r="Q4981" s="18"/>
      <c r="R4981" s="18"/>
      <c r="S4981" s="18"/>
      <c r="T4981" s="18"/>
      <c r="U4981" s="18"/>
      <c r="V4981" s="18"/>
      <c r="W4981" s="18"/>
      <c r="X4981" s="18"/>
    </row>
    <row r="4982" spans="13:24">
      <c r="M4982" s="558">
        <f t="shared" si="236"/>
        <v>4980</v>
      </c>
      <c r="N4982" s="15">
        <f t="shared" si="234"/>
        <v>0.21504381662654068</v>
      </c>
      <c r="O4982" s="165">
        <f t="shared" si="235"/>
        <v>0.21504381662654068</v>
      </c>
      <c r="P4982" s="18"/>
      <c r="Q4982" s="18"/>
      <c r="R4982" s="18"/>
      <c r="S4982" s="18"/>
      <c r="T4982" s="18"/>
      <c r="U4982" s="18"/>
      <c r="V4982" s="18"/>
      <c r="W4982" s="18"/>
      <c r="X4982" s="18"/>
    </row>
    <row r="4983" spans="13:24">
      <c r="M4983" s="558">
        <f t="shared" si="236"/>
        <v>4981</v>
      </c>
      <c r="N4983" s="15">
        <f t="shared" si="234"/>
        <v>0.2149913603363372</v>
      </c>
      <c r="O4983" s="165">
        <f t="shared" si="235"/>
        <v>0.2149913603363372</v>
      </c>
      <c r="P4983" s="18"/>
      <c r="Q4983" s="18"/>
      <c r="R4983" s="18"/>
      <c r="S4983" s="18"/>
      <c r="T4983" s="18"/>
      <c r="U4983" s="18"/>
      <c r="V4983" s="18"/>
      <c r="W4983" s="18"/>
      <c r="X4983" s="18"/>
    </row>
    <row r="4984" spans="13:24">
      <c r="M4984" s="558">
        <f t="shared" si="236"/>
        <v>4982</v>
      </c>
      <c r="N4984" s="15">
        <f t="shared" si="234"/>
        <v>0.21493890540951263</v>
      </c>
      <c r="O4984" s="165">
        <f t="shared" si="235"/>
        <v>0.21493890540951263</v>
      </c>
      <c r="P4984" s="18"/>
      <c r="Q4984" s="18"/>
      <c r="R4984" s="18"/>
      <c r="S4984" s="18"/>
      <c r="T4984" s="18"/>
      <c r="U4984" s="18"/>
      <c r="V4984" s="18"/>
      <c r="W4984" s="18"/>
      <c r="X4984" s="18"/>
    </row>
    <row r="4985" spans="13:24">
      <c r="M4985" s="558">
        <f t="shared" si="236"/>
        <v>4983</v>
      </c>
      <c r="N4985" s="15">
        <f t="shared" si="234"/>
        <v>0.21488645184435598</v>
      </c>
      <c r="O4985" s="165">
        <f t="shared" si="235"/>
        <v>0.21488645184435598</v>
      </c>
      <c r="P4985" s="18"/>
      <c r="Q4985" s="18"/>
      <c r="R4985" s="18"/>
      <c r="S4985" s="18"/>
      <c r="T4985" s="18"/>
      <c r="U4985" s="18"/>
      <c r="V4985" s="18"/>
      <c r="W4985" s="18"/>
      <c r="X4985" s="18"/>
    </row>
    <row r="4986" spans="13:24">
      <c r="M4986" s="558">
        <f t="shared" si="236"/>
        <v>4984</v>
      </c>
      <c r="N4986" s="15">
        <f t="shared" si="234"/>
        <v>0.21483399963915853</v>
      </c>
      <c r="O4986" s="165">
        <f t="shared" si="235"/>
        <v>0.21483399963915853</v>
      </c>
      <c r="P4986" s="18"/>
      <c r="Q4986" s="18"/>
      <c r="R4986" s="18"/>
      <c r="S4986" s="18"/>
      <c r="T4986" s="18"/>
      <c r="U4986" s="18"/>
      <c r="V4986" s="18"/>
      <c r="W4986" s="18"/>
      <c r="X4986" s="18"/>
    </row>
    <row r="4987" spans="13:24">
      <c r="M4987" s="558">
        <f t="shared" si="236"/>
        <v>4985</v>
      </c>
      <c r="N4987" s="15">
        <f t="shared" si="234"/>
        <v>0.21478154879221353</v>
      </c>
      <c r="O4987" s="165">
        <f t="shared" si="235"/>
        <v>0.21478154879221353</v>
      </c>
      <c r="P4987" s="18"/>
      <c r="Q4987" s="18"/>
      <c r="R4987" s="18"/>
      <c r="S4987" s="18"/>
      <c r="T4987" s="18"/>
      <c r="U4987" s="18"/>
      <c r="V4987" s="18"/>
      <c r="W4987" s="18"/>
      <c r="X4987" s="18"/>
    </row>
    <row r="4988" spans="13:24">
      <c r="M4988" s="558">
        <f t="shared" si="236"/>
        <v>4986</v>
      </c>
      <c r="N4988" s="15">
        <f t="shared" si="234"/>
        <v>0.21472909930181658</v>
      </c>
      <c r="O4988" s="165">
        <f t="shared" si="235"/>
        <v>0.21472909930181658</v>
      </c>
      <c r="P4988" s="18"/>
      <c r="Q4988" s="18"/>
      <c r="R4988" s="18"/>
      <c r="S4988" s="18"/>
      <c r="T4988" s="18"/>
      <c r="U4988" s="18"/>
      <c r="V4988" s="18"/>
      <c r="W4988" s="18"/>
      <c r="X4988" s="18"/>
    </row>
    <row r="4989" spans="13:24">
      <c r="M4989" s="558">
        <f t="shared" si="236"/>
        <v>4987</v>
      </c>
      <c r="N4989" s="15">
        <f t="shared" si="234"/>
        <v>0.21467665116626533</v>
      </c>
      <c r="O4989" s="165">
        <f t="shared" si="235"/>
        <v>0.21467665116626533</v>
      </c>
      <c r="P4989" s="18"/>
      <c r="Q4989" s="18"/>
      <c r="R4989" s="18"/>
      <c r="S4989" s="18"/>
      <c r="T4989" s="18"/>
      <c r="U4989" s="18"/>
      <c r="V4989" s="18"/>
      <c r="W4989" s="18"/>
      <c r="X4989" s="18"/>
    </row>
    <row r="4990" spans="13:24">
      <c r="M4990" s="558">
        <f t="shared" si="236"/>
        <v>4988</v>
      </c>
      <c r="N4990" s="15">
        <f t="shared" si="234"/>
        <v>0.21462420438385948</v>
      </c>
      <c r="O4990" s="165">
        <f t="shared" si="235"/>
        <v>0.21462420438385948</v>
      </c>
      <c r="P4990" s="18"/>
      <c r="Q4990" s="18"/>
      <c r="R4990" s="18"/>
      <c r="S4990" s="18"/>
      <c r="T4990" s="18"/>
      <c r="U4990" s="18"/>
      <c r="V4990" s="18"/>
      <c r="W4990" s="18"/>
      <c r="X4990" s="18"/>
    </row>
    <row r="4991" spans="13:24">
      <c r="M4991" s="558">
        <f t="shared" si="236"/>
        <v>4989</v>
      </c>
      <c r="N4991" s="15">
        <f t="shared" si="234"/>
        <v>0.21457175895290101</v>
      </c>
      <c r="O4991" s="165">
        <f t="shared" si="235"/>
        <v>0.21457175895290101</v>
      </c>
      <c r="P4991" s="18"/>
      <c r="Q4991" s="18"/>
      <c r="R4991" s="18"/>
      <c r="S4991" s="18"/>
      <c r="T4991" s="18"/>
      <c r="U4991" s="18"/>
      <c r="V4991" s="18"/>
      <c r="W4991" s="18"/>
      <c r="X4991" s="18"/>
    </row>
    <row r="4992" spans="13:24">
      <c r="M4992" s="558">
        <f t="shared" si="236"/>
        <v>4990</v>
      </c>
      <c r="N4992" s="15">
        <f t="shared" si="234"/>
        <v>0.2145193148716939</v>
      </c>
      <c r="O4992" s="165">
        <f t="shared" si="235"/>
        <v>0.2145193148716939</v>
      </c>
      <c r="P4992" s="18"/>
      <c r="Q4992" s="18"/>
      <c r="R4992" s="18"/>
      <c r="S4992" s="18"/>
      <c r="T4992" s="18"/>
      <c r="U4992" s="18"/>
      <c r="V4992" s="18"/>
      <c r="W4992" s="18"/>
      <c r="X4992" s="18"/>
    </row>
    <row r="4993" spans="13:24">
      <c r="M4993" s="558">
        <f t="shared" si="236"/>
        <v>4991</v>
      </c>
      <c r="N4993" s="15">
        <f t="shared" si="234"/>
        <v>0.2144668721385444</v>
      </c>
      <c r="O4993" s="165">
        <f t="shared" si="235"/>
        <v>0.2144668721385444</v>
      </c>
      <c r="P4993" s="18"/>
      <c r="Q4993" s="18"/>
      <c r="R4993" s="18"/>
      <c r="S4993" s="18"/>
      <c r="T4993" s="18"/>
      <c r="U4993" s="18"/>
      <c r="V4993" s="18"/>
      <c r="W4993" s="18"/>
      <c r="X4993" s="18"/>
    </row>
    <row r="4994" spans="13:24">
      <c r="M4994" s="558">
        <f t="shared" si="236"/>
        <v>4992</v>
      </c>
      <c r="N4994" s="15">
        <f t="shared" si="234"/>
        <v>0.21441443075176073</v>
      </c>
      <c r="O4994" s="165">
        <f t="shared" si="235"/>
        <v>0.21441443075176073</v>
      </c>
      <c r="P4994" s="18"/>
      <c r="Q4994" s="18"/>
      <c r="R4994" s="18"/>
      <c r="S4994" s="18"/>
      <c r="T4994" s="18"/>
      <c r="U4994" s="18"/>
      <c r="V4994" s="18"/>
      <c r="W4994" s="18"/>
      <c r="X4994" s="18"/>
    </row>
    <row r="4995" spans="13:24">
      <c r="M4995" s="558">
        <f t="shared" si="236"/>
        <v>4993</v>
      </c>
      <c r="N4995" s="15">
        <f t="shared" si="234"/>
        <v>0.21436199070965334</v>
      </c>
      <c r="O4995" s="165">
        <f t="shared" si="235"/>
        <v>0.21436199070965334</v>
      </c>
      <c r="P4995" s="18"/>
      <c r="Q4995" s="18"/>
      <c r="R4995" s="18"/>
      <c r="S4995" s="18"/>
      <c r="T4995" s="18"/>
      <c r="U4995" s="18"/>
      <c r="V4995" s="18"/>
      <c r="W4995" s="18"/>
      <c r="X4995" s="18"/>
    </row>
    <row r="4996" spans="13:24">
      <c r="M4996" s="558">
        <f t="shared" si="236"/>
        <v>4994</v>
      </c>
      <c r="N4996" s="15">
        <f t="shared" ref="N4996:N5059" si="237">IF(M4996&lt;$B$31+1,$B$32+$B$33/$B$31*(8760-M4996)+$B$34*IF(M4996&lt;$B$36-$B$31/(2*$B$35),1,IF(M4996&lt;$B$36+$B$31/(2*$B$35),COS(PI()/2*(M4996-($B$36-$B$31/(2*$B$35)))*$B$35/$B$31)^2,0))+$B$37*EXP((8760-M4996)/8760*$B$38)/EXP($B$38)-(8760-$B$31)*$B$33/$B$31,0)</f>
        <v>0.21430955201053475</v>
      </c>
      <c r="O4996" s="165">
        <f t="shared" ref="O4996:O5059" si="238">MIN(N4996,C$24)</f>
        <v>0.21430955201053475</v>
      </c>
      <c r="P4996" s="18"/>
      <c r="Q4996" s="18"/>
      <c r="R4996" s="18"/>
      <c r="S4996" s="18"/>
      <c r="T4996" s="18"/>
      <c r="U4996" s="18"/>
      <c r="V4996" s="18"/>
      <c r="W4996" s="18"/>
      <c r="X4996" s="18"/>
    </row>
    <row r="4997" spans="13:24">
      <c r="M4997" s="558">
        <f t="shared" ref="M4997:M5060" si="239">M4996+1</f>
        <v>4995</v>
      </c>
      <c r="N4997" s="15">
        <f t="shared" si="237"/>
        <v>0.21425711465271968</v>
      </c>
      <c r="O4997" s="165">
        <f t="shared" si="238"/>
        <v>0.21425711465271968</v>
      </c>
      <c r="P4997" s="18"/>
      <c r="Q4997" s="18"/>
      <c r="R4997" s="18"/>
      <c r="S4997" s="18"/>
      <c r="T4997" s="18"/>
      <c r="U4997" s="18"/>
      <c r="V4997" s="18"/>
      <c r="W4997" s="18"/>
      <c r="X4997" s="18"/>
    </row>
    <row r="4998" spans="13:24">
      <c r="M4998" s="558">
        <f t="shared" si="239"/>
        <v>4996</v>
      </c>
      <c r="N4998" s="15">
        <f t="shared" si="237"/>
        <v>0.2142046786345248</v>
      </c>
      <c r="O4998" s="165">
        <f t="shared" si="238"/>
        <v>0.2142046786345248</v>
      </c>
      <c r="P4998" s="18"/>
      <c r="Q4998" s="18"/>
      <c r="R4998" s="18"/>
      <c r="S4998" s="18"/>
      <c r="T4998" s="18"/>
      <c r="U4998" s="18"/>
      <c r="V4998" s="18"/>
      <c r="W4998" s="18"/>
      <c r="X4998" s="18"/>
    </row>
    <row r="4999" spans="13:24">
      <c r="M4999" s="558">
        <f t="shared" si="239"/>
        <v>4997</v>
      </c>
      <c r="N4999" s="15">
        <f t="shared" si="237"/>
        <v>0.2141522439542691</v>
      </c>
      <c r="O4999" s="165">
        <f t="shared" si="238"/>
        <v>0.2141522439542691</v>
      </c>
      <c r="P4999" s="18"/>
      <c r="Q4999" s="18"/>
      <c r="R4999" s="18"/>
      <c r="S4999" s="18"/>
      <c r="T4999" s="18"/>
      <c r="U4999" s="18"/>
      <c r="V4999" s="18"/>
      <c r="W4999" s="18"/>
      <c r="X4999" s="18"/>
    </row>
    <row r="5000" spans="13:24">
      <c r="M5000" s="558">
        <f t="shared" si="239"/>
        <v>4998</v>
      </c>
      <c r="N5000" s="15">
        <f t="shared" si="237"/>
        <v>0.2140998106102735</v>
      </c>
      <c r="O5000" s="165">
        <f t="shared" si="238"/>
        <v>0.2140998106102735</v>
      </c>
      <c r="P5000" s="18"/>
      <c r="Q5000" s="18"/>
      <c r="R5000" s="18"/>
      <c r="S5000" s="18"/>
      <c r="T5000" s="18"/>
      <c r="U5000" s="18"/>
      <c r="V5000" s="18"/>
      <c r="W5000" s="18"/>
      <c r="X5000" s="18"/>
    </row>
    <row r="5001" spans="13:24">
      <c r="M5001" s="558">
        <f t="shared" si="239"/>
        <v>4999</v>
      </c>
      <c r="N5001" s="15">
        <f t="shared" si="237"/>
        <v>0.21404737860086115</v>
      </c>
      <c r="O5001" s="165">
        <f t="shared" si="238"/>
        <v>0.21404737860086115</v>
      </c>
      <c r="P5001" s="18"/>
      <c r="Q5001" s="18"/>
      <c r="R5001" s="18"/>
      <c r="S5001" s="18"/>
      <c r="T5001" s="18"/>
      <c r="U5001" s="18"/>
      <c r="V5001" s="18"/>
      <c r="W5001" s="18"/>
      <c r="X5001" s="18"/>
    </row>
    <row r="5002" spans="13:24">
      <c r="M5002" s="558">
        <f t="shared" si="239"/>
        <v>5000</v>
      </c>
      <c r="N5002" s="15">
        <f t="shared" si="237"/>
        <v>0.21399494792435719</v>
      </c>
      <c r="O5002" s="165">
        <f t="shared" si="238"/>
        <v>0.21399494792435719</v>
      </c>
      <c r="P5002" s="18"/>
      <c r="Q5002" s="18"/>
      <c r="R5002" s="18"/>
      <c r="S5002" s="18"/>
      <c r="T5002" s="18"/>
      <c r="U5002" s="18"/>
      <c r="V5002" s="18"/>
      <c r="W5002" s="18"/>
      <c r="X5002" s="18"/>
    </row>
    <row r="5003" spans="13:24">
      <c r="M5003" s="558">
        <f t="shared" si="239"/>
        <v>5001</v>
      </c>
      <c r="N5003" s="15">
        <f t="shared" si="237"/>
        <v>0.213942518579089</v>
      </c>
      <c r="O5003" s="165">
        <f t="shared" si="238"/>
        <v>0.213942518579089</v>
      </c>
      <c r="P5003" s="18"/>
      <c r="Q5003" s="18"/>
      <c r="R5003" s="18"/>
      <c r="S5003" s="18"/>
      <c r="T5003" s="18"/>
      <c r="U5003" s="18"/>
      <c r="V5003" s="18"/>
      <c r="W5003" s="18"/>
      <c r="X5003" s="18"/>
    </row>
    <row r="5004" spans="13:24">
      <c r="M5004" s="558">
        <f t="shared" si="239"/>
        <v>5002</v>
      </c>
      <c r="N5004" s="15">
        <f t="shared" si="237"/>
        <v>0.21389009056338595</v>
      </c>
      <c r="O5004" s="165">
        <f t="shared" si="238"/>
        <v>0.21389009056338595</v>
      </c>
      <c r="P5004" s="18"/>
      <c r="Q5004" s="18"/>
      <c r="R5004" s="18"/>
      <c r="S5004" s="18"/>
      <c r="T5004" s="18"/>
      <c r="U5004" s="18"/>
      <c r="V5004" s="18"/>
      <c r="W5004" s="18"/>
      <c r="X5004" s="18"/>
    </row>
    <row r="5005" spans="13:24">
      <c r="M5005" s="558">
        <f t="shared" si="239"/>
        <v>5003</v>
      </c>
      <c r="N5005" s="15">
        <f t="shared" si="237"/>
        <v>0.21383766387557954</v>
      </c>
      <c r="O5005" s="165">
        <f t="shared" si="238"/>
        <v>0.21383766387557954</v>
      </c>
      <c r="P5005" s="18"/>
      <c r="Q5005" s="18"/>
      <c r="R5005" s="18"/>
      <c r="S5005" s="18"/>
      <c r="T5005" s="18"/>
      <c r="U5005" s="18"/>
      <c r="V5005" s="18"/>
      <c r="W5005" s="18"/>
      <c r="X5005" s="18"/>
    </row>
    <row r="5006" spans="13:24">
      <c r="M5006" s="558">
        <f t="shared" si="239"/>
        <v>5004</v>
      </c>
      <c r="N5006" s="15">
        <f t="shared" si="237"/>
        <v>0.21378523851400338</v>
      </c>
      <c r="O5006" s="165">
        <f t="shared" si="238"/>
        <v>0.21378523851400338</v>
      </c>
      <c r="P5006" s="18"/>
      <c r="Q5006" s="18"/>
      <c r="R5006" s="18"/>
      <c r="S5006" s="18"/>
      <c r="T5006" s="18"/>
      <c r="U5006" s="18"/>
      <c r="V5006" s="18"/>
      <c r="W5006" s="18"/>
      <c r="X5006" s="18"/>
    </row>
    <row r="5007" spans="13:24">
      <c r="M5007" s="558">
        <f t="shared" si="239"/>
        <v>5005</v>
      </c>
      <c r="N5007" s="15">
        <f t="shared" si="237"/>
        <v>0.21373281447699313</v>
      </c>
      <c r="O5007" s="165">
        <f t="shared" si="238"/>
        <v>0.21373281447699313</v>
      </c>
      <c r="P5007" s="18"/>
      <c r="Q5007" s="18"/>
      <c r="R5007" s="18"/>
      <c r="S5007" s="18"/>
      <c r="T5007" s="18"/>
      <c r="U5007" s="18"/>
      <c r="V5007" s="18"/>
      <c r="W5007" s="18"/>
      <c r="X5007" s="18"/>
    </row>
    <row r="5008" spans="13:24">
      <c r="M5008" s="558">
        <f t="shared" si="239"/>
        <v>5006</v>
      </c>
      <c r="N5008" s="15">
        <f t="shared" si="237"/>
        <v>0.21368039176288661</v>
      </c>
      <c r="O5008" s="165">
        <f t="shared" si="238"/>
        <v>0.21368039176288661</v>
      </c>
      <c r="P5008" s="18"/>
      <c r="Q5008" s="18"/>
      <c r="R5008" s="18"/>
      <c r="S5008" s="18"/>
      <c r="T5008" s="18"/>
      <c r="U5008" s="18"/>
      <c r="V5008" s="18"/>
      <c r="W5008" s="18"/>
      <c r="X5008" s="18"/>
    </row>
    <row r="5009" spans="13:24">
      <c r="M5009" s="558">
        <f t="shared" si="239"/>
        <v>5007</v>
      </c>
      <c r="N5009" s="15">
        <f t="shared" si="237"/>
        <v>0.21362797037002365</v>
      </c>
      <c r="O5009" s="165">
        <f t="shared" si="238"/>
        <v>0.21362797037002365</v>
      </c>
      <c r="P5009" s="18"/>
      <c r="Q5009" s="18"/>
      <c r="R5009" s="18"/>
      <c r="S5009" s="18"/>
      <c r="T5009" s="18"/>
      <c r="U5009" s="18"/>
      <c r="V5009" s="18"/>
      <c r="W5009" s="18"/>
      <c r="X5009" s="18"/>
    </row>
    <row r="5010" spans="13:24">
      <c r="M5010" s="558">
        <f t="shared" si="239"/>
        <v>5008</v>
      </c>
      <c r="N5010" s="15">
        <f t="shared" si="237"/>
        <v>0.21357555029674621</v>
      </c>
      <c r="O5010" s="165">
        <f t="shared" si="238"/>
        <v>0.21357555029674621</v>
      </c>
      <c r="P5010" s="18"/>
      <c r="Q5010" s="18"/>
      <c r="R5010" s="18"/>
      <c r="S5010" s="18"/>
      <c r="T5010" s="18"/>
      <c r="U5010" s="18"/>
      <c r="V5010" s="18"/>
      <c r="W5010" s="18"/>
      <c r="X5010" s="18"/>
    </row>
    <row r="5011" spans="13:24">
      <c r="M5011" s="558">
        <f t="shared" si="239"/>
        <v>5009</v>
      </c>
      <c r="N5011" s="15">
        <f t="shared" si="237"/>
        <v>0.21352313154139829</v>
      </c>
      <c r="O5011" s="165">
        <f t="shared" si="238"/>
        <v>0.21352313154139829</v>
      </c>
      <c r="P5011" s="18"/>
      <c r="Q5011" s="18"/>
      <c r="R5011" s="18"/>
      <c r="S5011" s="18"/>
      <c r="T5011" s="18"/>
      <c r="U5011" s="18"/>
      <c r="V5011" s="18"/>
      <c r="W5011" s="18"/>
      <c r="X5011" s="18"/>
    </row>
    <row r="5012" spans="13:24">
      <c r="M5012" s="558">
        <f t="shared" si="239"/>
        <v>5010</v>
      </c>
      <c r="N5012" s="15">
        <f t="shared" si="237"/>
        <v>0.21347071410232604</v>
      </c>
      <c r="O5012" s="165">
        <f t="shared" si="238"/>
        <v>0.21347071410232604</v>
      </c>
      <c r="P5012" s="18"/>
      <c r="Q5012" s="18"/>
      <c r="R5012" s="18"/>
      <c r="S5012" s="18"/>
      <c r="T5012" s="18"/>
      <c r="U5012" s="18"/>
      <c r="V5012" s="18"/>
      <c r="W5012" s="18"/>
      <c r="X5012" s="18"/>
    </row>
    <row r="5013" spans="13:24">
      <c r="M5013" s="558">
        <f t="shared" si="239"/>
        <v>5011</v>
      </c>
      <c r="N5013" s="15">
        <f t="shared" si="237"/>
        <v>0.21341829797787759</v>
      </c>
      <c r="O5013" s="165">
        <f t="shared" si="238"/>
        <v>0.21341829797787759</v>
      </c>
      <c r="P5013" s="18"/>
      <c r="Q5013" s="18"/>
      <c r="R5013" s="18"/>
      <c r="S5013" s="18"/>
      <c r="T5013" s="18"/>
      <c r="U5013" s="18"/>
      <c r="V5013" s="18"/>
      <c r="W5013" s="18"/>
      <c r="X5013" s="18"/>
    </row>
    <row r="5014" spans="13:24">
      <c r="M5014" s="558">
        <f t="shared" si="239"/>
        <v>5012</v>
      </c>
      <c r="N5014" s="15">
        <f t="shared" si="237"/>
        <v>0.21336588316640326</v>
      </c>
      <c r="O5014" s="165">
        <f t="shared" si="238"/>
        <v>0.21336588316640326</v>
      </c>
      <c r="P5014" s="18"/>
      <c r="Q5014" s="18"/>
      <c r="R5014" s="18"/>
      <c r="S5014" s="18"/>
      <c r="T5014" s="18"/>
      <c r="U5014" s="18"/>
      <c r="V5014" s="18"/>
      <c r="W5014" s="18"/>
      <c r="X5014" s="18"/>
    </row>
    <row r="5015" spans="13:24">
      <c r="M5015" s="558">
        <f t="shared" si="239"/>
        <v>5013</v>
      </c>
      <c r="N5015" s="15">
        <f t="shared" si="237"/>
        <v>0.21331346966625528</v>
      </c>
      <c r="O5015" s="165">
        <f t="shared" si="238"/>
        <v>0.21331346966625528</v>
      </c>
      <c r="P5015" s="18"/>
      <c r="Q5015" s="18"/>
      <c r="R5015" s="18"/>
      <c r="S5015" s="18"/>
      <c r="T5015" s="18"/>
      <c r="U5015" s="18"/>
      <c r="V5015" s="18"/>
      <c r="W5015" s="18"/>
      <c r="X5015" s="18"/>
    </row>
    <row r="5016" spans="13:24">
      <c r="M5016" s="558">
        <f t="shared" si="239"/>
        <v>5014</v>
      </c>
      <c r="N5016" s="15">
        <f t="shared" si="237"/>
        <v>0.21326105747578811</v>
      </c>
      <c r="O5016" s="165">
        <f t="shared" si="238"/>
        <v>0.21326105747578811</v>
      </c>
      <c r="P5016" s="18"/>
      <c r="Q5016" s="18"/>
      <c r="R5016" s="18"/>
      <c r="S5016" s="18"/>
      <c r="T5016" s="18"/>
      <c r="U5016" s="18"/>
      <c r="V5016" s="18"/>
      <c r="W5016" s="18"/>
      <c r="X5016" s="18"/>
    </row>
    <row r="5017" spans="13:24">
      <c r="M5017" s="558">
        <f t="shared" si="239"/>
        <v>5015</v>
      </c>
      <c r="N5017" s="15">
        <f t="shared" si="237"/>
        <v>0.2132086465933582</v>
      </c>
      <c r="O5017" s="165">
        <f t="shared" si="238"/>
        <v>0.2132086465933582</v>
      </c>
      <c r="P5017" s="18"/>
      <c r="Q5017" s="18"/>
      <c r="R5017" s="18"/>
      <c r="S5017" s="18"/>
      <c r="T5017" s="18"/>
      <c r="U5017" s="18"/>
      <c r="V5017" s="18"/>
      <c r="W5017" s="18"/>
      <c r="X5017" s="18"/>
    </row>
    <row r="5018" spans="13:24">
      <c r="M5018" s="558">
        <f t="shared" si="239"/>
        <v>5016</v>
      </c>
      <c r="N5018" s="15">
        <f t="shared" si="237"/>
        <v>0.213156237017324</v>
      </c>
      <c r="O5018" s="165">
        <f t="shared" si="238"/>
        <v>0.213156237017324</v>
      </c>
      <c r="P5018" s="18"/>
      <c r="Q5018" s="18"/>
      <c r="R5018" s="18"/>
      <c r="S5018" s="18"/>
      <c r="T5018" s="18"/>
      <c r="U5018" s="18"/>
      <c r="V5018" s="18"/>
      <c r="W5018" s="18"/>
      <c r="X5018" s="18"/>
    </row>
    <row r="5019" spans="13:24">
      <c r="M5019" s="558">
        <f t="shared" si="239"/>
        <v>5017</v>
      </c>
      <c r="N5019" s="15">
        <f t="shared" si="237"/>
        <v>0.21310382874604622</v>
      </c>
      <c r="O5019" s="165">
        <f t="shared" si="238"/>
        <v>0.21310382874604622</v>
      </c>
      <c r="P5019" s="18"/>
      <c r="Q5019" s="18"/>
      <c r="R5019" s="18"/>
      <c r="S5019" s="18"/>
      <c r="T5019" s="18"/>
      <c r="U5019" s="18"/>
      <c r="V5019" s="18"/>
      <c r="W5019" s="18"/>
      <c r="X5019" s="18"/>
    </row>
    <row r="5020" spans="13:24">
      <c r="M5020" s="558">
        <f t="shared" si="239"/>
        <v>5018</v>
      </c>
      <c r="N5020" s="15">
        <f t="shared" si="237"/>
        <v>0.21305142177788736</v>
      </c>
      <c r="O5020" s="165">
        <f t="shared" si="238"/>
        <v>0.21305142177788736</v>
      </c>
      <c r="P5020" s="18"/>
      <c r="Q5020" s="18"/>
      <c r="R5020" s="18"/>
      <c r="S5020" s="18"/>
      <c r="T5020" s="18"/>
      <c r="U5020" s="18"/>
      <c r="V5020" s="18"/>
      <c r="W5020" s="18"/>
      <c r="X5020" s="18"/>
    </row>
    <row r="5021" spans="13:24">
      <c r="M5021" s="558">
        <f t="shared" si="239"/>
        <v>5019</v>
      </c>
      <c r="N5021" s="15">
        <f t="shared" si="237"/>
        <v>0.21299901611121219</v>
      </c>
      <c r="O5021" s="165">
        <f t="shared" si="238"/>
        <v>0.21299901611121219</v>
      </c>
      <c r="P5021" s="18"/>
      <c r="Q5021" s="18"/>
      <c r="R5021" s="18"/>
      <c r="S5021" s="18"/>
      <c r="T5021" s="18"/>
      <c r="U5021" s="18"/>
      <c r="V5021" s="18"/>
      <c r="W5021" s="18"/>
      <c r="X5021" s="18"/>
    </row>
    <row r="5022" spans="13:24">
      <c r="M5022" s="558">
        <f t="shared" si="239"/>
        <v>5020</v>
      </c>
      <c r="N5022" s="15">
        <f t="shared" si="237"/>
        <v>0.21294661174438742</v>
      </c>
      <c r="O5022" s="165">
        <f t="shared" si="238"/>
        <v>0.21294661174438742</v>
      </c>
      <c r="P5022" s="18"/>
      <c r="Q5022" s="18"/>
      <c r="R5022" s="18"/>
      <c r="S5022" s="18"/>
      <c r="T5022" s="18"/>
      <c r="U5022" s="18"/>
      <c r="V5022" s="18"/>
      <c r="W5022" s="18"/>
      <c r="X5022" s="18"/>
    </row>
    <row r="5023" spans="13:24">
      <c r="M5023" s="558">
        <f t="shared" si="239"/>
        <v>5021</v>
      </c>
      <c r="N5023" s="15">
        <f t="shared" si="237"/>
        <v>0.2128942086757819</v>
      </c>
      <c r="O5023" s="165">
        <f t="shared" si="238"/>
        <v>0.2128942086757819</v>
      </c>
      <c r="P5023" s="18"/>
      <c r="Q5023" s="18"/>
      <c r="R5023" s="18"/>
      <c r="S5023" s="18"/>
      <c r="T5023" s="18"/>
      <c r="U5023" s="18"/>
      <c r="V5023" s="18"/>
      <c r="W5023" s="18"/>
      <c r="X5023" s="18"/>
    </row>
    <row r="5024" spans="13:24">
      <c r="M5024" s="558">
        <f t="shared" si="239"/>
        <v>5022</v>
      </c>
      <c r="N5024" s="15">
        <f t="shared" si="237"/>
        <v>0.21284180690376636</v>
      </c>
      <c r="O5024" s="165">
        <f t="shared" si="238"/>
        <v>0.21284180690376636</v>
      </c>
      <c r="P5024" s="18"/>
      <c r="Q5024" s="18"/>
      <c r="R5024" s="18"/>
      <c r="S5024" s="18"/>
      <c r="T5024" s="18"/>
      <c r="U5024" s="18"/>
      <c r="V5024" s="18"/>
      <c r="W5024" s="18"/>
      <c r="X5024" s="18"/>
    </row>
    <row r="5025" spans="13:24">
      <c r="M5025" s="558">
        <f t="shared" si="239"/>
        <v>5023</v>
      </c>
      <c r="N5025" s="15">
        <f t="shared" si="237"/>
        <v>0.21278940642671379</v>
      </c>
      <c r="O5025" s="165">
        <f t="shared" si="238"/>
        <v>0.21278940642671379</v>
      </c>
      <c r="P5025" s="18"/>
      <c r="Q5025" s="18"/>
      <c r="R5025" s="18"/>
      <c r="S5025" s="18"/>
      <c r="T5025" s="18"/>
      <c r="U5025" s="18"/>
      <c r="V5025" s="18"/>
      <c r="W5025" s="18"/>
      <c r="X5025" s="18"/>
    </row>
    <row r="5026" spans="13:24">
      <c r="M5026" s="558">
        <f t="shared" si="239"/>
        <v>5024</v>
      </c>
      <c r="N5026" s="15">
        <f t="shared" si="237"/>
        <v>0.21273700724299904</v>
      </c>
      <c r="O5026" s="165">
        <f t="shared" si="238"/>
        <v>0.21273700724299904</v>
      </c>
      <c r="P5026" s="18"/>
      <c r="Q5026" s="18"/>
      <c r="R5026" s="18"/>
      <c r="S5026" s="18"/>
      <c r="T5026" s="18"/>
      <c r="U5026" s="18"/>
      <c r="V5026" s="18"/>
      <c r="W5026" s="18"/>
      <c r="X5026" s="18"/>
    </row>
    <row r="5027" spans="13:24">
      <c r="M5027" s="558">
        <f t="shared" si="239"/>
        <v>5025</v>
      </c>
      <c r="N5027" s="15">
        <f t="shared" si="237"/>
        <v>0.21268460935099914</v>
      </c>
      <c r="O5027" s="165">
        <f t="shared" si="238"/>
        <v>0.21268460935099914</v>
      </c>
      <c r="P5027" s="18"/>
      <c r="Q5027" s="18"/>
      <c r="R5027" s="18"/>
      <c r="S5027" s="18"/>
      <c r="T5027" s="18"/>
      <c r="U5027" s="18"/>
      <c r="V5027" s="18"/>
      <c r="W5027" s="18"/>
      <c r="X5027" s="18"/>
    </row>
    <row r="5028" spans="13:24">
      <c r="M5028" s="558">
        <f t="shared" si="239"/>
        <v>5026</v>
      </c>
      <c r="N5028" s="15">
        <f t="shared" si="237"/>
        <v>0.21263221274909302</v>
      </c>
      <c r="O5028" s="165">
        <f t="shared" si="238"/>
        <v>0.21263221274909302</v>
      </c>
      <c r="P5028" s="18"/>
      <c r="Q5028" s="18"/>
      <c r="R5028" s="18"/>
      <c r="S5028" s="18"/>
      <c r="T5028" s="18"/>
      <c r="U5028" s="18"/>
      <c r="V5028" s="18"/>
      <c r="W5028" s="18"/>
      <c r="X5028" s="18"/>
    </row>
    <row r="5029" spans="13:24">
      <c r="M5029" s="558">
        <f t="shared" si="239"/>
        <v>5027</v>
      </c>
      <c r="N5029" s="15">
        <f t="shared" si="237"/>
        <v>0.21257981743566182</v>
      </c>
      <c r="O5029" s="165">
        <f t="shared" si="238"/>
        <v>0.21257981743566182</v>
      </c>
      <c r="P5029" s="18"/>
      <c r="Q5029" s="18"/>
      <c r="R5029" s="18"/>
      <c r="S5029" s="18"/>
      <c r="T5029" s="18"/>
      <c r="U5029" s="18"/>
      <c r="V5029" s="18"/>
      <c r="W5029" s="18"/>
      <c r="X5029" s="18"/>
    </row>
    <row r="5030" spans="13:24">
      <c r="M5030" s="558">
        <f t="shared" si="239"/>
        <v>5028</v>
      </c>
      <c r="N5030" s="15">
        <f t="shared" si="237"/>
        <v>0.21252742340908848</v>
      </c>
      <c r="O5030" s="165">
        <f t="shared" si="238"/>
        <v>0.21252742340908848</v>
      </c>
      <c r="P5030" s="18"/>
      <c r="Q5030" s="18"/>
      <c r="R5030" s="18"/>
      <c r="S5030" s="18"/>
      <c r="T5030" s="18"/>
      <c r="U5030" s="18"/>
      <c r="V5030" s="18"/>
      <c r="W5030" s="18"/>
      <c r="X5030" s="18"/>
    </row>
    <row r="5031" spans="13:24">
      <c r="M5031" s="558">
        <f t="shared" si="239"/>
        <v>5029</v>
      </c>
      <c r="N5031" s="15">
        <f t="shared" si="237"/>
        <v>0.21247503066775819</v>
      </c>
      <c r="O5031" s="165">
        <f t="shared" si="238"/>
        <v>0.21247503066775819</v>
      </c>
      <c r="P5031" s="18"/>
      <c r="Q5031" s="18"/>
      <c r="R5031" s="18"/>
      <c r="S5031" s="18"/>
      <c r="T5031" s="18"/>
      <c r="U5031" s="18"/>
      <c r="V5031" s="18"/>
      <c r="W5031" s="18"/>
      <c r="X5031" s="18"/>
    </row>
    <row r="5032" spans="13:24">
      <c r="M5032" s="558">
        <f t="shared" si="239"/>
        <v>5030</v>
      </c>
      <c r="N5032" s="15">
        <f t="shared" si="237"/>
        <v>0.212422639210058</v>
      </c>
      <c r="O5032" s="165">
        <f t="shared" si="238"/>
        <v>0.212422639210058</v>
      </c>
      <c r="P5032" s="18"/>
      <c r="Q5032" s="18"/>
      <c r="R5032" s="18"/>
      <c r="S5032" s="18"/>
      <c r="T5032" s="18"/>
      <c r="U5032" s="18"/>
      <c r="V5032" s="18"/>
      <c r="W5032" s="18"/>
      <c r="X5032" s="18"/>
    </row>
    <row r="5033" spans="13:24">
      <c r="M5033" s="558">
        <f t="shared" si="239"/>
        <v>5031</v>
      </c>
      <c r="N5033" s="15">
        <f t="shared" si="237"/>
        <v>0.21237024903437712</v>
      </c>
      <c r="O5033" s="165">
        <f t="shared" si="238"/>
        <v>0.21237024903437712</v>
      </c>
      <c r="P5033" s="18"/>
      <c r="Q5033" s="18"/>
      <c r="R5033" s="18"/>
      <c r="S5033" s="18"/>
      <c r="T5033" s="18"/>
      <c r="U5033" s="18"/>
      <c r="V5033" s="18"/>
      <c r="W5033" s="18"/>
      <c r="X5033" s="18"/>
    </row>
    <row r="5034" spans="13:24">
      <c r="M5034" s="558">
        <f t="shared" si="239"/>
        <v>5032</v>
      </c>
      <c r="N5034" s="15">
        <f t="shared" si="237"/>
        <v>0.21231786013910672</v>
      </c>
      <c r="O5034" s="165">
        <f t="shared" si="238"/>
        <v>0.21231786013910672</v>
      </c>
      <c r="P5034" s="18"/>
      <c r="Q5034" s="18"/>
      <c r="R5034" s="18"/>
      <c r="S5034" s="18"/>
      <c r="T5034" s="18"/>
      <c r="U5034" s="18"/>
      <c r="V5034" s="18"/>
      <c r="W5034" s="18"/>
      <c r="X5034" s="18"/>
    </row>
    <row r="5035" spans="13:24">
      <c r="M5035" s="558">
        <f t="shared" si="239"/>
        <v>5033</v>
      </c>
      <c r="N5035" s="15">
        <f t="shared" si="237"/>
        <v>0.21226547252263991</v>
      </c>
      <c r="O5035" s="165">
        <f t="shared" si="238"/>
        <v>0.21226547252263991</v>
      </c>
      <c r="P5035" s="18"/>
      <c r="Q5035" s="18"/>
      <c r="R5035" s="18"/>
      <c r="S5035" s="18"/>
      <c r="T5035" s="18"/>
      <c r="U5035" s="18"/>
      <c r="V5035" s="18"/>
      <c r="W5035" s="18"/>
      <c r="X5035" s="18"/>
    </row>
    <row r="5036" spans="13:24">
      <c r="M5036" s="558">
        <f t="shared" si="239"/>
        <v>5034</v>
      </c>
      <c r="N5036" s="15">
        <f t="shared" si="237"/>
        <v>0.21221308618337201</v>
      </c>
      <c r="O5036" s="165">
        <f t="shared" si="238"/>
        <v>0.21221308618337201</v>
      </c>
      <c r="P5036" s="18"/>
      <c r="Q5036" s="18"/>
      <c r="R5036" s="18"/>
      <c r="S5036" s="18"/>
      <c r="T5036" s="18"/>
      <c r="U5036" s="18"/>
      <c r="V5036" s="18"/>
      <c r="W5036" s="18"/>
      <c r="X5036" s="18"/>
    </row>
    <row r="5037" spans="13:24">
      <c r="M5037" s="558">
        <f t="shared" si="239"/>
        <v>5035</v>
      </c>
      <c r="N5037" s="15">
        <f t="shared" si="237"/>
        <v>0.21216070111970015</v>
      </c>
      <c r="O5037" s="165">
        <f t="shared" si="238"/>
        <v>0.21216070111970015</v>
      </c>
      <c r="P5037" s="18"/>
      <c r="Q5037" s="18"/>
      <c r="R5037" s="18"/>
      <c r="S5037" s="18"/>
      <c r="T5037" s="18"/>
      <c r="U5037" s="18"/>
      <c r="V5037" s="18"/>
      <c r="W5037" s="18"/>
      <c r="X5037" s="18"/>
    </row>
    <row r="5038" spans="13:24">
      <c r="M5038" s="558">
        <f t="shared" si="239"/>
        <v>5036</v>
      </c>
      <c r="N5038" s="15">
        <f t="shared" si="237"/>
        <v>0.21210831733002361</v>
      </c>
      <c r="O5038" s="165">
        <f t="shared" si="238"/>
        <v>0.21210831733002361</v>
      </c>
      <c r="P5038" s="18"/>
      <c r="Q5038" s="18"/>
      <c r="R5038" s="18"/>
      <c r="S5038" s="18"/>
      <c r="T5038" s="18"/>
      <c r="U5038" s="18"/>
      <c r="V5038" s="18"/>
      <c r="W5038" s="18"/>
      <c r="X5038" s="18"/>
    </row>
    <row r="5039" spans="13:24">
      <c r="M5039" s="558">
        <f t="shared" si="239"/>
        <v>5037</v>
      </c>
      <c r="N5039" s="15">
        <f t="shared" si="237"/>
        <v>0.21205593481274357</v>
      </c>
      <c r="O5039" s="165">
        <f t="shared" si="238"/>
        <v>0.21205593481274357</v>
      </c>
      <c r="P5039" s="18"/>
      <c r="Q5039" s="18"/>
      <c r="R5039" s="18"/>
      <c r="S5039" s="18"/>
      <c r="T5039" s="18"/>
      <c r="U5039" s="18"/>
      <c r="V5039" s="18"/>
      <c r="W5039" s="18"/>
      <c r="X5039" s="18"/>
    </row>
    <row r="5040" spans="13:24">
      <c r="M5040" s="558">
        <f t="shared" si="239"/>
        <v>5038</v>
      </c>
      <c r="N5040" s="15">
        <f t="shared" si="237"/>
        <v>0.21200355356626333</v>
      </c>
      <c r="O5040" s="165">
        <f t="shared" si="238"/>
        <v>0.21200355356626333</v>
      </c>
      <c r="P5040" s="18"/>
      <c r="Q5040" s="18"/>
      <c r="R5040" s="18"/>
      <c r="S5040" s="18"/>
      <c r="T5040" s="18"/>
      <c r="U5040" s="18"/>
      <c r="V5040" s="18"/>
      <c r="W5040" s="18"/>
      <c r="X5040" s="18"/>
    </row>
    <row r="5041" spans="13:24">
      <c r="M5041" s="558">
        <f t="shared" si="239"/>
        <v>5039</v>
      </c>
      <c r="N5041" s="15">
        <f t="shared" si="237"/>
        <v>0.2119511735889881</v>
      </c>
      <c r="O5041" s="165">
        <f t="shared" si="238"/>
        <v>0.2119511735889881</v>
      </c>
      <c r="P5041" s="18"/>
      <c r="Q5041" s="18"/>
      <c r="R5041" s="18"/>
      <c r="S5041" s="18"/>
      <c r="T5041" s="18"/>
      <c r="U5041" s="18"/>
      <c r="V5041" s="18"/>
      <c r="W5041" s="18"/>
      <c r="X5041" s="18"/>
    </row>
    <row r="5042" spans="13:24">
      <c r="M5042" s="558">
        <f t="shared" si="239"/>
        <v>5040</v>
      </c>
      <c r="N5042" s="15">
        <f t="shared" si="237"/>
        <v>0.21189879487932517</v>
      </c>
      <c r="O5042" s="165">
        <f t="shared" si="238"/>
        <v>0.21189879487932517</v>
      </c>
      <c r="P5042" s="18"/>
      <c r="Q5042" s="18"/>
      <c r="R5042" s="18"/>
      <c r="S5042" s="18"/>
      <c r="T5042" s="18"/>
      <c r="U5042" s="18"/>
      <c r="V5042" s="18"/>
      <c r="W5042" s="18"/>
      <c r="X5042" s="18"/>
    </row>
    <row r="5043" spans="13:24">
      <c r="M5043" s="558">
        <f t="shared" si="239"/>
        <v>5041</v>
      </c>
      <c r="N5043" s="15">
        <f t="shared" si="237"/>
        <v>0.21184641743568375</v>
      </c>
      <c r="O5043" s="165">
        <f t="shared" si="238"/>
        <v>0.21184641743568375</v>
      </c>
      <c r="P5043" s="18"/>
      <c r="Q5043" s="18"/>
      <c r="R5043" s="18"/>
      <c r="S5043" s="18"/>
      <c r="T5043" s="18"/>
      <c r="U5043" s="18"/>
      <c r="V5043" s="18"/>
      <c r="W5043" s="18"/>
      <c r="X5043" s="18"/>
    </row>
    <row r="5044" spans="13:24">
      <c r="M5044" s="558">
        <f t="shared" si="239"/>
        <v>5042</v>
      </c>
      <c r="N5044" s="15">
        <f t="shared" si="237"/>
        <v>0.21179404125647514</v>
      </c>
      <c r="O5044" s="165">
        <f t="shared" si="238"/>
        <v>0.21179404125647514</v>
      </c>
      <c r="P5044" s="18"/>
      <c r="Q5044" s="18"/>
      <c r="R5044" s="18"/>
      <c r="S5044" s="18"/>
      <c r="T5044" s="18"/>
      <c r="U5044" s="18"/>
      <c r="V5044" s="18"/>
      <c r="W5044" s="18"/>
      <c r="X5044" s="18"/>
    </row>
    <row r="5045" spans="13:24">
      <c r="M5045" s="558">
        <f t="shared" si="239"/>
        <v>5043</v>
      </c>
      <c r="N5045" s="15">
        <f t="shared" si="237"/>
        <v>0.21174166634011249</v>
      </c>
      <c r="O5045" s="165">
        <f t="shared" si="238"/>
        <v>0.21174166634011249</v>
      </c>
      <c r="P5045" s="18"/>
      <c r="Q5045" s="18"/>
      <c r="R5045" s="18"/>
      <c r="S5045" s="18"/>
      <c r="T5045" s="18"/>
      <c r="U5045" s="18"/>
      <c r="V5045" s="18"/>
      <c r="W5045" s="18"/>
      <c r="X5045" s="18"/>
    </row>
    <row r="5046" spans="13:24">
      <c r="M5046" s="558">
        <f t="shared" si="239"/>
        <v>5044</v>
      </c>
      <c r="N5046" s="15">
        <f t="shared" si="237"/>
        <v>0.2116892926850111</v>
      </c>
      <c r="O5046" s="165">
        <f t="shared" si="238"/>
        <v>0.2116892926850111</v>
      </c>
      <c r="P5046" s="18"/>
      <c r="Q5046" s="18"/>
      <c r="R5046" s="18"/>
      <c r="S5046" s="18"/>
      <c r="T5046" s="18"/>
      <c r="U5046" s="18"/>
      <c r="V5046" s="18"/>
      <c r="W5046" s="18"/>
      <c r="X5046" s="18"/>
    </row>
    <row r="5047" spans="13:24">
      <c r="M5047" s="558">
        <f t="shared" si="239"/>
        <v>5045</v>
      </c>
      <c r="N5047" s="15">
        <f t="shared" si="237"/>
        <v>0.21163692028958814</v>
      </c>
      <c r="O5047" s="165">
        <f t="shared" si="238"/>
        <v>0.21163692028958814</v>
      </c>
      <c r="P5047" s="18"/>
      <c r="Q5047" s="18"/>
      <c r="R5047" s="18"/>
      <c r="S5047" s="18"/>
      <c r="T5047" s="18"/>
      <c r="U5047" s="18"/>
      <c r="V5047" s="18"/>
      <c r="W5047" s="18"/>
      <c r="X5047" s="18"/>
    </row>
    <row r="5048" spans="13:24">
      <c r="M5048" s="558">
        <f t="shared" si="239"/>
        <v>5046</v>
      </c>
      <c r="N5048" s="15">
        <f t="shared" si="237"/>
        <v>0.21158454915226288</v>
      </c>
      <c r="O5048" s="165">
        <f t="shared" si="238"/>
        <v>0.21158454915226288</v>
      </c>
      <c r="P5048" s="18"/>
      <c r="Q5048" s="18"/>
      <c r="R5048" s="18"/>
      <c r="S5048" s="18"/>
      <c r="T5048" s="18"/>
      <c r="U5048" s="18"/>
      <c r="V5048" s="18"/>
      <c r="W5048" s="18"/>
      <c r="X5048" s="18"/>
    </row>
    <row r="5049" spans="13:24">
      <c r="M5049" s="558">
        <f t="shared" si="239"/>
        <v>5047</v>
      </c>
      <c r="N5049" s="15">
        <f t="shared" si="237"/>
        <v>0.21153217927145646</v>
      </c>
      <c r="O5049" s="165">
        <f t="shared" si="238"/>
        <v>0.21153217927145646</v>
      </c>
      <c r="P5049" s="18"/>
      <c r="Q5049" s="18"/>
      <c r="R5049" s="18"/>
      <c r="S5049" s="18"/>
      <c r="T5049" s="18"/>
      <c r="U5049" s="18"/>
      <c r="V5049" s="18"/>
      <c r="W5049" s="18"/>
      <c r="X5049" s="18"/>
    </row>
    <row r="5050" spans="13:24">
      <c r="M5050" s="558">
        <f t="shared" si="239"/>
        <v>5048</v>
      </c>
      <c r="N5050" s="15">
        <f t="shared" si="237"/>
        <v>0.21147981064559201</v>
      </c>
      <c r="O5050" s="165">
        <f t="shared" si="238"/>
        <v>0.21147981064559201</v>
      </c>
      <c r="P5050" s="18"/>
      <c r="Q5050" s="18"/>
      <c r="R5050" s="18"/>
      <c r="S5050" s="18"/>
      <c r="T5050" s="18"/>
      <c r="U5050" s="18"/>
      <c r="V5050" s="18"/>
      <c r="W5050" s="18"/>
      <c r="X5050" s="18"/>
    </row>
    <row r="5051" spans="13:24">
      <c r="M5051" s="558">
        <f t="shared" si="239"/>
        <v>5049</v>
      </c>
      <c r="N5051" s="15">
        <f t="shared" si="237"/>
        <v>0.21142744327309479</v>
      </c>
      <c r="O5051" s="165">
        <f t="shared" si="238"/>
        <v>0.21142744327309479</v>
      </c>
      <c r="P5051" s="18"/>
      <c r="Q5051" s="18"/>
      <c r="R5051" s="18"/>
      <c r="S5051" s="18"/>
      <c r="T5051" s="18"/>
      <c r="U5051" s="18"/>
      <c r="V5051" s="18"/>
      <c r="W5051" s="18"/>
      <c r="X5051" s="18"/>
    </row>
    <row r="5052" spans="13:24">
      <c r="M5052" s="558">
        <f t="shared" si="239"/>
        <v>5050</v>
      </c>
      <c r="N5052" s="15">
        <f t="shared" si="237"/>
        <v>0.21137507715239184</v>
      </c>
      <c r="O5052" s="165">
        <f t="shared" si="238"/>
        <v>0.21137507715239184</v>
      </c>
      <c r="P5052" s="18"/>
      <c r="Q5052" s="18"/>
      <c r="R5052" s="18"/>
      <c r="S5052" s="18"/>
      <c r="T5052" s="18"/>
      <c r="U5052" s="18"/>
      <c r="V5052" s="18"/>
      <c r="W5052" s="18"/>
      <c r="X5052" s="18"/>
    </row>
    <row r="5053" spans="13:24">
      <c r="M5053" s="558">
        <f t="shared" si="239"/>
        <v>5051</v>
      </c>
      <c r="N5053" s="15">
        <f t="shared" si="237"/>
        <v>0.21132271228191229</v>
      </c>
      <c r="O5053" s="165">
        <f t="shared" si="238"/>
        <v>0.21132271228191229</v>
      </c>
      <c r="P5053" s="18"/>
      <c r="Q5053" s="18"/>
      <c r="R5053" s="18"/>
      <c r="S5053" s="18"/>
      <c r="T5053" s="18"/>
      <c r="U5053" s="18"/>
      <c r="V5053" s="18"/>
      <c r="W5053" s="18"/>
      <c r="X5053" s="18"/>
    </row>
    <row r="5054" spans="13:24">
      <c r="M5054" s="558">
        <f t="shared" si="239"/>
        <v>5052</v>
      </c>
      <c r="N5054" s="15">
        <f t="shared" si="237"/>
        <v>0.2112703486600872</v>
      </c>
      <c r="O5054" s="165">
        <f t="shared" si="238"/>
        <v>0.2112703486600872</v>
      </c>
      <c r="P5054" s="18"/>
      <c r="Q5054" s="18"/>
      <c r="R5054" s="18"/>
      <c r="S5054" s="18"/>
      <c r="T5054" s="18"/>
      <c r="U5054" s="18"/>
      <c r="V5054" s="18"/>
      <c r="W5054" s="18"/>
      <c r="X5054" s="18"/>
    </row>
    <row r="5055" spans="13:24">
      <c r="M5055" s="558">
        <f t="shared" si="239"/>
        <v>5053</v>
      </c>
      <c r="N5055" s="15">
        <f t="shared" si="237"/>
        <v>0.21121798628534963</v>
      </c>
      <c r="O5055" s="165">
        <f t="shared" si="238"/>
        <v>0.21121798628534963</v>
      </c>
      <c r="P5055" s="18"/>
      <c r="Q5055" s="18"/>
      <c r="R5055" s="18"/>
      <c r="S5055" s="18"/>
      <c r="T5055" s="18"/>
      <c r="U5055" s="18"/>
      <c r="V5055" s="18"/>
      <c r="W5055" s="18"/>
      <c r="X5055" s="18"/>
    </row>
    <row r="5056" spans="13:24">
      <c r="M5056" s="558">
        <f t="shared" si="239"/>
        <v>5054</v>
      </c>
      <c r="N5056" s="15">
        <f t="shared" si="237"/>
        <v>0.21116562515613452</v>
      </c>
      <c r="O5056" s="165">
        <f t="shared" si="238"/>
        <v>0.21116562515613452</v>
      </c>
      <c r="P5056" s="18"/>
      <c r="Q5056" s="18"/>
      <c r="R5056" s="18"/>
      <c r="S5056" s="18"/>
      <c r="T5056" s="18"/>
      <c r="U5056" s="18"/>
      <c r="V5056" s="18"/>
      <c r="W5056" s="18"/>
      <c r="X5056" s="18"/>
    </row>
    <row r="5057" spans="13:24">
      <c r="M5057" s="558">
        <f t="shared" si="239"/>
        <v>5055</v>
      </c>
      <c r="N5057" s="15">
        <f t="shared" si="237"/>
        <v>0.21111326527087892</v>
      </c>
      <c r="O5057" s="165">
        <f t="shared" si="238"/>
        <v>0.21111326527087892</v>
      </c>
      <c r="P5057" s="18"/>
      <c r="Q5057" s="18"/>
      <c r="R5057" s="18"/>
      <c r="S5057" s="18"/>
      <c r="T5057" s="18"/>
      <c r="U5057" s="18"/>
      <c r="V5057" s="18"/>
      <c r="W5057" s="18"/>
      <c r="X5057" s="18"/>
    </row>
    <row r="5058" spans="13:24">
      <c r="M5058" s="558">
        <f t="shared" si="239"/>
        <v>5056</v>
      </c>
      <c r="N5058" s="15">
        <f t="shared" si="237"/>
        <v>0.21106090662802171</v>
      </c>
      <c r="O5058" s="165">
        <f t="shared" si="238"/>
        <v>0.21106090662802171</v>
      </c>
      <c r="P5058" s="18"/>
      <c r="Q5058" s="18"/>
      <c r="R5058" s="18"/>
      <c r="S5058" s="18"/>
      <c r="T5058" s="18"/>
      <c r="U5058" s="18"/>
      <c r="V5058" s="18"/>
      <c r="W5058" s="18"/>
      <c r="X5058" s="18"/>
    </row>
    <row r="5059" spans="13:24">
      <c r="M5059" s="558">
        <f t="shared" si="239"/>
        <v>5057</v>
      </c>
      <c r="N5059" s="15">
        <f t="shared" si="237"/>
        <v>0.21100854922600382</v>
      </c>
      <c r="O5059" s="165">
        <f t="shared" si="238"/>
        <v>0.21100854922600382</v>
      </c>
      <c r="P5059" s="18"/>
      <c r="Q5059" s="18"/>
      <c r="R5059" s="18"/>
      <c r="S5059" s="18"/>
      <c r="T5059" s="18"/>
      <c r="U5059" s="18"/>
      <c r="V5059" s="18"/>
      <c r="W5059" s="18"/>
      <c r="X5059" s="18"/>
    </row>
    <row r="5060" spans="13:24">
      <c r="M5060" s="558">
        <f t="shared" si="239"/>
        <v>5058</v>
      </c>
      <c r="N5060" s="15">
        <f t="shared" ref="N5060:N5123" si="240">IF(M5060&lt;$B$31+1,$B$32+$B$33/$B$31*(8760-M5060)+$B$34*IF(M5060&lt;$B$36-$B$31/(2*$B$35),1,IF(M5060&lt;$B$36+$B$31/(2*$B$35),COS(PI()/2*(M5060-($B$36-$B$31/(2*$B$35)))*$B$35/$B$31)^2,0))+$B$37*EXP((8760-M5060)/8760*$B$38)/EXP($B$38)-(8760-$B$31)*$B$33/$B$31,0)</f>
        <v>0.21095619306326804</v>
      </c>
      <c r="O5060" s="165">
        <f t="shared" ref="O5060:O5123" si="241">MIN(N5060,C$24)</f>
        <v>0.21095619306326804</v>
      </c>
      <c r="P5060" s="18"/>
      <c r="Q5060" s="18"/>
      <c r="R5060" s="18"/>
      <c r="S5060" s="18"/>
      <c r="T5060" s="18"/>
      <c r="U5060" s="18"/>
      <c r="V5060" s="18"/>
      <c r="W5060" s="18"/>
      <c r="X5060" s="18"/>
    </row>
    <row r="5061" spans="13:24">
      <c r="M5061" s="558">
        <f t="shared" ref="M5061:M5124" si="242">M5060+1</f>
        <v>5059</v>
      </c>
      <c r="N5061" s="15">
        <f t="shared" si="240"/>
        <v>0.21090383813825925</v>
      </c>
      <c r="O5061" s="165">
        <f t="shared" si="241"/>
        <v>0.21090383813825925</v>
      </c>
      <c r="P5061" s="18"/>
      <c r="Q5061" s="18"/>
      <c r="R5061" s="18"/>
      <c r="S5061" s="18"/>
      <c r="T5061" s="18"/>
      <c r="U5061" s="18"/>
      <c r="V5061" s="18"/>
      <c r="W5061" s="18"/>
      <c r="X5061" s="18"/>
    </row>
    <row r="5062" spans="13:24">
      <c r="M5062" s="558">
        <f t="shared" si="242"/>
        <v>5060</v>
      </c>
      <c r="N5062" s="15">
        <f t="shared" si="240"/>
        <v>0.21085148444942411</v>
      </c>
      <c r="O5062" s="165">
        <f t="shared" si="241"/>
        <v>0.21085148444942411</v>
      </c>
      <c r="P5062" s="18"/>
      <c r="Q5062" s="18"/>
      <c r="R5062" s="18"/>
      <c r="S5062" s="18"/>
      <c r="T5062" s="18"/>
      <c r="U5062" s="18"/>
      <c r="V5062" s="18"/>
      <c r="W5062" s="18"/>
      <c r="X5062" s="18"/>
    </row>
    <row r="5063" spans="13:24">
      <c r="M5063" s="558">
        <f t="shared" si="242"/>
        <v>5061</v>
      </c>
      <c r="N5063" s="15">
        <f t="shared" si="240"/>
        <v>0.21079913199521139</v>
      </c>
      <c r="O5063" s="165">
        <f t="shared" si="241"/>
        <v>0.21079913199521139</v>
      </c>
      <c r="P5063" s="18"/>
      <c r="Q5063" s="18"/>
      <c r="R5063" s="18"/>
      <c r="S5063" s="18"/>
      <c r="T5063" s="18"/>
      <c r="U5063" s="18"/>
      <c r="V5063" s="18"/>
      <c r="W5063" s="18"/>
      <c r="X5063" s="18"/>
    </row>
    <row r="5064" spans="13:24">
      <c r="M5064" s="558">
        <f t="shared" si="242"/>
        <v>5062</v>
      </c>
      <c r="N5064" s="15">
        <f t="shared" si="240"/>
        <v>0.21074678077407169</v>
      </c>
      <c r="O5064" s="165">
        <f t="shared" si="241"/>
        <v>0.21074678077407169</v>
      </c>
      <c r="P5064" s="18"/>
      <c r="Q5064" s="18"/>
      <c r="R5064" s="18"/>
      <c r="S5064" s="18"/>
      <c r="T5064" s="18"/>
      <c r="U5064" s="18"/>
      <c r="V5064" s="18"/>
      <c r="W5064" s="18"/>
      <c r="X5064" s="18"/>
    </row>
    <row r="5065" spans="13:24">
      <c r="M5065" s="558">
        <f t="shared" si="242"/>
        <v>5063</v>
      </c>
      <c r="N5065" s="15">
        <f t="shared" si="240"/>
        <v>0.21069443078445763</v>
      </c>
      <c r="O5065" s="165">
        <f t="shared" si="241"/>
        <v>0.21069443078445763</v>
      </c>
      <c r="P5065" s="18"/>
      <c r="Q5065" s="18"/>
      <c r="R5065" s="18"/>
      <c r="S5065" s="18"/>
      <c r="T5065" s="18"/>
      <c r="U5065" s="18"/>
      <c r="V5065" s="18"/>
      <c r="W5065" s="18"/>
      <c r="X5065" s="18"/>
    </row>
    <row r="5066" spans="13:24">
      <c r="M5066" s="558">
        <f t="shared" si="242"/>
        <v>5064</v>
      </c>
      <c r="N5066" s="15">
        <f t="shared" si="240"/>
        <v>0.21064208202482376</v>
      </c>
      <c r="O5066" s="165">
        <f t="shared" si="241"/>
        <v>0.21064208202482376</v>
      </c>
      <c r="P5066" s="18"/>
      <c r="Q5066" s="18"/>
      <c r="R5066" s="18"/>
      <c r="S5066" s="18"/>
      <c r="T5066" s="18"/>
      <c r="U5066" s="18"/>
      <c r="V5066" s="18"/>
      <c r="W5066" s="18"/>
      <c r="X5066" s="18"/>
    </row>
    <row r="5067" spans="13:24">
      <c r="M5067" s="558">
        <f t="shared" si="242"/>
        <v>5065</v>
      </c>
      <c r="N5067" s="15">
        <f t="shared" si="240"/>
        <v>0.21058973449362653</v>
      </c>
      <c r="O5067" s="165">
        <f t="shared" si="241"/>
        <v>0.21058973449362653</v>
      </c>
      <c r="P5067" s="18"/>
      <c r="Q5067" s="18"/>
      <c r="R5067" s="18"/>
      <c r="S5067" s="18"/>
      <c r="T5067" s="18"/>
      <c r="U5067" s="18"/>
      <c r="V5067" s="18"/>
      <c r="W5067" s="18"/>
      <c r="X5067" s="18"/>
    </row>
    <row r="5068" spans="13:24">
      <c r="M5068" s="558">
        <f t="shared" si="242"/>
        <v>5066</v>
      </c>
      <c r="N5068" s="15">
        <f t="shared" si="240"/>
        <v>0.21053738818932435</v>
      </c>
      <c r="O5068" s="165">
        <f t="shared" si="241"/>
        <v>0.21053738818932435</v>
      </c>
      <c r="P5068" s="18"/>
      <c r="Q5068" s="18"/>
      <c r="R5068" s="18"/>
      <c r="S5068" s="18"/>
      <c r="T5068" s="18"/>
      <c r="U5068" s="18"/>
      <c r="V5068" s="18"/>
      <c r="W5068" s="18"/>
      <c r="X5068" s="18"/>
    </row>
    <row r="5069" spans="13:24">
      <c r="M5069" s="558">
        <f t="shared" si="242"/>
        <v>5067</v>
      </c>
      <c r="N5069" s="15">
        <f t="shared" si="240"/>
        <v>0.21048504311037758</v>
      </c>
      <c r="O5069" s="165">
        <f t="shared" si="241"/>
        <v>0.21048504311037758</v>
      </c>
      <c r="P5069" s="18"/>
      <c r="Q5069" s="18"/>
      <c r="R5069" s="18"/>
      <c r="S5069" s="18"/>
      <c r="T5069" s="18"/>
      <c r="U5069" s="18"/>
      <c r="V5069" s="18"/>
      <c r="W5069" s="18"/>
      <c r="X5069" s="18"/>
    </row>
    <row r="5070" spans="13:24">
      <c r="M5070" s="558">
        <f t="shared" si="242"/>
        <v>5068</v>
      </c>
      <c r="N5070" s="15">
        <f t="shared" si="240"/>
        <v>0.21043269925524849</v>
      </c>
      <c r="O5070" s="165">
        <f t="shared" si="241"/>
        <v>0.21043269925524849</v>
      </c>
      <c r="P5070" s="18"/>
      <c r="Q5070" s="18"/>
      <c r="R5070" s="18"/>
      <c r="S5070" s="18"/>
      <c r="T5070" s="18"/>
      <c r="U5070" s="18"/>
      <c r="V5070" s="18"/>
      <c r="W5070" s="18"/>
      <c r="X5070" s="18"/>
    </row>
    <row r="5071" spans="13:24">
      <c r="M5071" s="558">
        <f t="shared" si="242"/>
        <v>5069</v>
      </c>
      <c r="N5071" s="15">
        <f t="shared" si="240"/>
        <v>0.21038035662240126</v>
      </c>
      <c r="O5071" s="165">
        <f t="shared" si="241"/>
        <v>0.21038035662240126</v>
      </c>
      <c r="P5071" s="18"/>
      <c r="Q5071" s="18"/>
      <c r="R5071" s="18"/>
      <c r="S5071" s="18"/>
      <c r="T5071" s="18"/>
      <c r="U5071" s="18"/>
      <c r="V5071" s="18"/>
      <c r="W5071" s="18"/>
      <c r="X5071" s="18"/>
    </row>
    <row r="5072" spans="13:24">
      <c r="M5072" s="558">
        <f t="shared" si="242"/>
        <v>5070</v>
      </c>
      <c r="N5072" s="15">
        <f t="shared" si="240"/>
        <v>0.21032801521030206</v>
      </c>
      <c r="O5072" s="165">
        <f t="shared" si="241"/>
        <v>0.21032801521030206</v>
      </c>
      <c r="P5072" s="18"/>
      <c r="Q5072" s="18"/>
      <c r="R5072" s="18"/>
      <c r="S5072" s="18"/>
      <c r="T5072" s="18"/>
      <c r="U5072" s="18"/>
      <c r="V5072" s="18"/>
      <c r="W5072" s="18"/>
      <c r="X5072" s="18"/>
    </row>
    <row r="5073" spans="13:24">
      <c r="M5073" s="558">
        <f t="shared" si="242"/>
        <v>5071</v>
      </c>
      <c r="N5073" s="15">
        <f t="shared" si="240"/>
        <v>0.21027567501741895</v>
      </c>
      <c r="O5073" s="165">
        <f t="shared" si="241"/>
        <v>0.21027567501741895</v>
      </c>
      <c r="P5073" s="18"/>
      <c r="Q5073" s="18"/>
      <c r="R5073" s="18"/>
      <c r="S5073" s="18"/>
      <c r="T5073" s="18"/>
      <c r="U5073" s="18"/>
      <c r="V5073" s="18"/>
      <c r="W5073" s="18"/>
      <c r="X5073" s="18"/>
    </row>
    <row r="5074" spans="13:24">
      <c r="M5074" s="558">
        <f t="shared" si="242"/>
        <v>5072</v>
      </c>
      <c r="N5074" s="15">
        <f t="shared" si="240"/>
        <v>0.2102233360422219</v>
      </c>
      <c r="O5074" s="165">
        <f t="shared" si="241"/>
        <v>0.2102233360422219</v>
      </c>
      <c r="P5074" s="18"/>
      <c r="Q5074" s="18"/>
      <c r="R5074" s="18"/>
      <c r="S5074" s="18"/>
      <c r="T5074" s="18"/>
      <c r="U5074" s="18"/>
      <c r="V5074" s="18"/>
      <c r="W5074" s="18"/>
      <c r="X5074" s="18"/>
    </row>
    <row r="5075" spans="13:24">
      <c r="M5075" s="558">
        <f t="shared" si="242"/>
        <v>5073</v>
      </c>
      <c r="N5075" s="15">
        <f t="shared" si="240"/>
        <v>0.21017099828318281</v>
      </c>
      <c r="O5075" s="165">
        <f t="shared" si="241"/>
        <v>0.21017099828318281</v>
      </c>
      <c r="P5075" s="18"/>
      <c r="Q5075" s="18"/>
      <c r="R5075" s="18"/>
      <c r="S5075" s="18"/>
      <c r="T5075" s="18"/>
      <c r="U5075" s="18"/>
      <c r="V5075" s="18"/>
      <c r="W5075" s="18"/>
      <c r="X5075" s="18"/>
    </row>
    <row r="5076" spans="13:24">
      <c r="M5076" s="558">
        <f t="shared" si="242"/>
        <v>5074</v>
      </c>
      <c r="N5076" s="15">
        <f t="shared" si="240"/>
        <v>0.2101186617387755</v>
      </c>
      <c r="O5076" s="165">
        <f t="shared" si="241"/>
        <v>0.2101186617387755</v>
      </c>
      <c r="P5076" s="18"/>
      <c r="Q5076" s="18"/>
      <c r="R5076" s="18"/>
      <c r="S5076" s="18"/>
      <c r="T5076" s="18"/>
      <c r="U5076" s="18"/>
      <c r="V5076" s="18"/>
      <c r="W5076" s="18"/>
      <c r="X5076" s="18"/>
    </row>
    <row r="5077" spans="13:24">
      <c r="M5077" s="558">
        <f t="shared" si="242"/>
        <v>5075</v>
      </c>
      <c r="N5077" s="15">
        <f t="shared" si="240"/>
        <v>0.21006632640747569</v>
      </c>
      <c r="O5077" s="165">
        <f t="shared" si="241"/>
        <v>0.21006632640747569</v>
      </c>
      <c r="P5077" s="18"/>
      <c r="Q5077" s="18"/>
      <c r="R5077" s="18"/>
      <c r="S5077" s="18"/>
      <c r="T5077" s="18"/>
      <c r="U5077" s="18"/>
      <c r="V5077" s="18"/>
      <c r="W5077" s="18"/>
      <c r="X5077" s="18"/>
    </row>
    <row r="5078" spans="13:24">
      <c r="M5078" s="558">
        <f t="shared" si="242"/>
        <v>5076</v>
      </c>
      <c r="N5078" s="15">
        <f t="shared" si="240"/>
        <v>0.21001399228776108</v>
      </c>
      <c r="O5078" s="165">
        <f t="shared" si="241"/>
        <v>0.21001399228776108</v>
      </c>
      <c r="P5078" s="18"/>
      <c r="Q5078" s="18"/>
      <c r="R5078" s="18"/>
      <c r="S5078" s="18"/>
      <c r="T5078" s="18"/>
      <c r="U5078" s="18"/>
      <c r="V5078" s="18"/>
      <c r="W5078" s="18"/>
      <c r="X5078" s="18"/>
    </row>
    <row r="5079" spans="13:24">
      <c r="M5079" s="558">
        <f t="shared" si="242"/>
        <v>5077</v>
      </c>
      <c r="N5079" s="15">
        <f t="shared" si="240"/>
        <v>0.20996165937811115</v>
      </c>
      <c r="O5079" s="165">
        <f t="shared" si="241"/>
        <v>0.20996165937811115</v>
      </c>
      <c r="P5079" s="18"/>
      <c r="Q5079" s="18"/>
      <c r="R5079" s="18"/>
      <c r="S5079" s="18"/>
      <c r="T5079" s="18"/>
      <c r="U5079" s="18"/>
      <c r="V5079" s="18"/>
      <c r="W5079" s="18"/>
      <c r="X5079" s="18"/>
    </row>
    <row r="5080" spans="13:24">
      <c r="M5080" s="558">
        <f t="shared" si="242"/>
        <v>5078</v>
      </c>
      <c r="N5080" s="15">
        <f t="shared" si="240"/>
        <v>0.2099093276770074</v>
      </c>
      <c r="O5080" s="165">
        <f t="shared" si="241"/>
        <v>0.2099093276770074</v>
      </c>
      <c r="P5080" s="18"/>
      <c r="Q5080" s="18"/>
      <c r="R5080" s="18"/>
      <c r="S5080" s="18"/>
      <c r="T5080" s="18"/>
      <c r="U5080" s="18"/>
      <c r="V5080" s="18"/>
      <c r="W5080" s="18"/>
      <c r="X5080" s="18"/>
    </row>
    <row r="5081" spans="13:24">
      <c r="M5081" s="558">
        <f t="shared" si="242"/>
        <v>5079</v>
      </c>
      <c r="N5081" s="15">
        <f t="shared" si="240"/>
        <v>0.20985699718293327</v>
      </c>
      <c r="O5081" s="165">
        <f t="shared" si="241"/>
        <v>0.20985699718293327</v>
      </c>
      <c r="P5081" s="18"/>
      <c r="Q5081" s="18"/>
      <c r="R5081" s="18"/>
      <c r="S5081" s="18"/>
      <c r="T5081" s="18"/>
      <c r="U5081" s="18"/>
      <c r="V5081" s="18"/>
      <c r="W5081" s="18"/>
      <c r="X5081" s="18"/>
    </row>
    <row r="5082" spans="13:24">
      <c r="M5082" s="558">
        <f t="shared" si="242"/>
        <v>5080</v>
      </c>
      <c r="N5082" s="15">
        <f t="shared" si="240"/>
        <v>0.20980466789437391</v>
      </c>
      <c r="O5082" s="165">
        <f t="shared" si="241"/>
        <v>0.20980466789437391</v>
      </c>
      <c r="P5082" s="18"/>
      <c r="Q5082" s="18"/>
      <c r="R5082" s="18"/>
      <c r="S5082" s="18"/>
      <c r="T5082" s="18"/>
      <c r="U5082" s="18"/>
      <c r="V5082" s="18"/>
      <c r="W5082" s="18"/>
      <c r="X5082" s="18"/>
    </row>
    <row r="5083" spans="13:24">
      <c r="M5083" s="558">
        <f t="shared" si="242"/>
        <v>5081</v>
      </c>
      <c r="N5083" s="15">
        <f t="shared" si="240"/>
        <v>0.20975233980981661</v>
      </c>
      <c r="O5083" s="165">
        <f t="shared" si="241"/>
        <v>0.20975233980981661</v>
      </c>
      <c r="P5083" s="18"/>
      <c r="Q5083" s="18"/>
      <c r="R5083" s="18"/>
      <c r="S5083" s="18"/>
      <c r="T5083" s="18"/>
      <c r="U5083" s="18"/>
      <c r="V5083" s="18"/>
      <c r="W5083" s="18"/>
      <c r="X5083" s="18"/>
    </row>
    <row r="5084" spans="13:24">
      <c r="M5084" s="558">
        <f t="shared" si="242"/>
        <v>5082</v>
      </c>
      <c r="N5084" s="15">
        <f t="shared" si="240"/>
        <v>0.20970001292775037</v>
      </c>
      <c r="O5084" s="165">
        <f t="shared" si="241"/>
        <v>0.20970001292775037</v>
      </c>
      <c r="P5084" s="18"/>
      <c r="Q5084" s="18"/>
      <c r="R5084" s="18"/>
      <c r="S5084" s="18"/>
      <c r="T5084" s="18"/>
      <c r="U5084" s="18"/>
      <c r="V5084" s="18"/>
      <c r="W5084" s="18"/>
      <c r="X5084" s="18"/>
    </row>
    <row r="5085" spans="13:24">
      <c r="M5085" s="558">
        <f t="shared" si="242"/>
        <v>5083</v>
      </c>
      <c r="N5085" s="15">
        <f t="shared" si="240"/>
        <v>0.20964768724666619</v>
      </c>
      <c r="O5085" s="165">
        <f t="shared" si="241"/>
        <v>0.20964768724666619</v>
      </c>
      <c r="P5085" s="18"/>
      <c r="Q5085" s="18"/>
      <c r="R5085" s="18"/>
      <c r="S5085" s="18"/>
      <c r="T5085" s="18"/>
      <c r="U5085" s="18"/>
      <c r="V5085" s="18"/>
      <c r="W5085" s="18"/>
      <c r="X5085" s="18"/>
    </row>
    <row r="5086" spans="13:24">
      <c r="M5086" s="558">
        <f t="shared" si="242"/>
        <v>5084</v>
      </c>
      <c r="N5086" s="15">
        <f t="shared" si="240"/>
        <v>0.20959536276505691</v>
      </c>
      <c r="O5086" s="165">
        <f t="shared" si="241"/>
        <v>0.20959536276505691</v>
      </c>
      <c r="P5086" s="18"/>
      <c r="Q5086" s="18"/>
      <c r="R5086" s="18"/>
      <c r="S5086" s="18"/>
      <c r="T5086" s="18"/>
      <c r="U5086" s="18"/>
      <c r="V5086" s="18"/>
      <c r="W5086" s="18"/>
      <c r="X5086" s="18"/>
    </row>
    <row r="5087" spans="13:24">
      <c r="M5087" s="558">
        <f t="shared" si="242"/>
        <v>5085</v>
      </c>
      <c r="N5087" s="15">
        <f t="shared" si="240"/>
        <v>0.20954303948141734</v>
      </c>
      <c r="O5087" s="165">
        <f t="shared" si="241"/>
        <v>0.20954303948141734</v>
      </c>
      <c r="P5087" s="18"/>
      <c r="Q5087" s="18"/>
      <c r="R5087" s="18"/>
      <c r="S5087" s="18"/>
      <c r="T5087" s="18"/>
      <c r="U5087" s="18"/>
      <c r="V5087" s="18"/>
      <c r="W5087" s="18"/>
      <c r="X5087" s="18"/>
    </row>
    <row r="5088" spans="13:24">
      <c r="M5088" s="558">
        <f t="shared" si="242"/>
        <v>5086</v>
      </c>
      <c r="N5088" s="15">
        <f t="shared" si="240"/>
        <v>0.20949071739424405</v>
      </c>
      <c r="O5088" s="165">
        <f t="shared" si="241"/>
        <v>0.20949071739424405</v>
      </c>
      <c r="P5088" s="18"/>
      <c r="Q5088" s="18"/>
      <c r="R5088" s="18"/>
      <c r="S5088" s="18"/>
      <c r="T5088" s="18"/>
      <c r="U5088" s="18"/>
      <c r="V5088" s="18"/>
      <c r="W5088" s="18"/>
      <c r="X5088" s="18"/>
    </row>
    <row r="5089" spans="13:24">
      <c r="M5089" s="558">
        <f t="shared" si="242"/>
        <v>5087</v>
      </c>
      <c r="N5089" s="15">
        <f t="shared" si="240"/>
        <v>0.20943839650203563</v>
      </c>
      <c r="O5089" s="165">
        <f t="shared" si="241"/>
        <v>0.20943839650203563</v>
      </c>
      <c r="P5089" s="18"/>
      <c r="Q5089" s="18"/>
      <c r="R5089" s="18"/>
      <c r="S5089" s="18"/>
      <c r="T5089" s="18"/>
      <c r="U5089" s="18"/>
      <c r="V5089" s="18"/>
      <c r="W5089" s="18"/>
      <c r="X5089" s="18"/>
    </row>
    <row r="5090" spans="13:24">
      <c r="M5090" s="558">
        <f t="shared" si="242"/>
        <v>5088</v>
      </c>
      <c r="N5090" s="15">
        <f t="shared" si="240"/>
        <v>0.20938607680329246</v>
      </c>
      <c r="O5090" s="165">
        <f t="shared" si="241"/>
        <v>0.20938607680329246</v>
      </c>
      <c r="P5090" s="18"/>
      <c r="Q5090" s="18"/>
      <c r="R5090" s="18"/>
      <c r="S5090" s="18"/>
      <c r="T5090" s="18"/>
      <c r="U5090" s="18"/>
      <c r="V5090" s="18"/>
      <c r="W5090" s="18"/>
      <c r="X5090" s="18"/>
    </row>
    <row r="5091" spans="13:24">
      <c r="M5091" s="558">
        <f t="shared" si="242"/>
        <v>5089</v>
      </c>
      <c r="N5091" s="15">
        <f t="shared" si="240"/>
        <v>0.20933375829651688</v>
      </c>
      <c r="O5091" s="165">
        <f t="shared" si="241"/>
        <v>0.20933375829651688</v>
      </c>
      <c r="P5091" s="18"/>
      <c r="Q5091" s="18"/>
      <c r="R5091" s="18"/>
      <c r="S5091" s="18"/>
      <c r="T5091" s="18"/>
      <c r="U5091" s="18"/>
      <c r="V5091" s="18"/>
      <c r="W5091" s="18"/>
      <c r="X5091" s="18"/>
    </row>
    <row r="5092" spans="13:24">
      <c r="M5092" s="558">
        <f t="shared" si="242"/>
        <v>5090</v>
      </c>
      <c r="N5092" s="15">
        <f t="shared" si="240"/>
        <v>0.20928144098021301</v>
      </c>
      <c r="O5092" s="165">
        <f t="shared" si="241"/>
        <v>0.20928144098021301</v>
      </c>
      <c r="P5092" s="18"/>
      <c r="Q5092" s="18"/>
      <c r="R5092" s="18"/>
      <c r="S5092" s="18"/>
      <c r="T5092" s="18"/>
      <c r="U5092" s="18"/>
      <c r="V5092" s="18"/>
      <c r="W5092" s="18"/>
      <c r="X5092" s="18"/>
    </row>
    <row r="5093" spans="13:24">
      <c r="M5093" s="558">
        <f t="shared" si="242"/>
        <v>5091</v>
      </c>
      <c r="N5093" s="15">
        <f t="shared" si="240"/>
        <v>0.20922912485288694</v>
      </c>
      <c r="O5093" s="165">
        <f t="shared" si="241"/>
        <v>0.20922912485288694</v>
      </c>
      <c r="P5093" s="18"/>
      <c r="Q5093" s="18"/>
      <c r="R5093" s="18"/>
      <c r="S5093" s="18"/>
      <c r="T5093" s="18"/>
      <c r="U5093" s="18"/>
      <c r="V5093" s="18"/>
      <c r="W5093" s="18"/>
      <c r="X5093" s="18"/>
    </row>
    <row r="5094" spans="13:24">
      <c r="M5094" s="558">
        <f t="shared" si="242"/>
        <v>5092</v>
      </c>
      <c r="N5094" s="15">
        <f t="shared" si="240"/>
        <v>0.20917680991304657</v>
      </c>
      <c r="O5094" s="165">
        <f t="shared" si="241"/>
        <v>0.20917680991304657</v>
      </c>
      <c r="P5094" s="18"/>
      <c r="Q5094" s="18"/>
      <c r="R5094" s="18"/>
      <c r="S5094" s="18"/>
      <c r="T5094" s="18"/>
      <c r="U5094" s="18"/>
      <c r="V5094" s="18"/>
      <c r="W5094" s="18"/>
      <c r="X5094" s="18"/>
    </row>
    <row r="5095" spans="13:24">
      <c r="M5095" s="558">
        <f t="shared" si="242"/>
        <v>5093</v>
      </c>
      <c r="N5095" s="15">
        <f t="shared" si="240"/>
        <v>0.20912449615920173</v>
      </c>
      <c r="O5095" s="165">
        <f t="shared" si="241"/>
        <v>0.20912449615920173</v>
      </c>
      <c r="P5095" s="18"/>
      <c r="Q5095" s="18"/>
      <c r="R5095" s="18"/>
      <c r="S5095" s="18"/>
      <c r="T5095" s="18"/>
      <c r="U5095" s="18"/>
      <c r="V5095" s="18"/>
      <c r="W5095" s="18"/>
      <c r="X5095" s="18"/>
    </row>
    <row r="5096" spans="13:24">
      <c r="M5096" s="558">
        <f t="shared" si="242"/>
        <v>5094</v>
      </c>
      <c r="N5096" s="15">
        <f t="shared" si="240"/>
        <v>0.2090721835898641</v>
      </c>
      <c r="O5096" s="165">
        <f t="shared" si="241"/>
        <v>0.2090721835898641</v>
      </c>
      <c r="P5096" s="18"/>
      <c r="Q5096" s="18"/>
      <c r="R5096" s="18"/>
      <c r="S5096" s="18"/>
      <c r="T5096" s="18"/>
      <c r="U5096" s="18"/>
      <c r="V5096" s="18"/>
      <c r="W5096" s="18"/>
      <c r="X5096" s="18"/>
    </row>
    <row r="5097" spans="13:24">
      <c r="M5097" s="558">
        <f t="shared" si="242"/>
        <v>5095</v>
      </c>
      <c r="N5097" s="15">
        <f t="shared" si="240"/>
        <v>0.20901987220354717</v>
      </c>
      <c r="O5097" s="165">
        <f t="shared" si="241"/>
        <v>0.20901987220354717</v>
      </c>
      <c r="P5097" s="18"/>
      <c r="Q5097" s="18"/>
      <c r="R5097" s="18"/>
      <c r="S5097" s="18"/>
      <c r="T5097" s="18"/>
      <c r="U5097" s="18"/>
      <c r="V5097" s="18"/>
      <c r="W5097" s="18"/>
      <c r="X5097" s="18"/>
    </row>
    <row r="5098" spans="13:24">
      <c r="M5098" s="558">
        <f t="shared" si="242"/>
        <v>5096</v>
      </c>
      <c r="N5098" s="15">
        <f t="shared" si="240"/>
        <v>0.20896756199876643</v>
      </c>
      <c r="O5098" s="165">
        <f t="shared" si="241"/>
        <v>0.20896756199876643</v>
      </c>
      <c r="P5098" s="18"/>
      <c r="Q5098" s="18"/>
      <c r="R5098" s="18"/>
      <c r="S5098" s="18"/>
      <c r="T5098" s="18"/>
      <c r="U5098" s="18"/>
      <c r="V5098" s="18"/>
      <c r="W5098" s="18"/>
      <c r="X5098" s="18"/>
    </row>
    <row r="5099" spans="13:24">
      <c r="M5099" s="558">
        <f t="shared" si="242"/>
        <v>5097</v>
      </c>
      <c r="N5099" s="15">
        <f t="shared" si="240"/>
        <v>0.20891525297403901</v>
      </c>
      <c r="O5099" s="165">
        <f t="shared" si="241"/>
        <v>0.20891525297403901</v>
      </c>
      <c r="P5099" s="18"/>
      <c r="Q5099" s="18"/>
      <c r="R5099" s="18"/>
      <c r="S5099" s="18"/>
      <c r="T5099" s="18"/>
      <c r="U5099" s="18"/>
      <c r="V5099" s="18"/>
      <c r="W5099" s="18"/>
      <c r="X5099" s="18"/>
    </row>
    <row r="5100" spans="13:24">
      <c r="M5100" s="558">
        <f t="shared" si="242"/>
        <v>5098</v>
      </c>
      <c r="N5100" s="15">
        <f t="shared" si="240"/>
        <v>0.20886294512788417</v>
      </c>
      <c r="O5100" s="165">
        <f t="shared" si="241"/>
        <v>0.20886294512788417</v>
      </c>
      <c r="P5100" s="18"/>
      <c r="Q5100" s="18"/>
      <c r="R5100" s="18"/>
      <c r="S5100" s="18"/>
      <c r="T5100" s="18"/>
      <c r="U5100" s="18"/>
      <c r="V5100" s="18"/>
      <c r="W5100" s="18"/>
      <c r="X5100" s="18"/>
    </row>
    <row r="5101" spans="13:24">
      <c r="M5101" s="558">
        <f t="shared" si="242"/>
        <v>5099</v>
      </c>
      <c r="N5101" s="15">
        <f t="shared" si="240"/>
        <v>0.20881063845882283</v>
      </c>
      <c r="O5101" s="165">
        <f t="shared" si="241"/>
        <v>0.20881063845882283</v>
      </c>
      <c r="P5101" s="18"/>
      <c r="Q5101" s="18"/>
      <c r="R5101" s="18"/>
      <c r="S5101" s="18"/>
      <c r="T5101" s="18"/>
      <c r="U5101" s="18"/>
      <c r="V5101" s="18"/>
      <c r="W5101" s="18"/>
      <c r="X5101" s="18"/>
    </row>
    <row r="5102" spans="13:24">
      <c r="M5102" s="558">
        <f t="shared" si="242"/>
        <v>5100</v>
      </c>
      <c r="N5102" s="15">
        <f t="shared" si="240"/>
        <v>0.20875833296537785</v>
      </c>
      <c r="O5102" s="165">
        <f t="shared" si="241"/>
        <v>0.20875833296537785</v>
      </c>
      <c r="P5102" s="18"/>
      <c r="Q5102" s="18"/>
      <c r="R5102" s="18"/>
      <c r="S5102" s="18"/>
      <c r="T5102" s="18"/>
      <c r="U5102" s="18"/>
      <c r="V5102" s="18"/>
      <c r="W5102" s="18"/>
      <c r="X5102" s="18"/>
    </row>
    <row r="5103" spans="13:24">
      <c r="M5103" s="558">
        <f t="shared" si="242"/>
        <v>5101</v>
      </c>
      <c r="N5103" s="15">
        <f t="shared" si="240"/>
        <v>0.2087060286460739</v>
      </c>
      <c r="O5103" s="165">
        <f t="shared" si="241"/>
        <v>0.2087060286460739</v>
      </c>
      <c r="P5103" s="18"/>
      <c r="Q5103" s="18"/>
      <c r="R5103" s="18"/>
      <c r="S5103" s="18"/>
      <c r="T5103" s="18"/>
      <c r="U5103" s="18"/>
      <c r="V5103" s="18"/>
      <c r="W5103" s="18"/>
      <c r="X5103" s="18"/>
    </row>
    <row r="5104" spans="13:24">
      <c r="M5104" s="558">
        <f t="shared" si="242"/>
        <v>5102</v>
      </c>
      <c r="N5104" s="15">
        <f t="shared" si="240"/>
        <v>0.20865372549943761</v>
      </c>
      <c r="O5104" s="165">
        <f t="shared" si="241"/>
        <v>0.20865372549943761</v>
      </c>
      <c r="P5104" s="18"/>
      <c r="Q5104" s="18"/>
      <c r="R5104" s="18"/>
      <c r="S5104" s="18"/>
      <c r="T5104" s="18"/>
      <c r="U5104" s="18"/>
      <c r="V5104" s="18"/>
      <c r="W5104" s="18"/>
      <c r="X5104" s="18"/>
    </row>
    <row r="5105" spans="13:24">
      <c r="M5105" s="558">
        <f t="shared" si="242"/>
        <v>5103</v>
      </c>
      <c r="N5105" s="15">
        <f t="shared" si="240"/>
        <v>0.20860142352399724</v>
      </c>
      <c r="O5105" s="165">
        <f t="shared" si="241"/>
        <v>0.20860142352399724</v>
      </c>
      <c r="P5105" s="18"/>
      <c r="Q5105" s="18"/>
      <c r="R5105" s="18"/>
      <c r="S5105" s="18"/>
      <c r="T5105" s="18"/>
      <c r="U5105" s="18"/>
      <c r="V5105" s="18"/>
      <c r="W5105" s="18"/>
      <c r="X5105" s="18"/>
    </row>
    <row r="5106" spans="13:24">
      <c r="M5106" s="558">
        <f t="shared" si="242"/>
        <v>5104</v>
      </c>
      <c r="N5106" s="15">
        <f t="shared" si="240"/>
        <v>0.20854912271828316</v>
      </c>
      <c r="O5106" s="165">
        <f t="shared" si="241"/>
        <v>0.20854912271828316</v>
      </c>
      <c r="P5106" s="18"/>
      <c r="Q5106" s="18"/>
      <c r="R5106" s="18"/>
      <c r="S5106" s="18"/>
      <c r="T5106" s="18"/>
      <c r="U5106" s="18"/>
      <c r="V5106" s="18"/>
      <c r="W5106" s="18"/>
      <c r="X5106" s="18"/>
    </row>
    <row r="5107" spans="13:24">
      <c r="M5107" s="558">
        <f t="shared" si="242"/>
        <v>5105</v>
      </c>
      <c r="N5107" s="15">
        <f t="shared" si="240"/>
        <v>0.2084968230808274</v>
      </c>
      <c r="O5107" s="165">
        <f t="shared" si="241"/>
        <v>0.2084968230808274</v>
      </c>
      <c r="P5107" s="18"/>
      <c r="Q5107" s="18"/>
      <c r="R5107" s="18"/>
      <c r="S5107" s="18"/>
      <c r="T5107" s="18"/>
      <c r="U5107" s="18"/>
      <c r="V5107" s="18"/>
      <c r="W5107" s="18"/>
      <c r="X5107" s="18"/>
    </row>
    <row r="5108" spans="13:24">
      <c r="M5108" s="558">
        <f t="shared" si="242"/>
        <v>5106</v>
      </c>
      <c r="N5108" s="15">
        <f t="shared" si="240"/>
        <v>0.20844452461016388</v>
      </c>
      <c r="O5108" s="165">
        <f t="shared" si="241"/>
        <v>0.20844452461016388</v>
      </c>
      <c r="P5108" s="18"/>
      <c r="Q5108" s="18"/>
      <c r="R5108" s="18"/>
      <c r="S5108" s="18"/>
      <c r="T5108" s="18"/>
      <c r="U5108" s="18"/>
      <c r="V5108" s="18"/>
      <c r="W5108" s="18"/>
      <c r="X5108" s="18"/>
    </row>
    <row r="5109" spans="13:24">
      <c r="M5109" s="558">
        <f t="shared" si="242"/>
        <v>5107</v>
      </c>
      <c r="N5109" s="15">
        <f t="shared" si="240"/>
        <v>0.2083922273048284</v>
      </c>
      <c r="O5109" s="165">
        <f t="shared" si="241"/>
        <v>0.2083922273048284</v>
      </c>
      <c r="P5109" s="18"/>
      <c r="Q5109" s="18"/>
      <c r="R5109" s="18"/>
      <c r="S5109" s="18"/>
      <c r="T5109" s="18"/>
      <c r="U5109" s="18"/>
      <c r="V5109" s="18"/>
      <c r="W5109" s="18"/>
      <c r="X5109" s="18"/>
    </row>
    <row r="5110" spans="13:24">
      <c r="M5110" s="558">
        <f t="shared" si="242"/>
        <v>5108</v>
      </c>
      <c r="N5110" s="15">
        <f t="shared" si="240"/>
        <v>0.20833993116335853</v>
      </c>
      <c r="O5110" s="165">
        <f t="shared" si="241"/>
        <v>0.20833993116335853</v>
      </c>
      <c r="P5110" s="18"/>
      <c r="Q5110" s="18"/>
      <c r="R5110" s="18"/>
      <c r="S5110" s="18"/>
      <c r="T5110" s="18"/>
      <c r="U5110" s="18"/>
      <c r="V5110" s="18"/>
      <c r="W5110" s="18"/>
      <c r="X5110" s="18"/>
    </row>
    <row r="5111" spans="13:24">
      <c r="M5111" s="558">
        <f t="shared" si="242"/>
        <v>5109</v>
      </c>
      <c r="N5111" s="15">
        <f t="shared" si="240"/>
        <v>0.20828763618429375</v>
      </c>
      <c r="O5111" s="165">
        <f t="shared" si="241"/>
        <v>0.20828763618429375</v>
      </c>
      <c r="P5111" s="18"/>
      <c r="Q5111" s="18"/>
      <c r="R5111" s="18"/>
      <c r="S5111" s="18"/>
      <c r="T5111" s="18"/>
      <c r="U5111" s="18"/>
      <c r="V5111" s="18"/>
      <c r="W5111" s="18"/>
      <c r="X5111" s="18"/>
    </row>
    <row r="5112" spans="13:24">
      <c r="M5112" s="558">
        <f t="shared" si="242"/>
        <v>5110</v>
      </c>
      <c r="N5112" s="15">
        <f t="shared" si="240"/>
        <v>0.2082353423661753</v>
      </c>
      <c r="O5112" s="165">
        <f t="shared" si="241"/>
        <v>0.2082353423661753</v>
      </c>
      <c r="P5112" s="18"/>
      <c r="Q5112" s="18"/>
      <c r="R5112" s="18"/>
      <c r="S5112" s="18"/>
      <c r="T5112" s="18"/>
      <c r="U5112" s="18"/>
      <c r="V5112" s="18"/>
      <c r="W5112" s="18"/>
      <c r="X5112" s="18"/>
    </row>
    <row r="5113" spans="13:24">
      <c r="M5113" s="558">
        <f t="shared" si="242"/>
        <v>5111</v>
      </c>
      <c r="N5113" s="15">
        <f t="shared" si="240"/>
        <v>0.20818304970754634</v>
      </c>
      <c r="O5113" s="165">
        <f t="shared" si="241"/>
        <v>0.20818304970754634</v>
      </c>
      <c r="P5113" s="18"/>
      <c r="Q5113" s="18"/>
      <c r="R5113" s="18"/>
      <c r="S5113" s="18"/>
      <c r="T5113" s="18"/>
      <c r="U5113" s="18"/>
      <c r="V5113" s="18"/>
      <c r="W5113" s="18"/>
      <c r="X5113" s="18"/>
    </row>
    <row r="5114" spans="13:24">
      <c r="M5114" s="558">
        <f t="shared" si="242"/>
        <v>5112</v>
      </c>
      <c r="N5114" s="15">
        <f t="shared" si="240"/>
        <v>0.20813075820695173</v>
      </c>
      <c r="O5114" s="165">
        <f t="shared" si="241"/>
        <v>0.20813075820695173</v>
      </c>
      <c r="P5114" s="18"/>
      <c r="Q5114" s="18"/>
      <c r="R5114" s="18"/>
      <c r="S5114" s="18"/>
      <c r="T5114" s="18"/>
      <c r="U5114" s="18"/>
      <c r="V5114" s="18"/>
      <c r="W5114" s="18"/>
      <c r="X5114" s="18"/>
    </row>
    <row r="5115" spans="13:24">
      <c r="M5115" s="558">
        <f t="shared" si="242"/>
        <v>5113</v>
      </c>
      <c r="N5115" s="15">
        <f t="shared" si="240"/>
        <v>0.20807846786293832</v>
      </c>
      <c r="O5115" s="165">
        <f t="shared" si="241"/>
        <v>0.20807846786293832</v>
      </c>
      <c r="P5115" s="18"/>
      <c r="Q5115" s="18"/>
      <c r="R5115" s="18"/>
      <c r="S5115" s="18"/>
      <c r="T5115" s="18"/>
      <c r="U5115" s="18"/>
      <c r="V5115" s="18"/>
      <c r="W5115" s="18"/>
      <c r="X5115" s="18"/>
    </row>
    <row r="5116" spans="13:24">
      <c r="M5116" s="558">
        <f t="shared" si="242"/>
        <v>5114</v>
      </c>
      <c r="N5116" s="15">
        <f t="shared" si="240"/>
        <v>0.2080261786740546</v>
      </c>
      <c r="O5116" s="165">
        <f t="shared" si="241"/>
        <v>0.2080261786740546</v>
      </c>
      <c r="P5116" s="18"/>
      <c r="Q5116" s="18"/>
      <c r="R5116" s="18"/>
      <c r="S5116" s="18"/>
      <c r="T5116" s="18"/>
      <c r="U5116" s="18"/>
      <c r="V5116" s="18"/>
      <c r="W5116" s="18"/>
      <c r="X5116" s="18"/>
    </row>
    <row r="5117" spans="13:24">
      <c r="M5117" s="558">
        <f t="shared" si="242"/>
        <v>5115</v>
      </c>
      <c r="N5117" s="15">
        <f t="shared" si="240"/>
        <v>0.20797389063885102</v>
      </c>
      <c r="O5117" s="165">
        <f t="shared" si="241"/>
        <v>0.20797389063885102</v>
      </c>
      <c r="P5117" s="18"/>
      <c r="Q5117" s="18"/>
      <c r="R5117" s="18"/>
      <c r="S5117" s="18"/>
      <c r="T5117" s="18"/>
      <c r="U5117" s="18"/>
      <c r="V5117" s="18"/>
      <c r="W5117" s="18"/>
      <c r="X5117" s="18"/>
    </row>
    <row r="5118" spans="13:24">
      <c r="M5118" s="558">
        <f t="shared" si="242"/>
        <v>5116</v>
      </c>
      <c r="N5118" s="15">
        <f t="shared" si="240"/>
        <v>0.20792160375587981</v>
      </c>
      <c r="O5118" s="165">
        <f t="shared" si="241"/>
        <v>0.20792160375587981</v>
      </c>
      <c r="P5118" s="18"/>
      <c r="Q5118" s="18"/>
      <c r="R5118" s="18"/>
      <c r="S5118" s="18"/>
      <c r="T5118" s="18"/>
      <c r="U5118" s="18"/>
      <c r="V5118" s="18"/>
      <c r="W5118" s="18"/>
      <c r="X5118" s="18"/>
    </row>
    <row r="5119" spans="13:24">
      <c r="M5119" s="558">
        <f t="shared" si="242"/>
        <v>5117</v>
      </c>
      <c r="N5119" s="15">
        <f t="shared" si="240"/>
        <v>0.20786931802369502</v>
      </c>
      <c r="O5119" s="165">
        <f t="shared" si="241"/>
        <v>0.20786931802369502</v>
      </c>
      <c r="P5119" s="18"/>
      <c r="Q5119" s="18"/>
      <c r="R5119" s="18"/>
      <c r="S5119" s="18"/>
      <c r="T5119" s="18"/>
      <c r="U5119" s="18"/>
      <c r="V5119" s="18"/>
      <c r="W5119" s="18"/>
      <c r="X5119" s="18"/>
    </row>
    <row r="5120" spans="13:24">
      <c r="M5120" s="558">
        <f t="shared" si="242"/>
        <v>5118</v>
      </c>
      <c r="N5120" s="15">
        <f t="shared" si="240"/>
        <v>0.20781703344085245</v>
      </c>
      <c r="O5120" s="165">
        <f t="shared" si="241"/>
        <v>0.20781703344085245</v>
      </c>
      <c r="P5120" s="18"/>
      <c r="Q5120" s="18"/>
      <c r="R5120" s="18"/>
      <c r="S5120" s="18"/>
      <c r="T5120" s="18"/>
      <c r="U5120" s="18"/>
      <c r="V5120" s="18"/>
      <c r="W5120" s="18"/>
      <c r="X5120" s="18"/>
    </row>
    <row r="5121" spans="13:24">
      <c r="M5121" s="558">
        <f t="shared" si="242"/>
        <v>5119</v>
      </c>
      <c r="N5121" s="15">
        <f t="shared" si="240"/>
        <v>0.20776475000590985</v>
      </c>
      <c r="O5121" s="165">
        <f t="shared" si="241"/>
        <v>0.20776475000590985</v>
      </c>
      <c r="P5121" s="18"/>
      <c r="Q5121" s="18"/>
      <c r="R5121" s="18"/>
      <c r="S5121" s="18"/>
      <c r="T5121" s="18"/>
      <c r="U5121" s="18"/>
      <c r="V5121" s="18"/>
      <c r="W5121" s="18"/>
      <c r="X5121" s="18"/>
    </row>
    <row r="5122" spans="13:24">
      <c r="M5122" s="558">
        <f t="shared" si="242"/>
        <v>5120</v>
      </c>
      <c r="N5122" s="15">
        <f t="shared" si="240"/>
        <v>0.2077124677174266</v>
      </c>
      <c r="O5122" s="165">
        <f t="shared" si="241"/>
        <v>0.2077124677174266</v>
      </c>
      <c r="P5122" s="18"/>
      <c r="Q5122" s="18"/>
      <c r="R5122" s="18"/>
      <c r="S5122" s="18"/>
      <c r="T5122" s="18"/>
      <c r="U5122" s="18"/>
      <c r="V5122" s="18"/>
      <c r="W5122" s="18"/>
      <c r="X5122" s="18"/>
    </row>
    <row r="5123" spans="13:24">
      <c r="M5123" s="558">
        <f t="shared" si="242"/>
        <v>5121</v>
      </c>
      <c r="N5123" s="15">
        <f t="shared" si="240"/>
        <v>0.2076601865739641</v>
      </c>
      <c r="O5123" s="165">
        <f t="shared" si="241"/>
        <v>0.2076601865739641</v>
      </c>
      <c r="P5123" s="18"/>
      <c r="Q5123" s="18"/>
      <c r="R5123" s="18"/>
      <c r="S5123" s="18"/>
      <c r="T5123" s="18"/>
      <c r="U5123" s="18"/>
      <c r="V5123" s="18"/>
      <c r="W5123" s="18"/>
      <c r="X5123" s="18"/>
    </row>
    <row r="5124" spans="13:24">
      <c r="M5124" s="558">
        <f t="shared" si="242"/>
        <v>5122</v>
      </c>
      <c r="N5124" s="15">
        <f t="shared" ref="N5124:N5187" si="243">IF(M5124&lt;$B$31+1,$B$32+$B$33/$B$31*(8760-M5124)+$B$34*IF(M5124&lt;$B$36-$B$31/(2*$B$35),1,IF(M5124&lt;$B$36+$B$31/(2*$B$35),COS(PI()/2*(M5124-($B$36-$B$31/(2*$B$35)))*$B$35/$B$31)^2,0))+$B$37*EXP((8760-M5124)/8760*$B$38)/EXP($B$38)-(8760-$B$31)*$B$33/$B$31,0)</f>
        <v>0.20760790657408532</v>
      </c>
      <c r="O5124" s="165">
        <f t="shared" ref="O5124:O5187" si="244">MIN(N5124,C$24)</f>
        <v>0.20760790657408532</v>
      </c>
      <c r="P5124" s="18"/>
      <c r="Q5124" s="18"/>
      <c r="R5124" s="18"/>
      <c r="S5124" s="18"/>
      <c r="T5124" s="18"/>
      <c r="U5124" s="18"/>
      <c r="V5124" s="18"/>
      <c r="W5124" s="18"/>
      <c r="X5124" s="18"/>
    </row>
    <row r="5125" spans="13:24">
      <c r="M5125" s="558">
        <f t="shared" ref="M5125:M5188" si="245">M5124+1</f>
        <v>5123</v>
      </c>
      <c r="N5125" s="15">
        <f t="shared" si="243"/>
        <v>0.20755562771635525</v>
      </c>
      <c r="O5125" s="165">
        <f t="shared" si="244"/>
        <v>0.20755562771635525</v>
      </c>
      <c r="P5125" s="18"/>
      <c r="Q5125" s="18"/>
      <c r="R5125" s="18"/>
      <c r="S5125" s="18"/>
      <c r="T5125" s="18"/>
      <c r="U5125" s="18"/>
      <c r="V5125" s="18"/>
      <c r="W5125" s="18"/>
      <c r="X5125" s="18"/>
    </row>
    <row r="5126" spans="13:24">
      <c r="M5126" s="558">
        <f t="shared" si="245"/>
        <v>5124</v>
      </c>
      <c r="N5126" s="15">
        <f t="shared" si="243"/>
        <v>0.20750334999934053</v>
      </c>
      <c r="O5126" s="165">
        <f t="shared" si="244"/>
        <v>0.20750334999934053</v>
      </c>
      <c r="P5126" s="18"/>
      <c r="Q5126" s="18"/>
      <c r="R5126" s="18"/>
      <c r="S5126" s="18"/>
      <c r="T5126" s="18"/>
      <c r="U5126" s="18"/>
      <c r="V5126" s="18"/>
      <c r="W5126" s="18"/>
      <c r="X5126" s="18"/>
    </row>
    <row r="5127" spans="13:24">
      <c r="M5127" s="558">
        <f t="shared" si="245"/>
        <v>5125</v>
      </c>
      <c r="N5127" s="15">
        <f t="shared" si="243"/>
        <v>0.20745107342160968</v>
      </c>
      <c r="O5127" s="165">
        <f t="shared" si="244"/>
        <v>0.20745107342160968</v>
      </c>
      <c r="P5127" s="18"/>
      <c r="Q5127" s="18"/>
      <c r="R5127" s="18"/>
      <c r="S5127" s="18"/>
      <c r="T5127" s="18"/>
      <c r="U5127" s="18"/>
      <c r="V5127" s="18"/>
      <c r="W5127" s="18"/>
      <c r="X5127" s="18"/>
    </row>
    <row r="5128" spans="13:24">
      <c r="M5128" s="558">
        <f t="shared" si="245"/>
        <v>5126</v>
      </c>
      <c r="N5128" s="15">
        <f t="shared" si="243"/>
        <v>0.207398797981733</v>
      </c>
      <c r="O5128" s="165">
        <f t="shared" si="244"/>
        <v>0.207398797981733</v>
      </c>
      <c r="P5128" s="18"/>
      <c r="Q5128" s="18"/>
      <c r="R5128" s="18"/>
      <c r="S5128" s="18"/>
      <c r="T5128" s="18"/>
      <c r="U5128" s="18"/>
      <c r="V5128" s="18"/>
      <c r="W5128" s="18"/>
      <c r="X5128" s="18"/>
    </row>
    <row r="5129" spans="13:24">
      <c r="M5129" s="558">
        <f t="shared" si="245"/>
        <v>5127</v>
      </c>
      <c r="N5129" s="15">
        <f t="shared" si="243"/>
        <v>0.20734652367828252</v>
      </c>
      <c r="O5129" s="165">
        <f t="shared" si="244"/>
        <v>0.20734652367828252</v>
      </c>
      <c r="P5129" s="18"/>
      <c r="Q5129" s="18"/>
      <c r="R5129" s="18"/>
      <c r="S5129" s="18"/>
      <c r="T5129" s="18"/>
      <c r="U5129" s="18"/>
      <c r="V5129" s="18"/>
      <c r="W5129" s="18"/>
      <c r="X5129" s="18"/>
    </row>
    <row r="5130" spans="13:24">
      <c r="M5130" s="558">
        <f t="shared" si="245"/>
        <v>5128</v>
      </c>
      <c r="N5130" s="15">
        <f t="shared" si="243"/>
        <v>0.20729425050983219</v>
      </c>
      <c r="O5130" s="165">
        <f t="shared" si="244"/>
        <v>0.20729425050983219</v>
      </c>
      <c r="P5130" s="18"/>
      <c r="Q5130" s="18"/>
      <c r="R5130" s="18"/>
      <c r="S5130" s="18"/>
      <c r="T5130" s="18"/>
      <c r="U5130" s="18"/>
      <c r="V5130" s="18"/>
      <c r="W5130" s="18"/>
      <c r="X5130" s="18"/>
    </row>
    <row r="5131" spans="13:24">
      <c r="M5131" s="558">
        <f t="shared" si="245"/>
        <v>5129</v>
      </c>
      <c r="N5131" s="15">
        <f t="shared" si="243"/>
        <v>0.20724197847495762</v>
      </c>
      <c r="O5131" s="165">
        <f t="shared" si="244"/>
        <v>0.20724197847495762</v>
      </c>
      <c r="P5131" s="18"/>
      <c r="Q5131" s="18"/>
      <c r="R5131" s="18"/>
      <c r="S5131" s="18"/>
      <c r="T5131" s="18"/>
      <c r="U5131" s="18"/>
      <c r="V5131" s="18"/>
      <c r="W5131" s="18"/>
      <c r="X5131" s="18"/>
    </row>
    <row r="5132" spans="13:24">
      <c r="M5132" s="558">
        <f t="shared" si="245"/>
        <v>5130</v>
      </c>
      <c r="N5132" s="15">
        <f t="shared" si="243"/>
        <v>0.20718970757223631</v>
      </c>
      <c r="O5132" s="165">
        <f t="shared" si="244"/>
        <v>0.20718970757223631</v>
      </c>
      <c r="P5132" s="18"/>
      <c r="Q5132" s="18"/>
      <c r="R5132" s="18"/>
      <c r="S5132" s="18"/>
      <c r="T5132" s="18"/>
      <c r="U5132" s="18"/>
      <c r="V5132" s="18"/>
      <c r="W5132" s="18"/>
      <c r="X5132" s="18"/>
    </row>
    <row r="5133" spans="13:24">
      <c r="M5133" s="558">
        <f t="shared" si="245"/>
        <v>5131</v>
      </c>
      <c r="N5133" s="15">
        <f t="shared" si="243"/>
        <v>0.20713743780024743</v>
      </c>
      <c r="O5133" s="165">
        <f t="shared" si="244"/>
        <v>0.20713743780024743</v>
      </c>
      <c r="P5133" s="18"/>
      <c r="Q5133" s="18"/>
      <c r="R5133" s="18"/>
      <c r="S5133" s="18"/>
      <c r="T5133" s="18"/>
      <c r="U5133" s="18"/>
      <c r="V5133" s="18"/>
      <c r="W5133" s="18"/>
      <c r="X5133" s="18"/>
    </row>
    <row r="5134" spans="13:24">
      <c r="M5134" s="558">
        <f t="shared" si="245"/>
        <v>5132</v>
      </c>
      <c r="N5134" s="15">
        <f t="shared" si="243"/>
        <v>0.20708516915757208</v>
      </c>
      <c r="O5134" s="165">
        <f t="shared" si="244"/>
        <v>0.20708516915757208</v>
      </c>
      <c r="P5134" s="18"/>
      <c r="Q5134" s="18"/>
      <c r="R5134" s="18"/>
      <c r="S5134" s="18"/>
      <c r="T5134" s="18"/>
      <c r="U5134" s="18"/>
      <c r="V5134" s="18"/>
      <c r="W5134" s="18"/>
      <c r="X5134" s="18"/>
    </row>
    <row r="5135" spans="13:24">
      <c r="M5135" s="558">
        <f t="shared" si="245"/>
        <v>5133</v>
      </c>
      <c r="N5135" s="15">
        <f t="shared" si="243"/>
        <v>0.207032901642793</v>
      </c>
      <c r="O5135" s="165">
        <f t="shared" si="244"/>
        <v>0.207032901642793</v>
      </c>
      <c r="P5135" s="18"/>
      <c r="Q5135" s="18"/>
      <c r="R5135" s="18"/>
      <c r="S5135" s="18"/>
      <c r="T5135" s="18"/>
      <c r="U5135" s="18"/>
      <c r="V5135" s="18"/>
      <c r="W5135" s="18"/>
      <c r="X5135" s="18"/>
    </row>
    <row r="5136" spans="13:24">
      <c r="M5136" s="558">
        <f t="shared" si="245"/>
        <v>5134</v>
      </c>
      <c r="N5136" s="15">
        <f t="shared" si="243"/>
        <v>0.20698063525449484</v>
      </c>
      <c r="O5136" s="165">
        <f t="shared" si="244"/>
        <v>0.20698063525449484</v>
      </c>
      <c r="P5136" s="18"/>
      <c r="Q5136" s="18"/>
      <c r="R5136" s="18"/>
      <c r="S5136" s="18"/>
      <c r="T5136" s="18"/>
      <c r="U5136" s="18"/>
      <c r="V5136" s="18"/>
      <c r="W5136" s="18"/>
      <c r="X5136" s="18"/>
    </row>
    <row r="5137" spans="13:24">
      <c r="M5137" s="558">
        <f t="shared" si="245"/>
        <v>5135</v>
      </c>
      <c r="N5137" s="15">
        <f t="shared" si="243"/>
        <v>0.20692836999126385</v>
      </c>
      <c r="O5137" s="165">
        <f t="shared" si="244"/>
        <v>0.20692836999126385</v>
      </c>
      <c r="P5137" s="18"/>
      <c r="Q5137" s="18"/>
      <c r="R5137" s="18"/>
      <c r="S5137" s="18"/>
      <c r="T5137" s="18"/>
      <c r="U5137" s="18"/>
      <c r="V5137" s="18"/>
      <c r="W5137" s="18"/>
      <c r="X5137" s="18"/>
    </row>
    <row r="5138" spans="13:24">
      <c r="M5138" s="558">
        <f t="shared" si="245"/>
        <v>5136</v>
      </c>
      <c r="N5138" s="15">
        <f t="shared" si="243"/>
        <v>0.20687610585168828</v>
      </c>
      <c r="O5138" s="165">
        <f t="shared" si="244"/>
        <v>0.20687610585168828</v>
      </c>
      <c r="P5138" s="18"/>
      <c r="Q5138" s="18"/>
      <c r="R5138" s="18"/>
      <c r="S5138" s="18"/>
      <c r="T5138" s="18"/>
      <c r="U5138" s="18"/>
      <c r="V5138" s="18"/>
      <c r="W5138" s="18"/>
      <c r="X5138" s="18"/>
    </row>
    <row r="5139" spans="13:24">
      <c r="M5139" s="558">
        <f t="shared" si="245"/>
        <v>5137</v>
      </c>
      <c r="N5139" s="15">
        <f t="shared" si="243"/>
        <v>0.20682384283435795</v>
      </c>
      <c r="O5139" s="165">
        <f t="shared" si="244"/>
        <v>0.20682384283435795</v>
      </c>
      <c r="P5139" s="18"/>
      <c r="Q5139" s="18"/>
      <c r="R5139" s="18"/>
      <c r="S5139" s="18"/>
      <c r="T5139" s="18"/>
      <c r="U5139" s="18"/>
      <c r="V5139" s="18"/>
      <c r="W5139" s="18"/>
      <c r="X5139" s="18"/>
    </row>
    <row r="5140" spans="13:24">
      <c r="M5140" s="558">
        <f t="shared" si="245"/>
        <v>5138</v>
      </c>
      <c r="N5140" s="15">
        <f t="shared" si="243"/>
        <v>0.20677158093786455</v>
      </c>
      <c r="O5140" s="165">
        <f t="shared" si="244"/>
        <v>0.20677158093786455</v>
      </c>
      <c r="P5140" s="18"/>
      <c r="Q5140" s="18"/>
      <c r="R5140" s="18"/>
      <c r="S5140" s="18"/>
      <c r="T5140" s="18"/>
      <c r="U5140" s="18"/>
      <c r="V5140" s="18"/>
      <c r="W5140" s="18"/>
      <c r="X5140" s="18"/>
    </row>
    <row r="5141" spans="13:24">
      <c r="M5141" s="558">
        <f t="shared" si="245"/>
        <v>5139</v>
      </c>
      <c r="N5141" s="15">
        <f t="shared" si="243"/>
        <v>0.20671932016080155</v>
      </c>
      <c r="O5141" s="165">
        <f t="shared" si="244"/>
        <v>0.20671932016080155</v>
      </c>
      <c r="P5141" s="18"/>
      <c r="Q5141" s="18"/>
      <c r="R5141" s="18"/>
      <c r="S5141" s="18"/>
      <c r="T5141" s="18"/>
      <c r="U5141" s="18"/>
      <c r="V5141" s="18"/>
      <c r="W5141" s="18"/>
      <c r="X5141" s="18"/>
    </row>
    <row r="5142" spans="13:24">
      <c r="M5142" s="558">
        <f t="shared" si="245"/>
        <v>5140</v>
      </c>
      <c r="N5142" s="15">
        <f t="shared" si="243"/>
        <v>0.20666706050176412</v>
      </c>
      <c r="O5142" s="165">
        <f t="shared" si="244"/>
        <v>0.20666706050176412</v>
      </c>
      <c r="P5142" s="18"/>
      <c r="Q5142" s="18"/>
      <c r="R5142" s="18"/>
      <c r="S5142" s="18"/>
      <c r="T5142" s="18"/>
      <c r="U5142" s="18"/>
      <c r="V5142" s="18"/>
      <c r="W5142" s="18"/>
      <c r="X5142" s="18"/>
    </row>
    <row r="5143" spans="13:24">
      <c r="M5143" s="558">
        <f t="shared" si="245"/>
        <v>5141</v>
      </c>
      <c r="N5143" s="15">
        <f t="shared" si="243"/>
        <v>0.20661480195934925</v>
      </c>
      <c r="O5143" s="165">
        <f t="shared" si="244"/>
        <v>0.20661480195934925</v>
      </c>
      <c r="P5143" s="18"/>
      <c r="Q5143" s="18"/>
      <c r="R5143" s="18"/>
      <c r="S5143" s="18"/>
      <c r="T5143" s="18"/>
      <c r="U5143" s="18"/>
      <c r="V5143" s="18"/>
      <c r="W5143" s="18"/>
      <c r="X5143" s="18"/>
    </row>
    <row r="5144" spans="13:24">
      <c r="M5144" s="558">
        <f t="shared" si="245"/>
        <v>5142</v>
      </c>
      <c r="N5144" s="15">
        <f t="shared" si="243"/>
        <v>0.20656254453215564</v>
      </c>
      <c r="O5144" s="165">
        <f t="shared" si="244"/>
        <v>0.20656254453215564</v>
      </c>
      <c r="P5144" s="18"/>
      <c r="Q5144" s="18"/>
      <c r="R5144" s="18"/>
      <c r="S5144" s="18"/>
      <c r="T5144" s="18"/>
      <c r="U5144" s="18"/>
      <c r="V5144" s="18"/>
      <c r="W5144" s="18"/>
      <c r="X5144" s="18"/>
    </row>
    <row r="5145" spans="13:24">
      <c r="M5145" s="558">
        <f t="shared" si="245"/>
        <v>5143</v>
      </c>
      <c r="N5145" s="15">
        <f t="shared" si="243"/>
        <v>0.20651028821878384</v>
      </c>
      <c r="O5145" s="165">
        <f t="shared" si="244"/>
        <v>0.20651028821878384</v>
      </c>
      <c r="P5145" s="18"/>
      <c r="Q5145" s="18"/>
      <c r="R5145" s="18"/>
      <c r="S5145" s="18"/>
      <c r="T5145" s="18"/>
      <c r="U5145" s="18"/>
      <c r="V5145" s="18"/>
      <c r="W5145" s="18"/>
      <c r="X5145" s="18"/>
    </row>
    <row r="5146" spans="13:24">
      <c r="M5146" s="558">
        <f t="shared" si="245"/>
        <v>5144</v>
      </c>
      <c r="N5146" s="15">
        <f t="shared" si="243"/>
        <v>0.206458033017836</v>
      </c>
      <c r="O5146" s="165">
        <f t="shared" si="244"/>
        <v>0.206458033017836</v>
      </c>
      <c r="P5146" s="18"/>
      <c r="Q5146" s="18"/>
      <c r="R5146" s="18"/>
      <c r="S5146" s="18"/>
      <c r="T5146" s="18"/>
      <c r="U5146" s="18"/>
      <c r="V5146" s="18"/>
      <c r="W5146" s="18"/>
      <c r="X5146" s="18"/>
    </row>
    <row r="5147" spans="13:24">
      <c r="M5147" s="558">
        <f t="shared" si="245"/>
        <v>5145</v>
      </c>
      <c r="N5147" s="15">
        <f t="shared" si="243"/>
        <v>0.2064057789279162</v>
      </c>
      <c r="O5147" s="165">
        <f t="shared" si="244"/>
        <v>0.2064057789279162</v>
      </c>
      <c r="P5147" s="18"/>
      <c r="Q5147" s="18"/>
      <c r="R5147" s="18"/>
      <c r="S5147" s="18"/>
      <c r="T5147" s="18"/>
      <c r="U5147" s="18"/>
      <c r="V5147" s="18"/>
      <c r="W5147" s="18"/>
      <c r="X5147" s="18"/>
    </row>
    <row r="5148" spans="13:24">
      <c r="M5148" s="558">
        <f t="shared" si="245"/>
        <v>5146</v>
      </c>
      <c r="N5148" s="15">
        <f t="shared" si="243"/>
        <v>0.20635352594763015</v>
      </c>
      <c r="O5148" s="165">
        <f t="shared" si="244"/>
        <v>0.20635352594763015</v>
      </c>
      <c r="P5148" s="18"/>
      <c r="Q5148" s="18"/>
      <c r="R5148" s="18"/>
      <c r="S5148" s="18"/>
      <c r="T5148" s="18"/>
      <c r="U5148" s="18"/>
      <c r="V5148" s="18"/>
      <c r="W5148" s="18"/>
      <c r="X5148" s="18"/>
    </row>
    <row r="5149" spans="13:24">
      <c r="M5149" s="558">
        <f t="shared" si="245"/>
        <v>5147</v>
      </c>
      <c r="N5149" s="15">
        <f t="shared" si="243"/>
        <v>0.20630127407558535</v>
      </c>
      <c r="O5149" s="165">
        <f t="shared" si="244"/>
        <v>0.20630127407558535</v>
      </c>
      <c r="P5149" s="18"/>
      <c r="Q5149" s="18"/>
      <c r="R5149" s="18"/>
      <c r="S5149" s="18"/>
      <c r="T5149" s="18"/>
      <c r="U5149" s="18"/>
      <c r="V5149" s="18"/>
      <c r="W5149" s="18"/>
      <c r="X5149" s="18"/>
    </row>
    <row r="5150" spans="13:24">
      <c r="M5150" s="558">
        <f t="shared" si="245"/>
        <v>5148</v>
      </c>
      <c r="N5150" s="15">
        <f t="shared" si="243"/>
        <v>0.20624902331039105</v>
      </c>
      <c r="O5150" s="165">
        <f t="shared" si="244"/>
        <v>0.20624902331039105</v>
      </c>
      <c r="P5150" s="18"/>
      <c r="Q5150" s="18"/>
      <c r="R5150" s="18"/>
      <c r="S5150" s="18"/>
      <c r="T5150" s="18"/>
      <c r="U5150" s="18"/>
      <c r="V5150" s="18"/>
      <c r="W5150" s="18"/>
      <c r="X5150" s="18"/>
    </row>
    <row r="5151" spans="13:24">
      <c r="M5151" s="558">
        <f t="shared" si="245"/>
        <v>5149</v>
      </c>
      <c r="N5151" s="15">
        <f t="shared" si="243"/>
        <v>0.20619677365065825</v>
      </c>
      <c r="O5151" s="165">
        <f t="shared" si="244"/>
        <v>0.20619677365065825</v>
      </c>
      <c r="P5151" s="18"/>
      <c r="Q5151" s="18"/>
      <c r="R5151" s="18"/>
      <c r="S5151" s="18"/>
      <c r="T5151" s="18"/>
      <c r="U5151" s="18"/>
      <c r="V5151" s="18"/>
      <c r="W5151" s="18"/>
      <c r="X5151" s="18"/>
    </row>
    <row r="5152" spans="13:24">
      <c r="M5152" s="558">
        <f t="shared" si="245"/>
        <v>5150</v>
      </c>
      <c r="N5152" s="15">
        <f t="shared" si="243"/>
        <v>0.20614452509499967</v>
      </c>
      <c r="O5152" s="165">
        <f t="shared" si="244"/>
        <v>0.20614452509499967</v>
      </c>
      <c r="P5152" s="18"/>
      <c r="Q5152" s="18"/>
      <c r="R5152" s="18"/>
      <c r="S5152" s="18"/>
      <c r="T5152" s="18"/>
      <c r="U5152" s="18"/>
      <c r="V5152" s="18"/>
      <c r="W5152" s="18"/>
      <c r="X5152" s="18"/>
    </row>
    <row r="5153" spans="13:24">
      <c r="M5153" s="558">
        <f t="shared" si="245"/>
        <v>5151</v>
      </c>
      <c r="N5153" s="15">
        <f t="shared" si="243"/>
        <v>0.20609227764202981</v>
      </c>
      <c r="O5153" s="165">
        <f t="shared" si="244"/>
        <v>0.20609227764202981</v>
      </c>
      <c r="P5153" s="18"/>
      <c r="Q5153" s="18"/>
      <c r="R5153" s="18"/>
      <c r="S5153" s="18"/>
      <c r="T5153" s="18"/>
      <c r="U5153" s="18"/>
      <c r="V5153" s="18"/>
      <c r="W5153" s="18"/>
      <c r="X5153" s="18"/>
    </row>
    <row r="5154" spans="13:24">
      <c r="M5154" s="558">
        <f t="shared" si="245"/>
        <v>5152</v>
      </c>
      <c r="N5154" s="15">
        <f t="shared" si="243"/>
        <v>0.20604003129036483</v>
      </c>
      <c r="O5154" s="165">
        <f t="shared" si="244"/>
        <v>0.20604003129036483</v>
      </c>
      <c r="P5154" s="18"/>
      <c r="Q5154" s="18"/>
      <c r="R5154" s="18"/>
      <c r="S5154" s="18"/>
      <c r="T5154" s="18"/>
      <c r="U5154" s="18"/>
      <c r="V5154" s="18"/>
      <c r="W5154" s="18"/>
      <c r="X5154" s="18"/>
    </row>
    <row r="5155" spans="13:24">
      <c r="M5155" s="558">
        <f t="shared" si="245"/>
        <v>5153</v>
      </c>
      <c r="N5155" s="15">
        <f t="shared" si="243"/>
        <v>0.20598778603862275</v>
      </c>
      <c r="O5155" s="165">
        <f t="shared" si="244"/>
        <v>0.20598778603862275</v>
      </c>
      <c r="P5155" s="18"/>
      <c r="Q5155" s="18"/>
      <c r="R5155" s="18"/>
      <c r="S5155" s="18"/>
      <c r="T5155" s="18"/>
      <c r="U5155" s="18"/>
      <c r="V5155" s="18"/>
      <c r="W5155" s="18"/>
      <c r="X5155" s="18"/>
    </row>
    <row r="5156" spans="13:24">
      <c r="M5156" s="558">
        <f t="shared" si="245"/>
        <v>5154</v>
      </c>
      <c r="N5156" s="15">
        <f t="shared" si="243"/>
        <v>0.20593554188542321</v>
      </c>
      <c r="O5156" s="165">
        <f t="shared" si="244"/>
        <v>0.20593554188542321</v>
      </c>
      <c r="P5156" s="18"/>
      <c r="Q5156" s="18"/>
      <c r="R5156" s="18"/>
      <c r="S5156" s="18"/>
      <c r="T5156" s="18"/>
      <c r="U5156" s="18"/>
      <c r="V5156" s="18"/>
      <c r="W5156" s="18"/>
      <c r="X5156" s="18"/>
    </row>
    <row r="5157" spans="13:24">
      <c r="M5157" s="558">
        <f t="shared" si="245"/>
        <v>5155</v>
      </c>
      <c r="N5157" s="15">
        <f t="shared" si="243"/>
        <v>0.20588329882938763</v>
      </c>
      <c r="O5157" s="165">
        <f t="shared" si="244"/>
        <v>0.20588329882938763</v>
      </c>
      <c r="P5157" s="18"/>
      <c r="Q5157" s="18"/>
      <c r="R5157" s="18"/>
      <c r="S5157" s="18"/>
      <c r="T5157" s="18"/>
      <c r="U5157" s="18"/>
      <c r="V5157" s="18"/>
      <c r="W5157" s="18"/>
      <c r="X5157" s="18"/>
    </row>
    <row r="5158" spans="13:24">
      <c r="M5158" s="558">
        <f t="shared" si="245"/>
        <v>5156</v>
      </c>
      <c r="N5158" s="15">
        <f t="shared" si="243"/>
        <v>0.20583105686913919</v>
      </c>
      <c r="O5158" s="165">
        <f t="shared" si="244"/>
        <v>0.20583105686913919</v>
      </c>
      <c r="P5158" s="18"/>
      <c r="Q5158" s="18"/>
      <c r="R5158" s="18"/>
      <c r="S5158" s="18"/>
      <c r="T5158" s="18"/>
      <c r="U5158" s="18"/>
      <c r="V5158" s="18"/>
      <c r="W5158" s="18"/>
      <c r="X5158" s="18"/>
    </row>
    <row r="5159" spans="13:24">
      <c r="M5159" s="558">
        <f t="shared" si="245"/>
        <v>5157</v>
      </c>
      <c r="N5159" s="15">
        <f t="shared" si="243"/>
        <v>0.20577881600330272</v>
      </c>
      <c r="O5159" s="165">
        <f t="shared" si="244"/>
        <v>0.20577881600330272</v>
      </c>
      <c r="P5159" s="18"/>
      <c r="Q5159" s="18"/>
      <c r="R5159" s="18"/>
      <c r="S5159" s="18"/>
      <c r="T5159" s="18"/>
      <c r="U5159" s="18"/>
      <c r="V5159" s="18"/>
      <c r="W5159" s="18"/>
      <c r="X5159" s="18"/>
    </row>
    <row r="5160" spans="13:24">
      <c r="M5160" s="558">
        <f t="shared" si="245"/>
        <v>5158</v>
      </c>
      <c r="N5160" s="15">
        <f t="shared" si="243"/>
        <v>0.20572657623050489</v>
      </c>
      <c r="O5160" s="165">
        <f t="shared" si="244"/>
        <v>0.20572657623050489</v>
      </c>
      <c r="P5160" s="18"/>
      <c r="Q5160" s="18"/>
      <c r="R5160" s="18"/>
      <c r="S5160" s="18"/>
      <c r="T5160" s="18"/>
      <c r="U5160" s="18"/>
      <c r="V5160" s="18"/>
      <c r="W5160" s="18"/>
      <c r="X5160" s="18"/>
    </row>
    <row r="5161" spans="13:24">
      <c r="M5161" s="558">
        <f t="shared" si="245"/>
        <v>5159</v>
      </c>
      <c r="N5161" s="15">
        <f t="shared" si="243"/>
        <v>0.20567433754937392</v>
      </c>
      <c r="O5161" s="165">
        <f t="shared" si="244"/>
        <v>0.20567433754937392</v>
      </c>
      <c r="P5161" s="18"/>
      <c r="Q5161" s="18"/>
      <c r="R5161" s="18"/>
      <c r="S5161" s="18"/>
      <c r="T5161" s="18"/>
      <c r="U5161" s="18"/>
      <c r="V5161" s="18"/>
      <c r="W5161" s="18"/>
      <c r="X5161" s="18"/>
    </row>
    <row r="5162" spans="13:24">
      <c r="M5162" s="558">
        <f t="shared" si="245"/>
        <v>5160</v>
      </c>
      <c r="N5162" s="15">
        <f t="shared" si="243"/>
        <v>0.20562209995853994</v>
      </c>
      <c r="O5162" s="165">
        <f t="shared" si="244"/>
        <v>0.20562209995853994</v>
      </c>
      <c r="P5162" s="18"/>
      <c r="Q5162" s="18"/>
      <c r="R5162" s="18"/>
      <c r="S5162" s="18"/>
      <c r="T5162" s="18"/>
      <c r="U5162" s="18"/>
      <c r="V5162" s="18"/>
      <c r="W5162" s="18"/>
      <c r="X5162" s="18"/>
    </row>
    <row r="5163" spans="13:24">
      <c r="M5163" s="558">
        <f t="shared" si="245"/>
        <v>5161</v>
      </c>
      <c r="N5163" s="15">
        <f t="shared" si="243"/>
        <v>0.20556986345663469</v>
      </c>
      <c r="O5163" s="165">
        <f t="shared" si="244"/>
        <v>0.20556986345663469</v>
      </c>
      <c r="P5163" s="18"/>
      <c r="Q5163" s="18"/>
      <c r="R5163" s="18"/>
      <c r="S5163" s="18"/>
      <c r="T5163" s="18"/>
      <c r="U5163" s="18"/>
      <c r="V5163" s="18"/>
      <c r="W5163" s="18"/>
      <c r="X5163" s="18"/>
    </row>
    <row r="5164" spans="13:24">
      <c r="M5164" s="558">
        <f t="shared" si="245"/>
        <v>5162</v>
      </c>
      <c r="N5164" s="15">
        <f t="shared" si="243"/>
        <v>0.20551762804229165</v>
      </c>
      <c r="O5164" s="165">
        <f t="shared" si="244"/>
        <v>0.20551762804229165</v>
      </c>
      <c r="P5164" s="18"/>
      <c r="Q5164" s="18"/>
      <c r="R5164" s="18"/>
      <c r="S5164" s="18"/>
      <c r="T5164" s="18"/>
      <c r="U5164" s="18"/>
      <c r="V5164" s="18"/>
      <c r="W5164" s="18"/>
      <c r="X5164" s="18"/>
    </row>
    <row r="5165" spans="13:24">
      <c r="M5165" s="558">
        <f t="shared" si="245"/>
        <v>5163</v>
      </c>
      <c r="N5165" s="15">
        <f t="shared" si="243"/>
        <v>0.20546539371414602</v>
      </c>
      <c r="O5165" s="165">
        <f t="shared" si="244"/>
        <v>0.20546539371414602</v>
      </c>
      <c r="P5165" s="18"/>
      <c r="Q5165" s="18"/>
      <c r="R5165" s="18"/>
      <c r="S5165" s="18"/>
      <c r="T5165" s="18"/>
      <c r="U5165" s="18"/>
      <c r="V5165" s="18"/>
      <c r="W5165" s="18"/>
      <c r="X5165" s="18"/>
    </row>
    <row r="5166" spans="13:24">
      <c r="M5166" s="558">
        <f t="shared" si="245"/>
        <v>5164</v>
      </c>
      <c r="N5166" s="15">
        <f t="shared" si="243"/>
        <v>0.20541316047083472</v>
      </c>
      <c r="O5166" s="165">
        <f t="shared" si="244"/>
        <v>0.20541316047083472</v>
      </c>
      <c r="P5166" s="18"/>
      <c r="Q5166" s="18"/>
      <c r="R5166" s="18"/>
      <c r="S5166" s="18"/>
      <c r="T5166" s="18"/>
      <c r="U5166" s="18"/>
      <c r="V5166" s="18"/>
      <c r="W5166" s="18"/>
      <c r="X5166" s="18"/>
    </row>
    <row r="5167" spans="13:24">
      <c r="M5167" s="558">
        <f t="shared" si="245"/>
        <v>5165</v>
      </c>
      <c r="N5167" s="15">
        <f t="shared" si="243"/>
        <v>0.20536092831099631</v>
      </c>
      <c r="O5167" s="165">
        <f t="shared" si="244"/>
        <v>0.20536092831099631</v>
      </c>
      <c r="P5167" s="18"/>
      <c r="Q5167" s="18"/>
      <c r="R5167" s="18"/>
      <c r="S5167" s="18"/>
      <c r="T5167" s="18"/>
      <c r="U5167" s="18"/>
      <c r="V5167" s="18"/>
      <c r="W5167" s="18"/>
      <c r="X5167" s="18"/>
    </row>
    <row r="5168" spans="13:24">
      <c r="M5168" s="558">
        <f t="shared" si="245"/>
        <v>5166</v>
      </c>
      <c r="N5168" s="15">
        <f t="shared" si="243"/>
        <v>0.20530869723327122</v>
      </c>
      <c r="O5168" s="165">
        <f t="shared" si="244"/>
        <v>0.20530869723327122</v>
      </c>
      <c r="P5168" s="18"/>
      <c r="Q5168" s="18"/>
      <c r="R5168" s="18"/>
      <c r="S5168" s="18"/>
      <c r="T5168" s="18"/>
      <c r="U5168" s="18"/>
      <c r="V5168" s="18"/>
      <c r="W5168" s="18"/>
      <c r="X5168" s="18"/>
    </row>
    <row r="5169" spans="13:24">
      <c r="M5169" s="558">
        <f t="shared" si="245"/>
        <v>5167</v>
      </c>
      <c r="N5169" s="15">
        <f t="shared" si="243"/>
        <v>0.20525646723630139</v>
      </c>
      <c r="O5169" s="165">
        <f t="shared" si="244"/>
        <v>0.20525646723630139</v>
      </c>
      <c r="P5169" s="18"/>
      <c r="Q5169" s="18"/>
      <c r="R5169" s="18"/>
      <c r="S5169" s="18"/>
      <c r="T5169" s="18"/>
      <c r="U5169" s="18"/>
      <c r="V5169" s="18"/>
      <c r="W5169" s="18"/>
      <c r="X5169" s="18"/>
    </row>
    <row r="5170" spans="13:24">
      <c r="M5170" s="558">
        <f t="shared" si="245"/>
        <v>5168</v>
      </c>
      <c r="N5170" s="15">
        <f t="shared" si="243"/>
        <v>0.20520423831873061</v>
      </c>
      <c r="O5170" s="165">
        <f t="shared" si="244"/>
        <v>0.20520423831873061</v>
      </c>
      <c r="P5170" s="18"/>
      <c r="Q5170" s="18"/>
      <c r="R5170" s="18"/>
      <c r="S5170" s="18"/>
      <c r="T5170" s="18"/>
      <c r="U5170" s="18"/>
      <c r="V5170" s="18"/>
      <c r="W5170" s="18"/>
      <c r="X5170" s="18"/>
    </row>
    <row r="5171" spans="13:24">
      <c r="M5171" s="558">
        <f t="shared" si="245"/>
        <v>5169</v>
      </c>
      <c r="N5171" s="15">
        <f t="shared" si="243"/>
        <v>0.20515201047920431</v>
      </c>
      <c r="O5171" s="165">
        <f t="shared" si="244"/>
        <v>0.20515201047920431</v>
      </c>
      <c r="P5171" s="18"/>
      <c r="Q5171" s="18"/>
      <c r="R5171" s="18"/>
      <c r="S5171" s="18"/>
      <c r="T5171" s="18"/>
      <c r="U5171" s="18"/>
      <c r="V5171" s="18"/>
      <c r="W5171" s="18"/>
      <c r="X5171" s="18"/>
    </row>
    <row r="5172" spans="13:24">
      <c r="M5172" s="558">
        <f t="shared" si="245"/>
        <v>5170</v>
      </c>
      <c r="N5172" s="15">
        <f t="shared" si="243"/>
        <v>0.20509978371636961</v>
      </c>
      <c r="O5172" s="165">
        <f t="shared" si="244"/>
        <v>0.20509978371636961</v>
      </c>
      <c r="P5172" s="18"/>
      <c r="Q5172" s="18"/>
      <c r="R5172" s="18"/>
      <c r="S5172" s="18"/>
      <c r="T5172" s="18"/>
      <c r="U5172" s="18"/>
      <c r="V5172" s="18"/>
      <c r="W5172" s="18"/>
      <c r="X5172" s="18"/>
    </row>
    <row r="5173" spans="13:24">
      <c r="M5173" s="558">
        <f t="shared" si="245"/>
        <v>5171</v>
      </c>
      <c r="N5173" s="15">
        <f t="shared" si="243"/>
        <v>0.20504755802887542</v>
      </c>
      <c r="O5173" s="165">
        <f t="shared" si="244"/>
        <v>0.20504755802887542</v>
      </c>
      <c r="P5173" s="18"/>
      <c r="Q5173" s="18"/>
      <c r="R5173" s="18"/>
      <c r="S5173" s="18"/>
      <c r="T5173" s="18"/>
      <c r="U5173" s="18"/>
      <c r="V5173" s="18"/>
      <c r="W5173" s="18"/>
      <c r="X5173" s="18"/>
    </row>
    <row r="5174" spans="13:24">
      <c r="M5174" s="558">
        <f t="shared" si="245"/>
        <v>5172</v>
      </c>
      <c r="N5174" s="15">
        <f t="shared" si="243"/>
        <v>0.20499533341537218</v>
      </c>
      <c r="O5174" s="165">
        <f t="shared" si="244"/>
        <v>0.20499533341537218</v>
      </c>
      <c r="P5174" s="18"/>
      <c r="Q5174" s="18"/>
      <c r="R5174" s="18"/>
      <c r="S5174" s="18"/>
      <c r="T5174" s="18"/>
      <c r="U5174" s="18"/>
      <c r="V5174" s="18"/>
      <c r="W5174" s="18"/>
      <c r="X5174" s="18"/>
    </row>
    <row r="5175" spans="13:24">
      <c r="M5175" s="558">
        <f t="shared" si="245"/>
        <v>5173</v>
      </c>
      <c r="N5175" s="15">
        <f t="shared" si="243"/>
        <v>0.2049431098745122</v>
      </c>
      <c r="O5175" s="165">
        <f t="shared" si="244"/>
        <v>0.2049431098745122</v>
      </c>
      <c r="P5175" s="18"/>
      <c r="Q5175" s="18"/>
      <c r="R5175" s="18"/>
      <c r="S5175" s="18"/>
      <c r="T5175" s="18"/>
      <c r="U5175" s="18"/>
      <c r="V5175" s="18"/>
      <c r="W5175" s="18"/>
      <c r="X5175" s="18"/>
    </row>
    <row r="5176" spans="13:24">
      <c r="M5176" s="558">
        <f t="shared" si="245"/>
        <v>5174</v>
      </c>
      <c r="N5176" s="15">
        <f t="shared" si="243"/>
        <v>0.20489088740494932</v>
      </c>
      <c r="O5176" s="165">
        <f t="shared" si="244"/>
        <v>0.20489088740494932</v>
      </c>
      <c r="P5176" s="18"/>
      <c r="Q5176" s="18"/>
      <c r="R5176" s="18"/>
      <c r="S5176" s="18"/>
      <c r="T5176" s="18"/>
      <c r="U5176" s="18"/>
      <c r="V5176" s="18"/>
      <c r="W5176" s="18"/>
      <c r="X5176" s="18"/>
    </row>
    <row r="5177" spans="13:24">
      <c r="M5177" s="558">
        <f t="shared" si="245"/>
        <v>5175</v>
      </c>
      <c r="N5177" s="15">
        <f t="shared" si="243"/>
        <v>0.2048386660053392</v>
      </c>
      <c r="O5177" s="165">
        <f t="shared" si="244"/>
        <v>0.2048386660053392</v>
      </c>
      <c r="P5177" s="18"/>
      <c r="Q5177" s="18"/>
      <c r="R5177" s="18"/>
      <c r="S5177" s="18"/>
      <c r="T5177" s="18"/>
      <c r="U5177" s="18"/>
      <c r="V5177" s="18"/>
      <c r="W5177" s="18"/>
      <c r="X5177" s="18"/>
    </row>
    <row r="5178" spans="13:24">
      <c r="M5178" s="558">
        <f t="shared" si="245"/>
        <v>5176</v>
      </c>
      <c r="N5178" s="15">
        <f t="shared" si="243"/>
        <v>0.20478644567433912</v>
      </c>
      <c r="O5178" s="165">
        <f t="shared" si="244"/>
        <v>0.20478644567433912</v>
      </c>
      <c r="P5178" s="18"/>
      <c r="Q5178" s="18"/>
      <c r="R5178" s="18"/>
      <c r="S5178" s="18"/>
      <c r="T5178" s="18"/>
      <c r="U5178" s="18"/>
      <c r="V5178" s="18"/>
      <c r="W5178" s="18"/>
      <c r="X5178" s="18"/>
    </row>
    <row r="5179" spans="13:24">
      <c r="M5179" s="558">
        <f t="shared" si="245"/>
        <v>5177</v>
      </c>
      <c r="N5179" s="15">
        <f t="shared" si="243"/>
        <v>0.20473422641060809</v>
      </c>
      <c r="O5179" s="165">
        <f t="shared" si="244"/>
        <v>0.20473422641060809</v>
      </c>
      <c r="P5179" s="18"/>
      <c r="Q5179" s="18"/>
      <c r="R5179" s="18"/>
      <c r="S5179" s="18"/>
      <c r="T5179" s="18"/>
      <c r="U5179" s="18"/>
      <c r="V5179" s="18"/>
      <c r="W5179" s="18"/>
      <c r="X5179" s="18"/>
    </row>
    <row r="5180" spans="13:24">
      <c r="M5180" s="558">
        <f t="shared" si="245"/>
        <v>5178</v>
      </c>
      <c r="N5180" s="15">
        <f t="shared" si="243"/>
        <v>0.20468200821280672</v>
      </c>
      <c r="O5180" s="165">
        <f t="shared" si="244"/>
        <v>0.20468200821280672</v>
      </c>
      <c r="P5180" s="18"/>
      <c r="Q5180" s="18"/>
      <c r="R5180" s="18"/>
      <c r="S5180" s="18"/>
      <c r="T5180" s="18"/>
      <c r="U5180" s="18"/>
      <c r="V5180" s="18"/>
      <c r="W5180" s="18"/>
      <c r="X5180" s="18"/>
    </row>
    <row r="5181" spans="13:24">
      <c r="M5181" s="558">
        <f t="shared" si="245"/>
        <v>5179</v>
      </c>
      <c r="N5181" s="15">
        <f t="shared" si="243"/>
        <v>0.20462979107959739</v>
      </c>
      <c r="O5181" s="165">
        <f t="shared" si="244"/>
        <v>0.20462979107959739</v>
      </c>
      <c r="P5181" s="18"/>
      <c r="Q5181" s="18"/>
      <c r="R5181" s="18"/>
      <c r="S5181" s="18"/>
      <c r="T5181" s="18"/>
      <c r="U5181" s="18"/>
      <c r="V5181" s="18"/>
      <c r="W5181" s="18"/>
      <c r="X5181" s="18"/>
    </row>
    <row r="5182" spans="13:24">
      <c r="M5182" s="558">
        <f t="shared" si="245"/>
        <v>5180</v>
      </c>
      <c r="N5182" s="15">
        <f t="shared" si="243"/>
        <v>0.20457757500964407</v>
      </c>
      <c r="O5182" s="165">
        <f t="shared" si="244"/>
        <v>0.20457757500964407</v>
      </c>
      <c r="P5182" s="18"/>
      <c r="Q5182" s="18"/>
      <c r="R5182" s="18"/>
      <c r="S5182" s="18"/>
      <c r="T5182" s="18"/>
      <c r="U5182" s="18"/>
      <c r="V5182" s="18"/>
      <c r="W5182" s="18"/>
      <c r="X5182" s="18"/>
    </row>
    <row r="5183" spans="13:24">
      <c r="M5183" s="558">
        <f t="shared" si="245"/>
        <v>5181</v>
      </c>
      <c r="N5183" s="15">
        <f t="shared" si="243"/>
        <v>0.20452536000161256</v>
      </c>
      <c r="O5183" s="165">
        <f t="shared" si="244"/>
        <v>0.20452536000161256</v>
      </c>
      <c r="P5183" s="18"/>
      <c r="Q5183" s="18"/>
      <c r="R5183" s="18"/>
      <c r="S5183" s="18"/>
      <c r="T5183" s="18"/>
      <c r="U5183" s="18"/>
      <c r="V5183" s="18"/>
      <c r="W5183" s="18"/>
      <c r="X5183" s="18"/>
    </row>
    <row r="5184" spans="13:24">
      <c r="M5184" s="558">
        <f t="shared" si="245"/>
        <v>5182</v>
      </c>
      <c r="N5184" s="15">
        <f t="shared" si="243"/>
        <v>0.20447314605417014</v>
      </c>
      <c r="O5184" s="165">
        <f t="shared" si="244"/>
        <v>0.20447314605417014</v>
      </c>
      <c r="P5184" s="18"/>
      <c r="Q5184" s="18"/>
      <c r="R5184" s="18"/>
      <c r="S5184" s="18"/>
      <c r="T5184" s="18"/>
      <c r="U5184" s="18"/>
      <c r="V5184" s="18"/>
      <c r="W5184" s="18"/>
      <c r="X5184" s="18"/>
    </row>
    <row r="5185" spans="13:24">
      <c r="M5185" s="558">
        <f t="shared" si="245"/>
        <v>5183</v>
      </c>
      <c r="N5185" s="15">
        <f t="shared" si="243"/>
        <v>0.20442093316598592</v>
      </c>
      <c r="O5185" s="165">
        <f t="shared" si="244"/>
        <v>0.20442093316598592</v>
      </c>
      <c r="P5185" s="18"/>
      <c r="Q5185" s="18"/>
      <c r="R5185" s="18"/>
      <c r="S5185" s="18"/>
      <c r="T5185" s="18"/>
      <c r="U5185" s="18"/>
      <c r="V5185" s="18"/>
      <c r="W5185" s="18"/>
      <c r="X5185" s="18"/>
    </row>
    <row r="5186" spans="13:24">
      <c r="M5186" s="558">
        <f t="shared" si="245"/>
        <v>5184</v>
      </c>
      <c r="N5186" s="15">
        <f t="shared" si="243"/>
        <v>0.20436872133573056</v>
      </c>
      <c r="O5186" s="165">
        <f t="shared" si="244"/>
        <v>0.20436872133573056</v>
      </c>
      <c r="P5186" s="18"/>
      <c r="Q5186" s="18"/>
      <c r="R5186" s="18"/>
      <c r="S5186" s="18"/>
      <c r="T5186" s="18"/>
      <c r="U5186" s="18"/>
      <c r="V5186" s="18"/>
      <c r="W5186" s="18"/>
      <c r="X5186" s="18"/>
    </row>
    <row r="5187" spans="13:24">
      <c r="M5187" s="558">
        <f t="shared" si="245"/>
        <v>5185</v>
      </c>
      <c r="N5187" s="15">
        <f t="shared" si="243"/>
        <v>0.20431651056207648</v>
      </c>
      <c r="O5187" s="165">
        <f t="shared" si="244"/>
        <v>0.20431651056207648</v>
      </c>
      <c r="P5187" s="18"/>
      <c r="Q5187" s="18"/>
      <c r="R5187" s="18"/>
      <c r="S5187" s="18"/>
      <c r="T5187" s="18"/>
      <c r="U5187" s="18"/>
      <c r="V5187" s="18"/>
      <c r="W5187" s="18"/>
      <c r="X5187" s="18"/>
    </row>
    <row r="5188" spans="13:24">
      <c r="M5188" s="558">
        <f t="shared" si="245"/>
        <v>5186</v>
      </c>
      <c r="N5188" s="15">
        <f t="shared" ref="N5188:N5251" si="246">IF(M5188&lt;$B$31+1,$B$32+$B$33/$B$31*(8760-M5188)+$B$34*IF(M5188&lt;$B$36-$B$31/(2*$B$35),1,IF(M5188&lt;$B$36+$B$31/(2*$B$35),COS(PI()/2*(M5188-($B$36-$B$31/(2*$B$35)))*$B$35/$B$31)^2,0))+$B$37*EXP((8760-M5188)/8760*$B$38)/EXP($B$38)-(8760-$B$31)*$B$33/$B$31,0)</f>
        <v>0.20426430084369773</v>
      </c>
      <c r="O5188" s="165">
        <f t="shared" ref="O5188:O5251" si="247">MIN(N5188,C$24)</f>
        <v>0.20426430084369773</v>
      </c>
      <c r="P5188" s="18"/>
      <c r="Q5188" s="18"/>
      <c r="R5188" s="18"/>
      <c r="S5188" s="18"/>
      <c r="T5188" s="18"/>
      <c r="U5188" s="18"/>
      <c r="V5188" s="18"/>
      <c r="W5188" s="18"/>
      <c r="X5188" s="18"/>
    </row>
    <row r="5189" spans="13:24">
      <c r="M5189" s="558">
        <f t="shared" ref="M5189:M5252" si="248">M5188+1</f>
        <v>5187</v>
      </c>
      <c r="N5189" s="15">
        <f t="shared" si="246"/>
        <v>0.20421209217927</v>
      </c>
      <c r="O5189" s="165">
        <f t="shared" si="247"/>
        <v>0.20421209217927</v>
      </c>
      <c r="P5189" s="18"/>
      <c r="Q5189" s="18"/>
      <c r="R5189" s="18"/>
      <c r="S5189" s="18"/>
      <c r="T5189" s="18"/>
      <c r="U5189" s="18"/>
      <c r="V5189" s="18"/>
      <c r="W5189" s="18"/>
      <c r="X5189" s="18"/>
    </row>
    <row r="5190" spans="13:24">
      <c r="M5190" s="558">
        <f t="shared" si="248"/>
        <v>5188</v>
      </c>
      <c r="N5190" s="15">
        <f t="shared" si="246"/>
        <v>0.2041598845674707</v>
      </c>
      <c r="O5190" s="165">
        <f t="shared" si="247"/>
        <v>0.2041598845674707</v>
      </c>
      <c r="P5190" s="18"/>
      <c r="Q5190" s="18"/>
      <c r="R5190" s="18"/>
      <c r="S5190" s="18"/>
      <c r="T5190" s="18"/>
      <c r="U5190" s="18"/>
      <c r="V5190" s="18"/>
      <c r="W5190" s="18"/>
      <c r="X5190" s="18"/>
    </row>
    <row r="5191" spans="13:24">
      <c r="M5191" s="558">
        <f t="shared" si="248"/>
        <v>5189</v>
      </c>
      <c r="N5191" s="15">
        <f t="shared" si="246"/>
        <v>0.20410767800697882</v>
      </c>
      <c r="O5191" s="165">
        <f t="shared" si="247"/>
        <v>0.20410767800697882</v>
      </c>
      <c r="P5191" s="18"/>
      <c r="Q5191" s="18"/>
      <c r="R5191" s="18"/>
      <c r="S5191" s="18"/>
      <c r="T5191" s="18"/>
      <c r="U5191" s="18"/>
      <c r="V5191" s="18"/>
      <c r="W5191" s="18"/>
      <c r="X5191" s="18"/>
    </row>
    <row r="5192" spans="13:24">
      <c r="M5192" s="558">
        <f t="shared" si="248"/>
        <v>5190</v>
      </c>
      <c r="N5192" s="15">
        <f t="shared" si="246"/>
        <v>0.20405547249647513</v>
      </c>
      <c r="O5192" s="165">
        <f t="shared" si="247"/>
        <v>0.20405547249647513</v>
      </c>
      <c r="P5192" s="18"/>
      <c r="Q5192" s="18"/>
      <c r="R5192" s="18"/>
      <c r="S5192" s="18"/>
      <c r="T5192" s="18"/>
      <c r="U5192" s="18"/>
      <c r="V5192" s="18"/>
      <c r="W5192" s="18"/>
      <c r="X5192" s="18"/>
    </row>
    <row r="5193" spans="13:24">
      <c r="M5193" s="558">
        <f t="shared" si="248"/>
        <v>5191</v>
      </c>
      <c r="N5193" s="15">
        <f t="shared" si="246"/>
        <v>0.20400326803464189</v>
      </c>
      <c r="O5193" s="165">
        <f t="shared" si="247"/>
        <v>0.20400326803464189</v>
      </c>
      <c r="P5193" s="18"/>
      <c r="Q5193" s="18"/>
      <c r="R5193" s="18"/>
      <c r="S5193" s="18"/>
      <c r="T5193" s="18"/>
      <c r="U5193" s="18"/>
      <c r="V5193" s="18"/>
      <c r="W5193" s="18"/>
      <c r="X5193" s="18"/>
    </row>
    <row r="5194" spans="13:24">
      <c r="M5194" s="558">
        <f t="shared" si="248"/>
        <v>5192</v>
      </c>
      <c r="N5194" s="15">
        <f t="shared" si="246"/>
        <v>0.20395106462016316</v>
      </c>
      <c r="O5194" s="165">
        <f t="shared" si="247"/>
        <v>0.20395106462016316</v>
      </c>
      <c r="P5194" s="18"/>
      <c r="Q5194" s="18"/>
      <c r="R5194" s="18"/>
      <c r="S5194" s="18"/>
      <c r="T5194" s="18"/>
      <c r="U5194" s="18"/>
      <c r="V5194" s="18"/>
      <c r="W5194" s="18"/>
      <c r="X5194" s="18"/>
    </row>
    <row r="5195" spans="13:24">
      <c r="M5195" s="558">
        <f t="shared" si="248"/>
        <v>5193</v>
      </c>
      <c r="N5195" s="15">
        <f t="shared" si="246"/>
        <v>0.20389886225172454</v>
      </c>
      <c r="O5195" s="165">
        <f t="shared" si="247"/>
        <v>0.20389886225172454</v>
      </c>
      <c r="P5195" s="18"/>
      <c r="Q5195" s="18"/>
      <c r="R5195" s="18"/>
      <c r="S5195" s="18"/>
      <c r="T5195" s="18"/>
      <c r="U5195" s="18"/>
      <c r="V5195" s="18"/>
      <c r="W5195" s="18"/>
      <c r="X5195" s="18"/>
    </row>
    <row r="5196" spans="13:24">
      <c r="M5196" s="558">
        <f t="shared" si="248"/>
        <v>5194</v>
      </c>
      <c r="N5196" s="15">
        <f t="shared" si="246"/>
        <v>0.20384666092801343</v>
      </c>
      <c r="O5196" s="165">
        <f t="shared" si="247"/>
        <v>0.20384666092801343</v>
      </c>
      <c r="P5196" s="18"/>
      <c r="Q5196" s="18"/>
      <c r="R5196" s="18"/>
      <c r="S5196" s="18"/>
      <c r="T5196" s="18"/>
      <c r="U5196" s="18"/>
      <c r="V5196" s="18"/>
      <c r="W5196" s="18"/>
      <c r="X5196" s="18"/>
    </row>
    <row r="5197" spans="13:24">
      <c r="M5197" s="558">
        <f t="shared" si="248"/>
        <v>5195</v>
      </c>
      <c r="N5197" s="15">
        <f t="shared" si="246"/>
        <v>0.20379446064771869</v>
      </c>
      <c r="O5197" s="165">
        <f t="shared" si="247"/>
        <v>0.20379446064771869</v>
      </c>
      <c r="P5197" s="18"/>
      <c r="Q5197" s="18"/>
      <c r="R5197" s="18"/>
      <c r="S5197" s="18"/>
      <c r="T5197" s="18"/>
      <c r="U5197" s="18"/>
      <c r="V5197" s="18"/>
      <c r="W5197" s="18"/>
      <c r="X5197" s="18"/>
    </row>
    <row r="5198" spans="13:24">
      <c r="M5198" s="558">
        <f t="shared" si="248"/>
        <v>5196</v>
      </c>
      <c r="N5198" s="15">
        <f t="shared" si="246"/>
        <v>0.20374226140953097</v>
      </c>
      <c r="O5198" s="165">
        <f t="shared" si="247"/>
        <v>0.20374226140953097</v>
      </c>
      <c r="P5198" s="18"/>
      <c r="Q5198" s="18"/>
      <c r="R5198" s="18"/>
      <c r="S5198" s="18"/>
      <c r="T5198" s="18"/>
      <c r="U5198" s="18"/>
      <c r="V5198" s="18"/>
      <c r="W5198" s="18"/>
      <c r="X5198" s="18"/>
    </row>
    <row r="5199" spans="13:24">
      <c r="M5199" s="558">
        <f t="shared" si="248"/>
        <v>5197</v>
      </c>
      <c r="N5199" s="15">
        <f t="shared" si="246"/>
        <v>0.20369006321214245</v>
      </c>
      <c r="O5199" s="165">
        <f t="shared" si="247"/>
        <v>0.20369006321214245</v>
      </c>
      <c r="P5199" s="18"/>
      <c r="Q5199" s="18"/>
      <c r="R5199" s="18"/>
      <c r="S5199" s="18"/>
      <c r="T5199" s="18"/>
      <c r="U5199" s="18"/>
      <c r="V5199" s="18"/>
      <c r="W5199" s="18"/>
      <c r="X5199" s="18"/>
    </row>
    <row r="5200" spans="13:24">
      <c r="M5200" s="558">
        <f t="shared" si="248"/>
        <v>5198</v>
      </c>
      <c r="N5200" s="15">
        <f t="shared" si="246"/>
        <v>0.20363786605424708</v>
      </c>
      <c r="O5200" s="165">
        <f t="shared" si="247"/>
        <v>0.20363786605424708</v>
      </c>
      <c r="P5200" s="18"/>
      <c r="Q5200" s="18"/>
      <c r="R5200" s="18"/>
      <c r="S5200" s="18"/>
      <c r="T5200" s="18"/>
      <c r="U5200" s="18"/>
      <c r="V5200" s="18"/>
      <c r="W5200" s="18"/>
      <c r="X5200" s="18"/>
    </row>
    <row r="5201" spans="13:24">
      <c r="M5201" s="558">
        <f t="shared" si="248"/>
        <v>5199</v>
      </c>
      <c r="N5201" s="15">
        <f t="shared" si="246"/>
        <v>0.20358566993454033</v>
      </c>
      <c r="O5201" s="165">
        <f t="shared" si="247"/>
        <v>0.20358566993454033</v>
      </c>
      <c r="P5201" s="18"/>
      <c r="Q5201" s="18"/>
      <c r="R5201" s="18"/>
      <c r="S5201" s="18"/>
      <c r="T5201" s="18"/>
      <c r="U5201" s="18"/>
      <c r="V5201" s="18"/>
      <c r="W5201" s="18"/>
      <c r="X5201" s="18"/>
    </row>
    <row r="5202" spans="13:24">
      <c r="M5202" s="558">
        <f t="shared" si="248"/>
        <v>5200</v>
      </c>
      <c r="N5202" s="15">
        <f t="shared" si="246"/>
        <v>0.20353347485171935</v>
      </c>
      <c r="O5202" s="165">
        <f t="shared" si="247"/>
        <v>0.20353347485171935</v>
      </c>
      <c r="P5202" s="18"/>
      <c r="Q5202" s="18"/>
      <c r="R5202" s="18"/>
      <c r="S5202" s="18"/>
      <c r="T5202" s="18"/>
      <c r="U5202" s="18"/>
      <c r="V5202" s="18"/>
      <c r="W5202" s="18"/>
      <c r="X5202" s="18"/>
    </row>
    <row r="5203" spans="13:24">
      <c r="M5203" s="558">
        <f t="shared" si="248"/>
        <v>5201</v>
      </c>
      <c r="N5203" s="15">
        <f t="shared" si="246"/>
        <v>0.20348128080448299</v>
      </c>
      <c r="O5203" s="165">
        <f t="shared" si="247"/>
        <v>0.20348128080448299</v>
      </c>
      <c r="P5203" s="18"/>
      <c r="Q5203" s="18"/>
      <c r="R5203" s="18"/>
      <c r="S5203" s="18"/>
      <c r="T5203" s="18"/>
      <c r="U5203" s="18"/>
      <c r="V5203" s="18"/>
      <c r="W5203" s="18"/>
      <c r="X5203" s="18"/>
    </row>
    <row r="5204" spans="13:24">
      <c r="M5204" s="558">
        <f t="shared" si="248"/>
        <v>5202</v>
      </c>
      <c r="N5204" s="15">
        <f t="shared" si="246"/>
        <v>0.20342908779153163</v>
      </c>
      <c r="O5204" s="165">
        <f t="shared" si="247"/>
        <v>0.20342908779153163</v>
      </c>
      <c r="P5204" s="18"/>
      <c r="Q5204" s="18"/>
      <c r="R5204" s="18"/>
      <c r="S5204" s="18"/>
      <c r="T5204" s="18"/>
      <c r="U5204" s="18"/>
      <c r="V5204" s="18"/>
      <c r="W5204" s="18"/>
      <c r="X5204" s="18"/>
    </row>
    <row r="5205" spans="13:24">
      <c r="M5205" s="558">
        <f t="shared" si="248"/>
        <v>5203</v>
      </c>
      <c r="N5205" s="15">
        <f t="shared" si="246"/>
        <v>0.20337689581156737</v>
      </c>
      <c r="O5205" s="165">
        <f t="shared" si="247"/>
        <v>0.20337689581156737</v>
      </c>
      <c r="P5205" s="18"/>
      <c r="Q5205" s="18"/>
      <c r="R5205" s="18"/>
      <c r="S5205" s="18"/>
      <c r="T5205" s="18"/>
      <c r="U5205" s="18"/>
      <c r="V5205" s="18"/>
      <c r="W5205" s="18"/>
      <c r="X5205" s="18"/>
    </row>
    <row r="5206" spans="13:24">
      <c r="M5206" s="558">
        <f t="shared" si="248"/>
        <v>5204</v>
      </c>
      <c r="N5206" s="15">
        <f t="shared" si="246"/>
        <v>0.20332470486329382</v>
      </c>
      <c r="O5206" s="165">
        <f t="shared" si="247"/>
        <v>0.20332470486329382</v>
      </c>
      <c r="P5206" s="18"/>
      <c r="Q5206" s="18"/>
      <c r="R5206" s="18"/>
      <c r="S5206" s="18"/>
      <c r="T5206" s="18"/>
      <c r="U5206" s="18"/>
      <c r="V5206" s="18"/>
      <c r="W5206" s="18"/>
      <c r="X5206" s="18"/>
    </row>
    <row r="5207" spans="13:24">
      <c r="M5207" s="558">
        <f t="shared" si="248"/>
        <v>5205</v>
      </c>
      <c r="N5207" s="15">
        <f t="shared" si="246"/>
        <v>0.20327251494541634</v>
      </c>
      <c r="O5207" s="165">
        <f t="shared" si="247"/>
        <v>0.20327251494541634</v>
      </c>
      <c r="P5207" s="18"/>
      <c r="Q5207" s="18"/>
      <c r="R5207" s="18"/>
      <c r="S5207" s="18"/>
      <c r="T5207" s="18"/>
      <c r="U5207" s="18"/>
      <c r="V5207" s="18"/>
      <c r="W5207" s="18"/>
      <c r="X5207" s="18"/>
    </row>
    <row r="5208" spans="13:24">
      <c r="M5208" s="558">
        <f t="shared" si="248"/>
        <v>5206</v>
      </c>
      <c r="N5208" s="15">
        <f t="shared" si="246"/>
        <v>0.20322032605664186</v>
      </c>
      <c r="O5208" s="165">
        <f t="shared" si="247"/>
        <v>0.20322032605664186</v>
      </c>
      <c r="P5208" s="18"/>
      <c r="Q5208" s="18"/>
      <c r="R5208" s="18"/>
      <c r="S5208" s="18"/>
      <c r="T5208" s="18"/>
      <c r="U5208" s="18"/>
      <c r="V5208" s="18"/>
      <c r="W5208" s="18"/>
      <c r="X5208" s="18"/>
    </row>
    <row r="5209" spans="13:24">
      <c r="M5209" s="558">
        <f t="shared" si="248"/>
        <v>5207</v>
      </c>
      <c r="N5209" s="15">
        <f t="shared" si="246"/>
        <v>0.20316813819567894</v>
      </c>
      <c r="O5209" s="165">
        <f t="shared" si="247"/>
        <v>0.20316813819567894</v>
      </c>
      <c r="P5209" s="18"/>
      <c r="Q5209" s="18"/>
      <c r="R5209" s="18"/>
      <c r="S5209" s="18"/>
      <c r="T5209" s="18"/>
      <c r="U5209" s="18"/>
      <c r="V5209" s="18"/>
      <c r="W5209" s="18"/>
      <c r="X5209" s="18"/>
    </row>
    <row r="5210" spans="13:24">
      <c r="M5210" s="558">
        <f t="shared" si="248"/>
        <v>5208</v>
      </c>
      <c r="N5210" s="15">
        <f t="shared" si="246"/>
        <v>0.20311595136123772</v>
      </c>
      <c r="O5210" s="165">
        <f t="shared" si="247"/>
        <v>0.20311595136123772</v>
      </c>
      <c r="P5210" s="18"/>
      <c r="Q5210" s="18"/>
      <c r="R5210" s="18"/>
      <c r="S5210" s="18"/>
      <c r="T5210" s="18"/>
      <c r="U5210" s="18"/>
      <c r="V5210" s="18"/>
      <c r="W5210" s="18"/>
      <c r="X5210" s="18"/>
    </row>
    <row r="5211" spans="13:24">
      <c r="M5211" s="558">
        <f t="shared" si="248"/>
        <v>5209</v>
      </c>
      <c r="N5211" s="15">
        <f t="shared" si="246"/>
        <v>0.2030637655520301</v>
      </c>
      <c r="O5211" s="165">
        <f t="shared" si="247"/>
        <v>0.2030637655520301</v>
      </c>
      <c r="P5211" s="18"/>
      <c r="Q5211" s="18"/>
      <c r="R5211" s="18"/>
      <c r="S5211" s="18"/>
      <c r="T5211" s="18"/>
      <c r="U5211" s="18"/>
      <c r="V5211" s="18"/>
      <c r="W5211" s="18"/>
      <c r="X5211" s="18"/>
    </row>
    <row r="5212" spans="13:24">
      <c r="M5212" s="558">
        <f t="shared" si="248"/>
        <v>5210</v>
      </c>
      <c r="N5212" s="15">
        <f t="shared" si="246"/>
        <v>0.20301158076676937</v>
      </c>
      <c r="O5212" s="165">
        <f t="shared" si="247"/>
        <v>0.20301158076676937</v>
      </c>
      <c r="P5212" s="18"/>
      <c r="Q5212" s="18"/>
      <c r="R5212" s="18"/>
      <c r="S5212" s="18"/>
      <c r="T5212" s="18"/>
      <c r="U5212" s="18"/>
      <c r="V5212" s="18"/>
      <c r="W5212" s="18"/>
      <c r="X5212" s="18"/>
    </row>
    <row r="5213" spans="13:24">
      <c r="M5213" s="558">
        <f t="shared" si="248"/>
        <v>5211</v>
      </c>
      <c r="N5213" s="15">
        <f t="shared" si="246"/>
        <v>0.20295939700417062</v>
      </c>
      <c r="O5213" s="165">
        <f t="shared" si="247"/>
        <v>0.20295939700417062</v>
      </c>
      <c r="P5213" s="18"/>
      <c r="Q5213" s="18"/>
      <c r="R5213" s="18"/>
      <c r="S5213" s="18"/>
      <c r="T5213" s="18"/>
      <c r="U5213" s="18"/>
      <c r="V5213" s="18"/>
      <c r="W5213" s="18"/>
      <c r="X5213" s="18"/>
    </row>
    <row r="5214" spans="13:24">
      <c r="M5214" s="558">
        <f t="shared" si="248"/>
        <v>5212</v>
      </c>
      <c r="N5214" s="15">
        <f t="shared" si="246"/>
        <v>0.2029072142629505</v>
      </c>
      <c r="O5214" s="165">
        <f t="shared" si="247"/>
        <v>0.2029072142629505</v>
      </c>
      <c r="P5214" s="18"/>
      <c r="Q5214" s="18"/>
      <c r="R5214" s="18"/>
      <c r="S5214" s="18"/>
      <c r="T5214" s="18"/>
      <c r="U5214" s="18"/>
      <c r="V5214" s="18"/>
      <c r="W5214" s="18"/>
      <c r="X5214" s="18"/>
    </row>
    <row r="5215" spans="13:24">
      <c r="M5215" s="558">
        <f t="shared" si="248"/>
        <v>5213</v>
      </c>
      <c r="N5215" s="15">
        <f t="shared" si="246"/>
        <v>0.20285503254182727</v>
      </c>
      <c r="O5215" s="165">
        <f t="shared" si="247"/>
        <v>0.20285503254182727</v>
      </c>
      <c r="P5215" s="18"/>
      <c r="Q5215" s="18"/>
      <c r="R5215" s="18"/>
      <c r="S5215" s="18"/>
      <c r="T5215" s="18"/>
      <c r="U5215" s="18"/>
      <c r="V5215" s="18"/>
      <c r="W5215" s="18"/>
      <c r="X5215" s="18"/>
    </row>
    <row r="5216" spans="13:24">
      <c r="M5216" s="558">
        <f t="shared" si="248"/>
        <v>5214</v>
      </c>
      <c r="N5216" s="15">
        <f t="shared" si="246"/>
        <v>0.20280285183952071</v>
      </c>
      <c r="O5216" s="165">
        <f t="shared" si="247"/>
        <v>0.20280285183952071</v>
      </c>
      <c r="P5216" s="18"/>
      <c r="Q5216" s="18"/>
      <c r="R5216" s="18"/>
      <c r="S5216" s="18"/>
      <c r="T5216" s="18"/>
      <c r="U5216" s="18"/>
      <c r="V5216" s="18"/>
      <c r="W5216" s="18"/>
      <c r="X5216" s="18"/>
    </row>
    <row r="5217" spans="13:24">
      <c r="M5217" s="558">
        <f t="shared" si="248"/>
        <v>5215</v>
      </c>
      <c r="N5217" s="15">
        <f t="shared" si="246"/>
        <v>0.20275067215475237</v>
      </c>
      <c r="O5217" s="165">
        <f t="shared" si="247"/>
        <v>0.20275067215475237</v>
      </c>
      <c r="P5217" s="18"/>
      <c r="Q5217" s="18"/>
      <c r="R5217" s="18"/>
      <c r="S5217" s="18"/>
      <c r="T5217" s="18"/>
      <c r="U5217" s="18"/>
      <c r="V5217" s="18"/>
      <c r="W5217" s="18"/>
      <c r="X5217" s="18"/>
    </row>
    <row r="5218" spans="13:24">
      <c r="M5218" s="558">
        <f t="shared" si="248"/>
        <v>5216</v>
      </c>
      <c r="N5218" s="15">
        <f t="shared" si="246"/>
        <v>0.20269849348624533</v>
      </c>
      <c r="O5218" s="165">
        <f t="shared" si="247"/>
        <v>0.20269849348624533</v>
      </c>
      <c r="P5218" s="18"/>
      <c r="Q5218" s="18"/>
      <c r="R5218" s="18"/>
      <c r="S5218" s="18"/>
      <c r="T5218" s="18"/>
      <c r="U5218" s="18"/>
      <c r="V5218" s="18"/>
      <c r="W5218" s="18"/>
      <c r="X5218" s="18"/>
    </row>
    <row r="5219" spans="13:24">
      <c r="M5219" s="558">
        <f t="shared" si="248"/>
        <v>5217</v>
      </c>
      <c r="N5219" s="15">
        <f t="shared" si="246"/>
        <v>0.20264631583272419</v>
      </c>
      <c r="O5219" s="165">
        <f t="shared" si="247"/>
        <v>0.20264631583272419</v>
      </c>
      <c r="P5219" s="18"/>
      <c r="Q5219" s="18"/>
      <c r="R5219" s="18"/>
      <c r="S5219" s="18"/>
      <c r="T5219" s="18"/>
      <c r="U5219" s="18"/>
      <c r="V5219" s="18"/>
      <c r="W5219" s="18"/>
      <c r="X5219" s="18"/>
    </row>
    <row r="5220" spans="13:24">
      <c r="M5220" s="558">
        <f t="shared" si="248"/>
        <v>5218</v>
      </c>
      <c r="N5220" s="15">
        <f t="shared" si="246"/>
        <v>0.20259413919291527</v>
      </c>
      <c r="O5220" s="165">
        <f t="shared" si="247"/>
        <v>0.20259413919291527</v>
      </c>
      <c r="P5220" s="18"/>
      <c r="Q5220" s="18"/>
      <c r="R5220" s="18"/>
      <c r="S5220" s="18"/>
      <c r="T5220" s="18"/>
      <c r="U5220" s="18"/>
      <c r="V5220" s="18"/>
      <c r="W5220" s="18"/>
      <c r="X5220" s="18"/>
    </row>
    <row r="5221" spans="13:24">
      <c r="M5221" s="558">
        <f t="shared" si="248"/>
        <v>5219</v>
      </c>
      <c r="N5221" s="15">
        <f t="shared" si="246"/>
        <v>0.20254196356554643</v>
      </c>
      <c r="O5221" s="165">
        <f t="shared" si="247"/>
        <v>0.20254196356554643</v>
      </c>
      <c r="P5221" s="18"/>
      <c r="Q5221" s="18"/>
      <c r="R5221" s="18"/>
      <c r="S5221" s="18"/>
      <c r="T5221" s="18"/>
      <c r="U5221" s="18"/>
      <c r="V5221" s="18"/>
      <c r="W5221" s="18"/>
      <c r="X5221" s="18"/>
    </row>
    <row r="5222" spans="13:24">
      <c r="M5222" s="558">
        <f t="shared" si="248"/>
        <v>5220</v>
      </c>
      <c r="N5222" s="15">
        <f t="shared" si="246"/>
        <v>0.20248978894934719</v>
      </c>
      <c r="O5222" s="165">
        <f t="shared" si="247"/>
        <v>0.20248978894934719</v>
      </c>
      <c r="P5222" s="18"/>
      <c r="Q5222" s="18"/>
      <c r="R5222" s="18"/>
      <c r="S5222" s="18"/>
      <c r="T5222" s="18"/>
      <c r="U5222" s="18"/>
      <c r="V5222" s="18"/>
      <c r="W5222" s="18"/>
      <c r="X5222" s="18"/>
    </row>
    <row r="5223" spans="13:24">
      <c r="M5223" s="558">
        <f t="shared" si="248"/>
        <v>5221</v>
      </c>
      <c r="N5223" s="15">
        <f t="shared" si="246"/>
        <v>0.20243761534304852</v>
      </c>
      <c r="O5223" s="165">
        <f t="shared" si="247"/>
        <v>0.20243761534304852</v>
      </c>
      <c r="P5223" s="18"/>
      <c r="Q5223" s="18"/>
      <c r="R5223" s="18"/>
      <c r="S5223" s="18"/>
      <c r="T5223" s="18"/>
      <c r="U5223" s="18"/>
      <c r="V5223" s="18"/>
      <c r="W5223" s="18"/>
      <c r="X5223" s="18"/>
    </row>
    <row r="5224" spans="13:24">
      <c r="M5224" s="558">
        <f t="shared" si="248"/>
        <v>5222</v>
      </c>
      <c r="N5224" s="15">
        <f t="shared" si="246"/>
        <v>0.20238544274538317</v>
      </c>
      <c r="O5224" s="165">
        <f t="shared" si="247"/>
        <v>0.20238544274538317</v>
      </c>
      <c r="P5224" s="18"/>
      <c r="Q5224" s="18"/>
      <c r="R5224" s="18"/>
      <c r="S5224" s="18"/>
      <c r="T5224" s="18"/>
      <c r="U5224" s="18"/>
      <c r="V5224" s="18"/>
      <c r="W5224" s="18"/>
      <c r="X5224" s="18"/>
    </row>
    <row r="5225" spans="13:24">
      <c r="M5225" s="558">
        <f t="shared" si="248"/>
        <v>5223</v>
      </c>
      <c r="N5225" s="15">
        <f t="shared" si="246"/>
        <v>0.20233327115508531</v>
      </c>
      <c r="O5225" s="165">
        <f t="shared" si="247"/>
        <v>0.20233327115508531</v>
      </c>
      <c r="P5225" s="18"/>
      <c r="Q5225" s="18"/>
      <c r="R5225" s="18"/>
      <c r="S5225" s="18"/>
      <c r="T5225" s="18"/>
      <c r="U5225" s="18"/>
      <c r="V5225" s="18"/>
      <c r="W5225" s="18"/>
      <c r="X5225" s="18"/>
    </row>
    <row r="5226" spans="13:24">
      <c r="M5226" s="558">
        <f t="shared" si="248"/>
        <v>5224</v>
      </c>
      <c r="N5226" s="15">
        <f t="shared" si="246"/>
        <v>0.20228110057089083</v>
      </c>
      <c r="O5226" s="165">
        <f t="shared" si="247"/>
        <v>0.20228110057089083</v>
      </c>
      <c r="P5226" s="18"/>
      <c r="Q5226" s="18"/>
      <c r="R5226" s="18"/>
      <c r="S5226" s="18"/>
      <c r="T5226" s="18"/>
      <c r="U5226" s="18"/>
      <c r="V5226" s="18"/>
      <c r="W5226" s="18"/>
      <c r="X5226" s="18"/>
    </row>
    <row r="5227" spans="13:24">
      <c r="M5227" s="558">
        <f t="shared" si="248"/>
        <v>5225</v>
      </c>
      <c r="N5227" s="15">
        <f t="shared" si="246"/>
        <v>0.2022289309915371</v>
      </c>
      <c r="O5227" s="165">
        <f t="shared" si="247"/>
        <v>0.2022289309915371</v>
      </c>
      <c r="P5227" s="18"/>
      <c r="Q5227" s="18"/>
      <c r="R5227" s="18"/>
      <c r="S5227" s="18"/>
      <c r="T5227" s="18"/>
      <c r="U5227" s="18"/>
      <c r="V5227" s="18"/>
      <c r="W5227" s="18"/>
      <c r="X5227" s="18"/>
    </row>
    <row r="5228" spans="13:24">
      <c r="M5228" s="558">
        <f t="shared" si="248"/>
        <v>5226</v>
      </c>
      <c r="N5228" s="15">
        <f t="shared" si="246"/>
        <v>0.20217676241576318</v>
      </c>
      <c r="O5228" s="165">
        <f t="shared" si="247"/>
        <v>0.20217676241576318</v>
      </c>
      <c r="P5228" s="18"/>
      <c r="Q5228" s="18"/>
      <c r="R5228" s="18"/>
      <c r="S5228" s="18"/>
      <c r="T5228" s="18"/>
      <c r="U5228" s="18"/>
      <c r="V5228" s="18"/>
      <c r="W5228" s="18"/>
      <c r="X5228" s="18"/>
    </row>
    <row r="5229" spans="13:24">
      <c r="M5229" s="558">
        <f t="shared" si="248"/>
        <v>5227</v>
      </c>
      <c r="N5229" s="15">
        <f t="shared" si="246"/>
        <v>0.2021245948423096</v>
      </c>
      <c r="O5229" s="165">
        <f t="shared" si="247"/>
        <v>0.2021245948423096</v>
      </c>
      <c r="P5229" s="18"/>
      <c r="Q5229" s="18"/>
      <c r="R5229" s="18"/>
      <c r="S5229" s="18"/>
      <c r="T5229" s="18"/>
      <c r="U5229" s="18"/>
      <c r="V5229" s="18"/>
      <c r="W5229" s="18"/>
      <c r="X5229" s="18"/>
    </row>
    <row r="5230" spans="13:24">
      <c r="M5230" s="558">
        <f t="shared" si="248"/>
        <v>5228</v>
      </c>
      <c r="N5230" s="15">
        <f t="shared" si="246"/>
        <v>0.20207242826991859</v>
      </c>
      <c r="O5230" s="165">
        <f t="shared" si="247"/>
        <v>0.20207242826991859</v>
      </c>
      <c r="P5230" s="18"/>
      <c r="Q5230" s="18"/>
      <c r="R5230" s="18"/>
      <c r="S5230" s="18"/>
      <c r="T5230" s="18"/>
      <c r="U5230" s="18"/>
      <c r="V5230" s="18"/>
      <c r="W5230" s="18"/>
      <c r="X5230" s="18"/>
    </row>
    <row r="5231" spans="13:24">
      <c r="M5231" s="558">
        <f t="shared" si="248"/>
        <v>5229</v>
      </c>
      <c r="N5231" s="15">
        <f t="shared" si="246"/>
        <v>0.20202026269733384</v>
      </c>
      <c r="O5231" s="165">
        <f t="shared" si="247"/>
        <v>0.20202026269733384</v>
      </c>
      <c r="P5231" s="18"/>
      <c r="Q5231" s="18"/>
      <c r="R5231" s="18"/>
      <c r="S5231" s="18"/>
      <c r="T5231" s="18"/>
      <c r="U5231" s="18"/>
      <c r="V5231" s="18"/>
      <c r="W5231" s="18"/>
      <c r="X5231" s="18"/>
    </row>
    <row r="5232" spans="13:24">
      <c r="M5232" s="558">
        <f t="shared" si="248"/>
        <v>5230</v>
      </c>
      <c r="N5232" s="15">
        <f t="shared" si="246"/>
        <v>0.20196809812330069</v>
      </c>
      <c r="O5232" s="165">
        <f t="shared" si="247"/>
        <v>0.20196809812330069</v>
      </c>
      <c r="P5232" s="18"/>
      <c r="Q5232" s="18"/>
      <c r="R5232" s="18"/>
      <c r="S5232" s="18"/>
      <c r="T5232" s="18"/>
      <c r="U5232" s="18"/>
      <c r="V5232" s="18"/>
      <c r="W5232" s="18"/>
      <c r="X5232" s="18"/>
    </row>
    <row r="5233" spans="13:24">
      <c r="M5233" s="558">
        <f t="shared" si="248"/>
        <v>5231</v>
      </c>
      <c r="N5233" s="15">
        <f t="shared" si="246"/>
        <v>0.20191593454656606</v>
      </c>
      <c r="O5233" s="165">
        <f t="shared" si="247"/>
        <v>0.20191593454656606</v>
      </c>
      <c r="P5233" s="18"/>
      <c r="Q5233" s="18"/>
      <c r="R5233" s="18"/>
      <c r="S5233" s="18"/>
      <c r="T5233" s="18"/>
      <c r="U5233" s="18"/>
      <c r="V5233" s="18"/>
      <c r="W5233" s="18"/>
      <c r="X5233" s="18"/>
    </row>
    <row r="5234" spans="13:24">
      <c r="M5234" s="558">
        <f t="shared" si="248"/>
        <v>5232</v>
      </c>
      <c r="N5234" s="15">
        <f t="shared" si="246"/>
        <v>0.2018637719658784</v>
      </c>
      <c r="O5234" s="165">
        <f t="shared" si="247"/>
        <v>0.2018637719658784</v>
      </c>
      <c r="P5234" s="18"/>
      <c r="Q5234" s="18"/>
      <c r="R5234" s="18"/>
      <c r="S5234" s="18"/>
      <c r="T5234" s="18"/>
      <c r="U5234" s="18"/>
      <c r="V5234" s="18"/>
      <c r="W5234" s="18"/>
      <c r="X5234" s="18"/>
    </row>
    <row r="5235" spans="13:24">
      <c r="M5235" s="558">
        <f t="shared" si="248"/>
        <v>5233</v>
      </c>
      <c r="N5235" s="15">
        <f t="shared" si="246"/>
        <v>0.20181161037998779</v>
      </c>
      <c r="O5235" s="165">
        <f t="shared" si="247"/>
        <v>0.20181161037998779</v>
      </c>
      <c r="P5235" s="18"/>
      <c r="Q5235" s="18"/>
      <c r="R5235" s="18"/>
      <c r="S5235" s="18"/>
      <c r="T5235" s="18"/>
      <c r="U5235" s="18"/>
      <c r="V5235" s="18"/>
      <c r="W5235" s="18"/>
      <c r="X5235" s="18"/>
    </row>
    <row r="5236" spans="13:24">
      <c r="M5236" s="558">
        <f t="shared" si="248"/>
        <v>5234</v>
      </c>
      <c r="N5236" s="15">
        <f t="shared" si="246"/>
        <v>0.20175944978764579</v>
      </c>
      <c r="O5236" s="165">
        <f t="shared" si="247"/>
        <v>0.20175944978764579</v>
      </c>
      <c r="P5236" s="18"/>
      <c r="Q5236" s="18"/>
      <c r="R5236" s="18"/>
      <c r="S5236" s="18"/>
      <c r="T5236" s="18"/>
      <c r="U5236" s="18"/>
      <c r="V5236" s="18"/>
      <c r="W5236" s="18"/>
      <c r="X5236" s="18"/>
    </row>
    <row r="5237" spans="13:24">
      <c r="M5237" s="558">
        <f t="shared" si="248"/>
        <v>5235</v>
      </c>
      <c r="N5237" s="15">
        <f t="shared" si="246"/>
        <v>0.20170729018760561</v>
      </c>
      <c r="O5237" s="165">
        <f t="shared" si="247"/>
        <v>0.20170729018760561</v>
      </c>
      <c r="P5237" s="18"/>
      <c r="Q5237" s="18"/>
      <c r="R5237" s="18"/>
      <c r="S5237" s="18"/>
      <c r="T5237" s="18"/>
      <c r="U5237" s="18"/>
      <c r="V5237" s="18"/>
      <c r="W5237" s="18"/>
      <c r="X5237" s="18"/>
    </row>
    <row r="5238" spans="13:24">
      <c r="M5238" s="558">
        <f t="shared" si="248"/>
        <v>5236</v>
      </c>
      <c r="N5238" s="15">
        <f t="shared" si="246"/>
        <v>0.20165513157862194</v>
      </c>
      <c r="O5238" s="165">
        <f t="shared" si="247"/>
        <v>0.20165513157862194</v>
      </c>
      <c r="P5238" s="18"/>
      <c r="Q5238" s="18"/>
      <c r="R5238" s="18"/>
      <c r="S5238" s="18"/>
      <c r="T5238" s="18"/>
      <c r="U5238" s="18"/>
      <c r="V5238" s="18"/>
      <c r="W5238" s="18"/>
      <c r="X5238" s="18"/>
    </row>
    <row r="5239" spans="13:24">
      <c r="M5239" s="558">
        <f t="shared" si="248"/>
        <v>5237</v>
      </c>
      <c r="N5239" s="15">
        <f t="shared" si="246"/>
        <v>0.20160297395945115</v>
      </c>
      <c r="O5239" s="165">
        <f t="shared" si="247"/>
        <v>0.20160297395945115</v>
      </c>
      <c r="P5239" s="18"/>
      <c r="Q5239" s="18"/>
      <c r="R5239" s="18"/>
      <c r="S5239" s="18"/>
      <c r="T5239" s="18"/>
      <c r="U5239" s="18"/>
      <c r="V5239" s="18"/>
      <c r="W5239" s="18"/>
      <c r="X5239" s="18"/>
    </row>
    <row r="5240" spans="13:24">
      <c r="M5240" s="558">
        <f t="shared" si="248"/>
        <v>5238</v>
      </c>
      <c r="N5240" s="15">
        <f t="shared" si="246"/>
        <v>0.20155081732885105</v>
      </c>
      <c r="O5240" s="165">
        <f t="shared" si="247"/>
        <v>0.20155081732885105</v>
      </c>
      <c r="P5240" s="18"/>
      <c r="Q5240" s="18"/>
      <c r="R5240" s="18"/>
      <c r="S5240" s="18"/>
      <c r="T5240" s="18"/>
      <c r="U5240" s="18"/>
      <c r="V5240" s="18"/>
      <c r="W5240" s="18"/>
      <c r="X5240" s="18"/>
    </row>
    <row r="5241" spans="13:24">
      <c r="M5241" s="558">
        <f t="shared" si="248"/>
        <v>5239</v>
      </c>
      <c r="N5241" s="15">
        <f t="shared" si="246"/>
        <v>0.20149866168558112</v>
      </c>
      <c r="O5241" s="165">
        <f t="shared" si="247"/>
        <v>0.20149866168558112</v>
      </c>
      <c r="P5241" s="18"/>
      <c r="Q5241" s="18"/>
      <c r="R5241" s="18"/>
      <c r="S5241" s="18"/>
      <c r="T5241" s="18"/>
      <c r="U5241" s="18"/>
      <c r="V5241" s="18"/>
      <c r="W5241" s="18"/>
      <c r="X5241" s="18"/>
    </row>
    <row r="5242" spans="13:24">
      <c r="M5242" s="558">
        <f t="shared" si="248"/>
        <v>5240</v>
      </c>
      <c r="N5242" s="15">
        <f t="shared" si="246"/>
        <v>0.20144650702840228</v>
      </c>
      <c r="O5242" s="165">
        <f t="shared" si="247"/>
        <v>0.20144650702840228</v>
      </c>
      <c r="P5242" s="18"/>
      <c r="Q5242" s="18"/>
      <c r="R5242" s="18"/>
      <c r="S5242" s="18"/>
      <c r="T5242" s="18"/>
      <c r="U5242" s="18"/>
      <c r="V5242" s="18"/>
      <c r="W5242" s="18"/>
      <c r="X5242" s="18"/>
    </row>
    <row r="5243" spans="13:24">
      <c r="M5243" s="558">
        <f t="shared" si="248"/>
        <v>5241</v>
      </c>
      <c r="N5243" s="15">
        <f t="shared" si="246"/>
        <v>0.20139435335607711</v>
      </c>
      <c r="O5243" s="165">
        <f t="shared" si="247"/>
        <v>0.20139435335607711</v>
      </c>
      <c r="P5243" s="18"/>
      <c r="Q5243" s="18"/>
      <c r="R5243" s="18"/>
      <c r="S5243" s="18"/>
      <c r="T5243" s="18"/>
      <c r="U5243" s="18"/>
      <c r="V5243" s="18"/>
      <c r="W5243" s="18"/>
      <c r="X5243" s="18"/>
    </row>
    <row r="5244" spans="13:24">
      <c r="M5244" s="558">
        <f t="shared" si="248"/>
        <v>5242</v>
      </c>
      <c r="N5244" s="15">
        <f t="shared" si="246"/>
        <v>0.20134220066736966</v>
      </c>
      <c r="O5244" s="165">
        <f t="shared" si="247"/>
        <v>0.20134220066736966</v>
      </c>
      <c r="P5244" s="18"/>
      <c r="Q5244" s="18"/>
      <c r="R5244" s="18"/>
      <c r="S5244" s="18"/>
      <c r="T5244" s="18"/>
      <c r="U5244" s="18"/>
      <c r="V5244" s="18"/>
      <c r="W5244" s="18"/>
      <c r="X5244" s="18"/>
    </row>
    <row r="5245" spans="13:24">
      <c r="M5245" s="558">
        <f t="shared" si="248"/>
        <v>5243</v>
      </c>
      <c r="N5245" s="15">
        <f t="shared" si="246"/>
        <v>0.2012900489610456</v>
      </c>
      <c r="O5245" s="165">
        <f t="shared" si="247"/>
        <v>0.2012900489610456</v>
      </c>
      <c r="P5245" s="18"/>
      <c r="Q5245" s="18"/>
      <c r="R5245" s="18"/>
      <c r="S5245" s="18"/>
      <c r="T5245" s="18"/>
      <c r="U5245" s="18"/>
      <c r="V5245" s="18"/>
      <c r="W5245" s="18"/>
      <c r="X5245" s="18"/>
    </row>
    <row r="5246" spans="13:24">
      <c r="M5246" s="558">
        <f t="shared" si="248"/>
        <v>5244</v>
      </c>
      <c r="N5246" s="15">
        <f t="shared" si="246"/>
        <v>0.2012378982358721</v>
      </c>
      <c r="O5246" s="165">
        <f t="shared" si="247"/>
        <v>0.2012378982358721</v>
      </c>
      <c r="P5246" s="18"/>
      <c r="Q5246" s="18"/>
      <c r="R5246" s="18"/>
      <c r="S5246" s="18"/>
      <c r="T5246" s="18"/>
      <c r="U5246" s="18"/>
      <c r="V5246" s="18"/>
      <c r="W5246" s="18"/>
      <c r="X5246" s="18"/>
    </row>
    <row r="5247" spans="13:24">
      <c r="M5247" s="558">
        <f t="shared" si="248"/>
        <v>5245</v>
      </c>
      <c r="N5247" s="15">
        <f t="shared" si="246"/>
        <v>0.2011857484906179</v>
      </c>
      <c r="O5247" s="165">
        <f t="shared" si="247"/>
        <v>0.2011857484906179</v>
      </c>
      <c r="P5247" s="18"/>
      <c r="Q5247" s="18"/>
      <c r="R5247" s="18"/>
      <c r="S5247" s="18"/>
      <c r="T5247" s="18"/>
      <c r="U5247" s="18"/>
      <c r="V5247" s="18"/>
      <c r="W5247" s="18"/>
      <c r="X5247" s="18"/>
    </row>
    <row r="5248" spans="13:24">
      <c r="M5248" s="558">
        <f t="shared" si="248"/>
        <v>5246</v>
      </c>
      <c r="N5248" s="15">
        <f t="shared" si="246"/>
        <v>0.20113359972405329</v>
      </c>
      <c r="O5248" s="165">
        <f t="shared" si="247"/>
        <v>0.20113359972405329</v>
      </c>
      <c r="P5248" s="18"/>
      <c r="Q5248" s="18"/>
      <c r="R5248" s="18"/>
      <c r="S5248" s="18"/>
      <c r="T5248" s="18"/>
      <c r="U5248" s="18"/>
      <c r="V5248" s="18"/>
      <c r="W5248" s="18"/>
      <c r="X5248" s="18"/>
    </row>
    <row r="5249" spans="13:24">
      <c r="M5249" s="558">
        <f t="shared" si="248"/>
        <v>5247</v>
      </c>
      <c r="N5249" s="15">
        <f t="shared" si="246"/>
        <v>0.20108145193495006</v>
      </c>
      <c r="O5249" s="165">
        <f t="shared" si="247"/>
        <v>0.20108145193495006</v>
      </c>
      <c r="P5249" s="18"/>
      <c r="Q5249" s="18"/>
      <c r="R5249" s="18"/>
      <c r="S5249" s="18"/>
      <c r="T5249" s="18"/>
      <c r="U5249" s="18"/>
      <c r="V5249" s="18"/>
      <c r="W5249" s="18"/>
      <c r="X5249" s="18"/>
    </row>
    <row r="5250" spans="13:24">
      <c r="M5250" s="558">
        <f t="shared" si="248"/>
        <v>5248</v>
      </c>
      <c r="N5250" s="15">
        <f t="shared" si="246"/>
        <v>0.20102930512208164</v>
      </c>
      <c r="O5250" s="165">
        <f t="shared" si="247"/>
        <v>0.20102930512208164</v>
      </c>
      <c r="P5250" s="18"/>
      <c r="Q5250" s="18"/>
      <c r="R5250" s="18"/>
      <c r="S5250" s="18"/>
      <c r="T5250" s="18"/>
      <c r="U5250" s="18"/>
      <c r="V5250" s="18"/>
      <c r="W5250" s="18"/>
      <c r="X5250" s="18"/>
    </row>
    <row r="5251" spans="13:24">
      <c r="M5251" s="558">
        <f t="shared" si="248"/>
        <v>5249</v>
      </c>
      <c r="N5251" s="15">
        <f t="shared" si="246"/>
        <v>0.20097715928422286</v>
      </c>
      <c r="O5251" s="165">
        <f t="shared" si="247"/>
        <v>0.20097715928422286</v>
      </c>
      <c r="P5251" s="18"/>
      <c r="Q5251" s="18"/>
      <c r="R5251" s="18"/>
      <c r="S5251" s="18"/>
      <c r="T5251" s="18"/>
      <c r="U5251" s="18"/>
      <c r="V5251" s="18"/>
      <c r="W5251" s="18"/>
      <c r="X5251" s="18"/>
    </row>
    <row r="5252" spans="13:24">
      <c r="M5252" s="558">
        <f t="shared" si="248"/>
        <v>5250</v>
      </c>
      <c r="N5252" s="15">
        <f t="shared" ref="N5252:N5315" si="249">IF(M5252&lt;$B$31+1,$B$32+$B$33/$B$31*(8760-M5252)+$B$34*IF(M5252&lt;$B$36-$B$31/(2*$B$35),1,IF(M5252&lt;$B$36+$B$31/(2*$B$35),COS(PI()/2*(M5252-($B$36-$B$31/(2*$B$35)))*$B$35/$B$31)^2,0))+$B$37*EXP((8760-M5252)/8760*$B$38)/EXP($B$38)-(8760-$B$31)*$B$33/$B$31,0)</f>
        <v>0.20092501442015021</v>
      </c>
      <c r="O5252" s="165">
        <f t="shared" ref="O5252:O5315" si="250">MIN(N5252,C$24)</f>
        <v>0.20092501442015021</v>
      </c>
      <c r="P5252" s="18"/>
      <c r="Q5252" s="18"/>
      <c r="R5252" s="18"/>
      <c r="S5252" s="18"/>
      <c r="T5252" s="18"/>
      <c r="U5252" s="18"/>
      <c r="V5252" s="18"/>
      <c r="W5252" s="18"/>
      <c r="X5252" s="18"/>
    </row>
    <row r="5253" spans="13:24">
      <c r="M5253" s="558">
        <f t="shared" ref="M5253:M5316" si="251">M5252+1</f>
        <v>5251</v>
      </c>
      <c r="N5253" s="15">
        <f t="shared" si="249"/>
        <v>0.20087287052864161</v>
      </c>
      <c r="O5253" s="165">
        <f t="shared" si="250"/>
        <v>0.20087287052864161</v>
      </c>
      <c r="P5253" s="18"/>
      <c r="Q5253" s="18"/>
      <c r="R5253" s="18"/>
      <c r="S5253" s="18"/>
      <c r="T5253" s="18"/>
      <c r="U5253" s="18"/>
      <c r="V5253" s="18"/>
      <c r="W5253" s="18"/>
      <c r="X5253" s="18"/>
    </row>
    <row r="5254" spans="13:24">
      <c r="M5254" s="558">
        <f t="shared" si="251"/>
        <v>5252</v>
      </c>
      <c r="N5254" s="15">
        <f t="shared" si="249"/>
        <v>0.20082072760847666</v>
      </c>
      <c r="O5254" s="165">
        <f t="shared" si="250"/>
        <v>0.20082072760847666</v>
      </c>
      <c r="P5254" s="18"/>
      <c r="Q5254" s="18"/>
      <c r="R5254" s="18"/>
      <c r="S5254" s="18"/>
      <c r="T5254" s="18"/>
      <c r="U5254" s="18"/>
      <c r="V5254" s="18"/>
      <c r="W5254" s="18"/>
      <c r="X5254" s="18"/>
    </row>
    <row r="5255" spans="13:24">
      <c r="M5255" s="558">
        <f t="shared" si="251"/>
        <v>5253</v>
      </c>
      <c r="N5255" s="15">
        <f t="shared" si="249"/>
        <v>0.20076858565843633</v>
      </c>
      <c r="O5255" s="165">
        <f t="shared" si="250"/>
        <v>0.20076858565843633</v>
      </c>
      <c r="P5255" s="18"/>
      <c r="Q5255" s="18"/>
      <c r="R5255" s="18"/>
      <c r="S5255" s="18"/>
      <c r="T5255" s="18"/>
      <c r="U5255" s="18"/>
      <c r="V5255" s="18"/>
      <c r="W5255" s="18"/>
      <c r="X5255" s="18"/>
    </row>
    <row r="5256" spans="13:24">
      <c r="M5256" s="558">
        <f t="shared" si="251"/>
        <v>5254</v>
      </c>
      <c r="N5256" s="15">
        <f t="shared" si="249"/>
        <v>0.20071644467730324</v>
      </c>
      <c r="O5256" s="165">
        <f t="shared" si="250"/>
        <v>0.20071644467730324</v>
      </c>
      <c r="P5256" s="18"/>
      <c r="Q5256" s="18"/>
      <c r="R5256" s="18"/>
      <c r="S5256" s="18"/>
      <c r="T5256" s="18"/>
      <c r="U5256" s="18"/>
      <c r="V5256" s="18"/>
      <c r="W5256" s="18"/>
      <c r="X5256" s="18"/>
    </row>
    <row r="5257" spans="13:24">
      <c r="M5257" s="558">
        <f t="shared" si="251"/>
        <v>5255</v>
      </c>
      <c r="N5257" s="15">
        <f t="shared" si="249"/>
        <v>0.20066430466386143</v>
      </c>
      <c r="O5257" s="165">
        <f t="shared" si="250"/>
        <v>0.20066430466386143</v>
      </c>
      <c r="P5257" s="18"/>
      <c r="Q5257" s="18"/>
      <c r="R5257" s="18"/>
      <c r="S5257" s="18"/>
      <c r="T5257" s="18"/>
      <c r="U5257" s="18"/>
      <c r="V5257" s="18"/>
      <c r="W5257" s="18"/>
      <c r="X5257" s="18"/>
    </row>
    <row r="5258" spans="13:24">
      <c r="M5258" s="558">
        <f t="shared" si="251"/>
        <v>5256</v>
      </c>
      <c r="N5258" s="15">
        <f t="shared" si="249"/>
        <v>0.20061216561689657</v>
      </c>
      <c r="O5258" s="165">
        <f t="shared" si="250"/>
        <v>0.20061216561689657</v>
      </c>
      <c r="P5258" s="18"/>
      <c r="Q5258" s="18"/>
      <c r="R5258" s="18"/>
      <c r="S5258" s="18"/>
      <c r="T5258" s="18"/>
      <c r="U5258" s="18"/>
      <c r="V5258" s="18"/>
      <c r="W5258" s="18"/>
      <c r="X5258" s="18"/>
    </row>
    <row r="5259" spans="13:24">
      <c r="M5259" s="558">
        <f t="shared" si="251"/>
        <v>5257</v>
      </c>
      <c r="N5259" s="15">
        <f t="shared" si="249"/>
        <v>0.20056002753519578</v>
      </c>
      <c r="O5259" s="165">
        <f t="shared" si="250"/>
        <v>0.20056002753519578</v>
      </c>
      <c r="P5259" s="18"/>
      <c r="Q5259" s="18"/>
      <c r="R5259" s="18"/>
      <c r="S5259" s="18"/>
      <c r="T5259" s="18"/>
      <c r="U5259" s="18"/>
      <c r="V5259" s="18"/>
      <c r="W5259" s="18"/>
      <c r="X5259" s="18"/>
    </row>
    <row r="5260" spans="13:24">
      <c r="M5260" s="558">
        <f t="shared" si="251"/>
        <v>5258</v>
      </c>
      <c r="N5260" s="15">
        <f t="shared" si="249"/>
        <v>0.20050789041754777</v>
      </c>
      <c r="O5260" s="165">
        <f t="shared" si="250"/>
        <v>0.20050789041754777</v>
      </c>
      <c r="P5260" s="18"/>
      <c r="Q5260" s="18"/>
      <c r="R5260" s="18"/>
      <c r="S5260" s="18"/>
      <c r="T5260" s="18"/>
      <c r="U5260" s="18"/>
      <c r="V5260" s="18"/>
      <c r="W5260" s="18"/>
      <c r="X5260" s="18"/>
    </row>
    <row r="5261" spans="13:24">
      <c r="M5261" s="558">
        <f t="shared" si="251"/>
        <v>5259</v>
      </c>
      <c r="N5261" s="15">
        <f t="shared" si="249"/>
        <v>0.20045575426274267</v>
      </c>
      <c r="O5261" s="165">
        <f t="shared" si="250"/>
        <v>0.20045575426274267</v>
      </c>
      <c r="P5261" s="18"/>
      <c r="Q5261" s="18"/>
      <c r="R5261" s="18"/>
      <c r="S5261" s="18"/>
      <c r="T5261" s="18"/>
      <c r="U5261" s="18"/>
      <c r="V5261" s="18"/>
      <c r="W5261" s="18"/>
      <c r="X5261" s="18"/>
    </row>
    <row r="5262" spans="13:24">
      <c r="M5262" s="558">
        <f t="shared" si="251"/>
        <v>5260</v>
      </c>
      <c r="N5262" s="15">
        <f t="shared" si="249"/>
        <v>0.2004036190695723</v>
      </c>
      <c r="O5262" s="165">
        <f t="shared" si="250"/>
        <v>0.2004036190695723</v>
      </c>
      <c r="P5262" s="18"/>
      <c r="Q5262" s="18"/>
      <c r="R5262" s="18"/>
      <c r="S5262" s="18"/>
      <c r="T5262" s="18"/>
      <c r="U5262" s="18"/>
      <c r="V5262" s="18"/>
      <c r="W5262" s="18"/>
      <c r="X5262" s="18"/>
    </row>
    <row r="5263" spans="13:24">
      <c r="M5263" s="558">
        <f t="shared" si="251"/>
        <v>5261</v>
      </c>
      <c r="N5263" s="15">
        <f t="shared" si="249"/>
        <v>0.20035148483682974</v>
      </c>
      <c r="O5263" s="165">
        <f t="shared" si="250"/>
        <v>0.20035148483682974</v>
      </c>
      <c r="P5263" s="18"/>
      <c r="Q5263" s="18"/>
      <c r="R5263" s="18"/>
      <c r="S5263" s="18"/>
      <c r="T5263" s="18"/>
      <c r="U5263" s="18"/>
      <c r="V5263" s="18"/>
      <c r="W5263" s="18"/>
      <c r="X5263" s="18"/>
    </row>
    <row r="5264" spans="13:24">
      <c r="M5264" s="558">
        <f t="shared" si="251"/>
        <v>5262</v>
      </c>
      <c r="N5264" s="15">
        <f t="shared" si="249"/>
        <v>0.20029935156330983</v>
      </c>
      <c r="O5264" s="165">
        <f t="shared" si="250"/>
        <v>0.20029935156330983</v>
      </c>
      <c r="P5264" s="18"/>
      <c r="Q5264" s="18"/>
      <c r="R5264" s="18"/>
      <c r="S5264" s="18"/>
      <c r="T5264" s="18"/>
      <c r="U5264" s="18"/>
      <c r="V5264" s="18"/>
      <c r="W5264" s="18"/>
      <c r="X5264" s="18"/>
    </row>
    <row r="5265" spans="13:24">
      <c r="M5265" s="558">
        <f t="shared" si="251"/>
        <v>5263</v>
      </c>
      <c r="N5265" s="15">
        <f t="shared" si="249"/>
        <v>0.20024721924780881</v>
      </c>
      <c r="O5265" s="165">
        <f t="shared" si="250"/>
        <v>0.20024721924780881</v>
      </c>
      <c r="P5265" s="18"/>
      <c r="Q5265" s="18"/>
      <c r="R5265" s="18"/>
      <c r="S5265" s="18"/>
      <c r="T5265" s="18"/>
      <c r="U5265" s="18"/>
      <c r="V5265" s="18"/>
      <c r="W5265" s="18"/>
      <c r="X5265" s="18"/>
    </row>
    <row r="5266" spans="13:24">
      <c r="M5266" s="558">
        <f t="shared" si="251"/>
        <v>5264</v>
      </c>
      <c r="N5266" s="15">
        <f t="shared" si="249"/>
        <v>0.20019508788912441</v>
      </c>
      <c r="O5266" s="165">
        <f t="shared" si="250"/>
        <v>0.20019508788912441</v>
      </c>
      <c r="P5266" s="18"/>
      <c r="Q5266" s="18"/>
      <c r="R5266" s="18"/>
      <c r="S5266" s="18"/>
      <c r="T5266" s="18"/>
      <c r="U5266" s="18"/>
      <c r="V5266" s="18"/>
      <c r="W5266" s="18"/>
      <c r="X5266" s="18"/>
    </row>
    <row r="5267" spans="13:24">
      <c r="M5267" s="558">
        <f t="shared" si="251"/>
        <v>5265</v>
      </c>
      <c r="N5267" s="15">
        <f t="shared" si="249"/>
        <v>0.20014295748605596</v>
      </c>
      <c r="O5267" s="165">
        <f t="shared" si="250"/>
        <v>0.20014295748605596</v>
      </c>
      <c r="P5267" s="18"/>
      <c r="Q5267" s="18"/>
      <c r="R5267" s="18"/>
      <c r="S5267" s="18"/>
      <c r="T5267" s="18"/>
      <c r="U5267" s="18"/>
      <c r="V5267" s="18"/>
      <c r="W5267" s="18"/>
      <c r="X5267" s="18"/>
    </row>
    <row r="5268" spans="13:24">
      <c r="M5268" s="558">
        <f t="shared" si="251"/>
        <v>5266</v>
      </c>
      <c r="N5268" s="15">
        <f t="shared" si="249"/>
        <v>0.20009082803740416</v>
      </c>
      <c r="O5268" s="165">
        <f t="shared" si="250"/>
        <v>0.20009082803740416</v>
      </c>
      <c r="P5268" s="18"/>
      <c r="Q5268" s="18"/>
      <c r="R5268" s="18"/>
      <c r="S5268" s="18"/>
      <c r="T5268" s="18"/>
      <c r="U5268" s="18"/>
      <c r="V5268" s="18"/>
      <c r="W5268" s="18"/>
      <c r="X5268" s="18"/>
    </row>
    <row r="5269" spans="13:24">
      <c r="M5269" s="558">
        <f t="shared" si="251"/>
        <v>5267</v>
      </c>
      <c r="N5269" s="15">
        <f t="shared" si="249"/>
        <v>0.20003869954197137</v>
      </c>
      <c r="O5269" s="165">
        <f t="shared" si="250"/>
        <v>0.20003869954197137</v>
      </c>
      <c r="P5269" s="18"/>
      <c r="Q5269" s="18"/>
      <c r="R5269" s="18"/>
      <c r="S5269" s="18"/>
      <c r="T5269" s="18"/>
      <c r="U5269" s="18"/>
      <c r="V5269" s="18"/>
      <c r="W5269" s="18"/>
      <c r="X5269" s="18"/>
    </row>
    <row r="5270" spans="13:24">
      <c r="M5270" s="558">
        <f t="shared" si="251"/>
        <v>5268</v>
      </c>
      <c r="N5270" s="15">
        <f t="shared" si="249"/>
        <v>0.19998657199856129</v>
      </c>
      <c r="O5270" s="165">
        <f t="shared" si="250"/>
        <v>0.19998657199856129</v>
      </c>
      <c r="P5270" s="18"/>
      <c r="Q5270" s="18"/>
      <c r="R5270" s="18"/>
      <c r="S5270" s="18"/>
      <c r="T5270" s="18"/>
      <c r="U5270" s="18"/>
      <c r="V5270" s="18"/>
      <c r="W5270" s="18"/>
      <c r="X5270" s="18"/>
    </row>
    <row r="5271" spans="13:24">
      <c r="M5271" s="558">
        <f t="shared" si="251"/>
        <v>5269</v>
      </c>
      <c r="N5271" s="15">
        <f t="shared" si="249"/>
        <v>0.19993444540597932</v>
      </c>
      <c r="O5271" s="165">
        <f t="shared" si="250"/>
        <v>0.19993444540597932</v>
      </c>
      <c r="P5271" s="18"/>
      <c r="Q5271" s="18"/>
      <c r="R5271" s="18"/>
      <c r="S5271" s="18"/>
      <c r="T5271" s="18"/>
      <c r="U5271" s="18"/>
      <c r="V5271" s="18"/>
      <c r="W5271" s="18"/>
      <c r="X5271" s="18"/>
    </row>
    <row r="5272" spans="13:24">
      <c r="M5272" s="558">
        <f t="shared" si="251"/>
        <v>5270</v>
      </c>
      <c r="N5272" s="15">
        <f t="shared" si="249"/>
        <v>0.19988231976303214</v>
      </c>
      <c r="O5272" s="165">
        <f t="shared" si="250"/>
        <v>0.19988231976303214</v>
      </c>
      <c r="P5272" s="18"/>
      <c r="Q5272" s="18"/>
      <c r="R5272" s="18"/>
      <c r="S5272" s="18"/>
      <c r="T5272" s="18"/>
      <c r="U5272" s="18"/>
      <c r="V5272" s="18"/>
      <c r="W5272" s="18"/>
      <c r="X5272" s="18"/>
    </row>
    <row r="5273" spans="13:24">
      <c r="M5273" s="558">
        <f t="shared" si="251"/>
        <v>5271</v>
      </c>
      <c r="N5273" s="15">
        <f t="shared" si="249"/>
        <v>0.19983019506852812</v>
      </c>
      <c r="O5273" s="165">
        <f t="shared" si="250"/>
        <v>0.19983019506852812</v>
      </c>
      <c r="P5273" s="18"/>
      <c r="Q5273" s="18"/>
      <c r="R5273" s="18"/>
      <c r="S5273" s="18"/>
      <c r="T5273" s="18"/>
      <c r="U5273" s="18"/>
      <c r="V5273" s="18"/>
      <c r="W5273" s="18"/>
      <c r="X5273" s="18"/>
    </row>
    <row r="5274" spans="13:24">
      <c r="M5274" s="558">
        <f t="shared" si="251"/>
        <v>5272</v>
      </c>
      <c r="N5274" s="15">
        <f t="shared" si="249"/>
        <v>0.19977807132127695</v>
      </c>
      <c r="O5274" s="165">
        <f t="shared" si="250"/>
        <v>0.19977807132127695</v>
      </c>
      <c r="P5274" s="18"/>
      <c r="Q5274" s="18"/>
      <c r="R5274" s="18"/>
      <c r="S5274" s="18"/>
      <c r="T5274" s="18"/>
      <c r="U5274" s="18"/>
      <c r="V5274" s="18"/>
      <c r="W5274" s="18"/>
      <c r="X5274" s="18"/>
    </row>
    <row r="5275" spans="13:24">
      <c r="M5275" s="558">
        <f t="shared" si="251"/>
        <v>5273</v>
      </c>
      <c r="N5275" s="15">
        <f t="shared" si="249"/>
        <v>0.19972594852009001</v>
      </c>
      <c r="O5275" s="165">
        <f t="shared" si="250"/>
        <v>0.19972594852009001</v>
      </c>
      <c r="P5275" s="18"/>
      <c r="Q5275" s="18"/>
      <c r="R5275" s="18"/>
      <c r="S5275" s="18"/>
      <c r="T5275" s="18"/>
      <c r="U5275" s="18"/>
      <c r="V5275" s="18"/>
      <c r="W5275" s="18"/>
      <c r="X5275" s="18"/>
    </row>
    <row r="5276" spans="13:24">
      <c r="M5276" s="558">
        <f t="shared" si="251"/>
        <v>5274</v>
      </c>
      <c r="N5276" s="15">
        <f t="shared" si="249"/>
        <v>0.19967382666377997</v>
      </c>
      <c r="O5276" s="165">
        <f t="shared" si="250"/>
        <v>0.19967382666377997</v>
      </c>
      <c r="P5276" s="18"/>
      <c r="Q5276" s="18"/>
      <c r="R5276" s="18"/>
      <c r="S5276" s="18"/>
      <c r="T5276" s="18"/>
      <c r="U5276" s="18"/>
      <c r="V5276" s="18"/>
      <c r="W5276" s="18"/>
      <c r="X5276" s="18"/>
    </row>
    <row r="5277" spans="13:24">
      <c r="M5277" s="558">
        <f t="shared" si="251"/>
        <v>5275</v>
      </c>
      <c r="N5277" s="15">
        <f t="shared" si="249"/>
        <v>0.19962170575116114</v>
      </c>
      <c r="O5277" s="165">
        <f t="shared" si="250"/>
        <v>0.19962170575116114</v>
      </c>
      <c r="P5277" s="18"/>
      <c r="Q5277" s="18"/>
      <c r="R5277" s="18"/>
      <c r="S5277" s="18"/>
      <c r="T5277" s="18"/>
      <c r="U5277" s="18"/>
      <c r="V5277" s="18"/>
      <c r="W5277" s="18"/>
      <c r="X5277" s="18"/>
    </row>
    <row r="5278" spans="13:24">
      <c r="M5278" s="558">
        <f t="shared" si="251"/>
        <v>5276</v>
      </c>
      <c r="N5278" s="15">
        <f t="shared" si="249"/>
        <v>0.19956958578104925</v>
      </c>
      <c r="O5278" s="165">
        <f t="shared" si="250"/>
        <v>0.19956958578104925</v>
      </c>
      <c r="P5278" s="18"/>
      <c r="Q5278" s="18"/>
      <c r="R5278" s="18"/>
      <c r="S5278" s="18"/>
      <c r="T5278" s="18"/>
      <c r="U5278" s="18"/>
      <c r="V5278" s="18"/>
      <c r="W5278" s="18"/>
      <c r="X5278" s="18"/>
    </row>
    <row r="5279" spans="13:24">
      <c r="M5279" s="558">
        <f t="shared" si="251"/>
        <v>5277</v>
      </c>
      <c r="N5279" s="15">
        <f t="shared" si="249"/>
        <v>0.19951746675226151</v>
      </c>
      <c r="O5279" s="165">
        <f t="shared" si="250"/>
        <v>0.19951746675226151</v>
      </c>
      <c r="P5279" s="18"/>
      <c r="Q5279" s="18"/>
      <c r="R5279" s="18"/>
      <c r="S5279" s="18"/>
      <c r="T5279" s="18"/>
      <c r="U5279" s="18"/>
      <c r="V5279" s="18"/>
      <c r="W5279" s="18"/>
      <c r="X5279" s="18"/>
    </row>
    <row r="5280" spans="13:24">
      <c r="M5280" s="558">
        <f t="shared" si="251"/>
        <v>5278</v>
      </c>
      <c r="N5280" s="15">
        <f t="shared" si="249"/>
        <v>0.19946534866361668</v>
      </c>
      <c r="O5280" s="165">
        <f t="shared" si="250"/>
        <v>0.19946534866361668</v>
      </c>
      <c r="P5280" s="18"/>
      <c r="Q5280" s="18"/>
      <c r="R5280" s="18"/>
      <c r="S5280" s="18"/>
      <c r="T5280" s="18"/>
      <c r="U5280" s="18"/>
      <c r="V5280" s="18"/>
      <c r="W5280" s="18"/>
      <c r="X5280" s="18"/>
    </row>
    <row r="5281" spans="13:24">
      <c r="M5281" s="558">
        <f t="shared" si="251"/>
        <v>5279</v>
      </c>
      <c r="N5281" s="15">
        <f t="shared" si="249"/>
        <v>0.19941323151393492</v>
      </c>
      <c r="O5281" s="165">
        <f t="shared" si="250"/>
        <v>0.19941323151393492</v>
      </c>
      <c r="P5281" s="18"/>
      <c r="Q5281" s="18"/>
      <c r="R5281" s="18"/>
      <c r="S5281" s="18"/>
      <c r="T5281" s="18"/>
      <c r="U5281" s="18"/>
      <c r="V5281" s="18"/>
      <c r="W5281" s="18"/>
      <c r="X5281" s="18"/>
    </row>
    <row r="5282" spans="13:24">
      <c r="M5282" s="558">
        <f t="shared" si="251"/>
        <v>5280</v>
      </c>
      <c r="N5282" s="15">
        <f t="shared" si="249"/>
        <v>0.19936111530203793</v>
      </c>
      <c r="O5282" s="165">
        <f t="shared" si="250"/>
        <v>0.19936111530203793</v>
      </c>
      <c r="P5282" s="18"/>
      <c r="Q5282" s="18"/>
      <c r="R5282" s="18"/>
      <c r="S5282" s="18"/>
      <c r="T5282" s="18"/>
      <c r="U5282" s="18"/>
      <c r="V5282" s="18"/>
      <c r="W5282" s="18"/>
      <c r="X5282" s="18"/>
    </row>
    <row r="5283" spans="13:24">
      <c r="M5283" s="558">
        <f t="shared" si="251"/>
        <v>5281</v>
      </c>
      <c r="N5283" s="15">
        <f t="shared" si="249"/>
        <v>0.19930900002674881</v>
      </c>
      <c r="O5283" s="165">
        <f t="shared" si="250"/>
        <v>0.19930900002674881</v>
      </c>
      <c r="P5283" s="18"/>
      <c r="Q5283" s="18"/>
      <c r="R5283" s="18"/>
      <c r="S5283" s="18"/>
      <c r="T5283" s="18"/>
      <c r="U5283" s="18"/>
      <c r="V5283" s="18"/>
      <c r="W5283" s="18"/>
      <c r="X5283" s="18"/>
    </row>
    <row r="5284" spans="13:24">
      <c r="M5284" s="558">
        <f t="shared" si="251"/>
        <v>5282</v>
      </c>
      <c r="N5284" s="15">
        <f t="shared" si="249"/>
        <v>0.19925688568689226</v>
      </c>
      <c r="O5284" s="165">
        <f t="shared" si="250"/>
        <v>0.19925688568689226</v>
      </c>
      <c r="P5284" s="18"/>
      <c r="Q5284" s="18"/>
      <c r="R5284" s="18"/>
      <c r="S5284" s="18"/>
      <c r="T5284" s="18"/>
      <c r="U5284" s="18"/>
      <c r="V5284" s="18"/>
      <c r="W5284" s="18"/>
      <c r="X5284" s="18"/>
    </row>
    <row r="5285" spans="13:24">
      <c r="M5285" s="558">
        <f t="shared" si="251"/>
        <v>5283</v>
      </c>
      <c r="N5285" s="15">
        <f t="shared" si="249"/>
        <v>0.19920477228129435</v>
      </c>
      <c r="O5285" s="165">
        <f t="shared" si="250"/>
        <v>0.19920477228129435</v>
      </c>
      <c r="P5285" s="18"/>
      <c r="Q5285" s="18"/>
      <c r="R5285" s="18"/>
      <c r="S5285" s="18"/>
      <c r="T5285" s="18"/>
      <c r="U5285" s="18"/>
      <c r="V5285" s="18"/>
      <c r="W5285" s="18"/>
      <c r="X5285" s="18"/>
    </row>
    <row r="5286" spans="13:24">
      <c r="M5286" s="558">
        <f t="shared" si="251"/>
        <v>5284</v>
      </c>
      <c r="N5286" s="15">
        <f t="shared" si="249"/>
        <v>0.19915265980878269</v>
      </c>
      <c r="O5286" s="165">
        <f t="shared" si="250"/>
        <v>0.19915265980878269</v>
      </c>
      <c r="P5286" s="18"/>
      <c r="Q5286" s="18"/>
      <c r="R5286" s="18"/>
      <c r="S5286" s="18"/>
      <c r="T5286" s="18"/>
      <c r="U5286" s="18"/>
      <c r="V5286" s="18"/>
      <c r="W5286" s="18"/>
      <c r="X5286" s="18"/>
    </row>
    <row r="5287" spans="13:24">
      <c r="M5287" s="558">
        <f t="shared" si="251"/>
        <v>5285</v>
      </c>
      <c r="N5287" s="15">
        <f t="shared" si="249"/>
        <v>0.19910054826818627</v>
      </c>
      <c r="O5287" s="165">
        <f t="shared" si="250"/>
        <v>0.19910054826818627</v>
      </c>
      <c r="P5287" s="18"/>
      <c r="Q5287" s="18"/>
      <c r="R5287" s="18"/>
      <c r="S5287" s="18"/>
      <c r="T5287" s="18"/>
      <c r="U5287" s="18"/>
      <c r="V5287" s="18"/>
      <c r="W5287" s="18"/>
      <c r="X5287" s="18"/>
    </row>
    <row r="5288" spans="13:24">
      <c r="M5288" s="558">
        <f t="shared" si="251"/>
        <v>5286</v>
      </c>
      <c r="N5288" s="15">
        <f t="shared" si="249"/>
        <v>0.19904843765833571</v>
      </c>
      <c r="O5288" s="165">
        <f t="shared" si="250"/>
        <v>0.19904843765833571</v>
      </c>
      <c r="P5288" s="18"/>
      <c r="Q5288" s="18"/>
      <c r="R5288" s="18"/>
      <c r="S5288" s="18"/>
      <c r="T5288" s="18"/>
      <c r="U5288" s="18"/>
      <c r="V5288" s="18"/>
      <c r="W5288" s="18"/>
      <c r="X5288" s="18"/>
    </row>
    <row r="5289" spans="13:24">
      <c r="M5289" s="558">
        <f t="shared" si="251"/>
        <v>5287</v>
      </c>
      <c r="N5289" s="15">
        <f t="shared" si="249"/>
        <v>0.19899632797806288</v>
      </c>
      <c r="O5289" s="165">
        <f t="shared" si="250"/>
        <v>0.19899632797806288</v>
      </c>
      <c r="P5289" s="18"/>
      <c r="Q5289" s="18"/>
      <c r="R5289" s="18"/>
      <c r="S5289" s="18"/>
      <c r="T5289" s="18"/>
      <c r="U5289" s="18"/>
      <c r="V5289" s="18"/>
      <c r="W5289" s="18"/>
      <c r="X5289" s="18"/>
    </row>
    <row r="5290" spans="13:24">
      <c r="M5290" s="558">
        <f t="shared" si="251"/>
        <v>5288</v>
      </c>
      <c r="N5290" s="15">
        <f t="shared" si="249"/>
        <v>0.19894421922620137</v>
      </c>
      <c r="O5290" s="165">
        <f t="shared" si="250"/>
        <v>0.19894421922620137</v>
      </c>
      <c r="P5290" s="18"/>
      <c r="Q5290" s="18"/>
      <c r="R5290" s="18"/>
      <c r="S5290" s="18"/>
      <c r="T5290" s="18"/>
      <c r="U5290" s="18"/>
      <c r="V5290" s="18"/>
      <c r="W5290" s="18"/>
      <c r="X5290" s="18"/>
    </row>
    <row r="5291" spans="13:24">
      <c r="M5291" s="558">
        <f t="shared" si="251"/>
        <v>5289</v>
      </c>
      <c r="N5291" s="15">
        <f t="shared" si="249"/>
        <v>0.19889211140158597</v>
      </c>
      <c r="O5291" s="165">
        <f t="shared" si="250"/>
        <v>0.19889211140158597</v>
      </c>
      <c r="P5291" s="18"/>
      <c r="Q5291" s="18"/>
      <c r="R5291" s="18"/>
      <c r="S5291" s="18"/>
      <c r="T5291" s="18"/>
      <c r="U5291" s="18"/>
      <c r="V5291" s="18"/>
      <c r="W5291" s="18"/>
      <c r="X5291" s="18"/>
    </row>
    <row r="5292" spans="13:24">
      <c r="M5292" s="558">
        <f t="shared" si="251"/>
        <v>5290</v>
      </c>
      <c r="N5292" s="15">
        <f t="shared" si="249"/>
        <v>0.19884000450305314</v>
      </c>
      <c r="O5292" s="165">
        <f t="shared" si="250"/>
        <v>0.19884000450305314</v>
      </c>
      <c r="P5292" s="18"/>
      <c r="Q5292" s="18"/>
      <c r="R5292" s="18"/>
      <c r="S5292" s="18"/>
      <c r="T5292" s="18"/>
      <c r="U5292" s="18"/>
      <c r="V5292" s="18"/>
      <c r="W5292" s="18"/>
      <c r="X5292" s="18"/>
    </row>
    <row r="5293" spans="13:24">
      <c r="M5293" s="558">
        <f t="shared" si="251"/>
        <v>5291</v>
      </c>
      <c r="N5293" s="15">
        <f t="shared" si="249"/>
        <v>0.19878789852944065</v>
      </c>
      <c r="O5293" s="165">
        <f t="shared" si="250"/>
        <v>0.19878789852944065</v>
      </c>
      <c r="P5293" s="18"/>
      <c r="Q5293" s="18"/>
      <c r="R5293" s="18"/>
      <c r="S5293" s="18"/>
      <c r="T5293" s="18"/>
      <c r="U5293" s="18"/>
      <c r="V5293" s="18"/>
      <c r="W5293" s="18"/>
      <c r="X5293" s="18"/>
    </row>
    <row r="5294" spans="13:24">
      <c r="M5294" s="558">
        <f t="shared" si="251"/>
        <v>5292</v>
      </c>
      <c r="N5294" s="15">
        <f t="shared" si="249"/>
        <v>0.19873579347958789</v>
      </c>
      <c r="O5294" s="165">
        <f t="shared" si="250"/>
        <v>0.19873579347958789</v>
      </c>
      <c r="P5294" s="18"/>
      <c r="Q5294" s="18"/>
      <c r="R5294" s="18"/>
      <c r="S5294" s="18"/>
      <c r="T5294" s="18"/>
      <c r="U5294" s="18"/>
      <c r="V5294" s="18"/>
      <c r="W5294" s="18"/>
      <c r="X5294" s="18"/>
    </row>
    <row r="5295" spans="13:24">
      <c r="M5295" s="558">
        <f t="shared" si="251"/>
        <v>5293</v>
      </c>
      <c r="N5295" s="15">
        <f t="shared" si="249"/>
        <v>0.19868368935233557</v>
      </c>
      <c r="O5295" s="165">
        <f t="shared" si="250"/>
        <v>0.19868368935233557</v>
      </c>
      <c r="P5295" s="18"/>
      <c r="Q5295" s="18"/>
      <c r="R5295" s="18"/>
      <c r="S5295" s="18"/>
      <c r="T5295" s="18"/>
      <c r="U5295" s="18"/>
      <c r="V5295" s="18"/>
      <c r="W5295" s="18"/>
      <c r="X5295" s="18"/>
    </row>
    <row r="5296" spans="13:24">
      <c r="M5296" s="558">
        <f t="shared" si="251"/>
        <v>5294</v>
      </c>
      <c r="N5296" s="15">
        <f t="shared" si="249"/>
        <v>0.19863158614652587</v>
      </c>
      <c r="O5296" s="165">
        <f t="shared" si="250"/>
        <v>0.19863158614652587</v>
      </c>
      <c r="P5296" s="18"/>
      <c r="Q5296" s="18"/>
      <c r="R5296" s="18"/>
      <c r="S5296" s="18"/>
      <c r="T5296" s="18"/>
      <c r="U5296" s="18"/>
      <c r="V5296" s="18"/>
      <c r="W5296" s="18"/>
      <c r="X5296" s="18"/>
    </row>
    <row r="5297" spans="13:24">
      <c r="M5297" s="558">
        <f t="shared" si="251"/>
        <v>5295</v>
      </c>
      <c r="N5297" s="15">
        <f t="shared" si="249"/>
        <v>0.19857948386100252</v>
      </c>
      <c r="O5297" s="165">
        <f t="shared" si="250"/>
        <v>0.19857948386100252</v>
      </c>
      <c r="P5297" s="18"/>
      <c r="Q5297" s="18"/>
      <c r="R5297" s="18"/>
      <c r="S5297" s="18"/>
      <c r="T5297" s="18"/>
      <c r="U5297" s="18"/>
      <c r="V5297" s="18"/>
      <c r="W5297" s="18"/>
      <c r="X5297" s="18"/>
    </row>
    <row r="5298" spans="13:24">
      <c r="M5298" s="558">
        <f t="shared" si="251"/>
        <v>5296</v>
      </c>
      <c r="N5298" s="15">
        <f t="shared" si="249"/>
        <v>0.19852738249461058</v>
      </c>
      <c r="O5298" s="165">
        <f t="shared" si="250"/>
        <v>0.19852738249461058</v>
      </c>
      <c r="P5298" s="18"/>
      <c r="Q5298" s="18"/>
      <c r="R5298" s="18"/>
      <c r="S5298" s="18"/>
      <c r="T5298" s="18"/>
      <c r="U5298" s="18"/>
      <c r="V5298" s="18"/>
      <c r="W5298" s="18"/>
      <c r="X5298" s="18"/>
    </row>
    <row r="5299" spans="13:24">
      <c r="M5299" s="558">
        <f t="shared" si="251"/>
        <v>5297</v>
      </c>
      <c r="N5299" s="15">
        <f t="shared" si="249"/>
        <v>0.19847528204619666</v>
      </c>
      <c r="O5299" s="165">
        <f t="shared" si="250"/>
        <v>0.19847528204619666</v>
      </c>
      <c r="P5299" s="18"/>
      <c r="Q5299" s="18"/>
      <c r="R5299" s="18"/>
      <c r="S5299" s="18"/>
      <c r="T5299" s="18"/>
      <c r="U5299" s="18"/>
      <c r="V5299" s="18"/>
      <c r="W5299" s="18"/>
      <c r="X5299" s="18"/>
    </row>
    <row r="5300" spans="13:24">
      <c r="M5300" s="558">
        <f t="shared" si="251"/>
        <v>5298</v>
      </c>
      <c r="N5300" s="15">
        <f t="shared" si="249"/>
        <v>0.19842318251460872</v>
      </c>
      <c r="O5300" s="165">
        <f t="shared" si="250"/>
        <v>0.19842318251460872</v>
      </c>
      <c r="P5300" s="18"/>
      <c r="Q5300" s="18"/>
      <c r="R5300" s="18"/>
      <c r="S5300" s="18"/>
      <c r="T5300" s="18"/>
      <c r="U5300" s="18"/>
      <c r="V5300" s="18"/>
      <c r="W5300" s="18"/>
      <c r="X5300" s="18"/>
    </row>
    <row r="5301" spans="13:24">
      <c r="M5301" s="558">
        <f t="shared" si="251"/>
        <v>5299</v>
      </c>
      <c r="N5301" s="15">
        <f t="shared" si="249"/>
        <v>0.19837108389869626</v>
      </c>
      <c r="O5301" s="165">
        <f t="shared" si="250"/>
        <v>0.19837108389869626</v>
      </c>
      <c r="P5301" s="18"/>
      <c r="Q5301" s="18"/>
      <c r="R5301" s="18"/>
      <c r="S5301" s="18"/>
      <c r="T5301" s="18"/>
      <c r="U5301" s="18"/>
      <c r="V5301" s="18"/>
      <c r="W5301" s="18"/>
      <c r="X5301" s="18"/>
    </row>
    <row r="5302" spans="13:24">
      <c r="M5302" s="558">
        <f t="shared" si="251"/>
        <v>5300</v>
      </c>
      <c r="N5302" s="15">
        <f t="shared" si="249"/>
        <v>0.19831898619731014</v>
      </c>
      <c r="O5302" s="165">
        <f t="shared" si="250"/>
        <v>0.19831898619731014</v>
      </c>
      <c r="P5302" s="18"/>
      <c r="Q5302" s="18"/>
      <c r="R5302" s="18"/>
      <c r="S5302" s="18"/>
      <c r="T5302" s="18"/>
      <c r="U5302" s="18"/>
      <c r="V5302" s="18"/>
      <c r="W5302" s="18"/>
      <c r="X5302" s="18"/>
    </row>
    <row r="5303" spans="13:24">
      <c r="M5303" s="558">
        <f t="shared" si="251"/>
        <v>5301</v>
      </c>
      <c r="N5303" s="15">
        <f t="shared" si="249"/>
        <v>0.19826688940930276</v>
      </c>
      <c r="O5303" s="165">
        <f t="shared" si="250"/>
        <v>0.19826688940930276</v>
      </c>
      <c r="P5303" s="18"/>
      <c r="Q5303" s="18"/>
      <c r="R5303" s="18"/>
      <c r="S5303" s="18"/>
      <c r="T5303" s="18"/>
      <c r="U5303" s="18"/>
      <c r="V5303" s="18"/>
      <c r="W5303" s="18"/>
      <c r="X5303" s="18"/>
    </row>
    <row r="5304" spans="13:24">
      <c r="M5304" s="558">
        <f t="shared" si="251"/>
        <v>5302</v>
      </c>
      <c r="N5304" s="15">
        <f t="shared" si="249"/>
        <v>0.19821479353352783</v>
      </c>
      <c r="O5304" s="165">
        <f t="shared" si="250"/>
        <v>0.19821479353352783</v>
      </c>
      <c r="P5304" s="18"/>
      <c r="Q5304" s="18"/>
      <c r="R5304" s="18"/>
      <c r="S5304" s="18"/>
      <c r="T5304" s="18"/>
      <c r="U5304" s="18"/>
      <c r="V5304" s="18"/>
      <c r="W5304" s="18"/>
      <c r="X5304" s="18"/>
    </row>
    <row r="5305" spans="13:24">
      <c r="M5305" s="558">
        <f t="shared" si="251"/>
        <v>5303</v>
      </c>
      <c r="N5305" s="15">
        <f t="shared" si="249"/>
        <v>0.19816269856884064</v>
      </c>
      <c r="O5305" s="165">
        <f t="shared" si="250"/>
        <v>0.19816269856884064</v>
      </c>
      <c r="P5305" s="18"/>
      <c r="Q5305" s="18"/>
      <c r="R5305" s="18"/>
      <c r="S5305" s="18"/>
      <c r="T5305" s="18"/>
      <c r="U5305" s="18"/>
      <c r="V5305" s="18"/>
      <c r="W5305" s="18"/>
      <c r="X5305" s="18"/>
    </row>
    <row r="5306" spans="13:24">
      <c r="M5306" s="558">
        <f t="shared" si="251"/>
        <v>5304</v>
      </c>
      <c r="N5306" s="15">
        <f t="shared" si="249"/>
        <v>0.19811060451409779</v>
      </c>
      <c r="O5306" s="165">
        <f t="shared" si="250"/>
        <v>0.19811060451409779</v>
      </c>
      <c r="P5306" s="18"/>
      <c r="Q5306" s="18"/>
      <c r="R5306" s="18"/>
      <c r="S5306" s="18"/>
      <c r="T5306" s="18"/>
      <c r="U5306" s="18"/>
      <c r="V5306" s="18"/>
      <c r="W5306" s="18"/>
      <c r="X5306" s="18"/>
    </row>
    <row r="5307" spans="13:24">
      <c r="M5307" s="558">
        <f t="shared" si="251"/>
        <v>5305</v>
      </c>
      <c r="N5307" s="15">
        <f t="shared" si="249"/>
        <v>0.19805851136815744</v>
      </c>
      <c r="O5307" s="165">
        <f t="shared" si="250"/>
        <v>0.19805851136815744</v>
      </c>
      <c r="P5307" s="18"/>
      <c r="Q5307" s="18"/>
      <c r="R5307" s="18"/>
      <c r="S5307" s="18"/>
      <c r="T5307" s="18"/>
      <c r="U5307" s="18"/>
      <c r="V5307" s="18"/>
      <c r="W5307" s="18"/>
      <c r="X5307" s="18"/>
    </row>
    <row r="5308" spans="13:24">
      <c r="M5308" s="558">
        <f t="shared" si="251"/>
        <v>5306</v>
      </c>
      <c r="N5308" s="15">
        <f t="shared" si="249"/>
        <v>0.19800641912987904</v>
      </c>
      <c r="O5308" s="165">
        <f t="shared" si="250"/>
        <v>0.19800641912987904</v>
      </c>
      <c r="P5308" s="18"/>
      <c r="Q5308" s="18"/>
      <c r="R5308" s="18"/>
      <c r="S5308" s="18"/>
      <c r="T5308" s="18"/>
      <c r="U5308" s="18"/>
      <c r="V5308" s="18"/>
      <c r="W5308" s="18"/>
      <c r="X5308" s="18"/>
    </row>
    <row r="5309" spans="13:24">
      <c r="M5309" s="558">
        <f t="shared" si="251"/>
        <v>5307</v>
      </c>
      <c r="N5309" s="15">
        <f t="shared" si="249"/>
        <v>0.19795432779812358</v>
      </c>
      <c r="O5309" s="165">
        <f t="shared" si="250"/>
        <v>0.19795432779812358</v>
      </c>
      <c r="P5309" s="18"/>
      <c r="Q5309" s="18"/>
      <c r="R5309" s="18"/>
      <c r="S5309" s="18"/>
      <c r="T5309" s="18"/>
      <c r="U5309" s="18"/>
      <c r="V5309" s="18"/>
      <c r="W5309" s="18"/>
      <c r="X5309" s="18"/>
    </row>
    <row r="5310" spans="13:24">
      <c r="M5310" s="558">
        <f t="shared" si="251"/>
        <v>5308</v>
      </c>
      <c r="N5310" s="15">
        <f t="shared" si="249"/>
        <v>0.1979022373717535</v>
      </c>
      <c r="O5310" s="165">
        <f t="shared" si="250"/>
        <v>0.1979022373717535</v>
      </c>
      <c r="P5310" s="18"/>
      <c r="Q5310" s="18"/>
      <c r="R5310" s="18"/>
      <c r="S5310" s="18"/>
      <c r="T5310" s="18"/>
      <c r="U5310" s="18"/>
      <c r="V5310" s="18"/>
      <c r="W5310" s="18"/>
      <c r="X5310" s="18"/>
    </row>
    <row r="5311" spans="13:24">
      <c r="M5311" s="558">
        <f t="shared" si="251"/>
        <v>5309</v>
      </c>
      <c r="N5311" s="15">
        <f t="shared" si="249"/>
        <v>0.19785014784963251</v>
      </c>
      <c r="O5311" s="165">
        <f t="shared" si="250"/>
        <v>0.19785014784963251</v>
      </c>
      <c r="P5311" s="18"/>
      <c r="Q5311" s="18"/>
      <c r="R5311" s="18"/>
      <c r="S5311" s="18"/>
      <c r="T5311" s="18"/>
      <c r="U5311" s="18"/>
      <c r="V5311" s="18"/>
      <c r="W5311" s="18"/>
      <c r="X5311" s="18"/>
    </row>
    <row r="5312" spans="13:24">
      <c r="M5312" s="558">
        <f t="shared" si="251"/>
        <v>5310</v>
      </c>
      <c r="N5312" s="15">
        <f t="shared" si="249"/>
        <v>0.19779805923062593</v>
      </c>
      <c r="O5312" s="165">
        <f t="shared" si="250"/>
        <v>0.19779805923062593</v>
      </c>
      <c r="P5312" s="18"/>
      <c r="Q5312" s="18"/>
      <c r="R5312" s="18"/>
      <c r="S5312" s="18"/>
      <c r="T5312" s="18"/>
      <c r="U5312" s="18"/>
      <c r="V5312" s="18"/>
      <c r="W5312" s="18"/>
      <c r="X5312" s="18"/>
    </row>
    <row r="5313" spans="13:24">
      <c r="M5313" s="558">
        <f t="shared" si="251"/>
        <v>5311</v>
      </c>
      <c r="N5313" s="15">
        <f t="shared" si="249"/>
        <v>0.1977459715136004</v>
      </c>
      <c r="O5313" s="165">
        <f t="shared" si="250"/>
        <v>0.1977459715136004</v>
      </c>
      <c r="P5313" s="18"/>
      <c r="Q5313" s="18"/>
      <c r="R5313" s="18"/>
      <c r="S5313" s="18"/>
      <c r="T5313" s="18"/>
      <c r="U5313" s="18"/>
      <c r="V5313" s="18"/>
      <c r="W5313" s="18"/>
      <c r="X5313" s="18"/>
    </row>
    <row r="5314" spans="13:24">
      <c r="M5314" s="558">
        <f t="shared" si="251"/>
        <v>5312</v>
      </c>
      <c r="N5314" s="15">
        <f t="shared" si="249"/>
        <v>0.19769388469742402</v>
      </c>
      <c r="O5314" s="165">
        <f t="shared" si="250"/>
        <v>0.19769388469742402</v>
      </c>
      <c r="P5314" s="18"/>
      <c r="Q5314" s="18"/>
      <c r="R5314" s="18"/>
      <c r="S5314" s="18"/>
      <c r="T5314" s="18"/>
      <c r="U5314" s="18"/>
      <c r="V5314" s="18"/>
      <c r="W5314" s="18"/>
      <c r="X5314" s="18"/>
    </row>
    <row r="5315" spans="13:24">
      <c r="M5315" s="558">
        <f t="shared" si="251"/>
        <v>5313</v>
      </c>
      <c r="N5315" s="15">
        <f t="shared" si="249"/>
        <v>0.19764179878096624</v>
      </c>
      <c r="O5315" s="165">
        <f t="shared" si="250"/>
        <v>0.19764179878096624</v>
      </c>
      <c r="P5315" s="18"/>
      <c r="Q5315" s="18"/>
      <c r="R5315" s="18"/>
      <c r="S5315" s="18"/>
      <c r="T5315" s="18"/>
      <c r="U5315" s="18"/>
      <c r="V5315" s="18"/>
      <c r="W5315" s="18"/>
      <c r="X5315" s="18"/>
    </row>
    <row r="5316" spans="13:24">
      <c r="M5316" s="558">
        <f t="shared" si="251"/>
        <v>5314</v>
      </c>
      <c r="N5316" s="15">
        <f t="shared" ref="N5316:N5379" si="252">IF(M5316&lt;$B$31+1,$B$32+$B$33/$B$31*(8760-M5316)+$B$34*IF(M5316&lt;$B$36-$B$31/(2*$B$35),1,IF(M5316&lt;$B$36+$B$31/(2*$B$35),COS(PI()/2*(M5316-($B$36-$B$31/(2*$B$35)))*$B$35/$B$31)^2,0))+$B$37*EXP((8760-M5316)/8760*$B$38)/EXP($B$38)-(8760-$B$31)*$B$33/$B$31,0)</f>
        <v>0.19758971376309808</v>
      </c>
      <c r="O5316" s="165">
        <f t="shared" ref="O5316:O5379" si="253">MIN(N5316,C$24)</f>
        <v>0.19758971376309808</v>
      </c>
      <c r="P5316" s="18"/>
      <c r="Q5316" s="18"/>
      <c r="R5316" s="18"/>
      <c r="S5316" s="18"/>
      <c r="T5316" s="18"/>
      <c r="U5316" s="18"/>
      <c r="V5316" s="18"/>
      <c r="W5316" s="18"/>
      <c r="X5316" s="18"/>
    </row>
    <row r="5317" spans="13:24">
      <c r="M5317" s="558">
        <f t="shared" ref="M5317:M5380" si="254">M5316+1</f>
        <v>5315</v>
      </c>
      <c r="N5317" s="15">
        <f t="shared" si="252"/>
        <v>0.19753762964269178</v>
      </c>
      <c r="O5317" s="165">
        <f t="shared" si="253"/>
        <v>0.19753762964269178</v>
      </c>
      <c r="P5317" s="18"/>
      <c r="Q5317" s="18"/>
      <c r="R5317" s="18"/>
      <c r="S5317" s="18"/>
      <c r="T5317" s="18"/>
      <c r="U5317" s="18"/>
      <c r="V5317" s="18"/>
      <c r="W5317" s="18"/>
      <c r="X5317" s="18"/>
    </row>
    <row r="5318" spans="13:24">
      <c r="M5318" s="558">
        <f t="shared" si="254"/>
        <v>5316</v>
      </c>
      <c r="N5318" s="15">
        <f t="shared" si="252"/>
        <v>0.19748554641862118</v>
      </c>
      <c r="O5318" s="165">
        <f t="shared" si="253"/>
        <v>0.19748554641862118</v>
      </c>
      <c r="P5318" s="18"/>
      <c r="Q5318" s="18"/>
      <c r="R5318" s="18"/>
      <c r="S5318" s="18"/>
      <c r="T5318" s="18"/>
      <c r="U5318" s="18"/>
      <c r="V5318" s="18"/>
      <c r="W5318" s="18"/>
      <c r="X5318" s="18"/>
    </row>
    <row r="5319" spans="13:24">
      <c r="M5319" s="558">
        <f t="shared" si="254"/>
        <v>5317</v>
      </c>
      <c r="N5319" s="15">
        <f t="shared" si="252"/>
        <v>0.1974334640897614</v>
      </c>
      <c r="O5319" s="165">
        <f t="shared" si="253"/>
        <v>0.1974334640897614</v>
      </c>
      <c r="P5319" s="18"/>
      <c r="Q5319" s="18"/>
      <c r="R5319" s="18"/>
      <c r="S5319" s="18"/>
      <c r="T5319" s="18"/>
      <c r="U5319" s="18"/>
      <c r="V5319" s="18"/>
      <c r="W5319" s="18"/>
      <c r="X5319" s="18"/>
    </row>
    <row r="5320" spans="13:24">
      <c r="M5320" s="558">
        <f t="shared" si="254"/>
        <v>5318</v>
      </c>
      <c r="N5320" s="15">
        <f t="shared" si="252"/>
        <v>0.19738138265498906</v>
      </c>
      <c r="O5320" s="165">
        <f t="shared" si="253"/>
        <v>0.19738138265498906</v>
      </c>
      <c r="P5320" s="18"/>
      <c r="Q5320" s="18"/>
      <c r="R5320" s="18"/>
      <c r="S5320" s="18"/>
      <c r="T5320" s="18"/>
      <c r="U5320" s="18"/>
      <c r="V5320" s="18"/>
      <c r="W5320" s="18"/>
      <c r="X5320" s="18"/>
    </row>
    <row r="5321" spans="13:24">
      <c r="M5321" s="558">
        <f t="shared" si="254"/>
        <v>5319</v>
      </c>
      <c r="N5321" s="15">
        <f t="shared" si="252"/>
        <v>0.19732930211318211</v>
      </c>
      <c r="O5321" s="165">
        <f t="shared" si="253"/>
        <v>0.19732930211318211</v>
      </c>
      <c r="P5321" s="18"/>
      <c r="Q5321" s="18"/>
      <c r="R5321" s="18"/>
      <c r="S5321" s="18"/>
      <c r="T5321" s="18"/>
      <c r="U5321" s="18"/>
      <c r="V5321" s="18"/>
      <c r="W5321" s="18"/>
      <c r="X5321" s="18"/>
    </row>
    <row r="5322" spans="13:24">
      <c r="M5322" s="558">
        <f t="shared" si="254"/>
        <v>5320</v>
      </c>
      <c r="N5322" s="15">
        <f t="shared" si="252"/>
        <v>0.19727722246321999</v>
      </c>
      <c r="O5322" s="165">
        <f t="shared" si="253"/>
        <v>0.19727722246321999</v>
      </c>
      <c r="P5322" s="18"/>
      <c r="Q5322" s="18"/>
      <c r="R5322" s="18"/>
      <c r="S5322" s="18"/>
      <c r="T5322" s="18"/>
      <c r="U5322" s="18"/>
      <c r="V5322" s="18"/>
      <c r="W5322" s="18"/>
      <c r="X5322" s="18"/>
    </row>
    <row r="5323" spans="13:24">
      <c r="M5323" s="558">
        <f t="shared" si="254"/>
        <v>5321</v>
      </c>
      <c r="N5323" s="15">
        <f t="shared" si="252"/>
        <v>0.19722514370398347</v>
      </c>
      <c r="O5323" s="165">
        <f t="shared" si="253"/>
        <v>0.19722514370398347</v>
      </c>
      <c r="P5323" s="18"/>
      <c r="Q5323" s="18"/>
      <c r="R5323" s="18"/>
      <c r="S5323" s="18"/>
      <c r="T5323" s="18"/>
      <c r="U5323" s="18"/>
      <c r="V5323" s="18"/>
      <c r="W5323" s="18"/>
      <c r="X5323" s="18"/>
    </row>
    <row r="5324" spans="13:24">
      <c r="M5324" s="558">
        <f t="shared" si="254"/>
        <v>5322</v>
      </c>
      <c r="N5324" s="15">
        <f t="shared" si="252"/>
        <v>0.19717306583435476</v>
      </c>
      <c r="O5324" s="165">
        <f t="shared" si="253"/>
        <v>0.19717306583435476</v>
      </c>
      <c r="P5324" s="18"/>
      <c r="Q5324" s="18"/>
      <c r="R5324" s="18"/>
      <c r="S5324" s="18"/>
      <c r="T5324" s="18"/>
      <c r="U5324" s="18"/>
      <c r="V5324" s="18"/>
      <c r="W5324" s="18"/>
      <c r="X5324" s="18"/>
    </row>
    <row r="5325" spans="13:24">
      <c r="M5325" s="558">
        <f t="shared" si="254"/>
        <v>5323</v>
      </c>
      <c r="N5325" s="15">
        <f t="shared" si="252"/>
        <v>0.19712098885321755</v>
      </c>
      <c r="O5325" s="165">
        <f t="shared" si="253"/>
        <v>0.19712098885321755</v>
      </c>
      <c r="P5325" s="18"/>
      <c r="Q5325" s="18"/>
      <c r="R5325" s="18"/>
      <c r="S5325" s="18"/>
      <c r="T5325" s="18"/>
      <c r="U5325" s="18"/>
      <c r="V5325" s="18"/>
      <c r="W5325" s="18"/>
      <c r="X5325" s="18"/>
    </row>
    <row r="5326" spans="13:24">
      <c r="M5326" s="558">
        <f t="shared" si="254"/>
        <v>5324</v>
      </c>
      <c r="N5326" s="15">
        <f t="shared" si="252"/>
        <v>0.19706891275945673</v>
      </c>
      <c r="O5326" s="165">
        <f t="shared" si="253"/>
        <v>0.19706891275945673</v>
      </c>
      <c r="P5326" s="18"/>
      <c r="Q5326" s="18"/>
      <c r="R5326" s="18"/>
      <c r="S5326" s="18"/>
      <c r="T5326" s="18"/>
      <c r="U5326" s="18"/>
      <c r="V5326" s="18"/>
      <c r="W5326" s="18"/>
      <c r="X5326" s="18"/>
    </row>
    <row r="5327" spans="13:24">
      <c r="M5327" s="558">
        <f t="shared" si="254"/>
        <v>5325</v>
      </c>
      <c r="N5327" s="15">
        <f t="shared" si="252"/>
        <v>0.19701683755195884</v>
      </c>
      <c r="O5327" s="165">
        <f t="shared" si="253"/>
        <v>0.19701683755195884</v>
      </c>
      <c r="P5327" s="18"/>
      <c r="Q5327" s="18"/>
      <c r="R5327" s="18"/>
      <c r="S5327" s="18"/>
      <c r="T5327" s="18"/>
      <c r="U5327" s="18"/>
      <c r="V5327" s="18"/>
      <c r="W5327" s="18"/>
      <c r="X5327" s="18"/>
    </row>
    <row r="5328" spans="13:24">
      <c r="M5328" s="558">
        <f t="shared" si="254"/>
        <v>5326</v>
      </c>
      <c r="N5328" s="15">
        <f t="shared" si="252"/>
        <v>0.19696476322961159</v>
      </c>
      <c r="O5328" s="165">
        <f t="shared" si="253"/>
        <v>0.19696476322961159</v>
      </c>
      <c r="P5328" s="18"/>
      <c r="Q5328" s="18"/>
      <c r="R5328" s="18"/>
      <c r="S5328" s="18"/>
      <c r="T5328" s="18"/>
      <c r="U5328" s="18"/>
      <c r="V5328" s="18"/>
      <c r="W5328" s="18"/>
      <c r="X5328" s="18"/>
    </row>
    <row r="5329" spans="13:24">
      <c r="M5329" s="558">
        <f t="shared" si="254"/>
        <v>5327</v>
      </c>
      <c r="N5329" s="15">
        <f t="shared" si="252"/>
        <v>0.19691268979130427</v>
      </c>
      <c r="O5329" s="165">
        <f t="shared" si="253"/>
        <v>0.19691268979130427</v>
      </c>
      <c r="P5329" s="18"/>
      <c r="Q5329" s="18"/>
      <c r="R5329" s="18"/>
      <c r="S5329" s="18"/>
      <c r="T5329" s="18"/>
      <c r="U5329" s="18"/>
      <c r="V5329" s="18"/>
      <c r="W5329" s="18"/>
      <c r="X5329" s="18"/>
    </row>
    <row r="5330" spans="13:24">
      <c r="M5330" s="558">
        <f t="shared" si="254"/>
        <v>5328</v>
      </c>
      <c r="N5330" s="15">
        <f t="shared" si="252"/>
        <v>0.1968606172359274</v>
      </c>
      <c r="O5330" s="165">
        <f t="shared" si="253"/>
        <v>0.1968606172359274</v>
      </c>
      <c r="P5330" s="18"/>
      <c r="Q5330" s="18"/>
      <c r="R5330" s="18"/>
      <c r="S5330" s="18"/>
      <c r="T5330" s="18"/>
      <c r="U5330" s="18"/>
      <c r="V5330" s="18"/>
      <c r="W5330" s="18"/>
      <c r="X5330" s="18"/>
    </row>
    <row r="5331" spans="13:24">
      <c r="M5331" s="558">
        <f t="shared" si="254"/>
        <v>5329</v>
      </c>
      <c r="N5331" s="15">
        <f t="shared" si="252"/>
        <v>0.19680854556237307</v>
      </c>
      <c r="O5331" s="165">
        <f t="shared" si="253"/>
        <v>0.19680854556237307</v>
      </c>
      <c r="P5331" s="18"/>
      <c r="Q5331" s="18"/>
      <c r="R5331" s="18"/>
      <c r="S5331" s="18"/>
      <c r="T5331" s="18"/>
      <c r="U5331" s="18"/>
      <c r="V5331" s="18"/>
      <c r="W5331" s="18"/>
      <c r="X5331" s="18"/>
    </row>
    <row r="5332" spans="13:24">
      <c r="M5332" s="558">
        <f t="shared" si="254"/>
        <v>5330</v>
      </c>
      <c r="N5332" s="15">
        <f t="shared" si="252"/>
        <v>0.19675647476953456</v>
      </c>
      <c r="O5332" s="165">
        <f t="shared" si="253"/>
        <v>0.19675647476953456</v>
      </c>
      <c r="P5332" s="18"/>
      <c r="Q5332" s="18"/>
      <c r="R5332" s="18"/>
      <c r="S5332" s="18"/>
      <c r="T5332" s="18"/>
      <c r="U5332" s="18"/>
      <c r="V5332" s="18"/>
      <c r="W5332" s="18"/>
      <c r="X5332" s="18"/>
    </row>
    <row r="5333" spans="13:24">
      <c r="M5333" s="558">
        <f t="shared" si="254"/>
        <v>5331</v>
      </c>
      <c r="N5333" s="15">
        <f t="shared" si="252"/>
        <v>0.19670440485630672</v>
      </c>
      <c r="O5333" s="165">
        <f t="shared" si="253"/>
        <v>0.19670440485630672</v>
      </c>
      <c r="P5333" s="18"/>
      <c r="Q5333" s="18"/>
      <c r="R5333" s="18"/>
      <c r="S5333" s="18"/>
      <c r="T5333" s="18"/>
      <c r="U5333" s="18"/>
      <c r="V5333" s="18"/>
      <c r="W5333" s="18"/>
      <c r="X5333" s="18"/>
    </row>
    <row r="5334" spans="13:24">
      <c r="M5334" s="558">
        <f t="shared" si="254"/>
        <v>5332</v>
      </c>
      <c r="N5334" s="15">
        <f t="shared" si="252"/>
        <v>0.19665233582158564</v>
      </c>
      <c r="O5334" s="165">
        <f t="shared" si="253"/>
        <v>0.19665233582158564</v>
      </c>
      <c r="P5334" s="18"/>
      <c r="Q5334" s="18"/>
      <c r="R5334" s="18"/>
      <c r="S5334" s="18"/>
      <c r="T5334" s="18"/>
      <c r="U5334" s="18"/>
      <c r="V5334" s="18"/>
      <c r="W5334" s="18"/>
      <c r="X5334" s="18"/>
    </row>
    <row r="5335" spans="13:24">
      <c r="M5335" s="558">
        <f t="shared" si="254"/>
        <v>5333</v>
      </c>
      <c r="N5335" s="15">
        <f t="shared" si="252"/>
        <v>0.19660026766426894</v>
      </c>
      <c r="O5335" s="165">
        <f t="shared" si="253"/>
        <v>0.19660026766426894</v>
      </c>
      <c r="P5335" s="18"/>
      <c r="Q5335" s="18"/>
      <c r="R5335" s="18"/>
      <c r="S5335" s="18"/>
      <c r="T5335" s="18"/>
      <c r="U5335" s="18"/>
      <c r="V5335" s="18"/>
      <c r="W5335" s="18"/>
      <c r="X5335" s="18"/>
    </row>
    <row r="5336" spans="13:24">
      <c r="M5336" s="558">
        <f t="shared" si="254"/>
        <v>5334</v>
      </c>
      <c r="N5336" s="15">
        <f t="shared" si="252"/>
        <v>0.19654820038325546</v>
      </c>
      <c r="O5336" s="165">
        <f t="shared" si="253"/>
        <v>0.19654820038325546</v>
      </c>
      <c r="P5336" s="18"/>
      <c r="Q5336" s="18"/>
      <c r="R5336" s="18"/>
      <c r="S5336" s="18"/>
      <c r="T5336" s="18"/>
      <c r="U5336" s="18"/>
      <c r="V5336" s="18"/>
      <c r="W5336" s="18"/>
      <c r="X5336" s="18"/>
    </row>
    <row r="5337" spans="13:24">
      <c r="M5337" s="558">
        <f t="shared" si="254"/>
        <v>5335</v>
      </c>
      <c r="N5337" s="15">
        <f t="shared" si="252"/>
        <v>0.19649613397744561</v>
      </c>
      <c r="O5337" s="165">
        <f t="shared" si="253"/>
        <v>0.19649613397744561</v>
      </c>
      <c r="P5337" s="18"/>
      <c r="Q5337" s="18"/>
      <c r="R5337" s="18"/>
      <c r="S5337" s="18"/>
      <c r="T5337" s="18"/>
      <c r="U5337" s="18"/>
      <c r="V5337" s="18"/>
      <c r="W5337" s="18"/>
      <c r="X5337" s="18"/>
    </row>
    <row r="5338" spans="13:24">
      <c r="M5338" s="558">
        <f t="shared" si="254"/>
        <v>5336</v>
      </c>
      <c r="N5338" s="15">
        <f t="shared" si="252"/>
        <v>0.19644406844574103</v>
      </c>
      <c r="O5338" s="165">
        <f t="shared" si="253"/>
        <v>0.19644406844574103</v>
      </c>
      <c r="P5338" s="18"/>
      <c r="Q5338" s="18"/>
      <c r="R5338" s="18"/>
      <c r="S5338" s="18"/>
      <c r="T5338" s="18"/>
      <c r="U5338" s="18"/>
      <c r="V5338" s="18"/>
      <c r="W5338" s="18"/>
      <c r="X5338" s="18"/>
    </row>
    <row r="5339" spans="13:24">
      <c r="M5339" s="558">
        <f t="shared" si="254"/>
        <v>5337</v>
      </c>
      <c r="N5339" s="15">
        <f t="shared" si="252"/>
        <v>0.19639200378704474</v>
      </c>
      <c r="O5339" s="165">
        <f t="shared" si="253"/>
        <v>0.19639200378704474</v>
      </c>
      <c r="P5339" s="18"/>
      <c r="Q5339" s="18"/>
      <c r="R5339" s="18"/>
      <c r="S5339" s="18"/>
      <c r="T5339" s="18"/>
      <c r="U5339" s="18"/>
      <c r="V5339" s="18"/>
      <c r="W5339" s="18"/>
      <c r="X5339" s="18"/>
    </row>
    <row r="5340" spans="13:24">
      <c r="M5340" s="558">
        <f t="shared" si="254"/>
        <v>5338</v>
      </c>
      <c r="N5340" s="15">
        <f t="shared" si="252"/>
        <v>0.19633994000026128</v>
      </c>
      <c r="O5340" s="165">
        <f t="shared" si="253"/>
        <v>0.19633994000026128</v>
      </c>
      <c r="P5340" s="18"/>
      <c r="Q5340" s="18"/>
      <c r="R5340" s="18"/>
      <c r="S5340" s="18"/>
      <c r="T5340" s="18"/>
      <c r="U5340" s="18"/>
      <c r="V5340" s="18"/>
      <c r="W5340" s="18"/>
      <c r="X5340" s="18"/>
    </row>
    <row r="5341" spans="13:24">
      <c r="M5341" s="558">
        <f t="shared" si="254"/>
        <v>5339</v>
      </c>
      <c r="N5341" s="15">
        <f t="shared" si="252"/>
        <v>0.1962878770842964</v>
      </c>
      <c r="O5341" s="165">
        <f t="shared" si="253"/>
        <v>0.1962878770842964</v>
      </c>
      <c r="P5341" s="18"/>
      <c r="Q5341" s="18"/>
      <c r="R5341" s="18"/>
      <c r="S5341" s="18"/>
      <c r="T5341" s="18"/>
      <c r="U5341" s="18"/>
      <c r="V5341" s="18"/>
      <c r="W5341" s="18"/>
      <c r="X5341" s="18"/>
    </row>
    <row r="5342" spans="13:24">
      <c r="M5342" s="558">
        <f t="shared" si="254"/>
        <v>5340</v>
      </c>
      <c r="N5342" s="15">
        <f t="shared" si="252"/>
        <v>0.19623581503805734</v>
      </c>
      <c r="O5342" s="165">
        <f t="shared" si="253"/>
        <v>0.19623581503805734</v>
      </c>
      <c r="P5342" s="18"/>
      <c r="Q5342" s="18"/>
      <c r="R5342" s="18"/>
      <c r="S5342" s="18"/>
      <c r="T5342" s="18"/>
      <c r="U5342" s="18"/>
      <c r="V5342" s="18"/>
      <c r="W5342" s="18"/>
      <c r="X5342" s="18"/>
    </row>
    <row r="5343" spans="13:24">
      <c r="M5343" s="558">
        <f t="shared" si="254"/>
        <v>5341</v>
      </c>
      <c r="N5343" s="15">
        <f t="shared" si="252"/>
        <v>0.19618375386045261</v>
      </c>
      <c r="O5343" s="165">
        <f t="shared" si="253"/>
        <v>0.19618375386045261</v>
      </c>
      <c r="P5343" s="18"/>
      <c r="Q5343" s="18"/>
      <c r="R5343" s="18"/>
      <c r="S5343" s="18"/>
      <c r="T5343" s="18"/>
      <c r="U5343" s="18"/>
      <c r="V5343" s="18"/>
      <c r="W5343" s="18"/>
      <c r="X5343" s="18"/>
    </row>
    <row r="5344" spans="13:24">
      <c r="M5344" s="558">
        <f t="shared" si="254"/>
        <v>5342</v>
      </c>
      <c r="N5344" s="15">
        <f t="shared" si="252"/>
        <v>0.19613169355039223</v>
      </c>
      <c r="O5344" s="165">
        <f t="shared" si="253"/>
        <v>0.19613169355039223</v>
      </c>
      <c r="P5344" s="18"/>
      <c r="Q5344" s="18"/>
      <c r="R5344" s="18"/>
      <c r="S5344" s="18"/>
      <c r="T5344" s="18"/>
      <c r="U5344" s="18"/>
      <c r="V5344" s="18"/>
      <c r="W5344" s="18"/>
      <c r="X5344" s="18"/>
    </row>
    <row r="5345" spans="13:24">
      <c r="M5345" s="558">
        <f t="shared" si="254"/>
        <v>5343</v>
      </c>
      <c r="N5345" s="15">
        <f t="shared" si="252"/>
        <v>0.19607963410678739</v>
      </c>
      <c r="O5345" s="165">
        <f t="shared" si="253"/>
        <v>0.19607963410678739</v>
      </c>
      <c r="P5345" s="18"/>
      <c r="Q5345" s="18"/>
      <c r="R5345" s="18"/>
      <c r="S5345" s="18"/>
      <c r="T5345" s="18"/>
      <c r="U5345" s="18"/>
      <c r="V5345" s="18"/>
      <c r="W5345" s="18"/>
      <c r="X5345" s="18"/>
    </row>
    <row r="5346" spans="13:24">
      <c r="M5346" s="558">
        <f t="shared" si="254"/>
        <v>5344</v>
      </c>
      <c r="N5346" s="15">
        <f t="shared" si="252"/>
        <v>0.19602757552855082</v>
      </c>
      <c r="O5346" s="165">
        <f t="shared" si="253"/>
        <v>0.19602757552855082</v>
      </c>
      <c r="P5346" s="18"/>
      <c r="Q5346" s="18"/>
      <c r="R5346" s="18"/>
      <c r="S5346" s="18"/>
      <c r="T5346" s="18"/>
      <c r="U5346" s="18"/>
      <c r="V5346" s="18"/>
      <c r="W5346" s="18"/>
      <c r="X5346" s="18"/>
    </row>
    <row r="5347" spans="13:24">
      <c r="M5347" s="558">
        <f t="shared" si="254"/>
        <v>5345</v>
      </c>
      <c r="N5347" s="15">
        <f t="shared" si="252"/>
        <v>0.19597551781459654</v>
      </c>
      <c r="O5347" s="165">
        <f t="shared" si="253"/>
        <v>0.19597551781459654</v>
      </c>
      <c r="P5347" s="18"/>
      <c r="Q5347" s="18"/>
      <c r="R5347" s="18"/>
      <c r="S5347" s="18"/>
      <c r="T5347" s="18"/>
      <c r="U5347" s="18"/>
      <c r="V5347" s="18"/>
      <c r="W5347" s="18"/>
      <c r="X5347" s="18"/>
    </row>
    <row r="5348" spans="13:24">
      <c r="M5348" s="558">
        <f t="shared" si="254"/>
        <v>5346</v>
      </c>
      <c r="N5348" s="15">
        <f t="shared" si="252"/>
        <v>0.19592346096383997</v>
      </c>
      <c r="O5348" s="165">
        <f t="shared" si="253"/>
        <v>0.19592346096383997</v>
      </c>
      <c r="P5348" s="18"/>
      <c r="Q5348" s="18"/>
      <c r="R5348" s="18"/>
      <c r="S5348" s="18"/>
      <c r="T5348" s="18"/>
      <c r="U5348" s="18"/>
      <c r="V5348" s="18"/>
      <c r="W5348" s="18"/>
      <c r="X5348" s="18"/>
    </row>
    <row r="5349" spans="13:24">
      <c r="M5349" s="558">
        <f t="shared" si="254"/>
        <v>5347</v>
      </c>
      <c r="N5349" s="15">
        <f t="shared" si="252"/>
        <v>0.19587140497519784</v>
      </c>
      <c r="O5349" s="165">
        <f t="shared" si="253"/>
        <v>0.19587140497519784</v>
      </c>
      <c r="P5349" s="18"/>
      <c r="Q5349" s="18"/>
      <c r="R5349" s="18"/>
      <c r="S5349" s="18"/>
      <c r="T5349" s="18"/>
      <c r="U5349" s="18"/>
      <c r="V5349" s="18"/>
      <c r="W5349" s="18"/>
      <c r="X5349" s="18"/>
    </row>
    <row r="5350" spans="13:24">
      <c r="M5350" s="558">
        <f t="shared" si="254"/>
        <v>5348</v>
      </c>
      <c r="N5350" s="15">
        <f t="shared" si="252"/>
        <v>0.19581934984758828</v>
      </c>
      <c r="O5350" s="165">
        <f t="shared" si="253"/>
        <v>0.19581934984758828</v>
      </c>
      <c r="P5350" s="18"/>
      <c r="Q5350" s="18"/>
      <c r="R5350" s="18"/>
      <c r="S5350" s="18"/>
      <c r="T5350" s="18"/>
      <c r="U5350" s="18"/>
      <c r="V5350" s="18"/>
      <c r="W5350" s="18"/>
      <c r="X5350" s="18"/>
    </row>
    <row r="5351" spans="13:24">
      <c r="M5351" s="558">
        <f t="shared" si="254"/>
        <v>5349</v>
      </c>
      <c r="N5351" s="15">
        <f t="shared" si="252"/>
        <v>0.19576729557993075</v>
      </c>
      <c r="O5351" s="165">
        <f t="shared" si="253"/>
        <v>0.19576729557993075</v>
      </c>
      <c r="P5351" s="18"/>
      <c r="Q5351" s="18"/>
      <c r="R5351" s="18"/>
      <c r="S5351" s="18"/>
      <c r="T5351" s="18"/>
      <c r="U5351" s="18"/>
      <c r="V5351" s="18"/>
      <c r="W5351" s="18"/>
      <c r="X5351" s="18"/>
    </row>
    <row r="5352" spans="13:24">
      <c r="M5352" s="558">
        <f t="shared" si="254"/>
        <v>5350</v>
      </c>
      <c r="N5352" s="15">
        <f t="shared" si="252"/>
        <v>0.19571524217114608</v>
      </c>
      <c r="O5352" s="165">
        <f t="shared" si="253"/>
        <v>0.19571524217114608</v>
      </c>
      <c r="P5352" s="18"/>
      <c r="Q5352" s="18"/>
      <c r="R5352" s="18"/>
      <c r="S5352" s="18"/>
      <c r="T5352" s="18"/>
      <c r="U5352" s="18"/>
      <c r="V5352" s="18"/>
      <c r="W5352" s="18"/>
      <c r="X5352" s="18"/>
    </row>
    <row r="5353" spans="13:24">
      <c r="M5353" s="558">
        <f t="shared" si="254"/>
        <v>5351</v>
      </c>
      <c r="N5353" s="15">
        <f t="shared" si="252"/>
        <v>0.19566318962015644</v>
      </c>
      <c r="O5353" s="165">
        <f t="shared" si="253"/>
        <v>0.19566318962015644</v>
      </c>
      <c r="P5353" s="18"/>
      <c r="Q5353" s="18"/>
      <c r="R5353" s="18"/>
      <c r="S5353" s="18"/>
      <c r="T5353" s="18"/>
      <c r="U5353" s="18"/>
      <c r="V5353" s="18"/>
      <c r="W5353" s="18"/>
      <c r="X5353" s="18"/>
    </row>
    <row r="5354" spans="13:24">
      <c r="M5354" s="558">
        <f t="shared" si="254"/>
        <v>5352</v>
      </c>
      <c r="N5354" s="15">
        <f t="shared" si="252"/>
        <v>0.19561113792588541</v>
      </c>
      <c r="O5354" s="165">
        <f t="shared" si="253"/>
        <v>0.19561113792588541</v>
      </c>
      <c r="P5354" s="18"/>
      <c r="Q5354" s="18"/>
      <c r="R5354" s="18"/>
      <c r="S5354" s="18"/>
      <c r="T5354" s="18"/>
      <c r="U5354" s="18"/>
      <c r="V5354" s="18"/>
      <c r="W5354" s="18"/>
      <c r="X5354" s="18"/>
    </row>
    <row r="5355" spans="13:24">
      <c r="M5355" s="558">
        <f t="shared" si="254"/>
        <v>5353</v>
      </c>
      <c r="N5355" s="15">
        <f t="shared" si="252"/>
        <v>0.19555908708725786</v>
      </c>
      <c r="O5355" s="165">
        <f t="shared" si="253"/>
        <v>0.19555908708725786</v>
      </c>
      <c r="P5355" s="18"/>
      <c r="Q5355" s="18"/>
      <c r="R5355" s="18"/>
      <c r="S5355" s="18"/>
      <c r="T5355" s="18"/>
      <c r="U5355" s="18"/>
      <c r="V5355" s="18"/>
      <c r="W5355" s="18"/>
      <c r="X5355" s="18"/>
    </row>
    <row r="5356" spans="13:24">
      <c r="M5356" s="558">
        <f t="shared" si="254"/>
        <v>5354</v>
      </c>
      <c r="N5356" s="15">
        <f t="shared" si="252"/>
        <v>0.19550703710319997</v>
      </c>
      <c r="O5356" s="165">
        <f t="shared" si="253"/>
        <v>0.19550703710319997</v>
      </c>
      <c r="P5356" s="18"/>
      <c r="Q5356" s="18"/>
      <c r="R5356" s="18"/>
      <c r="S5356" s="18"/>
      <c r="T5356" s="18"/>
      <c r="U5356" s="18"/>
      <c r="V5356" s="18"/>
      <c r="W5356" s="18"/>
      <c r="X5356" s="18"/>
    </row>
    <row r="5357" spans="13:24">
      <c r="M5357" s="558">
        <f t="shared" si="254"/>
        <v>5355</v>
      </c>
      <c r="N5357" s="15">
        <f t="shared" si="252"/>
        <v>0.19545498797263941</v>
      </c>
      <c r="O5357" s="165">
        <f t="shared" si="253"/>
        <v>0.19545498797263941</v>
      </c>
      <c r="P5357" s="18"/>
      <c r="Q5357" s="18"/>
      <c r="R5357" s="18"/>
      <c r="S5357" s="18"/>
      <c r="T5357" s="18"/>
      <c r="U5357" s="18"/>
      <c r="V5357" s="18"/>
      <c r="W5357" s="18"/>
      <c r="X5357" s="18"/>
    </row>
    <row r="5358" spans="13:24">
      <c r="M5358" s="558">
        <f t="shared" si="254"/>
        <v>5356</v>
      </c>
      <c r="N5358" s="15">
        <f t="shared" si="252"/>
        <v>0.19540293969450506</v>
      </c>
      <c r="O5358" s="165">
        <f t="shared" si="253"/>
        <v>0.19540293969450506</v>
      </c>
      <c r="P5358" s="18"/>
      <c r="Q5358" s="18"/>
      <c r="R5358" s="18"/>
      <c r="S5358" s="18"/>
      <c r="T5358" s="18"/>
      <c r="U5358" s="18"/>
      <c r="V5358" s="18"/>
      <c r="W5358" s="18"/>
      <c r="X5358" s="18"/>
    </row>
    <row r="5359" spans="13:24">
      <c r="M5359" s="558">
        <f t="shared" si="254"/>
        <v>5357</v>
      </c>
      <c r="N5359" s="15">
        <f t="shared" si="252"/>
        <v>0.19535089226772723</v>
      </c>
      <c r="O5359" s="165">
        <f t="shared" si="253"/>
        <v>0.19535089226772723</v>
      </c>
      <c r="P5359" s="18"/>
      <c r="Q5359" s="18"/>
      <c r="R5359" s="18"/>
      <c r="S5359" s="18"/>
      <c r="T5359" s="18"/>
      <c r="U5359" s="18"/>
      <c r="V5359" s="18"/>
      <c r="W5359" s="18"/>
      <c r="X5359" s="18"/>
    </row>
    <row r="5360" spans="13:24">
      <c r="M5360" s="558">
        <f t="shared" si="254"/>
        <v>5358</v>
      </c>
      <c r="N5360" s="15">
        <f t="shared" si="252"/>
        <v>0.19529884569123745</v>
      </c>
      <c r="O5360" s="165">
        <f t="shared" si="253"/>
        <v>0.19529884569123745</v>
      </c>
      <c r="P5360" s="18"/>
      <c r="Q5360" s="18"/>
      <c r="R5360" s="18"/>
      <c r="S5360" s="18"/>
      <c r="T5360" s="18"/>
      <c r="U5360" s="18"/>
      <c r="V5360" s="18"/>
      <c r="W5360" s="18"/>
      <c r="X5360" s="18"/>
    </row>
    <row r="5361" spans="13:24">
      <c r="M5361" s="558">
        <f t="shared" si="254"/>
        <v>5359</v>
      </c>
      <c r="N5361" s="15">
        <f t="shared" si="252"/>
        <v>0.19524679996396879</v>
      </c>
      <c r="O5361" s="165">
        <f t="shared" si="253"/>
        <v>0.19524679996396879</v>
      </c>
      <c r="P5361" s="18"/>
      <c r="Q5361" s="18"/>
      <c r="R5361" s="18"/>
      <c r="S5361" s="18"/>
      <c r="T5361" s="18"/>
      <c r="U5361" s="18"/>
      <c r="V5361" s="18"/>
      <c r="W5361" s="18"/>
      <c r="X5361" s="18"/>
    </row>
    <row r="5362" spans="13:24">
      <c r="M5362" s="558">
        <f t="shared" si="254"/>
        <v>5360</v>
      </c>
      <c r="N5362" s="15">
        <f t="shared" si="252"/>
        <v>0.19519475508485548</v>
      </c>
      <c r="O5362" s="165">
        <f t="shared" si="253"/>
        <v>0.19519475508485548</v>
      </c>
      <c r="P5362" s="18"/>
      <c r="Q5362" s="18"/>
      <c r="R5362" s="18"/>
      <c r="S5362" s="18"/>
      <c r="T5362" s="18"/>
      <c r="U5362" s="18"/>
      <c r="V5362" s="18"/>
      <c r="W5362" s="18"/>
      <c r="X5362" s="18"/>
    </row>
    <row r="5363" spans="13:24">
      <c r="M5363" s="558">
        <f t="shared" si="254"/>
        <v>5361</v>
      </c>
      <c r="N5363" s="15">
        <f t="shared" si="252"/>
        <v>0.19514271105283318</v>
      </c>
      <c r="O5363" s="165">
        <f t="shared" si="253"/>
        <v>0.19514271105283318</v>
      </c>
      <c r="P5363" s="18"/>
      <c r="Q5363" s="18"/>
      <c r="R5363" s="18"/>
      <c r="S5363" s="18"/>
      <c r="T5363" s="18"/>
      <c r="U5363" s="18"/>
      <c r="V5363" s="18"/>
      <c r="W5363" s="18"/>
      <c r="X5363" s="18"/>
    </row>
    <row r="5364" spans="13:24">
      <c r="M5364" s="558">
        <f t="shared" si="254"/>
        <v>5362</v>
      </c>
      <c r="N5364" s="15">
        <f t="shared" si="252"/>
        <v>0.19509066786683879</v>
      </c>
      <c r="O5364" s="165">
        <f t="shared" si="253"/>
        <v>0.19509066786683879</v>
      </c>
      <c r="P5364" s="18"/>
      <c r="Q5364" s="18"/>
      <c r="R5364" s="18"/>
      <c r="S5364" s="18"/>
      <c r="T5364" s="18"/>
      <c r="U5364" s="18"/>
      <c r="V5364" s="18"/>
      <c r="W5364" s="18"/>
      <c r="X5364" s="18"/>
    </row>
    <row r="5365" spans="13:24">
      <c r="M5365" s="558">
        <f t="shared" si="254"/>
        <v>5363</v>
      </c>
      <c r="N5365" s="15">
        <f t="shared" si="252"/>
        <v>0.19503862552581072</v>
      </c>
      <c r="O5365" s="165">
        <f t="shared" si="253"/>
        <v>0.19503862552581072</v>
      </c>
      <c r="P5365" s="18"/>
      <c r="Q5365" s="18"/>
      <c r="R5365" s="18"/>
      <c r="S5365" s="18"/>
      <c r="T5365" s="18"/>
      <c r="U5365" s="18"/>
      <c r="V5365" s="18"/>
      <c r="W5365" s="18"/>
      <c r="X5365" s="18"/>
    </row>
    <row r="5366" spans="13:24">
      <c r="M5366" s="558">
        <f t="shared" si="254"/>
        <v>5364</v>
      </c>
      <c r="N5366" s="15">
        <f t="shared" si="252"/>
        <v>0.19498658402868854</v>
      </c>
      <c r="O5366" s="165">
        <f t="shared" si="253"/>
        <v>0.19498658402868854</v>
      </c>
      <c r="P5366" s="18"/>
      <c r="Q5366" s="18"/>
      <c r="R5366" s="18"/>
      <c r="S5366" s="18"/>
      <c r="T5366" s="18"/>
      <c r="U5366" s="18"/>
      <c r="V5366" s="18"/>
      <c r="W5366" s="18"/>
      <c r="X5366" s="18"/>
    </row>
    <row r="5367" spans="13:24">
      <c r="M5367" s="558">
        <f t="shared" si="254"/>
        <v>5365</v>
      </c>
      <c r="N5367" s="15">
        <f t="shared" si="252"/>
        <v>0.19493454337441324</v>
      </c>
      <c r="O5367" s="165">
        <f t="shared" si="253"/>
        <v>0.19493454337441324</v>
      </c>
      <c r="P5367" s="18"/>
      <c r="Q5367" s="18"/>
      <c r="R5367" s="18"/>
      <c r="S5367" s="18"/>
      <c r="T5367" s="18"/>
      <c r="U5367" s="18"/>
      <c r="V5367" s="18"/>
      <c r="W5367" s="18"/>
      <c r="X5367" s="18"/>
    </row>
    <row r="5368" spans="13:24">
      <c r="M5368" s="558">
        <f t="shared" si="254"/>
        <v>5366</v>
      </c>
      <c r="N5368" s="15">
        <f t="shared" si="252"/>
        <v>0.19488250356192705</v>
      </c>
      <c r="O5368" s="165">
        <f t="shared" si="253"/>
        <v>0.19488250356192705</v>
      </c>
      <c r="P5368" s="18"/>
      <c r="Q5368" s="18"/>
      <c r="R5368" s="18"/>
      <c r="S5368" s="18"/>
      <c r="T5368" s="18"/>
      <c r="U5368" s="18"/>
      <c r="V5368" s="18"/>
      <c r="W5368" s="18"/>
      <c r="X5368" s="18"/>
    </row>
    <row r="5369" spans="13:24">
      <c r="M5369" s="558">
        <f t="shared" si="254"/>
        <v>5367</v>
      </c>
      <c r="N5369" s="15">
        <f t="shared" si="252"/>
        <v>0.1948304645901737</v>
      </c>
      <c r="O5369" s="165">
        <f t="shared" si="253"/>
        <v>0.1948304645901737</v>
      </c>
      <c r="P5369" s="18"/>
      <c r="Q5369" s="18"/>
      <c r="R5369" s="18"/>
      <c r="S5369" s="18"/>
      <c r="T5369" s="18"/>
      <c r="U5369" s="18"/>
      <c r="V5369" s="18"/>
      <c r="W5369" s="18"/>
      <c r="X5369" s="18"/>
    </row>
    <row r="5370" spans="13:24">
      <c r="M5370" s="558">
        <f t="shared" si="254"/>
        <v>5368</v>
      </c>
      <c r="N5370" s="15">
        <f t="shared" si="252"/>
        <v>0.19477842645809806</v>
      </c>
      <c r="O5370" s="165">
        <f t="shared" si="253"/>
        <v>0.19477842645809806</v>
      </c>
      <c r="P5370" s="18"/>
      <c r="Q5370" s="18"/>
      <c r="R5370" s="18"/>
      <c r="S5370" s="18"/>
      <c r="T5370" s="18"/>
      <c r="U5370" s="18"/>
      <c r="V5370" s="18"/>
      <c r="W5370" s="18"/>
      <c r="X5370" s="18"/>
    </row>
    <row r="5371" spans="13:24">
      <c r="M5371" s="558">
        <f t="shared" si="254"/>
        <v>5369</v>
      </c>
      <c r="N5371" s="15">
        <f t="shared" si="252"/>
        <v>0.19472638916464641</v>
      </c>
      <c r="O5371" s="165">
        <f t="shared" si="253"/>
        <v>0.19472638916464641</v>
      </c>
      <c r="P5371" s="18"/>
      <c r="Q5371" s="18"/>
      <c r="R5371" s="18"/>
      <c r="S5371" s="18"/>
      <c r="T5371" s="18"/>
      <c r="U5371" s="18"/>
      <c r="V5371" s="18"/>
      <c r="W5371" s="18"/>
      <c r="X5371" s="18"/>
    </row>
    <row r="5372" spans="13:24">
      <c r="M5372" s="558">
        <f t="shared" si="254"/>
        <v>5370</v>
      </c>
      <c r="N5372" s="15">
        <f t="shared" si="252"/>
        <v>0.1946743527087664</v>
      </c>
      <c r="O5372" s="165">
        <f t="shared" si="253"/>
        <v>0.1946743527087664</v>
      </c>
      <c r="P5372" s="18"/>
      <c r="Q5372" s="18"/>
      <c r="R5372" s="18"/>
      <c r="S5372" s="18"/>
      <c r="T5372" s="18"/>
      <c r="U5372" s="18"/>
      <c r="V5372" s="18"/>
      <c r="W5372" s="18"/>
      <c r="X5372" s="18"/>
    </row>
    <row r="5373" spans="13:24">
      <c r="M5373" s="558">
        <f t="shared" si="254"/>
        <v>5371</v>
      </c>
      <c r="N5373" s="15">
        <f t="shared" si="252"/>
        <v>0.19462231708940686</v>
      </c>
      <c r="O5373" s="165">
        <f t="shared" si="253"/>
        <v>0.19462231708940686</v>
      </c>
      <c r="P5373" s="18"/>
      <c r="Q5373" s="18"/>
      <c r="R5373" s="18"/>
      <c r="S5373" s="18"/>
      <c r="T5373" s="18"/>
      <c r="U5373" s="18"/>
      <c r="V5373" s="18"/>
      <c r="W5373" s="18"/>
      <c r="X5373" s="18"/>
    </row>
    <row r="5374" spans="13:24">
      <c r="M5374" s="558">
        <f t="shared" si="254"/>
        <v>5372</v>
      </c>
      <c r="N5374" s="15">
        <f t="shared" si="252"/>
        <v>0.19457028230551809</v>
      </c>
      <c r="O5374" s="165">
        <f t="shared" si="253"/>
        <v>0.19457028230551809</v>
      </c>
      <c r="P5374" s="18"/>
      <c r="Q5374" s="18"/>
      <c r="R5374" s="18"/>
      <c r="S5374" s="18"/>
      <c r="T5374" s="18"/>
      <c r="U5374" s="18"/>
      <c r="V5374" s="18"/>
      <c r="W5374" s="18"/>
      <c r="X5374" s="18"/>
    </row>
    <row r="5375" spans="13:24">
      <c r="M5375" s="558">
        <f t="shared" si="254"/>
        <v>5373</v>
      </c>
      <c r="N5375" s="15">
        <f t="shared" si="252"/>
        <v>0.19451824835605161</v>
      </c>
      <c r="O5375" s="165">
        <f t="shared" si="253"/>
        <v>0.19451824835605161</v>
      </c>
      <c r="P5375" s="18"/>
      <c r="Q5375" s="18"/>
      <c r="R5375" s="18"/>
      <c r="S5375" s="18"/>
      <c r="T5375" s="18"/>
      <c r="U5375" s="18"/>
      <c r="V5375" s="18"/>
      <c r="W5375" s="18"/>
      <c r="X5375" s="18"/>
    </row>
    <row r="5376" spans="13:24">
      <c r="M5376" s="558">
        <f t="shared" si="254"/>
        <v>5374</v>
      </c>
      <c r="N5376" s="15">
        <f t="shared" si="252"/>
        <v>0.19446621523996033</v>
      </c>
      <c r="O5376" s="165">
        <f t="shared" si="253"/>
        <v>0.19446621523996033</v>
      </c>
      <c r="P5376" s="18"/>
      <c r="Q5376" s="18"/>
      <c r="R5376" s="18"/>
      <c r="S5376" s="18"/>
      <c r="T5376" s="18"/>
      <c r="U5376" s="18"/>
      <c r="V5376" s="18"/>
      <c r="W5376" s="18"/>
      <c r="X5376" s="18"/>
    </row>
    <row r="5377" spans="13:24">
      <c r="M5377" s="558">
        <f t="shared" si="254"/>
        <v>5375</v>
      </c>
      <c r="N5377" s="15">
        <f t="shared" si="252"/>
        <v>0.19441418295619836</v>
      </c>
      <c r="O5377" s="165">
        <f t="shared" si="253"/>
        <v>0.19441418295619836</v>
      </c>
      <c r="P5377" s="18"/>
      <c r="Q5377" s="18"/>
      <c r="R5377" s="18"/>
      <c r="S5377" s="18"/>
      <c r="T5377" s="18"/>
      <c r="U5377" s="18"/>
      <c r="V5377" s="18"/>
      <c r="W5377" s="18"/>
      <c r="X5377" s="18"/>
    </row>
    <row r="5378" spans="13:24">
      <c r="M5378" s="558">
        <f t="shared" si="254"/>
        <v>5376</v>
      </c>
      <c r="N5378" s="15">
        <f t="shared" si="252"/>
        <v>0.19436215150372127</v>
      </c>
      <c r="O5378" s="165">
        <f t="shared" si="253"/>
        <v>0.19436215150372127</v>
      </c>
      <c r="P5378" s="18"/>
      <c r="Q5378" s="18"/>
      <c r="R5378" s="18"/>
      <c r="S5378" s="18"/>
      <c r="T5378" s="18"/>
      <c r="U5378" s="18"/>
      <c r="V5378" s="18"/>
      <c r="W5378" s="18"/>
      <c r="X5378" s="18"/>
    </row>
    <row r="5379" spans="13:24">
      <c r="M5379" s="558">
        <f t="shared" si="254"/>
        <v>5377</v>
      </c>
      <c r="N5379" s="15">
        <f t="shared" si="252"/>
        <v>0.19431012088148578</v>
      </c>
      <c r="O5379" s="165">
        <f t="shared" si="253"/>
        <v>0.19431012088148578</v>
      </c>
      <c r="P5379" s="18"/>
      <c r="Q5379" s="18"/>
      <c r="R5379" s="18"/>
      <c r="S5379" s="18"/>
      <c r="T5379" s="18"/>
      <c r="U5379" s="18"/>
      <c r="V5379" s="18"/>
      <c r="W5379" s="18"/>
      <c r="X5379" s="18"/>
    </row>
    <row r="5380" spans="13:24">
      <c r="M5380" s="558">
        <f t="shared" si="254"/>
        <v>5378</v>
      </c>
      <c r="N5380" s="15">
        <f t="shared" ref="N5380:N5443" si="255">IF(M5380&lt;$B$31+1,$B$32+$B$33/$B$31*(8760-M5380)+$B$34*IF(M5380&lt;$B$36-$B$31/(2*$B$35),1,IF(M5380&lt;$B$36+$B$31/(2*$B$35),COS(PI()/2*(M5380-($B$36-$B$31/(2*$B$35)))*$B$35/$B$31)^2,0))+$B$37*EXP((8760-M5380)/8760*$B$38)/EXP($B$38)-(8760-$B$31)*$B$33/$B$31,0)</f>
        <v>0.19425809108845007</v>
      </c>
      <c r="O5380" s="165">
        <f t="shared" ref="O5380:O5443" si="256">MIN(N5380,C$24)</f>
        <v>0.19425809108845007</v>
      </c>
      <c r="P5380" s="18"/>
      <c r="Q5380" s="18"/>
      <c r="R5380" s="18"/>
      <c r="S5380" s="18"/>
      <c r="T5380" s="18"/>
      <c r="U5380" s="18"/>
      <c r="V5380" s="18"/>
      <c r="W5380" s="18"/>
      <c r="X5380" s="18"/>
    </row>
    <row r="5381" spans="13:24">
      <c r="M5381" s="558">
        <f t="shared" ref="M5381:M5444" si="257">M5380+1</f>
        <v>5379</v>
      </c>
      <c r="N5381" s="15">
        <f t="shared" si="255"/>
        <v>0.19420606212357355</v>
      </c>
      <c r="O5381" s="165">
        <f t="shared" si="256"/>
        <v>0.19420606212357355</v>
      </c>
      <c r="P5381" s="18"/>
      <c r="Q5381" s="18"/>
      <c r="R5381" s="18"/>
      <c r="S5381" s="18"/>
      <c r="T5381" s="18"/>
      <c r="U5381" s="18"/>
      <c r="V5381" s="18"/>
      <c r="W5381" s="18"/>
      <c r="X5381" s="18"/>
    </row>
    <row r="5382" spans="13:24">
      <c r="M5382" s="558">
        <f t="shared" si="257"/>
        <v>5380</v>
      </c>
      <c r="N5382" s="15">
        <f t="shared" si="255"/>
        <v>0.19415403398581693</v>
      </c>
      <c r="O5382" s="165">
        <f t="shared" si="256"/>
        <v>0.19415403398581693</v>
      </c>
      <c r="P5382" s="18"/>
      <c r="Q5382" s="18"/>
      <c r="R5382" s="18"/>
      <c r="S5382" s="18"/>
      <c r="T5382" s="18"/>
      <c r="U5382" s="18"/>
      <c r="V5382" s="18"/>
      <c r="W5382" s="18"/>
      <c r="X5382" s="18"/>
    </row>
    <row r="5383" spans="13:24">
      <c r="M5383" s="558">
        <f t="shared" si="257"/>
        <v>5381</v>
      </c>
      <c r="N5383" s="15">
        <f t="shared" si="255"/>
        <v>0.19410200667414224</v>
      </c>
      <c r="O5383" s="165">
        <f t="shared" si="256"/>
        <v>0.19410200667414224</v>
      </c>
      <c r="P5383" s="18"/>
      <c r="Q5383" s="18"/>
      <c r="R5383" s="18"/>
      <c r="S5383" s="18"/>
      <c r="T5383" s="18"/>
      <c r="U5383" s="18"/>
      <c r="V5383" s="18"/>
      <c r="W5383" s="18"/>
      <c r="X5383" s="18"/>
    </row>
    <row r="5384" spans="13:24">
      <c r="M5384" s="558">
        <f t="shared" si="257"/>
        <v>5382</v>
      </c>
      <c r="N5384" s="15">
        <f t="shared" si="255"/>
        <v>0.19404998018751282</v>
      </c>
      <c r="O5384" s="165">
        <f t="shared" si="256"/>
        <v>0.19404998018751282</v>
      </c>
      <c r="P5384" s="18"/>
      <c r="Q5384" s="18"/>
      <c r="R5384" s="18"/>
      <c r="S5384" s="18"/>
      <c r="T5384" s="18"/>
      <c r="U5384" s="18"/>
      <c r="V5384" s="18"/>
      <c r="W5384" s="18"/>
      <c r="X5384" s="18"/>
    </row>
    <row r="5385" spans="13:24">
      <c r="M5385" s="558">
        <f t="shared" si="257"/>
        <v>5383</v>
      </c>
      <c r="N5385" s="15">
        <f t="shared" si="255"/>
        <v>0.1939979545248933</v>
      </c>
      <c r="O5385" s="165">
        <f t="shared" si="256"/>
        <v>0.1939979545248933</v>
      </c>
      <c r="P5385" s="18"/>
      <c r="Q5385" s="18"/>
      <c r="R5385" s="18"/>
      <c r="S5385" s="18"/>
      <c r="T5385" s="18"/>
      <c r="U5385" s="18"/>
      <c r="V5385" s="18"/>
      <c r="W5385" s="18"/>
      <c r="X5385" s="18"/>
    </row>
    <row r="5386" spans="13:24">
      <c r="M5386" s="558">
        <f t="shared" si="257"/>
        <v>5384</v>
      </c>
      <c r="N5386" s="15">
        <f t="shared" si="255"/>
        <v>0.19394592968524962</v>
      </c>
      <c r="O5386" s="165">
        <f t="shared" si="256"/>
        <v>0.19394592968524962</v>
      </c>
      <c r="P5386" s="18"/>
      <c r="Q5386" s="18"/>
      <c r="R5386" s="18"/>
      <c r="S5386" s="18"/>
      <c r="T5386" s="18"/>
      <c r="U5386" s="18"/>
      <c r="V5386" s="18"/>
      <c r="W5386" s="18"/>
      <c r="X5386" s="18"/>
    </row>
    <row r="5387" spans="13:24">
      <c r="M5387" s="558">
        <f t="shared" si="257"/>
        <v>5385</v>
      </c>
      <c r="N5387" s="15">
        <f t="shared" si="255"/>
        <v>0.19389390566754902</v>
      </c>
      <c r="O5387" s="165">
        <f t="shared" si="256"/>
        <v>0.19389390566754902</v>
      </c>
      <c r="P5387" s="18"/>
      <c r="Q5387" s="18"/>
      <c r="R5387" s="18"/>
      <c r="S5387" s="18"/>
      <c r="T5387" s="18"/>
      <c r="U5387" s="18"/>
      <c r="V5387" s="18"/>
      <c r="W5387" s="18"/>
      <c r="X5387" s="18"/>
    </row>
    <row r="5388" spans="13:24">
      <c r="M5388" s="558">
        <f t="shared" si="257"/>
        <v>5386</v>
      </c>
      <c r="N5388" s="15">
        <f t="shared" si="255"/>
        <v>0.19384188247076001</v>
      </c>
      <c r="O5388" s="165">
        <f t="shared" si="256"/>
        <v>0.19384188247076001</v>
      </c>
      <c r="P5388" s="18"/>
      <c r="Q5388" s="18"/>
      <c r="R5388" s="18"/>
      <c r="S5388" s="18"/>
      <c r="T5388" s="18"/>
      <c r="U5388" s="18"/>
      <c r="V5388" s="18"/>
      <c r="W5388" s="18"/>
      <c r="X5388" s="18"/>
    </row>
    <row r="5389" spans="13:24">
      <c r="M5389" s="558">
        <f t="shared" si="257"/>
        <v>5387</v>
      </c>
      <c r="N5389" s="15">
        <f t="shared" si="255"/>
        <v>0.19378986009385243</v>
      </c>
      <c r="O5389" s="165">
        <f t="shared" si="256"/>
        <v>0.19378986009385243</v>
      </c>
      <c r="P5389" s="18"/>
      <c r="Q5389" s="18"/>
      <c r="R5389" s="18"/>
      <c r="S5389" s="18"/>
      <c r="T5389" s="18"/>
      <c r="U5389" s="18"/>
      <c r="V5389" s="18"/>
      <c r="W5389" s="18"/>
      <c r="X5389" s="18"/>
    </row>
    <row r="5390" spans="13:24">
      <c r="M5390" s="558">
        <f t="shared" si="257"/>
        <v>5388</v>
      </c>
      <c r="N5390" s="15">
        <f t="shared" si="255"/>
        <v>0.19373783853579737</v>
      </c>
      <c r="O5390" s="165">
        <f t="shared" si="256"/>
        <v>0.19373783853579737</v>
      </c>
      <c r="P5390" s="18"/>
      <c r="Q5390" s="18"/>
      <c r="R5390" s="18"/>
      <c r="S5390" s="18"/>
      <c r="T5390" s="18"/>
      <c r="U5390" s="18"/>
      <c r="V5390" s="18"/>
      <c r="W5390" s="18"/>
      <c r="X5390" s="18"/>
    </row>
    <row r="5391" spans="13:24">
      <c r="M5391" s="558">
        <f t="shared" si="257"/>
        <v>5389</v>
      </c>
      <c r="N5391" s="15">
        <f t="shared" si="255"/>
        <v>0.19368581779556729</v>
      </c>
      <c r="O5391" s="165">
        <f t="shared" si="256"/>
        <v>0.19368581779556729</v>
      </c>
      <c r="P5391" s="18"/>
      <c r="Q5391" s="18"/>
      <c r="R5391" s="18"/>
      <c r="S5391" s="18"/>
      <c r="T5391" s="18"/>
      <c r="U5391" s="18"/>
      <c r="V5391" s="18"/>
      <c r="W5391" s="18"/>
      <c r="X5391" s="18"/>
    </row>
    <row r="5392" spans="13:24">
      <c r="M5392" s="558">
        <f t="shared" si="257"/>
        <v>5390</v>
      </c>
      <c r="N5392" s="15">
        <f t="shared" si="255"/>
        <v>0.19363379787213578</v>
      </c>
      <c r="O5392" s="165">
        <f t="shared" si="256"/>
        <v>0.19363379787213578</v>
      </c>
      <c r="P5392" s="18"/>
      <c r="Q5392" s="18"/>
      <c r="R5392" s="18"/>
      <c r="S5392" s="18"/>
      <c r="T5392" s="18"/>
      <c r="U5392" s="18"/>
      <c r="V5392" s="18"/>
      <c r="W5392" s="18"/>
      <c r="X5392" s="18"/>
    </row>
    <row r="5393" spans="13:24">
      <c r="M5393" s="558">
        <f t="shared" si="257"/>
        <v>5391</v>
      </c>
      <c r="N5393" s="15">
        <f t="shared" si="255"/>
        <v>0.19358177876447794</v>
      </c>
      <c r="O5393" s="165">
        <f t="shared" si="256"/>
        <v>0.19358177876447794</v>
      </c>
      <c r="P5393" s="18"/>
      <c r="Q5393" s="18"/>
      <c r="R5393" s="18"/>
      <c r="S5393" s="18"/>
      <c r="T5393" s="18"/>
      <c r="U5393" s="18"/>
      <c r="V5393" s="18"/>
      <c r="W5393" s="18"/>
      <c r="X5393" s="18"/>
    </row>
    <row r="5394" spans="13:24">
      <c r="M5394" s="558">
        <f t="shared" si="257"/>
        <v>5392</v>
      </c>
      <c r="N5394" s="15">
        <f t="shared" si="255"/>
        <v>0.19352976047156997</v>
      </c>
      <c r="O5394" s="165">
        <f t="shared" si="256"/>
        <v>0.19352976047156997</v>
      </c>
      <c r="P5394" s="18"/>
      <c r="Q5394" s="18"/>
      <c r="R5394" s="18"/>
      <c r="S5394" s="18"/>
      <c r="T5394" s="18"/>
      <c r="U5394" s="18"/>
      <c r="V5394" s="18"/>
      <c r="W5394" s="18"/>
      <c r="X5394" s="18"/>
    </row>
    <row r="5395" spans="13:24">
      <c r="M5395" s="558">
        <f t="shared" si="257"/>
        <v>5393</v>
      </c>
      <c r="N5395" s="15">
        <f t="shared" si="255"/>
        <v>0.19347774299238946</v>
      </c>
      <c r="O5395" s="165">
        <f t="shared" si="256"/>
        <v>0.19347774299238946</v>
      </c>
      <c r="P5395" s="18"/>
      <c r="Q5395" s="18"/>
      <c r="R5395" s="18"/>
      <c r="S5395" s="18"/>
      <c r="T5395" s="18"/>
      <c r="U5395" s="18"/>
      <c r="V5395" s="18"/>
      <c r="W5395" s="18"/>
      <c r="X5395" s="18"/>
    </row>
    <row r="5396" spans="13:24">
      <c r="M5396" s="558">
        <f t="shared" si="257"/>
        <v>5394</v>
      </c>
      <c r="N5396" s="15">
        <f t="shared" si="255"/>
        <v>0.1934257263259152</v>
      </c>
      <c r="O5396" s="165">
        <f t="shared" si="256"/>
        <v>0.1934257263259152</v>
      </c>
      <c r="P5396" s="18"/>
      <c r="Q5396" s="18"/>
      <c r="R5396" s="18"/>
      <c r="S5396" s="18"/>
      <c r="T5396" s="18"/>
      <c r="U5396" s="18"/>
      <c r="V5396" s="18"/>
      <c r="W5396" s="18"/>
      <c r="X5396" s="18"/>
    </row>
    <row r="5397" spans="13:24">
      <c r="M5397" s="558">
        <f t="shared" si="257"/>
        <v>5395</v>
      </c>
      <c r="N5397" s="15">
        <f t="shared" si="255"/>
        <v>0.19337371047112736</v>
      </c>
      <c r="O5397" s="165">
        <f t="shared" si="256"/>
        <v>0.19337371047112736</v>
      </c>
      <c r="P5397" s="18"/>
      <c r="Q5397" s="18"/>
      <c r="R5397" s="18"/>
      <c r="S5397" s="18"/>
      <c r="T5397" s="18"/>
      <c r="U5397" s="18"/>
      <c r="V5397" s="18"/>
      <c r="W5397" s="18"/>
      <c r="X5397" s="18"/>
    </row>
    <row r="5398" spans="13:24">
      <c r="M5398" s="558">
        <f t="shared" si="257"/>
        <v>5396</v>
      </c>
      <c r="N5398" s="15">
        <f t="shared" si="255"/>
        <v>0.19332169542700731</v>
      </c>
      <c r="O5398" s="165">
        <f t="shared" si="256"/>
        <v>0.19332169542700731</v>
      </c>
      <c r="P5398" s="18"/>
      <c r="Q5398" s="18"/>
      <c r="R5398" s="18"/>
      <c r="S5398" s="18"/>
      <c r="T5398" s="18"/>
      <c r="U5398" s="18"/>
      <c r="V5398" s="18"/>
      <c r="W5398" s="18"/>
      <c r="X5398" s="18"/>
    </row>
    <row r="5399" spans="13:24">
      <c r="M5399" s="558">
        <f t="shared" si="257"/>
        <v>5397</v>
      </c>
      <c r="N5399" s="15">
        <f t="shared" si="255"/>
        <v>0.19326968119253776</v>
      </c>
      <c r="O5399" s="165">
        <f t="shared" si="256"/>
        <v>0.19326968119253776</v>
      </c>
      <c r="P5399" s="18"/>
      <c r="Q5399" s="18"/>
      <c r="R5399" s="18"/>
      <c r="S5399" s="18"/>
      <c r="T5399" s="18"/>
      <c r="U5399" s="18"/>
      <c r="V5399" s="18"/>
      <c r="W5399" s="18"/>
      <c r="X5399" s="18"/>
    </row>
    <row r="5400" spans="13:24">
      <c r="M5400" s="558">
        <f t="shared" si="257"/>
        <v>5398</v>
      </c>
      <c r="N5400" s="15">
        <f t="shared" si="255"/>
        <v>0.1932176677667026</v>
      </c>
      <c r="O5400" s="165">
        <f t="shared" si="256"/>
        <v>0.1932176677667026</v>
      </c>
      <c r="P5400" s="18"/>
      <c r="Q5400" s="18"/>
      <c r="R5400" s="18"/>
      <c r="S5400" s="18"/>
      <c r="T5400" s="18"/>
      <c r="U5400" s="18"/>
      <c r="V5400" s="18"/>
      <c r="W5400" s="18"/>
      <c r="X5400" s="18"/>
    </row>
    <row r="5401" spans="13:24">
      <c r="M5401" s="558">
        <f t="shared" si="257"/>
        <v>5399</v>
      </c>
      <c r="N5401" s="15">
        <f t="shared" si="255"/>
        <v>0.1931656551484871</v>
      </c>
      <c r="O5401" s="165">
        <f t="shared" si="256"/>
        <v>0.1931656551484871</v>
      </c>
      <c r="P5401" s="18"/>
      <c r="Q5401" s="18"/>
      <c r="R5401" s="18"/>
      <c r="S5401" s="18"/>
      <c r="T5401" s="18"/>
      <c r="U5401" s="18"/>
      <c r="V5401" s="18"/>
      <c r="W5401" s="18"/>
      <c r="X5401" s="18"/>
    </row>
    <row r="5402" spans="13:24">
      <c r="M5402" s="558">
        <f t="shared" si="257"/>
        <v>5400</v>
      </c>
      <c r="N5402" s="15">
        <f t="shared" si="255"/>
        <v>0.19311364333687778</v>
      </c>
      <c r="O5402" s="165">
        <f t="shared" si="256"/>
        <v>0.19311364333687778</v>
      </c>
      <c r="P5402" s="18"/>
      <c r="Q5402" s="18"/>
      <c r="R5402" s="18"/>
      <c r="S5402" s="18"/>
      <c r="T5402" s="18"/>
      <c r="U5402" s="18"/>
      <c r="V5402" s="18"/>
      <c r="W5402" s="18"/>
      <c r="X5402" s="18"/>
    </row>
    <row r="5403" spans="13:24">
      <c r="M5403" s="558">
        <f t="shared" si="257"/>
        <v>5401</v>
      </c>
      <c r="N5403" s="15">
        <f t="shared" si="255"/>
        <v>0.19306163233086238</v>
      </c>
      <c r="O5403" s="165">
        <f t="shared" si="256"/>
        <v>0.19306163233086238</v>
      </c>
      <c r="P5403" s="18"/>
      <c r="Q5403" s="18"/>
      <c r="R5403" s="18"/>
      <c r="S5403" s="18"/>
      <c r="T5403" s="18"/>
      <c r="U5403" s="18"/>
      <c r="V5403" s="18"/>
      <c r="W5403" s="18"/>
      <c r="X5403" s="18"/>
    </row>
    <row r="5404" spans="13:24">
      <c r="M5404" s="558">
        <f t="shared" si="257"/>
        <v>5402</v>
      </c>
      <c r="N5404" s="15">
        <f t="shared" si="255"/>
        <v>0.19300962212942999</v>
      </c>
      <c r="O5404" s="165">
        <f t="shared" si="256"/>
        <v>0.19300962212942999</v>
      </c>
      <c r="P5404" s="18"/>
      <c r="Q5404" s="18"/>
      <c r="R5404" s="18"/>
      <c r="S5404" s="18"/>
      <c r="T5404" s="18"/>
      <c r="U5404" s="18"/>
      <c r="V5404" s="18"/>
      <c r="W5404" s="18"/>
      <c r="X5404" s="18"/>
    </row>
    <row r="5405" spans="13:24">
      <c r="M5405" s="558">
        <f t="shared" si="257"/>
        <v>5403</v>
      </c>
      <c r="N5405" s="15">
        <f t="shared" si="255"/>
        <v>0.19295761273157083</v>
      </c>
      <c r="O5405" s="165">
        <f t="shared" si="256"/>
        <v>0.19295761273157083</v>
      </c>
      <c r="P5405" s="18"/>
      <c r="Q5405" s="18"/>
      <c r="R5405" s="18"/>
      <c r="S5405" s="18"/>
      <c r="T5405" s="18"/>
      <c r="U5405" s="18"/>
      <c r="V5405" s="18"/>
      <c r="W5405" s="18"/>
      <c r="X5405" s="18"/>
    </row>
    <row r="5406" spans="13:24">
      <c r="M5406" s="558">
        <f t="shared" si="257"/>
        <v>5404</v>
      </c>
      <c r="N5406" s="15">
        <f t="shared" si="255"/>
        <v>0.19290560413627661</v>
      </c>
      <c r="O5406" s="165">
        <f t="shared" si="256"/>
        <v>0.19290560413627661</v>
      </c>
      <c r="P5406" s="18"/>
      <c r="Q5406" s="18"/>
      <c r="R5406" s="18"/>
      <c r="S5406" s="18"/>
      <c r="T5406" s="18"/>
      <c r="U5406" s="18"/>
      <c r="V5406" s="18"/>
      <c r="W5406" s="18"/>
      <c r="X5406" s="18"/>
    </row>
    <row r="5407" spans="13:24">
      <c r="M5407" s="558">
        <f t="shared" si="257"/>
        <v>5405</v>
      </c>
      <c r="N5407" s="15">
        <f t="shared" si="255"/>
        <v>0.19285359634254004</v>
      </c>
      <c r="O5407" s="165">
        <f t="shared" si="256"/>
        <v>0.19285359634254004</v>
      </c>
      <c r="P5407" s="18"/>
      <c r="Q5407" s="18"/>
      <c r="R5407" s="18"/>
      <c r="S5407" s="18"/>
      <c r="T5407" s="18"/>
      <c r="U5407" s="18"/>
      <c r="V5407" s="18"/>
      <c r="W5407" s="18"/>
      <c r="X5407" s="18"/>
    </row>
    <row r="5408" spans="13:24">
      <c r="M5408" s="558">
        <f t="shared" si="257"/>
        <v>5406</v>
      </c>
      <c r="N5408" s="15">
        <f t="shared" si="255"/>
        <v>0.19280158934935535</v>
      </c>
      <c r="O5408" s="165">
        <f t="shared" si="256"/>
        <v>0.19280158934935535</v>
      </c>
      <c r="P5408" s="18"/>
      <c r="Q5408" s="18"/>
      <c r="R5408" s="18"/>
      <c r="S5408" s="18"/>
      <c r="T5408" s="18"/>
      <c r="U5408" s="18"/>
      <c r="V5408" s="18"/>
      <c r="W5408" s="18"/>
      <c r="X5408" s="18"/>
    </row>
    <row r="5409" spans="13:24">
      <c r="M5409" s="558">
        <f t="shared" si="257"/>
        <v>5407</v>
      </c>
      <c r="N5409" s="15">
        <f t="shared" si="255"/>
        <v>0.19274958315571783</v>
      </c>
      <c r="O5409" s="165">
        <f t="shared" si="256"/>
        <v>0.19274958315571783</v>
      </c>
      <c r="P5409" s="18"/>
      <c r="Q5409" s="18"/>
      <c r="R5409" s="18"/>
      <c r="S5409" s="18"/>
      <c r="T5409" s="18"/>
      <c r="U5409" s="18"/>
      <c r="V5409" s="18"/>
      <c r="W5409" s="18"/>
      <c r="X5409" s="18"/>
    </row>
    <row r="5410" spans="13:24">
      <c r="M5410" s="558">
        <f t="shared" si="257"/>
        <v>5408</v>
      </c>
      <c r="N5410" s="15">
        <f t="shared" si="255"/>
        <v>0.19269757776062416</v>
      </c>
      <c r="O5410" s="165">
        <f t="shared" si="256"/>
        <v>0.19269757776062416</v>
      </c>
      <c r="P5410" s="18"/>
      <c r="Q5410" s="18"/>
      <c r="R5410" s="18"/>
      <c r="S5410" s="18"/>
      <c r="T5410" s="18"/>
      <c r="U5410" s="18"/>
      <c r="V5410" s="18"/>
      <c r="W5410" s="18"/>
      <c r="X5410" s="18"/>
    </row>
    <row r="5411" spans="13:24">
      <c r="M5411" s="558">
        <f t="shared" si="257"/>
        <v>5409</v>
      </c>
      <c r="N5411" s="15">
        <f t="shared" si="255"/>
        <v>0.19264557316307218</v>
      </c>
      <c r="O5411" s="165">
        <f t="shared" si="256"/>
        <v>0.19264557316307218</v>
      </c>
      <c r="P5411" s="18"/>
      <c r="Q5411" s="18"/>
      <c r="R5411" s="18"/>
      <c r="S5411" s="18"/>
      <c r="T5411" s="18"/>
      <c r="U5411" s="18"/>
      <c r="V5411" s="18"/>
      <c r="W5411" s="18"/>
      <c r="X5411" s="18"/>
    </row>
    <row r="5412" spans="13:24">
      <c r="M5412" s="558">
        <f t="shared" si="257"/>
        <v>5410</v>
      </c>
      <c r="N5412" s="15">
        <f t="shared" si="255"/>
        <v>0.1925935693620611</v>
      </c>
      <c r="O5412" s="165">
        <f t="shared" si="256"/>
        <v>0.1925935693620611</v>
      </c>
      <c r="P5412" s="18"/>
      <c r="Q5412" s="18"/>
      <c r="R5412" s="18"/>
      <c r="S5412" s="18"/>
      <c r="T5412" s="18"/>
      <c r="U5412" s="18"/>
      <c r="V5412" s="18"/>
      <c r="W5412" s="18"/>
      <c r="X5412" s="18"/>
    </row>
    <row r="5413" spans="13:24">
      <c r="M5413" s="558">
        <f t="shared" si="257"/>
        <v>5411</v>
      </c>
      <c r="N5413" s="15">
        <f t="shared" si="255"/>
        <v>0.19254156635659128</v>
      </c>
      <c r="O5413" s="165">
        <f t="shared" si="256"/>
        <v>0.19254156635659128</v>
      </c>
      <c r="P5413" s="18"/>
      <c r="Q5413" s="18"/>
      <c r="R5413" s="18"/>
      <c r="S5413" s="18"/>
      <c r="T5413" s="18"/>
      <c r="U5413" s="18"/>
      <c r="V5413" s="18"/>
      <c r="W5413" s="18"/>
      <c r="X5413" s="18"/>
    </row>
    <row r="5414" spans="13:24">
      <c r="M5414" s="558">
        <f t="shared" si="257"/>
        <v>5412</v>
      </c>
      <c r="N5414" s="15">
        <f t="shared" si="255"/>
        <v>0.1924895641456644</v>
      </c>
      <c r="O5414" s="165">
        <f t="shared" si="256"/>
        <v>0.1924895641456644</v>
      </c>
      <c r="P5414" s="18"/>
      <c r="Q5414" s="18"/>
      <c r="R5414" s="18"/>
      <c r="S5414" s="18"/>
      <c r="T5414" s="18"/>
      <c r="U5414" s="18"/>
      <c r="V5414" s="18"/>
      <c r="W5414" s="18"/>
      <c r="X5414" s="18"/>
    </row>
    <row r="5415" spans="13:24">
      <c r="M5415" s="558">
        <f t="shared" si="257"/>
        <v>5413</v>
      </c>
      <c r="N5415" s="15">
        <f t="shared" si="255"/>
        <v>0.19243756272828336</v>
      </c>
      <c r="O5415" s="165">
        <f t="shared" si="256"/>
        <v>0.19243756272828336</v>
      </c>
      <c r="P5415" s="18"/>
      <c r="Q5415" s="18"/>
      <c r="R5415" s="18"/>
      <c r="S5415" s="18"/>
      <c r="T5415" s="18"/>
      <c r="U5415" s="18"/>
      <c r="V5415" s="18"/>
      <c r="W5415" s="18"/>
      <c r="X5415" s="18"/>
    </row>
    <row r="5416" spans="13:24">
      <c r="M5416" s="558">
        <f t="shared" si="257"/>
        <v>5414</v>
      </c>
      <c r="N5416" s="15">
        <f t="shared" si="255"/>
        <v>0.19238556210345234</v>
      </c>
      <c r="O5416" s="165">
        <f t="shared" si="256"/>
        <v>0.19238556210345234</v>
      </c>
      <c r="P5416" s="18"/>
      <c r="Q5416" s="18"/>
      <c r="R5416" s="18"/>
      <c r="S5416" s="18"/>
      <c r="T5416" s="18"/>
      <c r="U5416" s="18"/>
      <c r="V5416" s="18"/>
      <c r="W5416" s="18"/>
      <c r="X5416" s="18"/>
    </row>
    <row r="5417" spans="13:24">
      <c r="M5417" s="558">
        <f t="shared" si="257"/>
        <v>5415</v>
      </c>
      <c r="N5417" s="15">
        <f t="shared" si="255"/>
        <v>0.19233356227017676</v>
      </c>
      <c r="O5417" s="165">
        <f t="shared" si="256"/>
        <v>0.19233356227017676</v>
      </c>
      <c r="P5417" s="18"/>
      <c r="Q5417" s="18"/>
      <c r="R5417" s="18"/>
      <c r="S5417" s="18"/>
      <c r="T5417" s="18"/>
      <c r="U5417" s="18"/>
      <c r="V5417" s="18"/>
      <c r="W5417" s="18"/>
      <c r="X5417" s="18"/>
    </row>
    <row r="5418" spans="13:24">
      <c r="M5418" s="558">
        <f t="shared" si="257"/>
        <v>5416</v>
      </c>
      <c r="N5418" s="15">
        <f t="shared" si="255"/>
        <v>0.19228156322746323</v>
      </c>
      <c r="O5418" s="165">
        <f t="shared" si="256"/>
        <v>0.19228156322746323</v>
      </c>
      <c r="P5418" s="18"/>
      <c r="Q5418" s="18"/>
      <c r="R5418" s="18"/>
      <c r="S5418" s="18"/>
      <c r="T5418" s="18"/>
      <c r="U5418" s="18"/>
      <c r="V5418" s="18"/>
      <c r="W5418" s="18"/>
      <c r="X5418" s="18"/>
    </row>
    <row r="5419" spans="13:24">
      <c r="M5419" s="558">
        <f t="shared" si="257"/>
        <v>5417</v>
      </c>
      <c r="N5419" s="15">
        <f t="shared" si="255"/>
        <v>0.19222956497431973</v>
      </c>
      <c r="O5419" s="165">
        <f t="shared" si="256"/>
        <v>0.19222956497431973</v>
      </c>
      <c r="P5419" s="18"/>
      <c r="Q5419" s="18"/>
      <c r="R5419" s="18"/>
      <c r="S5419" s="18"/>
      <c r="T5419" s="18"/>
      <c r="U5419" s="18"/>
      <c r="V5419" s="18"/>
      <c r="W5419" s="18"/>
      <c r="X5419" s="18"/>
    </row>
    <row r="5420" spans="13:24">
      <c r="M5420" s="558">
        <f t="shared" si="257"/>
        <v>5418</v>
      </c>
      <c r="N5420" s="15">
        <f t="shared" si="255"/>
        <v>0.19217756750975537</v>
      </c>
      <c r="O5420" s="165">
        <f t="shared" si="256"/>
        <v>0.19217756750975537</v>
      </c>
      <c r="P5420" s="18"/>
      <c r="Q5420" s="18"/>
      <c r="R5420" s="18"/>
      <c r="S5420" s="18"/>
      <c r="T5420" s="18"/>
      <c r="U5420" s="18"/>
      <c r="V5420" s="18"/>
      <c r="W5420" s="18"/>
      <c r="X5420" s="18"/>
    </row>
    <row r="5421" spans="13:24">
      <c r="M5421" s="558">
        <f t="shared" si="257"/>
        <v>5419</v>
      </c>
      <c r="N5421" s="15">
        <f t="shared" si="255"/>
        <v>0.19212557083278056</v>
      </c>
      <c r="O5421" s="165">
        <f t="shared" si="256"/>
        <v>0.19212557083278056</v>
      </c>
      <c r="P5421" s="18"/>
      <c r="Q5421" s="18"/>
      <c r="R5421" s="18"/>
      <c r="S5421" s="18"/>
      <c r="T5421" s="18"/>
      <c r="U5421" s="18"/>
      <c r="V5421" s="18"/>
      <c r="W5421" s="18"/>
      <c r="X5421" s="18"/>
    </row>
    <row r="5422" spans="13:24">
      <c r="M5422" s="558">
        <f t="shared" si="257"/>
        <v>5420</v>
      </c>
      <c r="N5422" s="15">
        <f t="shared" si="255"/>
        <v>0.1920735749424069</v>
      </c>
      <c r="O5422" s="165">
        <f t="shared" si="256"/>
        <v>0.1920735749424069</v>
      </c>
      <c r="P5422" s="18"/>
      <c r="Q5422" s="18"/>
      <c r="R5422" s="18"/>
      <c r="S5422" s="18"/>
      <c r="T5422" s="18"/>
      <c r="U5422" s="18"/>
      <c r="V5422" s="18"/>
      <c r="W5422" s="18"/>
      <c r="X5422" s="18"/>
    </row>
    <row r="5423" spans="13:24">
      <c r="M5423" s="558">
        <f t="shared" si="257"/>
        <v>5421</v>
      </c>
      <c r="N5423" s="15">
        <f t="shared" si="255"/>
        <v>0.19202157983764734</v>
      </c>
      <c r="O5423" s="165">
        <f t="shared" si="256"/>
        <v>0.19202157983764734</v>
      </c>
      <c r="P5423" s="18"/>
      <c r="Q5423" s="18"/>
      <c r="R5423" s="18"/>
      <c r="S5423" s="18"/>
      <c r="T5423" s="18"/>
      <c r="U5423" s="18"/>
      <c r="V5423" s="18"/>
      <c r="W5423" s="18"/>
      <c r="X5423" s="18"/>
    </row>
    <row r="5424" spans="13:24">
      <c r="M5424" s="558">
        <f t="shared" si="257"/>
        <v>5422</v>
      </c>
      <c r="N5424" s="15">
        <f t="shared" si="255"/>
        <v>0.19196958551751592</v>
      </c>
      <c r="O5424" s="165">
        <f t="shared" si="256"/>
        <v>0.19196958551751592</v>
      </c>
      <c r="P5424" s="18"/>
      <c r="Q5424" s="18"/>
      <c r="R5424" s="18"/>
      <c r="S5424" s="18"/>
      <c r="T5424" s="18"/>
      <c r="U5424" s="18"/>
      <c r="V5424" s="18"/>
      <c r="W5424" s="18"/>
      <c r="X5424" s="18"/>
    </row>
    <row r="5425" spans="13:24">
      <c r="M5425" s="558">
        <f t="shared" si="257"/>
        <v>5423</v>
      </c>
      <c r="N5425" s="15">
        <f t="shared" si="255"/>
        <v>0.19191759198102809</v>
      </c>
      <c r="O5425" s="165">
        <f t="shared" si="256"/>
        <v>0.19191759198102809</v>
      </c>
      <c r="P5425" s="18"/>
      <c r="Q5425" s="18"/>
      <c r="R5425" s="18"/>
      <c r="S5425" s="18"/>
      <c r="T5425" s="18"/>
      <c r="U5425" s="18"/>
      <c r="V5425" s="18"/>
      <c r="W5425" s="18"/>
      <c r="X5425" s="18"/>
    </row>
    <row r="5426" spans="13:24">
      <c r="M5426" s="558">
        <f t="shared" si="257"/>
        <v>5424</v>
      </c>
      <c r="N5426" s="15">
        <f t="shared" si="255"/>
        <v>0.19186559922720031</v>
      </c>
      <c r="O5426" s="165">
        <f t="shared" si="256"/>
        <v>0.19186559922720031</v>
      </c>
      <c r="P5426" s="18"/>
      <c r="Q5426" s="18"/>
      <c r="R5426" s="18"/>
      <c r="S5426" s="18"/>
      <c r="T5426" s="18"/>
      <c r="U5426" s="18"/>
      <c r="V5426" s="18"/>
      <c r="W5426" s="18"/>
      <c r="X5426" s="18"/>
    </row>
    <row r="5427" spans="13:24">
      <c r="M5427" s="558">
        <f t="shared" si="257"/>
        <v>5425</v>
      </c>
      <c r="N5427" s="15">
        <f t="shared" si="255"/>
        <v>0.19181360725505053</v>
      </c>
      <c r="O5427" s="165">
        <f t="shared" si="256"/>
        <v>0.19181360725505053</v>
      </c>
      <c r="P5427" s="18"/>
      <c r="Q5427" s="18"/>
      <c r="R5427" s="18"/>
      <c r="S5427" s="18"/>
      <c r="T5427" s="18"/>
      <c r="U5427" s="18"/>
      <c r="V5427" s="18"/>
      <c r="W5427" s="18"/>
      <c r="X5427" s="18"/>
    </row>
    <row r="5428" spans="13:24">
      <c r="M5428" s="558">
        <f t="shared" si="257"/>
        <v>5426</v>
      </c>
      <c r="N5428" s="15">
        <f t="shared" si="255"/>
        <v>0.19176161606359773</v>
      </c>
      <c r="O5428" s="165">
        <f t="shared" si="256"/>
        <v>0.19176161606359773</v>
      </c>
      <c r="P5428" s="18"/>
      <c r="Q5428" s="18"/>
      <c r="R5428" s="18"/>
      <c r="S5428" s="18"/>
      <c r="T5428" s="18"/>
      <c r="U5428" s="18"/>
      <c r="V5428" s="18"/>
      <c r="W5428" s="18"/>
      <c r="X5428" s="18"/>
    </row>
    <row r="5429" spans="13:24">
      <c r="M5429" s="558">
        <f t="shared" si="257"/>
        <v>5427</v>
      </c>
      <c r="N5429" s="15">
        <f t="shared" si="255"/>
        <v>0.19170962565186225</v>
      </c>
      <c r="O5429" s="165">
        <f t="shared" si="256"/>
        <v>0.19170962565186225</v>
      </c>
      <c r="P5429" s="18"/>
      <c r="Q5429" s="18"/>
      <c r="R5429" s="18"/>
      <c r="S5429" s="18"/>
      <c r="T5429" s="18"/>
      <c r="U5429" s="18"/>
      <c r="V5429" s="18"/>
      <c r="W5429" s="18"/>
      <c r="X5429" s="18"/>
    </row>
    <row r="5430" spans="13:24">
      <c r="M5430" s="558">
        <f t="shared" si="257"/>
        <v>5428</v>
      </c>
      <c r="N5430" s="15">
        <f t="shared" si="255"/>
        <v>0.19165763601886557</v>
      </c>
      <c r="O5430" s="165">
        <f t="shared" si="256"/>
        <v>0.19165763601886557</v>
      </c>
      <c r="P5430" s="18"/>
      <c r="Q5430" s="18"/>
      <c r="R5430" s="18"/>
      <c r="S5430" s="18"/>
      <c r="T5430" s="18"/>
      <c r="U5430" s="18"/>
      <c r="V5430" s="18"/>
      <c r="W5430" s="18"/>
      <c r="X5430" s="18"/>
    </row>
    <row r="5431" spans="13:24">
      <c r="M5431" s="558">
        <f t="shared" si="257"/>
        <v>5429</v>
      </c>
      <c r="N5431" s="15">
        <f t="shared" si="255"/>
        <v>0.19160564716363043</v>
      </c>
      <c r="O5431" s="165">
        <f t="shared" si="256"/>
        <v>0.19160564716363043</v>
      </c>
      <c r="P5431" s="18"/>
      <c r="Q5431" s="18"/>
      <c r="R5431" s="18"/>
      <c r="S5431" s="18"/>
      <c r="T5431" s="18"/>
      <c r="U5431" s="18"/>
      <c r="V5431" s="18"/>
      <c r="W5431" s="18"/>
      <c r="X5431" s="18"/>
    </row>
    <row r="5432" spans="13:24">
      <c r="M5432" s="558">
        <f t="shared" si="257"/>
        <v>5430</v>
      </c>
      <c r="N5432" s="15">
        <f t="shared" si="255"/>
        <v>0.19155365908518085</v>
      </c>
      <c r="O5432" s="165">
        <f t="shared" si="256"/>
        <v>0.19155365908518085</v>
      </c>
      <c r="P5432" s="18"/>
      <c r="Q5432" s="18"/>
      <c r="R5432" s="18"/>
      <c r="S5432" s="18"/>
      <c r="T5432" s="18"/>
      <c r="U5432" s="18"/>
      <c r="V5432" s="18"/>
      <c r="W5432" s="18"/>
      <c r="X5432" s="18"/>
    </row>
    <row r="5433" spans="13:24">
      <c r="M5433" s="558">
        <f t="shared" si="257"/>
        <v>5431</v>
      </c>
      <c r="N5433" s="15">
        <f t="shared" si="255"/>
        <v>0.19150167178254196</v>
      </c>
      <c r="O5433" s="165">
        <f t="shared" si="256"/>
        <v>0.19150167178254196</v>
      </c>
      <c r="P5433" s="18"/>
      <c r="Q5433" s="18"/>
      <c r="R5433" s="18"/>
      <c r="S5433" s="18"/>
      <c r="T5433" s="18"/>
      <c r="U5433" s="18"/>
      <c r="V5433" s="18"/>
      <c r="W5433" s="18"/>
      <c r="X5433" s="18"/>
    </row>
    <row r="5434" spans="13:24">
      <c r="M5434" s="558">
        <f t="shared" si="257"/>
        <v>5432</v>
      </c>
      <c r="N5434" s="15">
        <f t="shared" si="255"/>
        <v>0.19144968525474024</v>
      </c>
      <c r="O5434" s="165">
        <f t="shared" si="256"/>
        <v>0.19144968525474024</v>
      </c>
      <c r="P5434" s="18"/>
      <c r="Q5434" s="18"/>
      <c r="R5434" s="18"/>
      <c r="S5434" s="18"/>
      <c r="T5434" s="18"/>
      <c r="U5434" s="18"/>
      <c r="V5434" s="18"/>
      <c r="W5434" s="18"/>
      <c r="X5434" s="18"/>
    </row>
    <row r="5435" spans="13:24">
      <c r="M5435" s="558">
        <f t="shared" si="257"/>
        <v>5433</v>
      </c>
      <c r="N5435" s="15">
        <f t="shared" si="255"/>
        <v>0.19139769950080326</v>
      </c>
      <c r="O5435" s="165">
        <f t="shared" si="256"/>
        <v>0.19139769950080326</v>
      </c>
      <c r="P5435" s="18"/>
      <c r="Q5435" s="18"/>
      <c r="R5435" s="18"/>
      <c r="S5435" s="18"/>
      <c r="T5435" s="18"/>
      <c r="U5435" s="18"/>
      <c r="V5435" s="18"/>
      <c r="W5435" s="18"/>
      <c r="X5435" s="18"/>
    </row>
    <row r="5436" spans="13:24">
      <c r="M5436" s="558">
        <f t="shared" si="257"/>
        <v>5434</v>
      </c>
      <c r="N5436" s="15">
        <f t="shared" si="255"/>
        <v>0.19134571451975999</v>
      </c>
      <c r="O5436" s="165">
        <f t="shared" si="256"/>
        <v>0.19134571451975999</v>
      </c>
      <c r="P5436" s="18"/>
      <c r="Q5436" s="18"/>
      <c r="R5436" s="18"/>
      <c r="S5436" s="18"/>
      <c r="T5436" s="18"/>
      <c r="U5436" s="18"/>
      <c r="V5436" s="18"/>
      <c r="W5436" s="18"/>
      <c r="X5436" s="18"/>
    </row>
    <row r="5437" spans="13:24">
      <c r="M5437" s="558">
        <f t="shared" si="257"/>
        <v>5435</v>
      </c>
      <c r="N5437" s="15">
        <f t="shared" si="255"/>
        <v>0.1912937303106404</v>
      </c>
      <c r="O5437" s="165">
        <f t="shared" si="256"/>
        <v>0.1912937303106404</v>
      </c>
      <c r="P5437" s="18"/>
      <c r="Q5437" s="18"/>
      <c r="R5437" s="18"/>
      <c r="S5437" s="18"/>
      <c r="T5437" s="18"/>
      <c r="U5437" s="18"/>
      <c r="V5437" s="18"/>
      <c r="W5437" s="18"/>
      <c r="X5437" s="18"/>
    </row>
    <row r="5438" spans="13:24">
      <c r="M5438" s="558">
        <f t="shared" si="257"/>
        <v>5436</v>
      </c>
      <c r="N5438" s="15">
        <f t="shared" si="255"/>
        <v>0.19124174687247589</v>
      </c>
      <c r="O5438" s="165">
        <f t="shared" si="256"/>
        <v>0.19124174687247589</v>
      </c>
      <c r="P5438" s="18"/>
      <c r="Q5438" s="18"/>
      <c r="R5438" s="18"/>
      <c r="S5438" s="18"/>
      <c r="T5438" s="18"/>
      <c r="U5438" s="18"/>
      <c r="V5438" s="18"/>
      <c r="W5438" s="18"/>
      <c r="X5438" s="18"/>
    </row>
    <row r="5439" spans="13:24">
      <c r="M5439" s="558">
        <f t="shared" si="257"/>
        <v>5437</v>
      </c>
      <c r="N5439" s="15">
        <f t="shared" si="255"/>
        <v>0.19118976420429887</v>
      </c>
      <c r="O5439" s="165">
        <f t="shared" si="256"/>
        <v>0.19118976420429887</v>
      </c>
      <c r="P5439" s="18"/>
      <c r="Q5439" s="18"/>
      <c r="R5439" s="18"/>
      <c r="S5439" s="18"/>
      <c r="T5439" s="18"/>
      <c r="U5439" s="18"/>
      <c r="V5439" s="18"/>
      <c r="W5439" s="18"/>
      <c r="X5439" s="18"/>
    </row>
    <row r="5440" spans="13:24">
      <c r="M5440" s="558">
        <f t="shared" si="257"/>
        <v>5438</v>
      </c>
      <c r="N5440" s="15">
        <f t="shared" si="255"/>
        <v>0.19113778230514314</v>
      </c>
      <c r="O5440" s="165">
        <f t="shared" si="256"/>
        <v>0.19113778230514314</v>
      </c>
      <c r="P5440" s="18"/>
      <c r="Q5440" s="18"/>
      <c r="R5440" s="18"/>
      <c r="S5440" s="18"/>
      <c r="T5440" s="18"/>
      <c r="U5440" s="18"/>
      <c r="V5440" s="18"/>
      <c r="W5440" s="18"/>
      <c r="X5440" s="18"/>
    </row>
    <row r="5441" spans="13:24">
      <c r="M5441" s="558">
        <f t="shared" si="257"/>
        <v>5439</v>
      </c>
      <c r="N5441" s="15">
        <f t="shared" si="255"/>
        <v>0.19108580117404358</v>
      </c>
      <c r="O5441" s="165">
        <f t="shared" si="256"/>
        <v>0.19108580117404358</v>
      </c>
      <c r="P5441" s="18"/>
      <c r="Q5441" s="18"/>
      <c r="R5441" s="18"/>
      <c r="S5441" s="18"/>
      <c r="T5441" s="18"/>
      <c r="U5441" s="18"/>
      <c r="V5441" s="18"/>
      <c r="W5441" s="18"/>
      <c r="X5441" s="18"/>
    </row>
    <row r="5442" spans="13:24">
      <c r="M5442" s="558">
        <f t="shared" si="257"/>
        <v>5440</v>
      </c>
      <c r="N5442" s="15">
        <f t="shared" si="255"/>
        <v>0.19103382081003642</v>
      </c>
      <c r="O5442" s="165">
        <f t="shared" si="256"/>
        <v>0.19103382081003642</v>
      </c>
      <c r="P5442" s="18"/>
      <c r="Q5442" s="18"/>
      <c r="R5442" s="18"/>
      <c r="S5442" s="18"/>
      <c r="T5442" s="18"/>
      <c r="U5442" s="18"/>
      <c r="V5442" s="18"/>
      <c r="W5442" s="18"/>
      <c r="X5442" s="18"/>
    </row>
    <row r="5443" spans="13:24">
      <c r="M5443" s="558">
        <f t="shared" si="257"/>
        <v>5441</v>
      </c>
      <c r="N5443" s="15">
        <f t="shared" si="255"/>
        <v>0.19098184121215894</v>
      </c>
      <c r="O5443" s="165">
        <f t="shared" si="256"/>
        <v>0.19098184121215894</v>
      </c>
      <c r="P5443" s="18"/>
      <c r="Q5443" s="18"/>
      <c r="R5443" s="18"/>
      <c r="S5443" s="18"/>
      <c r="T5443" s="18"/>
      <c r="U5443" s="18"/>
      <c r="V5443" s="18"/>
      <c r="W5443" s="18"/>
      <c r="X5443" s="18"/>
    </row>
    <row r="5444" spans="13:24">
      <c r="M5444" s="558">
        <f t="shared" si="257"/>
        <v>5442</v>
      </c>
      <c r="N5444" s="15">
        <f t="shared" ref="N5444:N5507" si="258">IF(M5444&lt;$B$31+1,$B$32+$B$33/$B$31*(8760-M5444)+$B$34*IF(M5444&lt;$B$36-$B$31/(2*$B$35),1,IF(M5444&lt;$B$36+$B$31/(2*$B$35),COS(PI()/2*(M5444-($B$36-$B$31/(2*$B$35)))*$B$35/$B$31)^2,0))+$B$37*EXP((8760-M5444)/8760*$B$38)/EXP($B$38)-(8760-$B$31)*$B$33/$B$31,0)</f>
        <v>0.19092986237944978</v>
      </c>
      <c r="O5444" s="165">
        <f t="shared" ref="O5444:O5507" si="259">MIN(N5444,C$24)</f>
        <v>0.19092986237944978</v>
      </c>
      <c r="P5444" s="18"/>
      <c r="Q5444" s="18"/>
      <c r="R5444" s="18"/>
      <c r="S5444" s="18"/>
      <c r="T5444" s="18"/>
      <c r="U5444" s="18"/>
      <c r="V5444" s="18"/>
      <c r="W5444" s="18"/>
      <c r="X5444" s="18"/>
    </row>
    <row r="5445" spans="13:24">
      <c r="M5445" s="558">
        <f t="shared" ref="M5445:M5508" si="260">M5444+1</f>
        <v>5443</v>
      </c>
      <c r="N5445" s="15">
        <f t="shared" si="258"/>
        <v>0.19087788431094868</v>
      </c>
      <c r="O5445" s="165">
        <f t="shared" si="259"/>
        <v>0.19087788431094868</v>
      </c>
      <c r="P5445" s="18"/>
      <c r="Q5445" s="18"/>
      <c r="R5445" s="18"/>
      <c r="S5445" s="18"/>
      <c r="T5445" s="18"/>
      <c r="U5445" s="18"/>
      <c r="V5445" s="18"/>
      <c r="W5445" s="18"/>
      <c r="X5445" s="18"/>
    </row>
    <row r="5446" spans="13:24">
      <c r="M5446" s="558">
        <f t="shared" si="260"/>
        <v>5444</v>
      </c>
      <c r="N5446" s="15">
        <f t="shared" si="258"/>
        <v>0.1908259070056966</v>
      </c>
      <c r="O5446" s="165">
        <f t="shared" si="259"/>
        <v>0.1908259070056966</v>
      </c>
      <c r="P5446" s="18"/>
      <c r="Q5446" s="18"/>
      <c r="R5446" s="18"/>
      <c r="S5446" s="18"/>
      <c r="T5446" s="18"/>
      <c r="U5446" s="18"/>
      <c r="V5446" s="18"/>
      <c r="W5446" s="18"/>
      <c r="X5446" s="18"/>
    </row>
    <row r="5447" spans="13:24">
      <c r="M5447" s="558">
        <f t="shared" si="260"/>
        <v>5445</v>
      </c>
      <c r="N5447" s="15">
        <f t="shared" si="258"/>
        <v>0.19077393046273577</v>
      </c>
      <c r="O5447" s="165">
        <f t="shared" si="259"/>
        <v>0.19077393046273577</v>
      </c>
      <c r="P5447" s="18"/>
      <c r="Q5447" s="18"/>
      <c r="R5447" s="18"/>
      <c r="S5447" s="18"/>
      <c r="T5447" s="18"/>
      <c r="U5447" s="18"/>
      <c r="V5447" s="18"/>
      <c r="W5447" s="18"/>
      <c r="X5447" s="18"/>
    </row>
    <row r="5448" spans="13:24">
      <c r="M5448" s="558">
        <f t="shared" si="260"/>
        <v>5446</v>
      </c>
      <c r="N5448" s="15">
        <f t="shared" si="258"/>
        <v>0.19072195468110953</v>
      </c>
      <c r="O5448" s="165">
        <f t="shared" si="259"/>
        <v>0.19072195468110953</v>
      </c>
      <c r="P5448" s="18"/>
      <c r="Q5448" s="18"/>
      <c r="R5448" s="18"/>
      <c r="S5448" s="18"/>
      <c r="T5448" s="18"/>
      <c r="U5448" s="18"/>
      <c r="V5448" s="18"/>
      <c r="W5448" s="18"/>
      <c r="X5448" s="18"/>
    </row>
    <row r="5449" spans="13:24">
      <c r="M5449" s="558">
        <f t="shared" si="260"/>
        <v>5447</v>
      </c>
      <c r="N5449" s="15">
        <f t="shared" si="258"/>
        <v>0.19066997965986252</v>
      </c>
      <c r="O5449" s="165">
        <f t="shared" si="259"/>
        <v>0.19066997965986252</v>
      </c>
      <c r="P5449" s="18"/>
      <c r="Q5449" s="18"/>
      <c r="R5449" s="18"/>
      <c r="S5449" s="18"/>
      <c r="T5449" s="18"/>
      <c r="U5449" s="18"/>
      <c r="V5449" s="18"/>
      <c r="W5449" s="18"/>
      <c r="X5449" s="18"/>
    </row>
    <row r="5450" spans="13:24">
      <c r="M5450" s="558">
        <f t="shared" si="260"/>
        <v>5448</v>
      </c>
      <c r="N5450" s="15">
        <f t="shared" si="258"/>
        <v>0.19061800539804047</v>
      </c>
      <c r="O5450" s="165">
        <f t="shared" si="259"/>
        <v>0.19061800539804047</v>
      </c>
      <c r="P5450" s="18"/>
      <c r="Q5450" s="18"/>
      <c r="R5450" s="18"/>
      <c r="S5450" s="18"/>
      <c r="T5450" s="18"/>
      <c r="U5450" s="18"/>
      <c r="V5450" s="18"/>
      <c r="W5450" s="18"/>
      <c r="X5450" s="18"/>
    </row>
    <row r="5451" spans="13:24">
      <c r="M5451" s="558">
        <f t="shared" si="260"/>
        <v>5449</v>
      </c>
      <c r="N5451" s="15">
        <f t="shared" si="258"/>
        <v>0.1905660318946904</v>
      </c>
      <c r="O5451" s="165">
        <f t="shared" si="259"/>
        <v>0.1905660318946904</v>
      </c>
      <c r="P5451" s="18"/>
      <c r="Q5451" s="18"/>
      <c r="R5451" s="18"/>
      <c r="S5451" s="18"/>
      <c r="T5451" s="18"/>
      <c r="U5451" s="18"/>
      <c r="V5451" s="18"/>
      <c r="W5451" s="18"/>
      <c r="X5451" s="18"/>
    </row>
    <row r="5452" spans="13:24">
      <c r="M5452" s="558">
        <f t="shared" si="260"/>
        <v>5450</v>
      </c>
      <c r="N5452" s="15">
        <f t="shared" si="258"/>
        <v>0.19051405914886044</v>
      </c>
      <c r="O5452" s="165">
        <f t="shared" si="259"/>
        <v>0.19051405914886044</v>
      </c>
      <c r="P5452" s="18"/>
      <c r="Q5452" s="18"/>
      <c r="R5452" s="18"/>
      <c r="S5452" s="18"/>
      <c r="T5452" s="18"/>
      <c r="U5452" s="18"/>
      <c r="V5452" s="18"/>
      <c r="W5452" s="18"/>
      <c r="X5452" s="18"/>
    </row>
    <row r="5453" spans="13:24">
      <c r="M5453" s="558">
        <f t="shared" si="260"/>
        <v>5451</v>
      </c>
      <c r="N5453" s="15">
        <f t="shared" si="258"/>
        <v>0.19046208715960003</v>
      </c>
      <c r="O5453" s="165">
        <f t="shared" si="259"/>
        <v>0.19046208715960003</v>
      </c>
      <c r="P5453" s="18"/>
      <c r="Q5453" s="18"/>
      <c r="R5453" s="18"/>
      <c r="S5453" s="18"/>
      <c r="T5453" s="18"/>
      <c r="U5453" s="18"/>
      <c r="V5453" s="18"/>
      <c r="W5453" s="18"/>
      <c r="X5453" s="18"/>
    </row>
    <row r="5454" spans="13:24">
      <c r="M5454" s="558">
        <f t="shared" si="260"/>
        <v>5452</v>
      </c>
      <c r="N5454" s="15">
        <f t="shared" si="258"/>
        <v>0.19041011592595969</v>
      </c>
      <c r="O5454" s="165">
        <f t="shared" si="259"/>
        <v>0.19041011592595969</v>
      </c>
      <c r="P5454" s="18"/>
      <c r="Q5454" s="18"/>
      <c r="R5454" s="18"/>
      <c r="S5454" s="18"/>
      <c r="T5454" s="18"/>
      <c r="U5454" s="18"/>
      <c r="V5454" s="18"/>
      <c r="W5454" s="18"/>
      <c r="X5454" s="18"/>
    </row>
    <row r="5455" spans="13:24">
      <c r="M5455" s="558">
        <f t="shared" si="260"/>
        <v>5453</v>
      </c>
      <c r="N5455" s="15">
        <f t="shared" si="258"/>
        <v>0.19035814544699123</v>
      </c>
      <c r="O5455" s="165">
        <f t="shared" si="259"/>
        <v>0.19035814544699123</v>
      </c>
      <c r="P5455" s="18"/>
      <c r="Q5455" s="18"/>
      <c r="R5455" s="18"/>
      <c r="S5455" s="18"/>
      <c r="T5455" s="18"/>
      <c r="U5455" s="18"/>
      <c r="V5455" s="18"/>
      <c r="W5455" s="18"/>
      <c r="X5455" s="18"/>
    </row>
    <row r="5456" spans="13:24">
      <c r="M5456" s="558">
        <f t="shared" si="260"/>
        <v>5454</v>
      </c>
      <c r="N5456" s="15">
        <f t="shared" si="258"/>
        <v>0.19030617572174749</v>
      </c>
      <c r="O5456" s="165">
        <f t="shared" si="259"/>
        <v>0.19030617572174749</v>
      </c>
      <c r="P5456" s="18"/>
      <c r="Q5456" s="18"/>
      <c r="R5456" s="18"/>
      <c r="S5456" s="18"/>
      <c r="T5456" s="18"/>
      <c r="U5456" s="18"/>
      <c r="V5456" s="18"/>
      <c r="W5456" s="18"/>
      <c r="X5456" s="18"/>
    </row>
    <row r="5457" spans="13:24">
      <c r="M5457" s="558">
        <f t="shared" si="260"/>
        <v>5455</v>
      </c>
      <c r="N5457" s="15">
        <f t="shared" si="258"/>
        <v>0.19025420674928273</v>
      </c>
      <c r="O5457" s="165">
        <f t="shared" si="259"/>
        <v>0.19025420674928273</v>
      </c>
      <c r="P5457" s="18"/>
      <c r="Q5457" s="18"/>
      <c r="R5457" s="18"/>
      <c r="S5457" s="18"/>
      <c r="T5457" s="18"/>
      <c r="U5457" s="18"/>
      <c r="V5457" s="18"/>
      <c r="W5457" s="18"/>
      <c r="X5457" s="18"/>
    </row>
    <row r="5458" spans="13:24">
      <c r="M5458" s="558">
        <f t="shared" si="260"/>
        <v>5456</v>
      </c>
      <c r="N5458" s="15">
        <f t="shared" si="258"/>
        <v>0.1902022385286522</v>
      </c>
      <c r="O5458" s="165">
        <f t="shared" si="259"/>
        <v>0.1902022385286522</v>
      </c>
      <c r="P5458" s="18"/>
      <c r="Q5458" s="18"/>
      <c r="R5458" s="18"/>
      <c r="S5458" s="18"/>
      <c r="T5458" s="18"/>
      <c r="U5458" s="18"/>
      <c r="V5458" s="18"/>
      <c r="W5458" s="18"/>
      <c r="X5458" s="18"/>
    </row>
    <row r="5459" spans="13:24">
      <c r="M5459" s="558">
        <f t="shared" si="260"/>
        <v>5457</v>
      </c>
      <c r="N5459" s="15">
        <f t="shared" si="258"/>
        <v>0.19015027105891244</v>
      </c>
      <c r="O5459" s="165">
        <f t="shared" si="259"/>
        <v>0.19015027105891244</v>
      </c>
      <c r="P5459" s="18"/>
      <c r="Q5459" s="18"/>
      <c r="R5459" s="18"/>
      <c r="S5459" s="18"/>
      <c r="T5459" s="18"/>
      <c r="U5459" s="18"/>
      <c r="V5459" s="18"/>
      <c r="W5459" s="18"/>
      <c r="X5459" s="18"/>
    </row>
    <row r="5460" spans="13:24">
      <c r="M5460" s="558">
        <f t="shared" si="260"/>
        <v>5458</v>
      </c>
      <c r="N5460" s="15">
        <f t="shared" si="258"/>
        <v>0.19009830433912109</v>
      </c>
      <c r="O5460" s="165">
        <f t="shared" si="259"/>
        <v>0.19009830433912109</v>
      </c>
      <c r="P5460" s="18"/>
      <c r="Q5460" s="18"/>
      <c r="R5460" s="18"/>
      <c r="S5460" s="18"/>
      <c r="T5460" s="18"/>
      <c r="U5460" s="18"/>
      <c r="V5460" s="18"/>
      <c r="W5460" s="18"/>
      <c r="X5460" s="18"/>
    </row>
    <row r="5461" spans="13:24">
      <c r="M5461" s="558">
        <f t="shared" si="260"/>
        <v>5459</v>
      </c>
      <c r="N5461" s="15">
        <f t="shared" si="258"/>
        <v>0.19004633836833706</v>
      </c>
      <c r="O5461" s="165">
        <f t="shared" si="259"/>
        <v>0.19004633836833706</v>
      </c>
      <c r="P5461" s="18"/>
      <c r="Q5461" s="18"/>
      <c r="R5461" s="18"/>
      <c r="S5461" s="18"/>
      <c r="T5461" s="18"/>
      <c r="U5461" s="18"/>
      <c r="V5461" s="18"/>
      <c r="W5461" s="18"/>
      <c r="X5461" s="18"/>
    </row>
    <row r="5462" spans="13:24">
      <c r="M5462" s="558">
        <f t="shared" si="260"/>
        <v>5460</v>
      </c>
      <c r="N5462" s="15">
        <f t="shared" si="258"/>
        <v>0.18999437314562045</v>
      </c>
      <c r="O5462" s="165">
        <f t="shared" si="259"/>
        <v>0.18999437314562045</v>
      </c>
      <c r="P5462" s="18"/>
      <c r="Q5462" s="18"/>
      <c r="R5462" s="18"/>
      <c r="S5462" s="18"/>
      <c r="T5462" s="18"/>
      <c r="U5462" s="18"/>
      <c r="V5462" s="18"/>
      <c r="W5462" s="18"/>
      <c r="X5462" s="18"/>
    </row>
    <row r="5463" spans="13:24">
      <c r="M5463" s="558">
        <f t="shared" si="260"/>
        <v>5461</v>
      </c>
      <c r="N5463" s="15">
        <f t="shared" si="258"/>
        <v>0.18994240867003245</v>
      </c>
      <c r="O5463" s="165">
        <f t="shared" si="259"/>
        <v>0.18994240867003245</v>
      </c>
      <c r="P5463" s="18"/>
      <c r="Q5463" s="18"/>
      <c r="R5463" s="18"/>
      <c r="S5463" s="18"/>
      <c r="T5463" s="18"/>
      <c r="U5463" s="18"/>
      <c r="V5463" s="18"/>
      <c r="W5463" s="18"/>
      <c r="X5463" s="18"/>
    </row>
    <row r="5464" spans="13:24">
      <c r="M5464" s="558">
        <f t="shared" si="260"/>
        <v>5462</v>
      </c>
      <c r="N5464" s="15">
        <f t="shared" si="258"/>
        <v>0.18989044494063548</v>
      </c>
      <c r="O5464" s="165">
        <f t="shared" si="259"/>
        <v>0.18989044494063548</v>
      </c>
      <c r="P5464" s="18"/>
      <c r="Q5464" s="18"/>
      <c r="R5464" s="18"/>
      <c r="S5464" s="18"/>
      <c r="T5464" s="18"/>
      <c r="U5464" s="18"/>
      <c r="V5464" s="18"/>
      <c r="W5464" s="18"/>
      <c r="X5464" s="18"/>
    </row>
    <row r="5465" spans="13:24">
      <c r="M5465" s="558">
        <f t="shared" si="260"/>
        <v>5463</v>
      </c>
      <c r="N5465" s="15">
        <f t="shared" si="258"/>
        <v>0.18983848195649311</v>
      </c>
      <c r="O5465" s="165">
        <f t="shared" si="259"/>
        <v>0.18983848195649311</v>
      </c>
      <c r="P5465" s="18"/>
      <c r="Q5465" s="18"/>
      <c r="R5465" s="18"/>
      <c r="S5465" s="18"/>
      <c r="T5465" s="18"/>
      <c r="U5465" s="18"/>
      <c r="V5465" s="18"/>
      <c r="W5465" s="18"/>
      <c r="X5465" s="18"/>
    </row>
    <row r="5466" spans="13:24">
      <c r="M5466" s="558">
        <f t="shared" si="260"/>
        <v>5464</v>
      </c>
      <c r="N5466" s="15">
        <f t="shared" si="258"/>
        <v>0.18978651971667013</v>
      </c>
      <c r="O5466" s="165">
        <f t="shared" si="259"/>
        <v>0.18978651971667013</v>
      </c>
      <c r="P5466" s="18"/>
      <c r="Q5466" s="18"/>
      <c r="R5466" s="18"/>
      <c r="S5466" s="18"/>
      <c r="T5466" s="18"/>
      <c r="U5466" s="18"/>
      <c r="V5466" s="18"/>
      <c r="W5466" s="18"/>
      <c r="X5466" s="18"/>
    </row>
    <row r="5467" spans="13:24">
      <c r="M5467" s="558">
        <f t="shared" si="260"/>
        <v>5465</v>
      </c>
      <c r="N5467" s="15">
        <f t="shared" si="258"/>
        <v>0.18973455822023247</v>
      </c>
      <c r="O5467" s="165">
        <f t="shared" si="259"/>
        <v>0.18973455822023247</v>
      </c>
      <c r="P5467" s="18"/>
      <c r="Q5467" s="18"/>
      <c r="R5467" s="18"/>
      <c r="S5467" s="18"/>
      <c r="T5467" s="18"/>
      <c r="U5467" s="18"/>
      <c r="V5467" s="18"/>
      <c r="W5467" s="18"/>
      <c r="X5467" s="18"/>
    </row>
    <row r="5468" spans="13:24">
      <c r="M5468" s="558">
        <f t="shared" si="260"/>
        <v>5466</v>
      </c>
      <c r="N5468" s="15">
        <f t="shared" si="258"/>
        <v>0.18968259746624724</v>
      </c>
      <c r="O5468" s="165">
        <f t="shared" si="259"/>
        <v>0.18968259746624724</v>
      </c>
      <c r="P5468" s="18"/>
      <c r="Q5468" s="18"/>
      <c r="R5468" s="18"/>
      <c r="S5468" s="18"/>
      <c r="T5468" s="18"/>
      <c r="U5468" s="18"/>
      <c r="V5468" s="18"/>
      <c r="W5468" s="18"/>
      <c r="X5468" s="18"/>
    </row>
    <row r="5469" spans="13:24">
      <c r="M5469" s="558">
        <f t="shared" si="260"/>
        <v>5467</v>
      </c>
      <c r="N5469" s="15">
        <f t="shared" si="258"/>
        <v>0.18963063745378272</v>
      </c>
      <c r="O5469" s="165">
        <f t="shared" si="259"/>
        <v>0.18963063745378272</v>
      </c>
      <c r="P5469" s="18"/>
      <c r="Q5469" s="18"/>
      <c r="R5469" s="18"/>
      <c r="S5469" s="18"/>
      <c r="T5469" s="18"/>
      <c r="U5469" s="18"/>
      <c r="V5469" s="18"/>
      <c r="W5469" s="18"/>
      <c r="X5469" s="18"/>
    </row>
    <row r="5470" spans="13:24">
      <c r="M5470" s="558">
        <f t="shared" si="260"/>
        <v>5468</v>
      </c>
      <c r="N5470" s="15">
        <f t="shared" si="258"/>
        <v>0.18957867818190841</v>
      </c>
      <c r="O5470" s="165">
        <f t="shared" si="259"/>
        <v>0.18957867818190841</v>
      </c>
      <c r="P5470" s="18"/>
      <c r="Q5470" s="18"/>
      <c r="R5470" s="18"/>
      <c r="S5470" s="18"/>
      <c r="T5470" s="18"/>
      <c r="U5470" s="18"/>
      <c r="V5470" s="18"/>
      <c r="W5470" s="18"/>
      <c r="X5470" s="18"/>
    </row>
    <row r="5471" spans="13:24">
      <c r="M5471" s="558">
        <f t="shared" si="260"/>
        <v>5469</v>
      </c>
      <c r="N5471" s="15">
        <f t="shared" si="258"/>
        <v>0.18952671964969484</v>
      </c>
      <c r="O5471" s="165">
        <f t="shared" si="259"/>
        <v>0.18952671964969484</v>
      </c>
      <c r="P5471" s="18"/>
      <c r="Q5471" s="18"/>
      <c r="R5471" s="18"/>
      <c r="S5471" s="18"/>
      <c r="T5471" s="18"/>
      <c r="U5471" s="18"/>
      <c r="V5471" s="18"/>
      <c r="W5471" s="18"/>
      <c r="X5471" s="18"/>
    </row>
    <row r="5472" spans="13:24">
      <c r="M5472" s="558">
        <f t="shared" si="260"/>
        <v>5470</v>
      </c>
      <c r="N5472" s="15">
        <f t="shared" si="258"/>
        <v>0.18947476185621387</v>
      </c>
      <c r="O5472" s="165">
        <f t="shared" si="259"/>
        <v>0.18947476185621387</v>
      </c>
      <c r="P5472" s="18"/>
      <c r="Q5472" s="18"/>
      <c r="R5472" s="18"/>
      <c r="S5472" s="18"/>
      <c r="T5472" s="18"/>
      <c r="U5472" s="18"/>
      <c r="V5472" s="18"/>
      <c r="W5472" s="18"/>
      <c r="X5472" s="18"/>
    </row>
    <row r="5473" spans="13:24">
      <c r="M5473" s="558">
        <f t="shared" si="260"/>
        <v>5471</v>
      </c>
      <c r="N5473" s="15">
        <f t="shared" si="258"/>
        <v>0.18942280480053839</v>
      </c>
      <c r="O5473" s="165">
        <f t="shared" si="259"/>
        <v>0.18942280480053839</v>
      </c>
      <c r="P5473" s="18"/>
      <c r="Q5473" s="18"/>
      <c r="R5473" s="18"/>
      <c r="S5473" s="18"/>
      <c r="T5473" s="18"/>
      <c r="U5473" s="18"/>
      <c r="V5473" s="18"/>
      <c r="W5473" s="18"/>
      <c r="X5473" s="18"/>
    </row>
    <row r="5474" spans="13:24">
      <c r="M5474" s="558">
        <f t="shared" si="260"/>
        <v>5472</v>
      </c>
      <c r="N5474" s="15">
        <f t="shared" si="258"/>
        <v>0.18937084848174257</v>
      </c>
      <c r="O5474" s="165">
        <f t="shared" si="259"/>
        <v>0.18937084848174257</v>
      </c>
      <c r="P5474" s="18"/>
      <c r="Q5474" s="18"/>
      <c r="R5474" s="18"/>
      <c r="S5474" s="18"/>
      <c r="T5474" s="18"/>
      <c r="U5474" s="18"/>
      <c r="V5474" s="18"/>
      <c r="W5474" s="18"/>
      <c r="X5474" s="18"/>
    </row>
    <row r="5475" spans="13:24">
      <c r="M5475" s="558">
        <f t="shared" si="260"/>
        <v>5473</v>
      </c>
      <c r="N5475" s="15">
        <f t="shared" si="258"/>
        <v>0.18931889289890164</v>
      </c>
      <c r="O5475" s="165">
        <f t="shared" si="259"/>
        <v>0.18931889289890164</v>
      </c>
      <c r="P5475" s="18"/>
      <c r="Q5475" s="18"/>
      <c r="R5475" s="18"/>
      <c r="S5475" s="18"/>
      <c r="T5475" s="18"/>
      <c r="U5475" s="18"/>
      <c r="V5475" s="18"/>
      <c r="W5475" s="18"/>
      <c r="X5475" s="18"/>
    </row>
    <row r="5476" spans="13:24">
      <c r="M5476" s="558">
        <f t="shared" si="260"/>
        <v>5474</v>
      </c>
      <c r="N5476" s="15">
        <f t="shared" si="258"/>
        <v>0.1892669380510921</v>
      </c>
      <c r="O5476" s="165">
        <f t="shared" si="259"/>
        <v>0.1892669380510921</v>
      </c>
      <c r="P5476" s="18"/>
      <c r="Q5476" s="18"/>
      <c r="R5476" s="18"/>
      <c r="S5476" s="18"/>
      <c r="T5476" s="18"/>
      <c r="U5476" s="18"/>
      <c r="V5476" s="18"/>
      <c r="W5476" s="18"/>
      <c r="X5476" s="18"/>
    </row>
    <row r="5477" spans="13:24">
      <c r="M5477" s="558">
        <f t="shared" si="260"/>
        <v>5475</v>
      </c>
      <c r="N5477" s="15">
        <f t="shared" si="258"/>
        <v>0.18921498393739145</v>
      </c>
      <c r="O5477" s="165">
        <f t="shared" si="259"/>
        <v>0.18921498393739145</v>
      </c>
      <c r="P5477" s="18"/>
      <c r="Q5477" s="18"/>
      <c r="R5477" s="18"/>
      <c r="S5477" s="18"/>
      <c r="T5477" s="18"/>
      <c r="U5477" s="18"/>
      <c r="V5477" s="18"/>
      <c r="W5477" s="18"/>
      <c r="X5477" s="18"/>
    </row>
    <row r="5478" spans="13:24">
      <c r="M5478" s="558">
        <f t="shared" si="260"/>
        <v>5476</v>
      </c>
      <c r="N5478" s="15">
        <f t="shared" si="258"/>
        <v>0.18916303055687847</v>
      </c>
      <c r="O5478" s="165">
        <f t="shared" si="259"/>
        <v>0.18916303055687847</v>
      </c>
      <c r="P5478" s="18"/>
      <c r="Q5478" s="18"/>
      <c r="R5478" s="18"/>
      <c r="S5478" s="18"/>
      <c r="T5478" s="18"/>
      <c r="U5478" s="18"/>
      <c r="V5478" s="18"/>
      <c r="W5478" s="18"/>
      <c r="X5478" s="18"/>
    </row>
    <row r="5479" spans="13:24">
      <c r="M5479" s="558">
        <f t="shared" si="260"/>
        <v>5477</v>
      </c>
      <c r="N5479" s="15">
        <f t="shared" si="258"/>
        <v>0.18911107790863316</v>
      </c>
      <c r="O5479" s="165">
        <f t="shared" si="259"/>
        <v>0.18911107790863316</v>
      </c>
      <c r="P5479" s="18"/>
      <c r="Q5479" s="18"/>
      <c r="R5479" s="18"/>
      <c r="S5479" s="18"/>
      <c r="T5479" s="18"/>
      <c r="U5479" s="18"/>
      <c r="V5479" s="18"/>
      <c r="W5479" s="18"/>
      <c r="X5479" s="18"/>
    </row>
    <row r="5480" spans="13:24">
      <c r="M5480" s="558">
        <f t="shared" si="260"/>
        <v>5478</v>
      </c>
      <c r="N5480" s="15">
        <f t="shared" si="258"/>
        <v>0.18905912599173647</v>
      </c>
      <c r="O5480" s="165">
        <f t="shared" si="259"/>
        <v>0.18905912599173647</v>
      </c>
      <c r="P5480" s="18"/>
      <c r="Q5480" s="18"/>
      <c r="R5480" s="18"/>
      <c r="S5480" s="18"/>
      <c r="T5480" s="18"/>
      <c r="U5480" s="18"/>
      <c r="V5480" s="18"/>
      <c r="W5480" s="18"/>
      <c r="X5480" s="18"/>
    </row>
    <row r="5481" spans="13:24">
      <c r="M5481" s="558">
        <f t="shared" si="260"/>
        <v>5479</v>
      </c>
      <c r="N5481" s="15">
        <f t="shared" si="258"/>
        <v>0.18900717480527068</v>
      </c>
      <c r="O5481" s="165">
        <f t="shared" si="259"/>
        <v>0.18900717480527068</v>
      </c>
      <c r="P5481" s="18"/>
      <c r="Q5481" s="18"/>
      <c r="R5481" s="18"/>
      <c r="S5481" s="18"/>
      <c r="T5481" s="18"/>
      <c r="U5481" s="18"/>
      <c r="V5481" s="18"/>
      <c r="W5481" s="18"/>
      <c r="X5481" s="18"/>
    </row>
    <row r="5482" spans="13:24">
      <c r="M5482" s="558">
        <f t="shared" si="260"/>
        <v>5480</v>
      </c>
      <c r="N5482" s="15">
        <f t="shared" si="258"/>
        <v>0.1889552243483191</v>
      </c>
      <c r="O5482" s="165">
        <f t="shared" si="259"/>
        <v>0.1889552243483191</v>
      </c>
      <c r="P5482" s="18"/>
      <c r="Q5482" s="18"/>
      <c r="R5482" s="18"/>
      <c r="S5482" s="18"/>
      <c r="T5482" s="18"/>
      <c r="U5482" s="18"/>
      <c r="V5482" s="18"/>
      <c r="W5482" s="18"/>
      <c r="X5482" s="18"/>
    </row>
    <row r="5483" spans="13:24">
      <c r="M5483" s="558">
        <f t="shared" si="260"/>
        <v>5481</v>
      </c>
      <c r="N5483" s="15">
        <f t="shared" si="258"/>
        <v>0.18890327461996634</v>
      </c>
      <c r="O5483" s="165">
        <f t="shared" si="259"/>
        <v>0.18890327461996634</v>
      </c>
      <c r="P5483" s="18"/>
      <c r="Q5483" s="18"/>
      <c r="R5483" s="18"/>
      <c r="S5483" s="18"/>
      <c r="T5483" s="18"/>
      <c r="U5483" s="18"/>
      <c r="V5483" s="18"/>
      <c r="W5483" s="18"/>
      <c r="X5483" s="18"/>
    </row>
    <row r="5484" spans="13:24">
      <c r="M5484" s="558">
        <f t="shared" si="260"/>
        <v>5482</v>
      </c>
      <c r="N5484" s="15">
        <f t="shared" si="258"/>
        <v>0.18885132561929796</v>
      </c>
      <c r="O5484" s="165">
        <f t="shared" si="259"/>
        <v>0.18885132561929796</v>
      </c>
      <c r="P5484" s="18"/>
      <c r="Q5484" s="18"/>
      <c r="R5484" s="18"/>
      <c r="S5484" s="18"/>
      <c r="T5484" s="18"/>
      <c r="U5484" s="18"/>
      <c r="V5484" s="18"/>
      <c r="W5484" s="18"/>
      <c r="X5484" s="18"/>
    </row>
    <row r="5485" spans="13:24">
      <c r="M5485" s="558">
        <f t="shared" si="260"/>
        <v>5483</v>
      </c>
      <c r="N5485" s="15">
        <f t="shared" si="258"/>
        <v>0.18879937734540087</v>
      </c>
      <c r="O5485" s="165">
        <f t="shared" si="259"/>
        <v>0.18879937734540087</v>
      </c>
      <c r="P5485" s="18"/>
      <c r="Q5485" s="18"/>
      <c r="R5485" s="18"/>
      <c r="S5485" s="18"/>
      <c r="T5485" s="18"/>
      <c r="U5485" s="18"/>
      <c r="V5485" s="18"/>
      <c r="W5485" s="18"/>
      <c r="X5485" s="18"/>
    </row>
    <row r="5486" spans="13:24">
      <c r="M5486" s="558">
        <f t="shared" si="260"/>
        <v>5484</v>
      </c>
      <c r="N5486" s="15">
        <f t="shared" si="258"/>
        <v>0.18874742979736295</v>
      </c>
      <c r="O5486" s="165">
        <f t="shared" si="259"/>
        <v>0.18874742979736295</v>
      </c>
      <c r="P5486" s="18"/>
      <c r="Q5486" s="18"/>
      <c r="R5486" s="18"/>
      <c r="S5486" s="18"/>
      <c r="T5486" s="18"/>
      <c r="U5486" s="18"/>
      <c r="V5486" s="18"/>
      <c r="W5486" s="18"/>
      <c r="X5486" s="18"/>
    </row>
    <row r="5487" spans="13:24">
      <c r="M5487" s="558">
        <f t="shared" si="260"/>
        <v>5485</v>
      </c>
      <c r="N5487" s="15">
        <f t="shared" si="258"/>
        <v>0.18869548297427338</v>
      </c>
      <c r="O5487" s="165">
        <f t="shared" si="259"/>
        <v>0.18869548297427338</v>
      </c>
      <c r="P5487" s="18"/>
      <c r="Q5487" s="18"/>
      <c r="R5487" s="18"/>
      <c r="S5487" s="18"/>
      <c r="T5487" s="18"/>
      <c r="U5487" s="18"/>
      <c r="V5487" s="18"/>
      <c r="W5487" s="18"/>
      <c r="X5487" s="18"/>
    </row>
    <row r="5488" spans="13:24">
      <c r="M5488" s="558">
        <f t="shared" si="260"/>
        <v>5486</v>
      </c>
      <c r="N5488" s="15">
        <f t="shared" si="258"/>
        <v>0.18864353687522234</v>
      </c>
      <c r="O5488" s="165">
        <f t="shared" si="259"/>
        <v>0.18864353687522234</v>
      </c>
      <c r="P5488" s="18"/>
      <c r="Q5488" s="18"/>
      <c r="R5488" s="18"/>
      <c r="S5488" s="18"/>
      <c r="T5488" s="18"/>
      <c r="U5488" s="18"/>
      <c r="V5488" s="18"/>
      <c r="W5488" s="18"/>
      <c r="X5488" s="18"/>
    </row>
    <row r="5489" spans="13:24">
      <c r="M5489" s="558">
        <f t="shared" si="260"/>
        <v>5487</v>
      </c>
      <c r="N5489" s="15">
        <f t="shared" si="258"/>
        <v>0.18859159149930127</v>
      </c>
      <c r="O5489" s="165">
        <f t="shared" si="259"/>
        <v>0.18859159149930127</v>
      </c>
      <c r="P5489" s="18"/>
      <c r="Q5489" s="18"/>
      <c r="R5489" s="18"/>
      <c r="S5489" s="18"/>
      <c r="T5489" s="18"/>
      <c r="U5489" s="18"/>
      <c r="V5489" s="18"/>
      <c r="W5489" s="18"/>
      <c r="X5489" s="18"/>
    </row>
    <row r="5490" spans="13:24">
      <c r="M5490" s="558">
        <f t="shared" si="260"/>
        <v>5488</v>
      </c>
      <c r="N5490" s="15">
        <f t="shared" si="258"/>
        <v>0.18853964684560265</v>
      </c>
      <c r="O5490" s="165">
        <f t="shared" si="259"/>
        <v>0.18853964684560265</v>
      </c>
      <c r="P5490" s="18"/>
      <c r="Q5490" s="18"/>
      <c r="R5490" s="18"/>
      <c r="S5490" s="18"/>
      <c r="T5490" s="18"/>
      <c r="U5490" s="18"/>
      <c r="V5490" s="18"/>
      <c r="W5490" s="18"/>
      <c r="X5490" s="18"/>
    </row>
    <row r="5491" spans="13:24">
      <c r="M5491" s="558">
        <f t="shared" si="260"/>
        <v>5489</v>
      </c>
      <c r="N5491" s="15">
        <f t="shared" si="258"/>
        <v>0.1884877029132202</v>
      </c>
      <c r="O5491" s="165">
        <f t="shared" si="259"/>
        <v>0.1884877029132202</v>
      </c>
      <c r="P5491" s="18"/>
      <c r="Q5491" s="18"/>
      <c r="R5491" s="18"/>
      <c r="S5491" s="18"/>
      <c r="T5491" s="18"/>
      <c r="U5491" s="18"/>
      <c r="V5491" s="18"/>
      <c r="W5491" s="18"/>
      <c r="X5491" s="18"/>
    </row>
    <row r="5492" spans="13:24">
      <c r="M5492" s="558">
        <f t="shared" si="260"/>
        <v>5490</v>
      </c>
      <c r="N5492" s="15">
        <f t="shared" si="258"/>
        <v>0.18843575970124871</v>
      </c>
      <c r="O5492" s="165">
        <f t="shared" si="259"/>
        <v>0.18843575970124871</v>
      </c>
      <c r="P5492" s="18"/>
      <c r="Q5492" s="18"/>
      <c r="R5492" s="18"/>
      <c r="S5492" s="18"/>
      <c r="T5492" s="18"/>
      <c r="U5492" s="18"/>
      <c r="V5492" s="18"/>
      <c r="W5492" s="18"/>
      <c r="X5492" s="18"/>
    </row>
    <row r="5493" spans="13:24">
      <c r="M5493" s="558">
        <f t="shared" si="260"/>
        <v>5491</v>
      </c>
      <c r="N5493" s="15">
        <f t="shared" si="258"/>
        <v>0.18838381720878408</v>
      </c>
      <c r="O5493" s="165">
        <f t="shared" si="259"/>
        <v>0.18838381720878408</v>
      </c>
      <c r="P5493" s="18"/>
      <c r="Q5493" s="18"/>
      <c r="R5493" s="18"/>
      <c r="S5493" s="18"/>
      <c r="T5493" s="18"/>
      <c r="U5493" s="18"/>
      <c r="V5493" s="18"/>
      <c r="W5493" s="18"/>
      <c r="X5493" s="18"/>
    </row>
    <row r="5494" spans="13:24">
      <c r="M5494" s="558">
        <f t="shared" si="260"/>
        <v>5492</v>
      </c>
      <c r="N5494" s="15">
        <f t="shared" si="258"/>
        <v>0.1883318754349235</v>
      </c>
      <c r="O5494" s="165">
        <f t="shared" si="259"/>
        <v>0.1883318754349235</v>
      </c>
      <c r="P5494" s="18"/>
      <c r="Q5494" s="18"/>
      <c r="R5494" s="18"/>
      <c r="S5494" s="18"/>
      <c r="T5494" s="18"/>
      <c r="U5494" s="18"/>
      <c r="V5494" s="18"/>
      <c r="W5494" s="18"/>
      <c r="X5494" s="18"/>
    </row>
    <row r="5495" spans="13:24">
      <c r="M5495" s="558">
        <f t="shared" si="260"/>
        <v>5493</v>
      </c>
      <c r="N5495" s="15">
        <f t="shared" si="258"/>
        <v>0.18827993437876503</v>
      </c>
      <c r="O5495" s="165">
        <f t="shared" si="259"/>
        <v>0.18827993437876503</v>
      </c>
      <c r="P5495" s="18"/>
      <c r="Q5495" s="18"/>
      <c r="R5495" s="18"/>
      <c r="S5495" s="18"/>
      <c r="T5495" s="18"/>
      <c r="U5495" s="18"/>
      <c r="V5495" s="18"/>
      <c r="W5495" s="18"/>
      <c r="X5495" s="18"/>
    </row>
    <row r="5496" spans="13:24">
      <c r="M5496" s="558">
        <f t="shared" si="260"/>
        <v>5494</v>
      </c>
      <c r="N5496" s="15">
        <f t="shared" si="258"/>
        <v>0.18822799403940813</v>
      </c>
      <c r="O5496" s="165">
        <f t="shared" si="259"/>
        <v>0.18822799403940813</v>
      </c>
      <c r="P5496" s="18"/>
      <c r="Q5496" s="18"/>
      <c r="R5496" s="18"/>
      <c r="S5496" s="18"/>
      <c r="T5496" s="18"/>
      <c r="U5496" s="18"/>
      <c r="V5496" s="18"/>
      <c r="W5496" s="18"/>
      <c r="X5496" s="18"/>
    </row>
    <row r="5497" spans="13:24">
      <c r="M5497" s="558">
        <f t="shared" si="260"/>
        <v>5495</v>
      </c>
      <c r="N5497" s="15">
        <f t="shared" si="258"/>
        <v>0.1881760544159532</v>
      </c>
      <c r="O5497" s="165">
        <f t="shared" si="259"/>
        <v>0.1881760544159532</v>
      </c>
      <c r="P5497" s="18"/>
      <c r="Q5497" s="18"/>
      <c r="R5497" s="18"/>
      <c r="S5497" s="18"/>
      <c r="T5497" s="18"/>
      <c r="U5497" s="18"/>
      <c r="V5497" s="18"/>
      <c r="W5497" s="18"/>
      <c r="X5497" s="18"/>
    </row>
    <row r="5498" spans="13:24">
      <c r="M5498" s="558">
        <f t="shared" si="260"/>
        <v>5496</v>
      </c>
      <c r="N5498" s="15">
        <f t="shared" si="258"/>
        <v>0.18812411550750188</v>
      </c>
      <c r="O5498" s="165">
        <f t="shared" si="259"/>
        <v>0.18812411550750188</v>
      </c>
      <c r="P5498" s="18"/>
      <c r="Q5498" s="18"/>
      <c r="R5498" s="18"/>
      <c r="S5498" s="18"/>
      <c r="T5498" s="18"/>
      <c r="U5498" s="18"/>
      <c r="V5498" s="18"/>
      <c r="W5498" s="18"/>
      <c r="X5498" s="18"/>
    </row>
    <row r="5499" spans="13:24">
      <c r="M5499" s="558">
        <f t="shared" si="260"/>
        <v>5497</v>
      </c>
      <c r="N5499" s="15">
        <f t="shared" si="258"/>
        <v>0.18807217731315687</v>
      </c>
      <c r="O5499" s="165">
        <f t="shared" si="259"/>
        <v>0.18807217731315687</v>
      </c>
      <c r="P5499" s="18"/>
      <c r="Q5499" s="18"/>
      <c r="R5499" s="18"/>
      <c r="S5499" s="18"/>
      <c r="T5499" s="18"/>
      <c r="U5499" s="18"/>
      <c r="V5499" s="18"/>
      <c r="W5499" s="18"/>
      <c r="X5499" s="18"/>
    </row>
    <row r="5500" spans="13:24">
      <c r="M5500" s="558">
        <f t="shared" si="260"/>
        <v>5498</v>
      </c>
      <c r="N5500" s="15">
        <f t="shared" si="258"/>
        <v>0.18802023983202207</v>
      </c>
      <c r="O5500" s="165">
        <f t="shared" si="259"/>
        <v>0.18802023983202207</v>
      </c>
      <c r="P5500" s="18"/>
      <c r="Q5500" s="18"/>
      <c r="R5500" s="18"/>
      <c r="S5500" s="18"/>
      <c r="T5500" s="18"/>
      <c r="U5500" s="18"/>
      <c r="V5500" s="18"/>
      <c r="W5500" s="18"/>
      <c r="X5500" s="18"/>
    </row>
    <row r="5501" spans="13:24">
      <c r="M5501" s="558">
        <f t="shared" si="260"/>
        <v>5499</v>
      </c>
      <c r="N5501" s="15">
        <f t="shared" si="258"/>
        <v>0.18796830306320239</v>
      </c>
      <c r="O5501" s="165">
        <f t="shared" si="259"/>
        <v>0.18796830306320239</v>
      </c>
      <c r="P5501" s="18"/>
      <c r="Q5501" s="18"/>
      <c r="R5501" s="18"/>
      <c r="S5501" s="18"/>
      <c r="T5501" s="18"/>
      <c r="U5501" s="18"/>
      <c r="V5501" s="18"/>
      <c r="W5501" s="18"/>
      <c r="X5501" s="18"/>
    </row>
    <row r="5502" spans="13:24">
      <c r="M5502" s="558">
        <f t="shared" si="260"/>
        <v>5500</v>
      </c>
      <c r="N5502" s="15">
        <f t="shared" si="258"/>
        <v>0.18791636700580402</v>
      </c>
      <c r="O5502" s="165">
        <f t="shared" si="259"/>
        <v>0.18791636700580402</v>
      </c>
      <c r="P5502" s="18"/>
      <c r="Q5502" s="18"/>
      <c r="R5502" s="18"/>
      <c r="S5502" s="18"/>
      <c r="T5502" s="18"/>
      <c r="U5502" s="18"/>
      <c r="V5502" s="18"/>
      <c r="W5502" s="18"/>
      <c r="X5502" s="18"/>
    </row>
    <row r="5503" spans="13:24">
      <c r="M5503" s="558">
        <f t="shared" si="260"/>
        <v>5501</v>
      </c>
      <c r="N5503" s="15">
        <f t="shared" si="258"/>
        <v>0.18786443165893407</v>
      </c>
      <c r="O5503" s="165">
        <f t="shared" si="259"/>
        <v>0.18786443165893407</v>
      </c>
      <c r="P5503" s="18"/>
      <c r="Q5503" s="18"/>
      <c r="R5503" s="18"/>
      <c r="S5503" s="18"/>
      <c r="T5503" s="18"/>
      <c r="U5503" s="18"/>
      <c r="V5503" s="18"/>
      <c r="W5503" s="18"/>
      <c r="X5503" s="18"/>
    </row>
    <row r="5504" spans="13:24">
      <c r="M5504" s="558">
        <f t="shared" si="260"/>
        <v>5502</v>
      </c>
      <c r="N5504" s="15">
        <f t="shared" si="258"/>
        <v>0.187812497021701</v>
      </c>
      <c r="O5504" s="165">
        <f t="shared" si="259"/>
        <v>0.187812497021701</v>
      </c>
      <c r="P5504" s="18"/>
      <c r="Q5504" s="18"/>
      <c r="R5504" s="18"/>
      <c r="S5504" s="18"/>
      <c r="T5504" s="18"/>
      <c r="U5504" s="18"/>
      <c r="V5504" s="18"/>
      <c r="W5504" s="18"/>
      <c r="X5504" s="18"/>
    </row>
    <row r="5505" spans="13:24">
      <c r="M5505" s="558">
        <f t="shared" si="260"/>
        <v>5503</v>
      </c>
      <c r="N5505" s="15">
        <f t="shared" si="258"/>
        <v>0.18776056309321418</v>
      </c>
      <c r="O5505" s="165">
        <f t="shared" si="259"/>
        <v>0.18776056309321418</v>
      </c>
      <c r="P5505" s="18"/>
      <c r="Q5505" s="18"/>
      <c r="R5505" s="18"/>
      <c r="S5505" s="18"/>
      <c r="T5505" s="18"/>
      <c r="U5505" s="18"/>
      <c r="V5505" s="18"/>
      <c r="W5505" s="18"/>
      <c r="X5505" s="18"/>
    </row>
    <row r="5506" spans="13:24">
      <c r="M5506" s="558">
        <f t="shared" si="260"/>
        <v>5504</v>
      </c>
      <c r="N5506" s="15">
        <f t="shared" si="258"/>
        <v>0.18770862987258427</v>
      </c>
      <c r="O5506" s="165">
        <f t="shared" si="259"/>
        <v>0.18770862987258427</v>
      </c>
      <c r="P5506" s="18"/>
      <c r="Q5506" s="18"/>
      <c r="R5506" s="18"/>
      <c r="S5506" s="18"/>
      <c r="T5506" s="18"/>
      <c r="U5506" s="18"/>
      <c r="V5506" s="18"/>
      <c r="W5506" s="18"/>
      <c r="X5506" s="18"/>
    </row>
    <row r="5507" spans="13:24">
      <c r="M5507" s="558">
        <f t="shared" si="260"/>
        <v>5505</v>
      </c>
      <c r="N5507" s="15">
        <f t="shared" si="258"/>
        <v>0.18765669735892287</v>
      </c>
      <c r="O5507" s="165">
        <f t="shared" si="259"/>
        <v>0.18765669735892287</v>
      </c>
      <c r="P5507" s="18"/>
      <c r="Q5507" s="18"/>
      <c r="R5507" s="18"/>
      <c r="S5507" s="18"/>
      <c r="T5507" s="18"/>
      <c r="U5507" s="18"/>
      <c r="V5507" s="18"/>
      <c r="W5507" s="18"/>
      <c r="X5507" s="18"/>
    </row>
    <row r="5508" spans="13:24">
      <c r="M5508" s="558">
        <f t="shared" si="260"/>
        <v>5506</v>
      </c>
      <c r="N5508" s="15">
        <f t="shared" ref="N5508:N5571" si="261">IF(M5508&lt;$B$31+1,$B$32+$B$33/$B$31*(8760-M5508)+$B$34*IF(M5508&lt;$B$36-$B$31/(2*$B$35),1,IF(M5508&lt;$B$36+$B$31/(2*$B$35),COS(PI()/2*(M5508-($B$36-$B$31/(2*$B$35)))*$B$35/$B$31)^2,0))+$B$37*EXP((8760-M5508)/8760*$B$38)/EXP($B$38)-(8760-$B$31)*$B$33/$B$31,0)</f>
        <v>0.18760476555134289</v>
      </c>
      <c r="O5508" s="165">
        <f t="shared" ref="O5508:O5571" si="262">MIN(N5508,C$24)</f>
        <v>0.18760476555134289</v>
      </c>
      <c r="P5508" s="18"/>
      <c r="Q5508" s="18"/>
      <c r="R5508" s="18"/>
      <c r="S5508" s="18"/>
      <c r="T5508" s="18"/>
      <c r="U5508" s="18"/>
      <c r="V5508" s="18"/>
      <c r="W5508" s="18"/>
      <c r="X5508" s="18"/>
    </row>
    <row r="5509" spans="13:24">
      <c r="M5509" s="558">
        <f t="shared" ref="M5509:M5572" si="263">M5508+1</f>
        <v>5507</v>
      </c>
      <c r="N5509" s="15">
        <f t="shared" si="261"/>
        <v>0.18755283444895821</v>
      </c>
      <c r="O5509" s="165">
        <f t="shared" si="262"/>
        <v>0.18755283444895821</v>
      </c>
      <c r="P5509" s="18"/>
      <c r="Q5509" s="18"/>
      <c r="R5509" s="18"/>
      <c r="S5509" s="18"/>
      <c r="T5509" s="18"/>
      <c r="U5509" s="18"/>
      <c r="V5509" s="18"/>
      <c r="W5509" s="18"/>
      <c r="X5509" s="18"/>
    </row>
    <row r="5510" spans="13:24">
      <c r="M5510" s="558">
        <f t="shared" si="263"/>
        <v>5508</v>
      </c>
      <c r="N5510" s="15">
        <f t="shared" si="261"/>
        <v>0.18750090405088385</v>
      </c>
      <c r="O5510" s="165">
        <f t="shared" si="262"/>
        <v>0.18750090405088385</v>
      </c>
      <c r="P5510" s="18"/>
      <c r="Q5510" s="18"/>
      <c r="R5510" s="18"/>
      <c r="S5510" s="18"/>
      <c r="T5510" s="18"/>
      <c r="U5510" s="18"/>
      <c r="V5510" s="18"/>
      <c r="W5510" s="18"/>
      <c r="X5510" s="18"/>
    </row>
    <row r="5511" spans="13:24">
      <c r="M5511" s="558">
        <f t="shared" si="263"/>
        <v>5509</v>
      </c>
      <c r="N5511" s="15">
        <f t="shared" si="261"/>
        <v>0.187448974356236</v>
      </c>
      <c r="O5511" s="165">
        <f t="shared" si="262"/>
        <v>0.187448974356236</v>
      </c>
      <c r="P5511" s="18"/>
      <c r="Q5511" s="18"/>
      <c r="R5511" s="18"/>
      <c r="S5511" s="18"/>
      <c r="T5511" s="18"/>
      <c r="U5511" s="18"/>
      <c r="V5511" s="18"/>
      <c r="W5511" s="18"/>
      <c r="X5511" s="18"/>
    </row>
    <row r="5512" spans="13:24">
      <c r="M5512" s="558">
        <f t="shared" si="263"/>
        <v>5510</v>
      </c>
      <c r="N5512" s="15">
        <f t="shared" si="261"/>
        <v>0.18739704536413185</v>
      </c>
      <c r="O5512" s="165">
        <f t="shared" si="262"/>
        <v>0.18739704536413185</v>
      </c>
      <c r="P5512" s="18"/>
      <c r="Q5512" s="18"/>
      <c r="R5512" s="18"/>
      <c r="S5512" s="18"/>
      <c r="T5512" s="18"/>
      <c r="U5512" s="18"/>
      <c r="V5512" s="18"/>
      <c r="W5512" s="18"/>
      <c r="X5512" s="18"/>
    </row>
    <row r="5513" spans="13:24">
      <c r="M5513" s="558">
        <f t="shared" si="263"/>
        <v>5511</v>
      </c>
      <c r="N5513" s="15">
        <f t="shared" si="261"/>
        <v>0.18734511707368984</v>
      </c>
      <c r="O5513" s="165">
        <f t="shared" si="262"/>
        <v>0.18734511707368984</v>
      </c>
      <c r="P5513" s="18"/>
      <c r="Q5513" s="18"/>
      <c r="R5513" s="18"/>
      <c r="S5513" s="18"/>
      <c r="T5513" s="18"/>
      <c r="U5513" s="18"/>
      <c r="V5513" s="18"/>
      <c r="W5513" s="18"/>
      <c r="X5513" s="18"/>
    </row>
    <row r="5514" spans="13:24">
      <c r="M5514" s="558">
        <f t="shared" si="263"/>
        <v>5512</v>
      </c>
      <c r="N5514" s="15">
        <f t="shared" si="261"/>
        <v>0.1872931894840294</v>
      </c>
      <c r="O5514" s="165">
        <f t="shared" si="262"/>
        <v>0.1872931894840294</v>
      </c>
      <c r="P5514" s="18"/>
      <c r="Q5514" s="18"/>
      <c r="R5514" s="18"/>
      <c r="S5514" s="18"/>
      <c r="T5514" s="18"/>
      <c r="U5514" s="18"/>
      <c r="V5514" s="18"/>
      <c r="W5514" s="18"/>
      <c r="X5514" s="18"/>
    </row>
    <row r="5515" spans="13:24">
      <c r="M5515" s="558">
        <f t="shared" si="263"/>
        <v>5513</v>
      </c>
      <c r="N5515" s="15">
        <f t="shared" si="261"/>
        <v>0.18724126259427112</v>
      </c>
      <c r="O5515" s="165">
        <f t="shared" si="262"/>
        <v>0.18724126259427112</v>
      </c>
      <c r="P5515" s="18"/>
      <c r="Q5515" s="18"/>
      <c r="R5515" s="18"/>
      <c r="S5515" s="18"/>
      <c r="T5515" s="18"/>
      <c r="U5515" s="18"/>
      <c r="V5515" s="18"/>
      <c r="W5515" s="18"/>
      <c r="X5515" s="18"/>
    </row>
    <row r="5516" spans="13:24">
      <c r="M5516" s="558">
        <f t="shared" si="263"/>
        <v>5514</v>
      </c>
      <c r="N5516" s="15">
        <f t="shared" si="261"/>
        <v>0.18718933640353663</v>
      </c>
      <c r="O5516" s="165">
        <f t="shared" si="262"/>
        <v>0.18718933640353663</v>
      </c>
      <c r="P5516" s="18"/>
      <c r="Q5516" s="18"/>
      <c r="R5516" s="18"/>
      <c r="S5516" s="18"/>
      <c r="T5516" s="18"/>
      <c r="U5516" s="18"/>
      <c r="V5516" s="18"/>
      <c r="W5516" s="18"/>
      <c r="X5516" s="18"/>
    </row>
    <row r="5517" spans="13:24">
      <c r="M5517" s="558">
        <f t="shared" si="263"/>
        <v>5515</v>
      </c>
      <c r="N5517" s="15">
        <f t="shared" si="261"/>
        <v>0.18713741091094882</v>
      </c>
      <c r="O5517" s="165">
        <f t="shared" si="262"/>
        <v>0.18713741091094882</v>
      </c>
      <c r="P5517" s="18"/>
      <c r="Q5517" s="18"/>
      <c r="R5517" s="18"/>
      <c r="S5517" s="18"/>
      <c r="T5517" s="18"/>
      <c r="U5517" s="18"/>
      <c r="V5517" s="18"/>
      <c r="W5517" s="18"/>
      <c r="X5517" s="18"/>
    </row>
    <row r="5518" spans="13:24">
      <c r="M5518" s="558">
        <f t="shared" si="263"/>
        <v>5516</v>
      </c>
      <c r="N5518" s="15">
        <f t="shared" si="261"/>
        <v>0.18708548611563144</v>
      </c>
      <c r="O5518" s="165">
        <f t="shared" si="262"/>
        <v>0.18708548611563144</v>
      </c>
      <c r="P5518" s="18"/>
      <c r="Q5518" s="18"/>
      <c r="R5518" s="18"/>
      <c r="S5518" s="18"/>
      <c r="T5518" s="18"/>
      <c r="U5518" s="18"/>
      <c r="V5518" s="18"/>
      <c r="W5518" s="18"/>
      <c r="X5518" s="18"/>
    </row>
    <row r="5519" spans="13:24">
      <c r="M5519" s="558">
        <f t="shared" si="263"/>
        <v>5517</v>
      </c>
      <c r="N5519" s="15">
        <f t="shared" si="261"/>
        <v>0.18703356201670956</v>
      </c>
      <c r="O5519" s="165">
        <f t="shared" si="262"/>
        <v>0.18703356201670956</v>
      </c>
      <c r="P5519" s="18"/>
      <c r="Q5519" s="18"/>
      <c r="R5519" s="18"/>
      <c r="S5519" s="18"/>
      <c r="T5519" s="18"/>
      <c r="U5519" s="18"/>
      <c r="V5519" s="18"/>
      <c r="W5519" s="18"/>
      <c r="X5519" s="18"/>
    </row>
    <row r="5520" spans="13:24">
      <c r="M5520" s="558">
        <f t="shared" si="263"/>
        <v>5518</v>
      </c>
      <c r="N5520" s="15">
        <f t="shared" si="261"/>
        <v>0.18698163861330924</v>
      </c>
      <c r="O5520" s="165">
        <f t="shared" si="262"/>
        <v>0.18698163861330924</v>
      </c>
      <c r="P5520" s="18"/>
      <c r="Q5520" s="18"/>
      <c r="R5520" s="18"/>
      <c r="S5520" s="18"/>
      <c r="T5520" s="18"/>
      <c r="U5520" s="18"/>
      <c r="V5520" s="18"/>
      <c r="W5520" s="18"/>
      <c r="X5520" s="18"/>
    </row>
    <row r="5521" spans="13:24">
      <c r="M5521" s="558">
        <f t="shared" si="263"/>
        <v>5519</v>
      </c>
      <c r="N5521" s="15">
        <f t="shared" si="261"/>
        <v>0.18692971590455768</v>
      </c>
      <c r="O5521" s="165">
        <f t="shared" si="262"/>
        <v>0.18692971590455768</v>
      </c>
      <c r="P5521" s="18"/>
      <c r="Q5521" s="18"/>
      <c r="R5521" s="18"/>
      <c r="S5521" s="18"/>
      <c r="T5521" s="18"/>
      <c r="U5521" s="18"/>
      <c r="V5521" s="18"/>
      <c r="W5521" s="18"/>
      <c r="X5521" s="18"/>
    </row>
    <row r="5522" spans="13:24">
      <c r="M5522" s="558">
        <f t="shared" si="263"/>
        <v>5520</v>
      </c>
      <c r="N5522" s="15">
        <f t="shared" si="261"/>
        <v>0.18687779388958306</v>
      </c>
      <c r="O5522" s="165">
        <f t="shared" si="262"/>
        <v>0.18687779388958306</v>
      </c>
      <c r="P5522" s="18"/>
      <c r="Q5522" s="18"/>
      <c r="R5522" s="18"/>
      <c r="S5522" s="18"/>
      <c r="T5522" s="18"/>
      <c r="U5522" s="18"/>
      <c r="V5522" s="18"/>
      <c r="W5522" s="18"/>
      <c r="X5522" s="18"/>
    </row>
    <row r="5523" spans="13:24">
      <c r="M5523" s="558">
        <f t="shared" si="263"/>
        <v>5521</v>
      </c>
      <c r="N5523" s="15">
        <f t="shared" si="261"/>
        <v>0.18682587256751482</v>
      </c>
      <c r="O5523" s="165">
        <f t="shared" si="262"/>
        <v>0.18682587256751482</v>
      </c>
      <c r="P5523" s="18"/>
      <c r="Q5523" s="18"/>
      <c r="R5523" s="18"/>
      <c r="S5523" s="18"/>
      <c r="T5523" s="18"/>
      <c r="U5523" s="18"/>
      <c r="V5523" s="18"/>
      <c r="W5523" s="18"/>
      <c r="X5523" s="18"/>
    </row>
    <row r="5524" spans="13:24">
      <c r="M5524" s="558">
        <f t="shared" si="263"/>
        <v>5522</v>
      </c>
      <c r="N5524" s="15">
        <f t="shared" si="261"/>
        <v>0.18677395193748345</v>
      </c>
      <c r="O5524" s="165">
        <f t="shared" si="262"/>
        <v>0.18677395193748345</v>
      </c>
      <c r="P5524" s="18"/>
      <c r="Q5524" s="18"/>
      <c r="R5524" s="18"/>
      <c r="S5524" s="18"/>
      <c r="T5524" s="18"/>
      <c r="U5524" s="18"/>
      <c r="V5524" s="18"/>
      <c r="W5524" s="18"/>
      <c r="X5524" s="18"/>
    </row>
    <row r="5525" spans="13:24">
      <c r="M5525" s="558">
        <f t="shared" si="263"/>
        <v>5523</v>
      </c>
      <c r="N5525" s="15">
        <f t="shared" si="261"/>
        <v>0.18672203199862042</v>
      </c>
      <c r="O5525" s="165">
        <f t="shared" si="262"/>
        <v>0.18672203199862042</v>
      </c>
      <c r="P5525" s="18"/>
      <c r="Q5525" s="18"/>
      <c r="R5525" s="18"/>
      <c r="S5525" s="18"/>
      <c r="T5525" s="18"/>
      <c r="U5525" s="18"/>
      <c r="V5525" s="18"/>
      <c r="W5525" s="18"/>
      <c r="X5525" s="18"/>
    </row>
    <row r="5526" spans="13:24">
      <c r="M5526" s="558">
        <f t="shared" si="263"/>
        <v>5524</v>
      </c>
      <c r="N5526" s="15">
        <f t="shared" si="261"/>
        <v>0.18667011275005843</v>
      </c>
      <c r="O5526" s="165">
        <f t="shared" si="262"/>
        <v>0.18667011275005843</v>
      </c>
      <c r="P5526" s="18"/>
      <c r="Q5526" s="18"/>
      <c r="R5526" s="18"/>
      <c r="S5526" s="18"/>
      <c r="T5526" s="18"/>
      <c r="U5526" s="18"/>
      <c r="V5526" s="18"/>
      <c r="W5526" s="18"/>
      <c r="X5526" s="18"/>
    </row>
    <row r="5527" spans="13:24">
      <c r="M5527" s="558">
        <f t="shared" si="263"/>
        <v>5525</v>
      </c>
      <c r="N5527" s="15">
        <f t="shared" si="261"/>
        <v>0.18661819419093115</v>
      </c>
      <c r="O5527" s="165">
        <f t="shared" si="262"/>
        <v>0.18661819419093115</v>
      </c>
      <c r="P5527" s="18"/>
      <c r="Q5527" s="18"/>
      <c r="R5527" s="18"/>
      <c r="S5527" s="18"/>
      <c r="T5527" s="18"/>
      <c r="U5527" s="18"/>
      <c r="V5527" s="18"/>
      <c r="W5527" s="18"/>
      <c r="X5527" s="18"/>
    </row>
    <row r="5528" spans="13:24">
      <c r="M5528" s="558">
        <f t="shared" si="263"/>
        <v>5526</v>
      </c>
      <c r="N5528" s="15">
        <f t="shared" si="261"/>
        <v>0.18656627632037345</v>
      </c>
      <c r="O5528" s="165">
        <f t="shared" si="262"/>
        <v>0.18656627632037345</v>
      </c>
      <c r="P5528" s="18"/>
      <c r="Q5528" s="18"/>
      <c r="R5528" s="18"/>
      <c r="S5528" s="18"/>
      <c r="T5528" s="18"/>
      <c r="U5528" s="18"/>
      <c r="V5528" s="18"/>
      <c r="W5528" s="18"/>
      <c r="X5528" s="18"/>
    </row>
    <row r="5529" spans="13:24">
      <c r="M5529" s="558">
        <f t="shared" si="263"/>
        <v>5527</v>
      </c>
      <c r="N5529" s="15">
        <f t="shared" si="261"/>
        <v>0.18651435913752118</v>
      </c>
      <c r="O5529" s="165">
        <f t="shared" si="262"/>
        <v>0.18651435913752118</v>
      </c>
      <c r="P5529" s="18"/>
      <c r="Q5529" s="18"/>
      <c r="R5529" s="18"/>
      <c r="S5529" s="18"/>
      <c r="T5529" s="18"/>
      <c r="U5529" s="18"/>
      <c r="V5529" s="18"/>
      <c r="W5529" s="18"/>
      <c r="X5529" s="18"/>
    </row>
    <row r="5530" spans="13:24">
      <c r="M5530" s="558">
        <f t="shared" si="263"/>
        <v>5528</v>
      </c>
      <c r="N5530" s="15">
        <f t="shared" si="261"/>
        <v>0.18646244264151141</v>
      </c>
      <c r="O5530" s="165">
        <f t="shared" si="262"/>
        <v>0.18646244264151141</v>
      </c>
      <c r="P5530" s="18"/>
      <c r="Q5530" s="18"/>
      <c r="R5530" s="18"/>
      <c r="S5530" s="18"/>
      <c r="T5530" s="18"/>
      <c r="U5530" s="18"/>
      <c r="V5530" s="18"/>
      <c r="W5530" s="18"/>
      <c r="X5530" s="18"/>
    </row>
    <row r="5531" spans="13:24">
      <c r="M5531" s="558">
        <f t="shared" si="263"/>
        <v>5529</v>
      </c>
      <c r="N5531" s="15">
        <f t="shared" si="261"/>
        <v>0.1864105268314821</v>
      </c>
      <c r="O5531" s="165">
        <f t="shared" si="262"/>
        <v>0.1864105268314821</v>
      </c>
      <c r="P5531" s="18"/>
      <c r="Q5531" s="18"/>
      <c r="R5531" s="18"/>
      <c r="S5531" s="18"/>
      <c r="T5531" s="18"/>
      <c r="U5531" s="18"/>
      <c r="V5531" s="18"/>
      <c r="W5531" s="18"/>
      <c r="X5531" s="18"/>
    </row>
    <row r="5532" spans="13:24">
      <c r="M5532" s="558">
        <f t="shared" si="263"/>
        <v>5530</v>
      </c>
      <c r="N5532" s="15">
        <f t="shared" si="261"/>
        <v>0.18635861170657247</v>
      </c>
      <c r="O5532" s="165">
        <f t="shared" si="262"/>
        <v>0.18635861170657247</v>
      </c>
      <c r="P5532" s="18"/>
      <c r="Q5532" s="18"/>
      <c r="R5532" s="18"/>
      <c r="S5532" s="18"/>
      <c r="T5532" s="18"/>
      <c r="U5532" s="18"/>
      <c r="V5532" s="18"/>
      <c r="W5532" s="18"/>
      <c r="X5532" s="18"/>
    </row>
    <row r="5533" spans="13:24">
      <c r="M5533" s="558">
        <f t="shared" si="263"/>
        <v>5531</v>
      </c>
      <c r="N5533" s="15">
        <f t="shared" si="261"/>
        <v>0.18630669726592272</v>
      </c>
      <c r="O5533" s="165">
        <f t="shared" si="262"/>
        <v>0.18630669726592272</v>
      </c>
      <c r="P5533" s="18"/>
      <c r="Q5533" s="18"/>
      <c r="R5533" s="18"/>
      <c r="S5533" s="18"/>
      <c r="T5533" s="18"/>
      <c r="U5533" s="18"/>
      <c r="V5533" s="18"/>
      <c r="W5533" s="18"/>
      <c r="X5533" s="18"/>
    </row>
    <row r="5534" spans="13:24">
      <c r="M5534" s="558">
        <f t="shared" si="263"/>
        <v>5532</v>
      </c>
      <c r="N5534" s="15">
        <f t="shared" si="261"/>
        <v>0.18625478350867419</v>
      </c>
      <c r="O5534" s="165">
        <f t="shared" si="262"/>
        <v>0.18625478350867419</v>
      </c>
      <c r="P5534" s="18"/>
      <c r="Q5534" s="18"/>
      <c r="R5534" s="18"/>
      <c r="S5534" s="18"/>
      <c r="T5534" s="18"/>
      <c r="U5534" s="18"/>
      <c r="V5534" s="18"/>
      <c r="W5534" s="18"/>
      <c r="X5534" s="18"/>
    </row>
    <row r="5535" spans="13:24">
      <c r="M5535" s="558">
        <f t="shared" si="263"/>
        <v>5533</v>
      </c>
      <c r="N5535" s="15">
        <f t="shared" si="261"/>
        <v>0.18620287043396921</v>
      </c>
      <c r="O5535" s="165">
        <f t="shared" si="262"/>
        <v>0.18620287043396921</v>
      </c>
      <c r="P5535" s="18"/>
      <c r="Q5535" s="18"/>
      <c r="R5535" s="18"/>
      <c r="S5535" s="18"/>
      <c r="T5535" s="18"/>
      <c r="U5535" s="18"/>
      <c r="V5535" s="18"/>
      <c r="W5535" s="18"/>
      <c r="X5535" s="18"/>
    </row>
    <row r="5536" spans="13:24">
      <c r="M5536" s="558">
        <f t="shared" si="263"/>
        <v>5534</v>
      </c>
      <c r="N5536" s="15">
        <f t="shared" si="261"/>
        <v>0.18615095804095133</v>
      </c>
      <c r="O5536" s="165">
        <f t="shared" si="262"/>
        <v>0.18615095804095133</v>
      </c>
      <c r="P5536" s="18"/>
      <c r="Q5536" s="18"/>
      <c r="R5536" s="18"/>
      <c r="S5536" s="18"/>
      <c r="T5536" s="18"/>
      <c r="U5536" s="18"/>
      <c r="V5536" s="18"/>
      <c r="W5536" s="18"/>
      <c r="X5536" s="18"/>
    </row>
    <row r="5537" spans="13:24">
      <c r="M5537" s="558">
        <f t="shared" si="263"/>
        <v>5535</v>
      </c>
      <c r="N5537" s="15">
        <f t="shared" si="261"/>
        <v>0.18609904632876501</v>
      </c>
      <c r="O5537" s="165">
        <f t="shared" si="262"/>
        <v>0.18609904632876501</v>
      </c>
      <c r="P5537" s="18"/>
      <c r="Q5537" s="18"/>
      <c r="R5537" s="18"/>
      <c r="S5537" s="18"/>
      <c r="T5537" s="18"/>
      <c r="U5537" s="18"/>
      <c r="V5537" s="18"/>
      <c r="W5537" s="18"/>
      <c r="X5537" s="18"/>
    </row>
    <row r="5538" spans="13:24">
      <c r="M5538" s="558">
        <f t="shared" si="263"/>
        <v>5536</v>
      </c>
      <c r="N5538" s="15">
        <f t="shared" si="261"/>
        <v>0.18604713529655587</v>
      </c>
      <c r="O5538" s="165">
        <f t="shared" si="262"/>
        <v>0.18604713529655587</v>
      </c>
      <c r="P5538" s="18"/>
      <c r="Q5538" s="18"/>
      <c r="R5538" s="18"/>
      <c r="S5538" s="18"/>
      <c r="T5538" s="18"/>
      <c r="U5538" s="18"/>
      <c r="V5538" s="18"/>
      <c r="W5538" s="18"/>
      <c r="X5538" s="18"/>
    </row>
    <row r="5539" spans="13:24">
      <c r="M5539" s="558">
        <f t="shared" si="263"/>
        <v>5537</v>
      </c>
      <c r="N5539" s="15">
        <f t="shared" si="261"/>
        <v>0.18599522494347062</v>
      </c>
      <c r="O5539" s="165">
        <f t="shared" si="262"/>
        <v>0.18599522494347062</v>
      </c>
      <c r="P5539" s="18"/>
      <c r="Q5539" s="18"/>
      <c r="R5539" s="18"/>
      <c r="S5539" s="18"/>
      <c r="T5539" s="18"/>
      <c r="U5539" s="18"/>
      <c r="V5539" s="18"/>
      <c r="W5539" s="18"/>
      <c r="X5539" s="18"/>
    </row>
    <row r="5540" spans="13:24">
      <c r="M5540" s="558">
        <f t="shared" si="263"/>
        <v>5538</v>
      </c>
      <c r="N5540" s="15">
        <f t="shared" si="261"/>
        <v>0.18594331526865698</v>
      </c>
      <c r="O5540" s="165">
        <f t="shared" si="262"/>
        <v>0.18594331526865698</v>
      </c>
      <c r="P5540" s="18"/>
      <c r="Q5540" s="18"/>
      <c r="R5540" s="18"/>
      <c r="S5540" s="18"/>
      <c r="T5540" s="18"/>
      <c r="U5540" s="18"/>
      <c r="V5540" s="18"/>
      <c r="W5540" s="18"/>
      <c r="X5540" s="18"/>
    </row>
    <row r="5541" spans="13:24">
      <c r="M5541" s="558">
        <f t="shared" si="263"/>
        <v>5539</v>
      </c>
      <c r="N5541" s="15">
        <f t="shared" si="261"/>
        <v>0.18589140627126385</v>
      </c>
      <c r="O5541" s="165">
        <f t="shared" si="262"/>
        <v>0.18589140627126385</v>
      </c>
      <c r="P5541" s="18"/>
      <c r="Q5541" s="18"/>
      <c r="R5541" s="18"/>
      <c r="S5541" s="18"/>
      <c r="T5541" s="18"/>
      <c r="U5541" s="18"/>
      <c r="V5541" s="18"/>
      <c r="W5541" s="18"/>
      <c r="X5541" s="18"/>
    </row>
    <row r="5542" spans="13:24">
      <c r="M5542" s="558">
        <f t="shared" si="263"/>
        <v>5540</v>
      </c>
      <c r="N5542" s="15">
        <f t="shared" si="261"/>
        <v>0.18583949795044102</v>
      </c>
      <c r="O5542" s="165">
        <f t="shared" si="262"/>
        <v>0.18583949795044102</v>
      </c>
      <c r="P5542" s="18"/>
      <c r="Q5542" s="18"/>
      <c r="R5542" s="18"/>
      <c r="S5542" s="18"/>
      <c r="T5542" s="18"/>
      <c r="U5542" s="18"/>
      <c r="V5542" s="18"/>
      <c r="W5542" s="18"/>
      <c r="X5542" s="18"/>
    </row>
    <row r="5543" spans="13:24">
      <c r="M5543" s="558">
        <f t="shared" si="263"/>
        <v>5541</v>
      </c>
      <c r="N5543" s="15">
        <f t="shared" si="261"/>
        <v>0.18578759030533953</v>
      </c>
      <c r="O5543" s="165">
        <f t="shared" si="262"/>
        <v>0.18578759030533953</v>
      </c>
      <c r="P5543" s="18"/>
      <c r="Q5543" s="18"/>
      <c r="R5543" s="18"/>
      <c r="S5543" s="18"/>
      <c r="T5543" s="18"/>
      <c r="U5543" s="18"/>
      <c r="V5543" s="18"/>
      <c r="W5543" s="18"/>
      <c r="X5543" s="18"/>
    </row>
    <row r="5544" spans="13:24">
      <c r="M5544" s="558">
        <f t="shared" si="263"/>
        <v>5542</v>
      </c>
      <c r="N5544" s="15">
        <f t="shared" si="261"/>
        <v>0.18573568333511137</v>
      </c>
      <c r="O5544" s="165">
        <f t="shared" si="262"/>
        <v>0.18573568333511137</v>
      </c>
      <c r="P5544" s="18"/>
      <c r="Q5544" s="18"/>
      <c r="R5544" s="18"/>
      <c r="S5544" s="18"/>
      <c r="T5544" s="18"/>
      <c r="U5544" s="18"/>
      <c r="V5544" s="18"/>
      <c r="W5544" s="18"/>
      <c r="X5544" s="18"/>
    </row>
    <row r="5545" spans="13:24">
      <c r="M5545" s="558">
        <f t="shared" si="263"/>
        <v>5543</v>
      </c>
      <c r="N5545" s="15">
        <f t="shared" si="261"/>
        <v>0.18568377703890962</v>
      </c>
      <c r="O5545" s="165">
        <f t="shared" si="262"/>
        <v>0.18568377703890962</v>
      </c>
      <c r="P5545" s="18"/>
      <c r="Q5545" s="18"/>
      <c r="R5545" s="18"/>
      <c r="S5545" s="18"/>
      <c r="T5545" s="18"/>
      <c r="U5545" s="18"/>
      <c r="V5545" s="18"/>
      <c r="W5545" s="18"/>
      <c r="X5545" s="18"/>
    </row>
    <row r="5546" spans="13:24">
      <c r="M5546" s="558">
        <f t="shared" si="263"/>
        <v>5544</v>
      </c>
      <c r="N5546" s="15">
        <f t="shared" si="261"/>
        <v>0.18563187141588844</v>
      </c>
      <c r="O5546" s="165">
        <f t="shared" si="262"/>
        <v>0.18563187141588844</v>
      </c>
      <c r="P5546" s="18"/>
      <c r="Q5546" s="18"/>
      <c r="R5546" s="18"/>
      <c r="S5546" s="18"/>
      <c r="T5546" s="18"/>
      <c r="U5546" s="18"/>
      <c r="V5546" s="18"/>
      <c r="W5546" s="18"/>
      <c r="X5546" s="18"/>
    </row>
    <row r="5547" spans="13:24">
      <c r="M5547" s="558">
        <f t="shared" si="263"/>
        <v>5545</v>
      </c>
      <c r="N5547" s="15">
        <f t="shared" si="261"/>
        <v>0.18557996646520306</v>
      </c>
      <c r="O5547" s="165">
        <f t="shared" si="262"/>
        <v>0.18557996646520306</v>
      </c>
      <c r="P5547" s="18"/>
      <c r="Q5547" s="18"/>
      <c r="R5547" s="18"/>
      <c r="S5547" s="18"/>
      <c r="T5547" s="18"/>
      <c r="U5547" s="18"/>
      <c r="V5547" s="18"/>
      <c r="W5547" s="18"/>
      <c r="X5547" s="18"/>
    </row>
    <row r="5548" spans="13:24">
      <c r="M5548" s="558">
        <f t="shared" si="263"/>
        <v>5546</v>
      </c>
      <c r="N5548" s="15">
        <f t="shared" si="261"/>
        <v>0.1855280621860097</v>
      </c>
      <c r="O5548" s="165">
        <f t="shared" si="262"/>
        <v>0.1855280621860097</v>
      </c>
      <c r="P5548" s="18"/>
      <c r="Q5548" s="18"/>
      <c r="R5548" s="18"/>
      <c r="S5548" s="18"/>
      <c r="T5548" s="18"/>
      <c r="U5548" s="18"/>
      <c r="V5548" s="18"/>
      <c r="W5548" s="18"/>
      <c r="X5548" s="18"/>
    </row>
    <row r="5549" spans="13:24">
      <c r="M5549" s="558">
        <f t="shared" si="263"/>
        <v>5547</v>
      </c>
      <c r="N5549" s="15">
        <f t="shared" si="261"/>
        <v>0.18547615857746577</v>
      </c>
      <c r="O5549" s="165">
        <f t="shared" si="262"/>
        <v>0.18547615857746577</v>
      </c>
      <c r="P5549" s="18"/>
      <c r="Q5549" s="18"/>
      <c r="R5549" s="18"/>
      <c r="S5549" s="18"/>
      <c r="T5549" s="18"/>
      <c r="U5549" s="18"/>
      <c r="V5549" s="18"/>
      <c r="W5549" s="18"/>
      <c r="X5549" s="18"/>
    </row>
    <row r="5550" spans="13:24">
      <c r="M5550" s="558">
        <f t="shared" si="263"/>
        <v>5548</v>
      </c>
      <c r="N5550" s="15">
        <f t="shared" si="261"/>
        <v>0.18542425563872958</v>
      </c>
      <c r="O5550" s="165">
        <f t="shared" si="262"/>
        <v>0.18542425563872958</v>
      </c>
      <c r="P5550" s="18"/>
      <c r="Q5550" s="18"/>
      <c r="R5550" s="18"/>
      <c r="S5550" s="18"/>
      <c r="T5550" s="18"/>
      <c r="U5550" s="18"/>
      <c r="V5550" s="18"/>
      <c r="W5550" s="18"/>
      <c r="X5550" s="18"/>
    </row>
    <row r="5551" spans="13:24">
      <c r="M5551" s="558">
        <f t="shared" si="263"/>
        <v>5549</v>
      </c>
      <c r="N5551" s="15">
        <f t="shared" si="261"/>
        <v>0.18537235336896066</v>
      </c>
      <c r="O5551" s="165">
        <f t="shared" si="262"/>
        <v>0.18537235336896066</v>
      </c>
      <c r="P5551" s="18"/>
      <c r="Q5551" s="18"/>
      <c r="R5551" s="18"/>
      <c r="S5551" s="18"/>
      <c r="T5551" s="18"/>
      <c r="U5551" s="18"/>
      <c r="V5551" s="18"/>
      <c r="W5551" s="18"/>
      <c r="X5551" s="18"/>
    </row>
    <row r="5552" spans="13:24">
      <c r="M5552" s="558">
        <f t="shared" si="263"/>
        <v>5550</v>
      </c>
      <c r="N5552" s="15">
        <f t="shared" si="261"/>
        <v>0.1853204517673194</v>
      </c>
      <c r="O5552" s="165">
        <f t="shared" si="262"/>
        <v>0.1853204517673194</v>
      </c>
      <c r="P5552" s="18"/>
      <c r="Q5552" s="18"/>
      <c r="R5552" s="18"/>
      <c r="S5552" s="18"/>
      <c r="T5552" s="18"/>
      <c r="U5552" s="18"/>
      <c r="V5552" s="18"/>
      <c r="W5552" s="18"/>
      <c r="X5552" s="18"/>
    </row>
    <row r="5553" spans="13:24">
      <c r="M5553" s="558">
        <f t="shared" si="263"/>
        <v>5551</v>
      </c>
      <c r="N5553" s="15">
        <f t="shared" si="261"/>
        <v>0.18526855083296742</v>
      </c>
      <c r="O5553" s="165">
        <f t="shared" si="262"/>
        <v>0.18526855083296742</v>
      </c>
      <c r="P5553" s="18"/>
      <c r="Q5553" s="18"/>
      <c r="R5553" s="18"/>
      <c r="S5553" s="18"/>
      <c r="T5553" s="18"/>
      <c r="U5553" s="18"/>
      <c r="V5553" s="18"/>
      <c r="W5553" s="18"/>
      <c r="X5553" s="18"/>
    </row>
    <row r="5554" spans="13:24">
      <c r="M5554" s="558">
        <f t="shared" si="263"/>
        <v>5552</v>
      </c>
      <c r="N5554" s="15">
        <f t="shared" si="261"/>
        <v>0.18521665056506736</v>
      </c>
      <c r="O5554" s="165">
        <f t="shared" si="262"/>
        <v>0.18521665056506736</v>
      </c>
      <c r="P5554" s="18"/>
      <c r="Q5554" s="18"/>
      <c r="R5554" s="18"/>
      <c r="S5554" s="18"/>
      <c r="T5554" s="18"/>
      <c r="U5554" s="18"/>
      <c r="V5554" s="18"/>
      <c r="W5554" s="18"/>
      <c r="X5554" s="18"/>
    </row>
    <row r="5555" spans="13:24">
      <c r="M5555" s="558">
        <f t="shared" si="263"/>
        <v>5553</v>
      </c>
      <c r="N5555" s="15">
        <f t="shared" si="261"/>
        <v>0.18516475096278281</v>
      </c>
      <c r="O5555" s="165">
        <f t="shared" si="262"/>
        <v>0.18516475096278281</v>
      </c>
      <c r="P5555" s="18"/>
      <c r="Q5555" s="18"/>
      <c r="R5555" s="18"/>
      <c r="S5555" s="18"/>
      <c r="T5555" s="18"/>
      <c r="U5555" s="18"/>
      <c r="V5555" s="18"/>
      <c r="W5555" s="18"/>
      <c r="X5555" s="18"/>
    </row>
    <row r="5556" spans="13:24">
      <c r="M5556" s="558">
        <f t="shared" si="263"/>
        <v>5554</v>
      </c>
      <c r="N5556" s="15">
        <f t="shared" si="261"/>
        <v>0.18511285202527852</v>
      </c>
      <c r="O5556" s="165">
        <f t="shared" si="262"/>
        <v>0.18511285202527852</v>
      </c>
      <c r="P5556" s="18"/>
      <c r="Q5556" s="18"/>
      <c r="R5556" s="18"/>
      <c r="S5556" s="18"/>
      <c r="T5556" s="18"/>
      <c r="U5556" s="18"/>
      <c r="V5556" s="18"/>
      <c r="W5556" s="18"/>
      <c r="X5556" s="18"/>
    </row>
    <row r="5557" spans="13:24">
      <c r="M5557" s="558">
        <f t="shared" si="263"/>
        <v>5555</v>
      </c>
      <c r="N5557" s="15">
        <f t="shared" si="261"/>
        <v>0.18506095375172021</v>
      </c>
      <c r="O5557" s="165">
        <f t="shared" si="262"/>
        <v>0.18506095375172021</v>
      </c>
      <c r="P5557" s="18"/>
      <c r="Q5557" s="18"/>
      <c r="R5557" s="18"/>
      <c r="S5557" s="18"/>
      <c r="T5557" s="18"/>
      <c r="U5557" s="18"/>
      <c r="V5557" s="18"/>
      <c r="W5557" s="18"/>
      <c r="X5557" s="18"/>
    </row>
    <row r="5558" spans="13:24">
      <c r="M5558" s="558">
        <f t="shared" si="263"/>
        <v>5556</v>
      </c>
      <c r="N5558" s="15">
        <f t="shared" si="261"/>
        <v>0.18500905614127472</v>
      </c>
      <c r="O5558" s="165">
        <f t="shared" si="262"/>
        <v>0.18500905614127472</v>
      </c>
      <c r="P5558" s="18"/>
      <c r="Q5558" s="18"/>
      <c r="R5558" s="18"/>
      <c r="S5558" s="18"/>
      <c r="T5558" s="18"/>
      <c r="U5558" s="18"/>
      <c r="V5558" s="18"/>
      <c r="W5558" s="18"/>
      <c r="X5558" s="18"/>
    </row>
    <row r="5559" spans="13:24">
      <c r="M5559" s="558">
        <f t="shared" si="263"/>
        <v>5557</v>
      </c>
      <c r="N5559" s="15">
        <f t="shared" si="261"/>
        <v>0.18495715919310984</v>
      </c>
      <c r="O5559" s="165">
        <f t="shared" si="262"/>
        <v>0.18495715919310984</v>
      </c>
      <c r="P5559" s="18"/>
      <c r="Q5559" s="18"/>
      <c r="R5559" s="18"/>
      <c r="S5559" s="18"/>
      <c r="T5559" s="18"/>
      <c r="U5559" s="18"/>
      <c r="V5559" s="18"/>
      <c r="W5559" s="18"/>
      <c r="X5559" s="18"/>
    </row>
    <row r="5560" spans="13:24">
      <c r="M5560" s="558">
        <f t="shared" si="263"/>
        <v>5558</v>
      </c>
      <c r="N5560" s="15">
        <f t="shared" si="261"/>
        <v>0.18490526290639453</v>
      </c>
      <c r="O5560" s="165">
        <f t="shared" si="262"/>
        <v>0.18490526290639453</v>
      </c>
      <c r="P5560" s="18"/>
      <c r="Q5560" s="18"/>
      <c r="R5560" s="18"/>
      <c r="S5560" s="18"/>
      <c r="T5560" s="18"/>
      <c r="U5560" s="18"/>
      <c r="V5560" s="18"/>
      <c r="W5560" s="18"/>
      <c r="X5560" s="18"/>
    </row>
    <row r="5561" spans="13:24">
      <c r="M5561" s="558">
        <f t="shared" si="263"/>
        <v>5559</v>
      </c>
      <c r="N5561" s="15">
        <f t="shared" si="261"/>
        <v>0.18485336728029866</v>
      </c>
      <c r="O5561" s="165">
        <f t="shared" si="262"/>
        <v>0.18485336728029866</v>
      </c>
      <c r="P5561" s="18"/>
      <c r="Q5561" s="18"/>
      <c r="R5561" s="18"/>
      <c r="S5561" s="18"/>
      <c r="T5561" s="18"/>
      <c r="U5561" s="18"/>
      <c r="V5561" s="18"/>
      <c r="W5561" s="18"/>
      <c r="X5561" s="18"/>
    </row>
    <row r="5562" spans="13:24">
      <c r="M5562" s="558">
        <f t="shared" si="263"/>
        <v>5560</v>
      </c>
      <c r="N5562" s="15">
        <f t="shared" si="261"/>
        <v>0.18480147231399327</v>
      </c>
      <c r="O5562" s="165">
        <f t="shared" si="262"/>
        <v>0.18480147231399327</v>
      </c>
      <c r="P5562" s="18"/>
      <c r="Q5562" s="18"/>
      <c r="R5562" s="18"/>
      <c r="S5562" s="18"/>
      <c r="T5562" s="18"/>
      <c r="U5562" s="18"/>
      <c r="V5562" s="18"/>
      <c r="W5562" s="18"/>
      <c r="X5562" s="18"/>
    </row>
    <row r="5563" spans="13:24">
      <c r="M5563" s="558">
        <f t="shared" si="263"/>
        <v>5561</v>
      </c>
      <c r="N5563" s="15">
        <f t="shared" si="261"/>
        <v>0.18474957800665029</v>
      </c>
      <c r="O5563" s="165">
        <f t="shared" si="262"/>
        <v>0.18474957800665029</v>
      </c>
      <c r="P5563" s="18"/>
      <c r="Q5563" s="18"/>
      <c r="R5563" s="18"/>
      <c r="S5563" s="18"/>
      <c r="T5563" s="18"/>
      <c r="U5563" s="18"/>
      <c r="V5563" s="18"/>
      <c r="W5563" s="18"/>
      <c r="X5563" s="18"/>
    </row>
    <row r="5564" spans="13:24">
      <c r="M5564" s="558">
        <f t="shared" si="263"/>
        <v>5562</v>
      </c>
      <c r="N5564" s="15">
        <f t="shared" si="261"/>
        <v>0.18469768435744288</v>
      </c>
      <c r="O5564" s="165">
        <f t="shared" si="262"/>
        <v>0.18469768435744288</v>
      </c>
      <c r="P5564" s="18"/>
      <c r="Q5564" s="18"/>
      <c r="R5564" s="18"/>
      <c r="S5564" s="18"/>
      <c r="T5564" s="18"/>
      <c r="U5564" s="18"/>
      <c r="V5564" s="18"/>
      <c r="W5564" s="18"/>
      <c r="X5564" s="18"/>
    </row>
    <row r="5565" spans="13:24">
      <c r="M5565" s="558">
        <f t="shared" si="263"/>
        <v>5563</v>
      </c>
      <c r="N5565" s="15">
        <f t="shared" si="261"/>
        <v>0.18464579136554504</v>
      </c>
      <c r="O5565" s="165">
        <f t="shared" si="262"/>
        <v>0.18464579136554504</v>
      </c>
      <c r="P5565" s="18"/>
      <c r="Q5565" s="18"/>
      <c r="R5565" s="18"/>
      <c r="S5565" s="18"/>
      <c r="T5565" s="18"/>
      <c r="U5565" s="18"/>
      <c r="V5565" s="18"/>
      <c r="W5565" s="18"/>
      <c r="X5565" s="18"/>
    </row>
    <row r="5566" spans="13:24">
      <c r="M5566" s="558">
        <f t="shared" si="263"/>
        <v>5564</v>
      </c>
      <c r="N5566" s="15">
        <f t="shared" si="261"/>
        <v>0.18459389903013196</v>
      </c>
      <c r="O5566" s="165">
        <f t="shared" si="262"/>
        <v>0.18459389903013196</v>
      </c>
      <c r="P5566" s="18"/>
      <c r="Q5566" s="18"/>
      <c r="R5566" s="18"/>
      <c r="S5566" s="18"/>
      <c r="T5566" s="18"/>
      <c r="U5566" s="18"/>
      <c r="V5566" s="18"/>
      <c r="W5566" s="18"/>
      <c r="X5566" s="18"/>
    </row>
    <row r="5567" spans="13:24">
      <c r="M5567" s="558">
        <f t="shared" si="263"/>
        <v>5565</v>
      </c>
      <c r="N5567" s="15">
        <f t="shared" si="261"/>
        <v>0.18454200735037976</v>
      </c>
      <c r="O5567" s="165">
        <f t="shared" si="262"/>
        <v>0.18454200735037976</v>
      </c>
      <c r="P5567" s="18"/>
      <c r="Q5567" s="18"/>
      <c r="R5567" s="18"/>
      <c r="S5567" s="18"/>
      <c r="T5567" s="18"/>
      <c r="U5567" s="18"/>
      <c r="V5567" s="18"/>
      <c r="W5567" s="18"/>
      <c r="X5567" s="18"/>
    </row>
    <row r="5568" spans="13:24">
      <c r="M5568" s="558">
        <f t="shared" si="263"/>
        <v>5566</v>
      </c>
      <c r="N5568" s="15">
        <f t="shared" si="261"/>
        <v>0.18449011632546566</v>
      </c>
      <c r="O5568" s="165">
        <f t="shared" si="262"/>
        <v>0.18449011632546566</v>
      </c>
      <c r="P5568" s="18"/>
      <c r="Q5568" s="18"/>
      <c r="R5568" s="18"/>
      <c r="S5568" s="18"/>
      <c r="T5568" s="18"/>
      <c r="U5568" s="18"/>
      <c r="V5568" s="18"/>
      <c r="W5568" s="18"/>
      <c r="X5568" s="18"/>
    </row>
    <row r="5569" spans="13:24">
      <c r="M5569" s="558">
        <f t="shared" si="263"/>
        <v>5567</v>
      </c>
      <c r="N5569" s="15">
        <f t="shared" si="261"/>
        <v>0.18443822595456794</v>
      </c>
      <c r="O5569" s="165">
        <f t="shared" si="262"/>
        <v>0.18443822595456794</v>
      </c>
      <c r="P5569" s="18"/>
      <c r="Q5569" s="18"/>
      <c r="R5569" s="18"/>
      <c r="S5569" s="18"/>
      <c r="T5569" s="18"/>
      <c r="U5569" s="18"/>
      <c r="V5569" s="18"/>
      <c r="W5569" s="18"/>
      <c r="X5569" s="18"/>
    </row>
    <row r="5570" spans="13:24">
      <c r="M5570" s="558">
        <f t="shared" si="263"/>
        <v>5568</v>
      </c>
      <c r="N5570" s="15">
        <f t="shared" si="261"/>
        <v>0.18438633623686576</v>
      </c>
      <c r="O5570" s="165">
        <f t="shared" si="262"/>
        <v>0.18438633623686576</v>
      </c>
      <c r="P5570" s="18"/>
      <c r="Q5570" s="18"/>
      <c r="R5570" s="18"/>
      <c r="S5570" s="18"/>
      <c r="T5570" s="18"/>
      <c r="U5570" s="18"/>
      <c r="V5570" s="18"/>
      <c r="W5570" s="18"/>
      <c r="X5570" s="18"/>
    </row>
    <row r="5571" spans="13:24">
      <c r="M5571" s="558">
        <f t="shared" si="263"/>
        <v>5569</v>
      </c>
      <c r="N5571" s="15">
        <f t="shared" si="261"/>
        <v>0.18433444717153949</v>
      </c>
      <c r="O5571" s="165">
        <f t="shared" si="262"/>
        <v>0.18433444717153949</v>
      </c>
      <c r="P5571" s="18"/>
      <c r="Q5571" s="18"/>
      <c r="R5571" s="18"/>
      <c r="S5571" s="18"/>
      <c r="T5571" s="18"/>
      <c r="U5571" s="18"/>
      <c r="V5571" s="18"/>
      <c r="W5571" s="18"/>
      <c r="X5571" s="18"/>
    </row>
    <row r="5572" spans="13:24">
      <c r="M5572" s="558">
        <f t="shared" si="263"/>
        <v>5570</v>
      </c>
      <c r="N5572" s="15">
        <f t="shared" ref="N5572:N5635" si="264">IF(M5572&lt;$B$31+1,$B$32+$B$33/$B$31*(8760-M5572)+$B$34*IF(M5572&lt;$B$36-$B$31/(2*$B$35),1,IF(M5572&lt;$B$36+$B$31/(2*$B$35),COS(PI()/2*(M5572-($B$36-$B$31/(2*$B$35)))*$B$35/$B$31)^2,0))+$B$37*EXP((8760-M5572)/8760*$B$38)/EXP($B$38)-(8760-$B$31)*$B$33/$B$31,0)</f>
        <v>0.18428255875777041</v>
      </c>
      <c r="O5572" s="165">
        <f t="shared" ref="O5572:O5635" si="265">MIN(N5572,C$24)</f>
        <v>0.18428255875777041</v>
      </c>
      <c r="P5572" s="18"/>
      <c r="Q5572" s="18"/>
      <c r="R5572" s="18"/>
      <c r="S5572" s="18"/>
      <c r="T5572" s="18"/>
      <c r="U5572" s="18"/>
      <c r="V5572" s="18"/>
      <c r="W5572" s="18"/>
      <c r="X5572" s="18"/>
    </row>
    <row r="5573" spans="13:24">
      <c r="M5573" s="558">
        <f t="shared" ref="M5573:M5636" si="266">M5572+1</f>
        <v>5571</v>
      </c>
      <c r="N5573" s="15">
        <f t="shared" si="264"/>
        <v>0.18423067099474091</v>
      </c>
      <c r="O5573" s="165">
        <f t="shared" si="265"/>
        <v>0.18423067099474091</v>
      </c>
      <c r="P5573" s="18"/>
      <c r="Q5573" s="18"/>
      <c r="R5573" s="18"/>
      <c r="S5573" s="18"/>
      <c r="T5573" s="18"/>
      <c r="U5573" s="18"/>
      <c r="V5573" s="18"/>
      <c r="W5573" s="18"/>
      <c r="X5573" s="18"/>
    </row>
    <row r="5574" spans="13:24">
      <c r="M5574" s="558">
        <f t="shared" si="266"/>
        <v>5572</v>
      </c>
      <c r="N5574" s="15">
        <f t="shared" si="264"/>
        <v>0.18417878388163431</v>
      </c>
      <c r="O5574" s="165">
        <f t="shared" si="265"/>
        <v>0.18417878388163431</v>
      </c>
      <c r="P5574" s="18"/>
      <c r="Q5574" s="18"/>
      <c r="R5574" s="18"/>
      <c r="S5574" s="18"/>
      <c r="T5574" s="18"/>
      <c r="U5574" s="18"/>
      <c r="V5574" s="18"/>
      <c r="W5574" s="18"/>
      <c r="X5574" s="18"/>
    </row>
    <row r="5575" spans="13:24">
      <c r="M5575" s="558">
        <f t="shared" si="266"/>
        <v>5573</v>
      </c>
      <c r="N5575" s="15">
        <f t="shared" si="264"/>
        <v>0.18412689741763505</v>
      </c>
      <c r="O5575" s="165">
        <f t="shared" si="265"/>
        <v>0.18412689741763505</v>
      </c>
      <c r="P5575" s="18"/>
      <c r="Q5575" s="18"/>
      <c r="R5575" s="18"/>
      <c r="S5575" s="18"/>
      <c r="T5575" s="18"/>
      <c r="U5575" s="18"/>
      <c r="V5575" s="18"/>
      <c r="W5575" s="18"/>
      <c r="X5575" s="18"/>
    </row>
    <row r="5576" spans="13:24">
      <c r="M5576" s="558">
        <f t="shared" si="266"/>
        <v>5574</v>
      </c>
      <c r="N5576" s="15">
        <f t="shared" si="264"/>
        <v>0.18407501160192852</v>
      </c>
      <c r="O5576" s="165">
        <f t="shared" si="265"/>
        <v>0.18407501160192852</v>
      </c>
      <c r="P5576" s="18"/>
      <c r="Q5576" s="18"/>
      <c r="R5576" s="18"/>
      <c r="S5576" s="18"/>
      <c r="T5576" s="18"/>
      <c r="U5576" s="18"/>
      <c r="V5576" s="18"/>
      <c r="W5576" s="18"/>
      <c r="X5576" s="18"/>
    </row>
    <row r="5577" spans="13:24">
      <c r="M5577" s="558">
        <f t="shared" si="266"/>
        <v>5575</v>
      </c>
      <c r="N5577" s="15">
        <f t="shared" si="264"/>
        <v>0.18402312643370122</v>
      </c>
      <c r="O5577" s="165">
        <f t="shared" si="265"/>
        <v>0.18402312643370122</v>
      </c>
      <c r="P5577" s="18"/>
      <c r="Q5577" s="18"/>
      <c r="R5577" s="18"/>
      <c r="S5577" s="18"/>
      <c r="T5577" s="18"/>
      <c r="U5577" s="18"/>
      <c r="V5577" s="18"/>
      <c r="W5577" s="18"/>
      <c r="X5577" s="18"/>
    </row>
    <row r="5578" spans="13:24">
      <c r="M5578" s="558">
        <f t="shared" si="266"/>
        <v>5576</v>
      </c>
      <c r="N5578" s="15">
        <f t="shared" si="264"/>
        <v>0.18397124191214057</v>
      </c>
      <c r="O5578" s="165">
        <f t="shared" si="265"/>
        <v>0.18397124191214057</v>
      </c>
      <c r="P5578" s="18"/>
      <c r="Q5578" s="18"/>
      <c r="R5578" s="18"/>
      <c r="S5578" s="18"/>
      <c r="T5578" s="18"/>
      <c r="U5578" s="18"/>
      <c r="V5578" s="18"/>
      <c r="W5578" s="18"/>
      <c r="X5578" s="18"/>
    </row>
    <row r="5579" spans="13:24">
      <c r="M5579" s="558">
        <f t="shared" si="266"/>
        <v>5577</v>
      </c>
      <c r="N5579" s="15">
        <f t="shared" si="264"/>
        <v>0.18391935803643505</v>
      </c>
      <c r="O5579" s="165">
        <f t="shared" si="265"/>
        <v>0.18391935803643505</v>
      </c>
      <c r="P5579" s="18"/>
      <c r="Q5579" s="18"/>
      <c r="R5579" s="18"/>
      <c r="S5579" s="18"/>
      <c r="T5579" s="18"/>
      <c r="U5579" s="18"/>
      <c r="V5579" s="18"/>
      <c r="W5579" s="18"/>
      <c r="X5579" s="18"/>
    </row>
    <row r="5580" spans="13:24">
      <c r="M5580" s="558">
        <f t="shared" si="266"/>
        <v>5578</v>
      </c>
      <c r="N5580" s="15">
        <f t="shared" si="264"/>
        <v>0.18386747480577417</v>
      </c>
      <c r="O5580" s="165">
        <f t="shared" si="265"/>
        <v>0.18386747480577417</v>
      </c>
      <c r="P5580" s="18"/>
      <c r="Q5580" s="18"/>
      <c r="R5580" s="18"/>
      <c r="S5580" s="18"/>
      <c r="T5580" s="18"/>
      <c r="U5580" s="18"/>
      <c r="V5580" s="18"/>
      <c r="W5580" s="18"/>
      <c r="X5580" s="18"/>
    </row>
    <row r="5581" spans="13:24">
      <c r="M5581" s="558">
        <f t="shared" si="266"/>
        <v>5579</v>
      </c>
      <c r="N5581" s="15">
        <f t="shared" si="264"/>
        <v>0.18381559221934848</v>
      </c>
      <c r="O5581" s="165">
        <f t="shared" si="265"/>
        <v>0.18381559221934848</v>
      </c>
      <c r="P5581" s="18"/>
      <c r="Q5581" s="18"/>
      <c r="R5581" s="18"/>
      <c r="S5581" s="18"/>
      <c r="T5581" s="18"/>
      <c r="U5581" s="18"/>
      <c r="V5581" s="18"/>
      <c r="W5581" s="18"/>
      <c r="X5581" s="18"/>
    </row>
    <row r="5582" spans="13:24">
      <c r="M5582" s="558">
        <f t="shared" si="266"/>
        <v>5580</v>
      </c>
      <c r="N5582" s="15">
        <f t="shared" si="264"/>
        <v>0.1837637102763495</v>
      </c>
      <c r="O5582" s="165">
        <f t="shared" si="265"/>
        <v>0.1837637102763495</v>
      </c>
      <c r="P5582" s="18"/>
      <c r="Q5582" s="18"/>
      <c r="R5582" s="18"/>
      <c r="S5582" s="18"/>
      <c r="T5582" s="18"/>
      <c r="U5582" s="18"/>
      <c r="V5582" s="18"/>
      <c r="W5582" s="18"/>
      <c r="X5582" s="18"/>
    </row>
    <row r="5583" spans="13:24">
      <c r="M5583" s="558">
        <f t="shared" si="266"/>
        <v>5581</v>
      </c>
      <c r="N5583" s="15">
        <f t="shared" si="264"/>
        <v>0.18371182897596977</v>
      </c>
      <c r="O5583" s="165">
        <f t="shared" si="265"/>
        <v>0.18371182897596977</v>
      </c>
      <c r="P5583" s="18"/>
      <c r="Q5583" s="18"/>
      <c r="R5583" s="18"/>
      <c r="S5583" s="18"/>
      <c r="T5583" s="18"/>
      <c r="U5583" s="18"/>
      <c r="V5583" s="18"/>
      <c r="W5583" s="18"/>
      <c r="X5583" s="18"/>
    </row>
    <row r="5584" spans="13:24">
      <c r="M5584" s="558">
        <f t="shared" si="266"/>
        <v>5582</v>
      </c>
      <c r="N5584" s="15">
        <f t="shared" si="264"/>
        <v>0.18365994831740284</v>
      </c>
      <c r="O5584" s="165">
        <f t="shared" si="265"/>
        <v>0.18365994831740284</v>
      </c>
      <c r="P5584" s="18"/>
      <c r="Q5584" s="18"/>
      <c r="R5584" s="18"/>
      <c r="S5584" s="18"/>
      <c r="T5584" s="18"/>
      <c r="U5584" s="18"/>
      <c r="V5584" s="18"/>
      <c r="W5584" s="18"/>
      <c r="X5584" s="18"/>
    </row>
    <row r="5585" spans="13:24">
      <c r="M5585" s="558">
        <f t="shared" si="266"/>
        <v>5583</v>
      </c>
      <c r="N5585" s="15">
        <f t="shared" si="264"/>
        <v>0.18360806829984333</v>
      </c>
      <c r="O5585" s="165">
        <f t="shared" si="265"/>
        <v>0.18360806829984333</v>
      </c>
      <c r="P5585" s="18"/>
      <c r="Q5585" s="18"/>
      <c r="R5585" s="18"/>
      <c r="S5585" s="18"/>
      <c r="T5585" s="18"/>
      <c r="U5585" s="18"/>
      <c r="V5585" s="18"/>
      <c r="W5585" s="18"/>
      <c r="X5585" s="18"/>
    </row>
    <row r="5586" spans="13:24">
      <c r="M5586" s="558">
        <f t="shared" si="266"/>
        <v>5584</v>
      </c>
      <c r="N5586" s="15">
        <f t="shared" si="264"/>
        <v>0.18355618892248682</v>
      </c>
      <c r="O5586" s="165">
        <f t="shared" si="265"/>
        <v>0.18355618892248682</v>
      </c>
      <c r="P5586" s="18"/>
      <c r="Q5586" s="18"/>
      <c r="R5586" s="18"/>
      <c r="S5586" s="18"/>
      <c r="T5586" s="18"/>
      <c r="U5586" s="18"/>
      <c r="V5586" s="18"/>
      <c r="W5586" s="18"/>
      <c r="X5586" s="18"/>
    </row>
    <row r="5587" spans="13:24">
      <c r="M5587" s="558">
        <f t="shared" si="266"/>
        <v>5585</v>
      </c>
      <c r="N5587" s="15">
        <f t="shared" si="264"/>
        <v>0.18350431018452987</v>
      </c>
      <c r="O5587" s="165">
        <f t="shared" si="265"/>
        <v>0.18350431018452987</v>
      </c>
      <c r="P5587" s="18"/>
      <c r="Q5587" s="18"/>
      <c r="R5587" s="18"/>
      <c r="S5587" s="18"/>
      <c r="T5587" s="18"/>
      <c r="U5587" s="18"/>
      <c r="V5587" s="18"/>
      <c r="W5587" s="18"/>
      <c r="X5587" s="18"/>
    </row>
    <row r="5588" spans="13:24">
      <c r="M5588" s="558">
        <f t="shared" si="266"/>
        <v>5586</v>
      </c>
      <c r="N5588" s="15">
        <f t="shared" si="264"/>
        <v>0.18345243208517012</v>
      </c>
      <c r="O5588" s="165">
        <f t="shared" si="265"/>
        <v>0.18345243208517012</v>
      </c>
      <c r="P5588" s="18"/>
      <c r="Q5588" s="18"/>
      <c r="R5588" s="18"/>
      <c r="S5588" s="18"/>
      <c r="T5588" s="18"/>
      <c r="U5588" s="18"/>
      <c r="V5588" s="18"/>
      <c r="W5588" s="18"/>
      <c r="X5588" s="18"/>
    </row>
    <row r="5589" spans="13:24">
      <c r="M5589" s="558">
        <f t="shared" si="266"/>
        <v>5587</v>
      </c>
      <c r="N5589" s="15">
        <f t="shared" si="264"/>
        <v>0.18340055462360613</v>
      </c>
      <c r="O5589" s="165">
        <f t="shared" si="265"/>
        <v>0.18340055462360613</v>
      </c>
      <c r="P5589" s="18"/>
      <c r="Q5589" s="18"/>
      <c r="R5589" s="18"/>
      <c r="S5589" s="18"/>
      <c r="T5589" s="18"/>
      <c r="U5589" s="18"/>
      <c r="V5589" s="18"/>
      <c r="W5589" s="18"/>
      <c r="X5589" s="18"/>
    </row>
    <row r="5590" spans="13:24">
      <c r="M5590" s="558">
        <f t="shared" si="266"/>
        <v>5588</v>
      </c>
      <c r="N5590" s="15">
        <f t="shared" si="264"/>
        <v>0.1833486777990376</v>
      </c>
      <c r="O5590" s="165">
        <f t="shared" si="265"/>
        <v>0.1833486777990376</v>
      </c>
      <c r="P5590" s="18"/>
      <c r="Q5590" s="18"/>
      <c r="R5590" s="18"/>
      <c r="S5590" s="18"/>
      <c r="T5590" s="18"/>
      <c r="U5590" s="18"/>
      <c r="V5590" s="18"/>
      <c r="W5590" s="18"/>
      <c r="X5590" s="18"/>
    </row>
    <row r="5591" spans="13:24">
      <c r="M5591" s="558">
        <f t="shared" si="266"/>
        <v>5589</v>
      </c>
      <c r="N5591" s="15">
        <f t="shared" si="264"/>
        <v>0.18329680161066508</v>
      </c>
      <c r="O5591" s="165">
        <f t="shared" si="265"/>
        <v>0.18329680161066508</v>
      </c>
      <c r="P5591" s="18"/>
      <c r="Q5591" s="18"/>
      <c r="R5591" s="18"/>
      <c r="S5591" s="18"/>
      <c r="T5591" s="18"/>
      <c r="U5591" s="18"/>
      <c r="V5591" s="18"/>
      <c r="W5591" s="18"/>
      <c r="X5591" s="18"/>
    </row>
    <row r="5592" spans="13:24">
      <c r="M5592" s="558">
        <f t="shared" si="266"/>
        <v>5590</v>
      </c>
      <c r="N5592" s="15">
        <f t="shared" si="264"/>
        <v>0.18324492605769027</v>
      </c>
      <c r="O5592" s="165">
        <f t="shared" si="265"/>
        <v>0.18324492605769027</v>
      </c>
      <c r="P5592" s="18"/>
      <c r="Q5592" s="18"/>
      <c r="R5592" s="18"/>
      <c r="S5592" s="18"/>
      <c r="T5592" s="18"/>
      <c r="U5592" s="18"/>
      <c r="V5592" s="18"/>
      <c r="W5592" s="18"/>
      <c r="X5592" s="18"/>
    </row>
    <row r="5593" spans="13:24">
      <c r="M5593" s="558">
        <f t="shared" si="266"/>
        <v>5591</v>
      </c>
      <c r="N5593" s="15">
        <f t="shared" si="264"/>
        <v>0.18319305113931569</v>
      </c>
      <c r="O5593" s="165">
        <f t="shared" si="265"/>
        <v>0.18319305113931569</v>
      </c>
      <c r="P5593" s="18"/>
      <c r="Q5593" s="18"/>
      <c r="R5593" s="18"/>
      <c r="S5593" s="18"/>
      <c r="T5593" s="18"/>
      <c r="U5593" s="18"/>
      <c r="V5593" s="18"/>
      <c r="W5593" s="18"/>
      <c r="X5593" s="18"/>
    </row>
    <row r="5594" spans="13:24">
      <c r="M5594" s="558">
        <f t="shared" si="266"/>
        <v>5592</v>
      </c>
      <c r="N5594" s="15">
        <f t="shared" si="264"/>
        <v>0.18314117685474507</v>
      </c>
      <c r="O5594" s="165">
        <f t="shared" si="265"/>
        <v>0.18314117685474507</v>
      </c>
      <c r="P5594" s="18"/>
      <c r="Q5594" s="18"/>
      <c r="R5594" s="18"/>
      <c r="S5594" s="18"/>
      <c r="T5594" s="18"/>
      <c r="U5594" s="18"/>
      <c r="V5594" s="18"/>
      <c r="W5594" s="18"/>
      <c r="X5594" s="18"/>
    </row>
    <row r="5595" spans="13:24">
      <c r="M5595" s="558">
        <f t="shared" si="266"/>
        <v>5593</v>
      </c>
      <c r="N5595" s="15">
        <f t="shared" si="264"/>
        <v>0.18308930320318298</v>
      </c>
      <c r="O5595" s="165">
        <f t="shared" si="265"/>
        <v>0.18308930320318298</v>
      </c>
      <c r="P5595" s="18"/>
      <c r="Q5595" s="18"/>
      <c r="R5595" s="18"/>
      <c r="S5595" s="18"/>
      <c r="T5595" s="18"/>
      <c r="U5595" s="18"/>
      <c r="V5595" s="18"/>
      <c r="W5595" s="18"/>
      <c r="X5595" s="18"/>
    </row>
    <row r="5596" spans="13:24">
      <c r="M5596" s="558">
        <f t="shared" si="266"/>
        <v>5594</v>
      </c>
      <c r="N5596" s="15">
        <f t="shared" si="264"/>
        <v>0.18303743018383506</v>
      </c>
      <c r="O5596" s="165">
        <f t="shared" si="265"/>
        <v>0.18303743018383506</v>
      </c>
      <c r="P5596" s="18"/>
      <c r="Q5596" s="18"/>
      <c r="R5596" s="18"/>
      <c r="S5596" s="18"/>
      <c r="T5596" s="18"/>
      <c r="U5596" s="18"/>
      <c r="V5596" s="18"/>
      <c r="W5596" s="18"/>
      <c r="X5596" s="18"/>
    </row>
    <row r="5597" spans="13:24">
      <c r="M5597" s="558">
        <f t="shared" si="266"/>
        <v>5595</v>
      </c>
      <c r="N5597" s="15">
        <f t="shared" si="264"/>
        <v>0.18298555779590792</v>
      </c>
      <c r="O5597" s="165">
        <f t="shared" si="265"/>
        <v>0.18298555779590792</v>
      </c>
      <c r="P5597" s="18"/>
      <c r="Q5597" s="18"/>
      <c r="R5597" s="18"/>
      <c r="S5597" s="18"/>
      <c r="T5597" s="18"/>
      <c r="U5597" s="18"/>
      <c r="V5597" s="18"/>
      <c r="W5597" s="18"/>
      <c r="X5597" s="18"/>
    </row>
    <row r="5598" spans="13:24">
      <c r="M5598" s="558">
        <f t="shared" si="266"/>
        <v>5596</v>
      </c>
      <c r="N5598" s="15">
        <f t="shared" si="264"/>
        <v>0.18293368603860921</v>
      </c>
      <c r="O5598" s="165">
        <f t="shared" si="265"/>
        <v>0.18293368603860921</v>
      </c>
      <c r="P5598" s="18"/>
      <c r="Q5598" s="18"/>
      <c r="R5598" s="18"/>
      <c r="S5598" s="18"/>
      <c r="T5598" s="18"/>
      <c r="U5598" s="18"/>
      <c r="V5598" s="18"/>
      <c r="W5598" s="18"/>
      <c r="X5598" s="18"/>
    </row>
    <row r="5599" spans="13:24">
      <c r="M5599" s="558">
        <f t="shared" si="266"/>
        <v>5597</v>
      </c>
      <c r="N5599" s="15">
        <f t="shared" si="264"/>
        <v>0.18288181491114749</v>
      </c>
      <c r="O5599" s="165">
        <f t="shared" si="265"/>
        <v>0.18288181491114749</v>
      </c>
      <c r="P5599" s="18"/>
      <c r="Q5599" s="18"/>
      <c r="R5599" s="18"/>
      <c r="S5599" s="18"/>
      <c r="T5599" s="18"/>
      <c r="U5599" s="18"/>
      <c r="V5599" s="18"/>
      <c r="W5599" s="18"/>
      <c r="X5599" s="18"/>
    </row>
    <row r="5600" spans="13:24">
      <c r="M5600" s="558">
        <f t="shared" si="266"/>
        <v>5598</v>
      </c>
      <c r="N5600" s="15">
        <f t="shared" si="264"/>
        <v>0.18282994441273243</v>
      </c>
      <c r="O5600" s="165">
        <f t="shared" si="265"/>
        <v>0.18282994441273243</v>
      </c>
      <c r="P5600" s="18"/>
      <c r="Q5600" s="18"/>
      <c r="R5600" s="18"/>
      <c r="S5600" s="18"/>
      <c r="T5600" s="18"/>
      <c r="U5600" s="18"/>
      <c r="V5600" s="18"/>
      <c r="W5600" s="18"/>
      <c r="X5600" s="18"/>
    </row>
    <row r="5601" spans="13:24">
      <c r="M5601" s="558">
        <f t="shared" si="266"/>
        <v>5599</v>
      </c>
      <c r="N5601" s="15">
        <f t="shared" si="264"/>
        <v>0.18277807454257458</v>
      </c>
      <c r="O5601" s="165">
        <f t="shared" si="265"/>
        <v>0.18277807454257458</v>
      </c>
      <c r="P5601" s="18"/>
      <c r="Q5601" s="18"/>
      <c r="R5601" s="18"/>
      <c r="S5601" s="18"/>
      <c r="T5601" s="18"/>
      <c r="U5601" s="18"/>
      <c r="V5601" s="18"/>
      <c r="W5601" s="18"/>
      <c r="X5601" s="18"/>
    </row>
    <row r="5602" spans="13:24">
      <c r="M5602" s="558">
        <f t="shared" si="266"/>
        <v>5600</v>
      </c>
      <c r="N5602" s="15">
        <f t="shared" si="264"/>
        <v>0.18272620529988554</v>
      </c>
      <c r="O5602" s="165">
        <f t="shared" si="265"/>
        <v>0.18272620529988554</v>
      </c>
      <c r="P5602" s="18"/>
      <c r="Q5602" s="18"/>
      <c r="R5602" s="18"/>
      <c r="S5602" s="18"/>
      <c r="T5602" s="18"/>
      <c r="U5602" s="18"/>
      <c r="V5602" s="18"/>
      <c r="W5602" s="18"/>
      <c r="X5602" s="18"/>
    </row>
    <row r="5603" spans="13:24">
      <c r="M5603" s="558">
        <f t="shared" si="266"/>
        <v>5601</v>
      </c>
      <c r="N5603" s="15">
        <f t="shared" si="264"/>
        <v>0.18267433668387789</v>
      </c>
      <c r="O5603" s="165">
        <f t="shared" si="265"/>
        <v>0.18267433668387789</v>
      </c>
      <c r="P5603" s="18"/>
      <c r="Q5603" s="18"/>
      <c r="R5603" s="18"/>
      <c r="S5603" s="18"/>
      <c r="T5603" s="18"/>
      <c r="U5603" s="18"/>
      <c r="V5603" s="18"/>
      <c r="W5603" s="18"/>
      <c r="X5603" s="18"/>
    </row>
    <row r="5604" spans="13:24">
      <c r="M5604" s="558">
        <f t="shared" si="266"/>
        <v>5602</v>
      </c>
      <c r="N5604" s="15">
        <f t="shared" si="264"/>
        <v>0.18262246869376519</v>
      </c>
      <c r="O5604" s="165">
        <f t="shared" si="265"/>
        <v>0.18262246869376519</v>
      </c>
      <c r="P5604" s="18"/>
      <c r="Q5604" s="18"/>
      <c r="R5604" s="18"/>
      <c r="S5604" s="18"/>
      <c r="T5604" s="18"/>
      <c r="U5604" s="18"/>
      <c r="V5604" s="18"/>
      <c r="W5604" s="18"/>
      <c r="X5604" s="18"/>
    </row>
    <row r="5605" spans="13:24">
      <c r="M5605" s="558">
        <f t="shared" si="266"/>
        <v>5603</v>
      </c>
      <c r="N5605" s="15">
        <f t="shared" si="264"/>
        <v>0.18257060132876202</v>
      </c>
      <c r="O5605" s="165">
        <f t="shared" si="265"/>
        <v>0.18257060132876202</v>
      </c>
      <c r="P5605" s="18"/>
      <c r="Q5605" s="18"/>
      <c r="R5605" s="18"/>
      <c r="S5605" s="18"/>
      <c r="T5605" s="18"/>
      <c r="U5605" s="18"/>
      <c r="V5605" s="18"/>
      <c r="W5605" s="18"/>
      <c r="X5605" s="18"/>
    </row>
    <row r="5606" spans="13:24">
      <c r="M5606" s="558">
        <f t="shared" si="266"/>
        <v>5604</v>
      </c>
      <c r="N5606" s="15">
        <f t="shared" si="264"/>
        <v>0.18251873458808385</v>
      </c>
      <c r="O5606" s="165">
        <f t="shared" si="265"/>
        <v>0.18251873458808385</v>
      </c>
      <c r="P5606" s="18"/>
      <c r="Q5606" s="18"/>
      <c r="R5606" s="18"/>
      <c r="S5606" s="18"/>
      <c r="T5606" s="18"/>
      <c r="U5606" s="18"/>
      <c r="V5606" s="18"/>
      <c r="W5606" s="18"/>
      <c r="X5606" s="18"/>
    </row>
    <row r="5607" spans="13:24">
      <c r="M5607" s="558">
        <f t="shared" si="266"/>
        <v>5605</v>
      </c>
      <c r="N5607" s="15">
        <f t="shared" si="264"/>
        <v>0.18246686847094729</v>
      </c>
      <c r="O5607" s="165">
        <f t="shared" si="265"/>
        <v>0.18246686847094729</v>
      </c>
      <c r="P5607" s="18"/>
      <c r="Q5607" s="18"/>
      <c r="R5607" s="18"/>
      <c r="S5607" s="18"/>
      <c r="T5607" s="18"/>
      <c r="U5607" s="18"/>
      <c r="V5607" s="18"/>
      <c r="W5607" s="18"/>
      <c r="X5607" s="18"/>
    </row>
    <row r="5608" spans="13:24">
      <c r="M5608" s="558">
        <f t="shared" si="266"/>
        <v>5606</v>
      </c>
      <c r="N5608" s="15">
        <f t="shared" si="264"/>
        <v>0.18241500297656976</v>
      </c>
      <c r="O5608" s="165">
        <f t="shared" si="265"/>
        <v>0.18241500297656976</v>
      </c>
      <c r="P5608" s="18"/>
      <c r="Q5608" s="18"/>
      <c r="R5608" s="18"/>
      <c r="S5608" s="18"/>
      <c r="T5608" s="18"/>
      <c r="U5608" s="18"/>
      <c r="V5608" s="18"/>
      <c r="W5608" s="18"/>
      <c r="X5608" s="18"/>
    </row>
    <row r="5609" spans="13:24">
      <c r="M5609" s="558">
        <f t="shared" si="266"/>
        <v>5607</v>
      </c>
      <c r="N5609" s="15">
        <f t="shared" si="264"/>
        <v>0.18236313810416982</v>
      </c>
      <c r="O5609" s="165">
        <f t="shared" si="265"/>
        <v>0.18236313810416982</v>
      </c>
      <c r="P5609" s="18"/>
      <c r="Q5609" s="18"/>
      <c r="R5609" s="18"/>
      <c r="S5609" s="18"/>
      <c r="T5609" s="18"/>
      <c r="U5609" s="18"/>
      <c r="V5609" s="18"/>
      <c r="W5609" s="18"/>
      <c r="X5609" s="18"/>
    </row>
    <row r="5610" spans="13:24">
      <c r="M5610" s="558">
        <f t="shared" si="266"/>
        <v>5608</v>
      </c>
      <c r="N5610" s="15">
        <f t="shared" si="264"/>
        <v>0.18231127385296689</v>
      </c>
      <c r="O5610" s="165">
        <f t="shared" si="265"/>
        <v>0.18231127385296689</v>
      </c>
      <c r="P5610" s="18"/>
      <c r="Q5610" s="18"/>
      <c r="R5610" s="18"/>
      <c r="S5610" s="18"/>
      <c r="T5610" s="18"/>
      <c r="U5610" s="18"/>
      <c r="V5610" s="18"/>
      <c r="W5610" s="18"/>
      <c r="X5610" s="18"/>
    </row>
    <row r="5611" spans="13:24">
      <c r="M5611" s="558">
        <f t="shared" si="266"/>
        <v>5609</v>
      </c>
      <c r="N5611" s="15">
        <f t="shared" si="264"/>
        <v>0.18225941022218145</v>
      </c>
      <c r="O5611" s="165">
        <f t="shared" si="265"/>
        <v>0.18225941022218145</v>
      </c>
      <c r="P5611" s="18"/>
      <c r="Q5611" s="18"/>
      <c r="R5611" s="18"/>
      <c r="S5611" s="18"/>
      <c r="T5611" s="18"/>
      <c r="U5611" s="18"/>
      <c r="V5611" s="18"/>
      <c r="W5611" s="18"/>
      <c r="X5611" s="18"/>
    </row>
    <row r="5612" spans="13:24">
      <c r="M5612" s="558">
        <f t="shared" si="266"/>
        <v>5610</v>
      </c>
      <c r="N5612" s="15">
        <f t="shared" si="264"/>
        <v>0.18220754721103488</v>
      </c>
      <c r="O5612" s="165">
        <f t="shared" si="265"/>
        <v>0.18220754721103488</v>
      </c>
      <c r="P5612" s="18"/>
      <c r="Q5612" s="18"/>
      <c r="R5612" s="18"/>
      <c r="S5612" s="18"/>
      <c r="T5612" s="18"/>
      <c r="U5612" s="18"/>
      <c r="V5612" s="18"/>
      <c r="W5612" s="18"/>
      <c r="X5612" s="18"/>
    </row>
    <row r="5613" spans="13:24">
      <c r="M5613" s="558">
        <f t="shared" si="266"/>
        <v>5611</v>
      </c>
      <c r="N5613" s="15">
        <f t="shared" si="264"/>
        <v>0.18215568481874964</v>
      </c>
      <c r="O5613" s="165">
        <f t="shared" si="265"/>
        <v>0.18215568481874964</v>
      </c>
      <c r="P5613" s="18"/>
      <c r="Q5613" s="18"/>
      <c r="R5613" s="18"/>
      <c r="S5613" s="18"/>
      <c r="T5613" s="18"/>
      <c r="U5613" s="18"/>
      <c r="V5613" s="18"/>
      <c r="W5613" s="18"/>
      <c r="X5613" s="18"/>
    </row>
    <row r="5614" spans="13:24">
      <c r="M5614" s="558">
        <f t="shared" si="266"/>
        <v>5612</v>
      </c>
      <c r="N5614" s="15">
        <f t="shared" si="264"/>
        <v>0.18210382304454906</v>
      </c>
      <c r="O5614" s="165">
        <f t="shared" si="265"/>
        <v>0.18210382304454906</v>
      </c>
      <c r="P5614" s="18"/>
      <c r="Q5614" s="18"/>
      <c r="R5614" s="18"/>
      <c r="S5614" s="18"/>
      <c r="T5614" s="18"/>
      <c r="U5614" s="18"/>
      <c r="V5614" s="18"/>
      <c r="W5614" s="18"/>
      <c r="X5614" s="18"/>
    </row>
    <row r="5615" spans="13:24">
      <c r="M5615" s="558">
        <f t="shared" si="266"/>
        <v>5613</v>
      </c>
      <c r="N5615" s="15">
        <f t="shared" si="264"/>
        <v>0.18205196188765752</v>
      </c>
      <c r="O5615" s="165">
        <f t="shared" si="265"/>
        <v>0.18205196188765752</v>
      </c>
      <c r="P5615" s="18"/>
      <c r="Q5615" s="18"/>
      <c r="R5615" s="18"/>
      <c r="S5615" s="18"/>
      <c r="T5615" s="18"/>
      <c r="U5615" s="18"/>
      <c r="V5615" s="18"/>
      <c r="W5615" s="18"/>
      <c r="X5615" s="18"/>
    </row>
    <row r="5616" spans="13:24">
      <c r="M5616" s="558">
        <f t="shared" si="266"/>
        <v>5614</v>
      </c>
      <c r="N5616" s="15">
        <f t="shared" si="264"/>
        <v>0.18200010134730035</v>
      </c>
      <c r="O5616" s="165">
        <f t="shared" si="265"/>
        <v>0.18200010134730035</v>
      </c>
      <c r="P5616" s="18"/>
      <c r="Q5616" s="18"/>
      <c r="R5616" s="18"/>
      <c r="S5616" s="18"/>
      <c r="T5616" s="18"/>
      <c r="U5616" s="18"/>
      <c r="V5616" s="18"/>
      <c r="W5616" s="18"/>
      <c r="X5616" s="18"/>
    </row>
    <row r="5617" spans="13:24">
      <c r="M5617" s="558">
        <f t="shared" si="266"/>
        <v>5615</v>
      </c>
      <c r="N5617" s="15">
        <f t="shared" si="264"/>
        <v>0.18194824142270383</v>
      </c>
      <c r="O5617" s="165">
        <f t="shared" si="265"/>
        <v>0.18194824142270383</v>
      </c>
      <c r="P5617" s="18"/>
      <c r="Q5617" s="18"/>
      <c r="R5617" s="18"/>
      <c r="S5617" s="18"/>
      <c r="T5617" s="18"/>
      <c r="U5617" s="18"/>
      <c r="V5617" s="18"/>
      <c r="W5617" s="18"/>
      <c r="X5617" s="18"/>
    </row>
    <row r="5618" spans="13:24">
      <c r="M5618" s="558">
        <f t="shared" si="266"/>
        <v>5616</v>
      </c>
      <c r="N5618" s="15">
        <f t="shared" si="264"/>
        <v>0.18189638211309525</v>
      </c>
      <c r="O5618" s="165">
        <f t="shared" si="265"/>
        <v>0.18189638211309525</v>
      </c>
      <c r="P5618" s="18"/>
      <c r="Q5618" s="18"/>
      <c r="R5618" s="18"/>
      <c r="S5618" s="18"/>
      <c r="T5618" s="18"/>
      <c r="U5618" s="18"/>
      <c r="V5618" s="18"/>
      <c r="W5618" s="18"/>
      <c r="X5618" s="18"/>
    </row>
    <row r="5619" spans="13:24">
      <c r="M5619" s="558">
        <f t="shared" si="266"/>
        <v>5617</v>
      </c>
      <c r="N5619" s="15">
        <f t="shared" si="264"/>
        <v>0.18184452341770282</v>
      </c>
      <c r="O5619" s="165">
        <f t="shared" si="265"/>
        <v>0.18184452341770282</v>
      </c>
      <c r="P5619" s="18"/>
      <c r="Q5619" s="18"/>
      <c r="R5619" s="18"/>
      <c r="S5619" s="18"/>
      <c r="T5619" s="18"/>
      <c r="U5619" s="18"/>
      <c r="V5619" s="18"/>
      <c r="W5619" s="18"/>
      <c r="X5619" s="18"/>
    </row>
    <row r="5620" spans="13:24">
      <c r="M5620" s="558">
        <f t="shared" si="266"/>
        <v>5618</v>
      </c>
      <c r="N5620" s="15">
        <f t="shared" si="264"/>
        <v>0.1817926653357558</v>
      </c>
      <c r="O5620" s="165">
        <f t="shared" si="265"/>
        <v>0.1817926653357558</v>
      </c>
      <c r="P5620" s="18"/>
      <c r="Q5620" s="18"/>
      <c r="R5620" s="18"/>
      <c r="S5620" s="18"/>
      <c r="T5620" s="18"/>
      <c r="U5620" s="18"/>
      <c r="V5620" s="18"/>
      <c r="W5620" s="18"/>
      <c r="X5620" s="18"/>
    </row>
    <row r="5621" spans="13:24">
      <c r="M5621" s="558">
        <f t="shared" si="266"/>
        <v>5619</v>
      </c>
      <c r="N5621" s="15">
        <f t="shared" si="264"/>
        <v>0.18174080786648431</v>
      </c>
      <c r="O5621" s="165">
        <f t="shared" si="265"/>
        <v>0.18174080786648431</v>
      </c>
      <c r="P5621" s="18"/>
      <c r="Q5621" s="18"/>
      <c r="R5621" s="18"/>
      <c r="S5621" s="18"/>
      <c r="T5621" s="18"/>
      <c r="U5621" s="18"/>
      <c r="V5621" s="18"/>
      <c r="W5621" s="18"/>
      <c r="X5621" s="18"/>
    </row>
    <row r="5622" spans="13:24">
      <c r="M5622" s="558">
        <f t="shared" si="266"/>
        <v>5620</v>
      </c>
      <c r="N5622" s="15">
        <f t="shared" si="264"/>
        <v>0.18168895100911955</v>
      </c>
      <c r="O5622" s="165">
        <f t="shared" si="265"/>
        <v>0.18168895100911955</v>
      </c>
      <c r="P5622" s="18"/>
      <c r="Q5622" s="18"/>
      <c r="R5622" s="18"/>
      <c r="S5622" s="18"/>
      <c r="T5622" s="18"/>
      <c r="U5622" s="18"/>
      <c r="V5622" s="18"/>
      <c r="W5622" s="18"/>
      <c r="X5622" s="18"/>
    </row>
    <row r="5623" spans="13:24">
      <c r="M5623" s="558">
        <f t="shared" si="266"/>
        <v>5621</v>
      </c>
      <c r="N5623" s="15">
        <f t="shared" si="264"/>
        <v>0.18163709476289355</v>
      </c>
      <c r="O5623" s="165">
        <f t="shared" si="265"/>
        <v>0.18163709476289355</v>
      </c>
      <c r="P5623" s="18"/>
      <c r="Q5623" s="18"/>
      <c r="R5623" s="18"/>
      <c r="S5623" s="18"/>
      <c r="T5623" s="18"/>
      <c r="U5623" s="18"/>
      <c r="V5623" s="18"/>
      <c r="W5623" s="18"/>
      <c r="X5623" s="18"/>
    </row>
    <row r="5624" spans="13:24">
      <c r="M5624" s="558">
        <f t="shared" si="266"/>
        <v>5622</v>
      </c>
      <c r="N5624" s="15">
        <f t="shared" si="264"/>
        <v>0.18158523912703944</v>
      </c>
      <c r="O5624" s="165">
        <f t="shared" si="265"/>
        <v>0.18158523912703944</v>
      </c>
      <c r="P5624" s="18"/>
      <c r="Q5624" s="18"/>
      <c r="R5624" s="18"/>
      <c r="S5624" s="18"/>
      <c r="T5624" s="18"/>
      <c r="U5624" s="18"/>
      <c r="V5624" s="18"/>
      <c r="W5624" s="18"/>
      <c r="X5624" s="18"/>
    </row>
    <row r="5625" spans="13:24">
      <c r="M5625" s="558">
        <f t="shared" si="266"/>
        <v>5623</v>
      </c>
      <c r="N5625" s="15">
        <f t="shared" si="264"/>
        <v>0.18153338410079123</v>
      </c>
      <c r="O5625" s="165">
        <f t="shared" si="265"/>
        <v>0.18153338410079123</v>
      </c>
      <c r="P5625" s="18"/>
      <c r="Q5625" s="18"/>
      <c r="R5625" s="18"/>
      <c r="S5625" s="18"/>
      <c r="T5625" s="18"/>
      <c r="U5625" s="18"/>
      <c r="V5625" s="18"/>
      <c r="W5625" s="18"/>
      <c r="X5625" s="18"/>
    </row>
    <row r="5626" spans="13:24">
      <c r="M5626" s="558">
        <f t="shared" si="266"/>
        <v>5624</v>
      </c>
      <c r="N5626" s="15">
        <f t="shared" si="264"/>
        <v>0.18148152968338391</v>
      </c>
      <c r="O5626" s="165">
        <f t="shared" si="265"/>
        <v>0.18148152968338391</v>
      </c>
      <c r="P5626" s="18"/>
      <c r="Q5626" s="18"/>
      <c r="R5626" s="18"/>
      <c r="S5626" s="18"/>
      <c r="T5626" s="18"/>
      <c r="U5626" s="18"/>
      <c r="V5626" s="18"/>
      <c r="W5626" s="18"/>
      <c r="X5626" s="18"/>
    </row>
    <row r="5627" spans="13:24">
      <c r="M5627" s="558">
        <f t="shared" si="266"/>
        <v>5625</v>
      </c>
      <c r="N5627" s="15">
        <f t="shared" si="264"/>
        <v>0.18142967587405345</v>
      </c>
      <c r="O5627" s="165">
        <f t="shared" si="265"/>
        <v>0.18142967587405345</v>
      </c>
      <c r="P5627" s="18"/>
      <c r="Q5627" s="18"/>
      <c r="R5627" s="18"/>
      <c r="S5627" s="18"/>
      <c r="T5627" s="18"/>
      <c r="U5627" s="18"/>
      <c r="V5627" s="18"/>
      <c r="W5627" s="18"/>
      <c r="X5627" s="18"/>
    </row>
    <row r="5628" spans="13:24">
      <c r="M5628" s="558">
        <f t="shared" si="266"/>
        <v>5626</v>
      </c>
      <c r="N5628" s="15">
        <f t="shared" si="264"/>
        <v>0.18137782267203675</v>
      </c>
      <c r="O5628" s="165">
        <f t="shared" si="265"/>
        <v>0.18137782267203675</v>
      </c>
      <c r="P5628" s="18"/>
      <c r="Q5628" s="18"/>
      <c r="R5628" s="18"/>
      <c r="S5628" s="18"/>
      <c r="T5628" s="18"/>
      <c r="U5628" s="18"/>
      <c r="V5628" s="18"/>
      <c r="W5628" s="18"/>
      <c r="X5628" s="18"/>
    </row>
    <row r="5629" spans="13:24">
      <c r="M5629" s="558">
        <f t="shared" si="266"/>
        <v>5627</v>
      </c>
      <c r="N5629" s="15">
        <f t="shared" si="264"/>
        <v>0.18132597007657167</v>
      </c>
      <c r="O5629" s="165">
        <f t="shared" si="265"/>
        <v>0.18132597007657167</v>
      </c>
      <c r="P5629" s="18"/>
      <c r="Q5629" s="18"/>
      <c r="R5629" s="18"/>
      <c r="S5629" s="18"/>
      <c r="T5629" s="18"/>
      <c r="U5629" s="18"/>
      <c r="V5629" s="18"/>
      <c r="W5629" s="18"/>
      <c r="X5629" s="18"/>
    </row>
    <row r="5630" spans="13:24">
      <c r="M5630" s="558">
        <f t="shared" si="266"/>
        <v>5628</v>
      </c>
      <c r="N5630" s="15">
        <f t="shared" si="264"/>
        <v>0.18127411808689706</v>
      </c>
      <c r="O5630" s="165">
        <f t="shared" si="265"/>
        <v>0.18127411808689706</v>
      </c>
      <c r="P5630" s="18"/>
      <c r="Q5630" s="18"/>
      <c r="R5630" s="18"/>
      <c r="S5630" s="18"/>
      <c r="T5630" s="18"/>
      <c r="U5630" s="18"/>
      <c r="V5630" s="18"/>
      <c r="W5630" s="18"/>
      <c r="X5630" s="18"/>
    </row>
    <row r="5631" spans="13:24">
      <c r="M5631" s="558">
        <f t="shared" si="266"/>
        <v>5629</v>
      </c>
      <c r="N5631" s="15">
        <f t="shared" si="264"/>
        <v>0.18122226670225269</v>
      </c>
      <c r="O5631" s="165">
        <f t="shared" si="265"/>
        <v>0.18122226670225269</v>
      </c>
      <c r="P5631" s="18"/>
      <c r="Q5631" s="18"/>
      <c r="R5631" s="18"/>
      <c r="S5631" s="18"/>
      <c r="T5631" s="18"/>
      <c r="U5631" s="18"/>
      <c r="V5631" s="18"/>
      <c r="W5631" s="18"/>
      <c r="X5631" s="18"/>
    </row>
    <row r="5632" spans="13:24">
      <c r="M5632" s="558">
        <f t="shared" si="266"/>
        <v>5630</v>
      </c>
      <c r="N5632" s="15">
        <f t="shared" si="264"/>
        <v>0.18117041592187927</v>
      </c>
      <c r="O5632" s="165">
        <f t="shared" si="265"/>
        <v>0.18117041592187927</v>
      </c>
      <c r="P5632" s="18"/>
      <c r="Q5632" s="18"/>
      <c r="R5632" s="18"/>
      <c r="S5632" s="18"/>
      <c r="T5632" s="18"/>
      <c r="U5632" s="18"/>
      <c r="V5632" s="18"/>
      <c r="W5632" s="18"/>
      <c r="X5632" s="18"/>
    </row>
    <row r="5633" spans="13:24">
      <c r="M5633" s="558">
        <f t="shared" si="266"/>
        <v>5631</v>
      </c>
      <c r="N5633" s="15">
        <f t="shared" si="264"/>
        <v>0.18111856574501856</v>
      </c>
      <c r="O5633" s="165">
        <f t="shared" si="265"/>
        <v>0.18111856574501856</v>
      </c>
      <c r="P5633" s="18"/>
      <c r="Q5633" s="18"/>
      <c r="R5633" s="18"/>
      <c r="S5633" s="18"/>
      <c r="T5633" s="18"/>
      <c r="U5633" s="18"/>
      <c r="V5633" s="18"/>
      <c r="W5633" s="18"/>
      <c r="X5633" s="18"/>
    </row>
    <row r="5634" spans="13:24">
      <c r="M5634" s="558">
        <f t="shared" si="266"/>
        <v>5632</v>
      </c>
      <c r="N5634" s="15">
        <f t="shared" si="264"/>
        <v>0.18106671617091313</v>
      </c>
      <c r="O5634" s="165">
        <f t="shared" si="265"/>
        <v>0.18106671617091313</v>
      </c>
      <c r="P5634" s="18"/>
      <c r="Q5634" s="18"/>
      <c r="R5634" s="18"/>
      <c r="S5634" s="18"/>
      <c r="T5634" s="18"/>
      <c r="U5634" s="18"/>
      <c r="V5634" s="18"/>
      <c r="W5634" s="18"/>
      <c r="X5634" s="18"/>
    </row>
    <row r="5635" spans="13:24">
      <c r="M5635" s="558">
        <f t="shared" si="266"/>
        <v>5633</v>
      </c>
      <c r="N5635" s="15">
        <f t="shared" si="264"/>
        <v>0.18101486719880661</v>
      </c>
      <c r="O5635" s="165">
        <f t="shared" si="265"/>
        <v>0.18101486719880661</v>
      </c>
      <c r="P5635" s="18"/>
      <c r="Q5635" s="18"/>
      <c r="R5635" s="18"/>
      <c r="S5635" s="18"/>
      <c r="T5635" s="18"/>
      <c r="U5635" s="18"/>
      <c r="V5635" s="18"/>
      <c r="W5635" s="18"/>
      <c r="X5635" s="18"/>
    </row>
    <row r="5636" spans="13:24">
      <c r="M5636" s="558">
        <f t="shared" si="266"/>
        <v>5634</v>
      </c>
      <c r="N5636" s="15">
        <f t="shared" ref="N5636:N5699" si="267">IF(M5636&lt;$B$31+1,$B$32+$B$33/$B$31*(8760-M5636)+$B$34*IF(M5636&lt;$B$36-$B$31/(2*$B$35),1,IF(M5636&lt;$B$36+$B$31/(2*$B$35),COS(PI()/2*(M5636-($B$36-$B$31/(2*$B$35)))*$B$35/$B$31)^2,0))+$B$37*EXP((8760-M5636)/8760*$B$38)/EXP($B$38)-(8760-$B$31)*$B$33/$B$31,0)</f>
        <v>0.18096301882794349</v>
      </c>
      <c r="O5636" s="165">
        <f t="shared" ref="O5636:O5699" si="268">MIN(N5636,C$24)</f>
        <v>0.18096301882794349</v>
      </c>
      <c r="P5636" s="18"/>
      <c r="Q5636" s="18"/>
      <c r="R5636" s="18"/>
      <c r="S5636" s="18"/>
      <c r="T5636" s="18"/>
      <c r="U5636" s="18"/>
      <c r="V5636" s="18"/>
      <c r="W5636" s="18"/>
      <c r="X5636" s="18"/>
    </row>
    <row r="5637" spans="13:24">
      <c r="M5637" s="558">
        <f t="shared" ref="M5637:M5700" si="269">M5636+1</f>
        <v>5635</v>
      </c>
      <c r="N5637" s="15">
        <f t="shared" si="267"/>
        <v>0.18091117105756935</v>
      </c>
      <c r="O5637" s="165">
        <f t="shared" si="268"/>
        <v>0.18091117105756935</v>
      </c>
      <c r="P5637" s="18"/>
      <c r="Q5637" s="18"/>
      <c r="R5637" s="18"/>
      <c r="S5637" s="18"/>
      <c r="T5637" s="18"/>
      <c r="U5637" s="18"/>
      <c r="V5637" s="18"/>
      <c r="W5637" s="18"/>
      <c r="X5637" s="18"/>
    </row>
    <row r="5638" spans="13:24">
      <c r="M5638" s="558">
        <f t="shared" si="269"/>
        <v>5636</v>
      </c>
      <c r="N5638" s="15">
        <f t="shared" si="267"/>
        <v>0.18085932388693052</v>
      </c>
      <c r="O5638" s="165">
        <f t="shared" si="268"/>
        <v>0.18085932388693052</v>
      </c>
      <c r="P5638" s="18"/>
      <c r="Q5638" s="18"/>
      <c r="R5638" s="18"/>
      <c r="S5638" s="18"/>
      <c r="T5638" s="18"/>
      <c r="U5638" s="18"/>
      <c r="V5638" s="18"/>
      <c r="W5638" s="18"/>
      <c r="X5638" s="18"/>
    </row>
    <row r="5639" spans="13:24">
      <c r="M5639" s="558">
        <f t="shared" si="269"/>
        <v>5637</v>
      </c>
      <c r="N5639" s="15">
        <f t="shared" si="267"/>
        <v>0.18080747731527447</v>
      </c>
      <c r="O5639" s="165">
        <f t="shared" si="268"/>
        <v>0.18080747731527447</v>
      </c>
      <c r="P5639" s="18"/>
      <c r="Q5639" s="18"/>
      <c r="R5639" s="18"/>
      <c r="S5639" s="18"/>
      <c r="T5639" s="18"/>
      <c r="U5639" s="18"/>
      <c r="V5639" s="18"/>
      <c r="W5639" s="18"/>
      <c r="X5639" s="18"/>
    </row>
    <row r="5640" spans="13:24">
      <c r="M5640" s="558">
        <f t="shared" si="269"/>
        <v>5638</v>
      </c>
      <c r="N5640" s="15">
        <f t="shared" si="267"/>
        <v>0.18075563134184944</v>
      </c>
      <c r="O5640" s="165">
        <f t="shared" si="268"/>
        <v>0.18075563134184944</v>
      </c>
      <c r="P5640" s="18"/>
      <c r="Q5640" s="18"/>
      <c r="R5640" s="18"/>
      <c r="S5640" s="18"/>
      <c r="T5640" s="18"/>
      <c r="U5640" s="18"/>
      <c r="V5640" s="18"/>
      <c r="W5640" s="18"/>
      <c r="X5640" s="18"/>
    </row>
    <row r="5641" spans="13:24">
      <c r="M5641" s="558">
        <f t="shared" si="269"/>
        <v>5639</v>
      </c>
      <c r="N5641" s="15">
        <f t="shared" si="267"/>
        <v>0.18070378596590475</v>
      </c>
      <c r="O5641" s="165">
        <f t="shared" si="268"/>
        <v>0.18070378596590475</v>
      </c>
      <c r="P5641" s="18"/>
      <c r="Q5641" s="18"/>
      <c r="R5641" s="18"/>
      <c r="S5641" s="18"/>
      <c r="T5641" s="18"/>
      <c r="U5641" s="18"/>
      <c r="V5641" s="18"/>
      <c r="W5641" s="18"/>
      <c r="X5641" s="18"/>
    </row>
    <row r="5642" spans="13:24">
      <c r="M5642" s="558">
        <f t="shared" si="269"/>
        <v>5640</v>
      </c>
      <c r="N5642" s="15">
        <f t="shared" si="267"/>
        <v>0.18065194118669059</v>
      </c>
      <c r="O5642" s="165">
        <f t="shared" si="268"/>
        <v>0.18065194118669059</v>
      </c>
      <c r="P5642" s="18"/>
      <c r="Q5642" s="18"/>
      <c r="R5642" s="18"/>
      <c r="S5642" s="18"/>
      <c r="T5642" s="18"/>
      <c r="U5642" s="18"/>
      <c r="V5642" s="18"/>
      <c r="W5642" s="18"/>
      <c r="X5642" s="18"/>
    </row>
    <row r="5643" spans="13:24">
      <c r="M5643" s="558">
        <f t="shared" si="269"/>
        <v>5641</v>
      </c>
      <c r="N5643" s="15">
        <f t="shared" si="267"/>
        <v>0.18060009700345817</v>
      </c>
      <c r="O5643" s="165">
        <f t="shared" si="268"/>
        <v>0.18060009700345817</v>
      </c>
      <c r="P5643" s="18"/>
      <c r="Q5643" s="18"/>
      <c r="R5643" s="18"/>
      <c r="S5643" s="18"/>
      <c r="T5643" s="18"/>
      <c r="U5643" s="18"/>
      <c r="V5643" s="18"/>
      <c r="W5643" s="18"/>
      <c r="X5643" s="18"/>
    </row>
    <row r="5644" spans="13:24">
      <c r="M5644" s="558">
        <f t="shared" si="269"/>
        <v>5642</v>
      </c>
      <c r="N5644" s="15">
        <f t="shared" si="267"/>
        <v>0.18054825341545949</v>
      </c>
      <c r="O5644" s="165">
        <f t="shared" si="268"/>
        <v>0.18054825341545949</v>
      </c>
      <c r="P5644" s="18"/>
      <c r="Q5644" s="18"/>
      <c r="R5644" s="18"/>
      <c r="S5644" s="18"/>
      <c r="T5644" s="18"/>
      <c r="U5644" s="18"/>
      <c r="V5644" s="18"/>
      <c r="W5644" s="18"/>
      <c r="X5644" s="18"/>
    </row>
    <row r="5645" spans="13:24">
      <c r="M5645" s="558">
        <f t="shared" si="269"/>
        <v>5643</v>
      </c>
      <c r="N5645" s="15">
        <f t="shared" si="267"/>
        <v>0.18049641042194761</v>
      </c>
      <c r="O5645" s="165">
        <f t="shared" si="268"/>
        <v>0.18049641042194761</v>
      </c>
      <c r="P5645" s="18"/>
      <c r="Q5645" s="18"/>
      <c r="R5645" s="18"/>
      <c r="S5645" s="18"/>
      <c r="T5645" s="18"/>
      <c r="U5645" s="18"/>
      <c r="V5645" s="18"/>
      <c r="W5645" s="18"/>
      <c r="X5645" s="18"/>
    </row>
    <row r="5646" spans="13:24">
      <c r="M5646" s="558">
        <f t="shared" si="269"/>
        <v>5644</v>
      </c>
      <c r="N5646" s="15">
        <f t="shared" si="267"/>
        <v>0.18044456802217654</v>
      </c>
      <c r="O5646" s="165">
        <f t="shared" si="268"/>
        <v>0.18044456802217654</v>
      </c>
      <c r="P5646" s="18"/>
      <c r="Q5646" s="18"/>
      <c r="R5646" s="18"/>
      <c r="S5646" s="18"/>
      <c r="T5646" s="18"/>
      <c r="U5646" s="18"/>
      <c r="V5646" s="18"/>
      <c r="W5646" s="18"/>
      <c r="X5646" s="18"/>
    </row>
    <row r="5647" spans="13:24">
      <c r="M5647" s="558">
        <f t="shared" si="269"/>
        <v>5645</v>
      </c>
      <c r="N5647" s="15">
        <f t="shared" si="267"/>
        <v>0.18039272621540114</v>
      </c>
      <c r="O5647" s="165">
        <f t="shared" si="268"/>
        <v>0.18039272621540114</v>
      </c>
      <c r="P5647" s="18"/>
      <c r="Q5647" s="18"/>
      <c r="R5647" s="18"/>
      <c r="S5647" s="18"/>
      <c r="T5647" s="18"/>
      <c r="U5647" s="18"/>
      <c r="V5647" s="18"/>
      <c r="W5647" s="18"/>
      <c r="X5647" s="18"/>
    </row>
    <row r="5648" spans="13:24">
      <c r="M5648" s="558">
        <f t="shared" si="269"/>
        <v>5646</v>
      </c>
      <c r="N5648" s="15">
        <f t="shared" si="267"/>
        <v>0.18034088500087728</v>
      </c>
      <c r="O5648" s="165">
        <f t="shared" si="268"/>
        <v>0.18034088500087728</v>
      </c>
      <c r="P5648" s="18"/>
      <c r="Q5648" s="18"/>
      <c r="R5648" s="18"/>
      <c r="S5648" s="18"/>
      <c r="T5648" s="18"/>
      <c r="U5648" s="18"/>
      <c r="V5648" s="18"/>
      <c r="W5648" s="18"/>
      <c r="X5648" s="18"/>
    </row>
    <row r="5649" spans="13:24">
      <c r="M5649" s="558">
        <f t="shared" si="269"/>
        <v>5647</v>
      </c>
      <c r="N5649" s="15">
        <f t="shared" si="267"/>
        <v>0.18028904437786167</v>
      </c>
      <c r="O5649" s="165">
        <f t="shared" si="268"/>
        <v>0.18028904437786167</v>
      </c>
      <c r="P5649" s="18"/>
      <c r="Q5649" s="18"/>
      <c r="R5649" s="18"/>
      <c r="S5649" s="18"/>
      <c r="T5649" s="18"/>
      <c r="U5649" s="18"/>
      <c r="V5649" s="18"/>
      <c r="W5649" s="18"/>
      <c r="X5649" s="18"/>
    </row>
    <row r="5650" spans="13:24">
      <c r="M5650" s="558">
        <f t="shared" si="269"/>
        <v>5648</v>
      </c>
      <c r="N5650" s="15">
        <f t="shared" si="267"/>
        <v>0.18023720434561211</v>
      </c>
      <c r="O5650" s="165">
        <f t="shared" si="268"/>
        <v>0.18023720434561211</v>
      </c>
      <c r="P5650" s="18"/>
      <c r="Q5650" s="18"/>
      <c r="R5650" s="18"/>
      <c r="S5650" s="18"/>
      <c r="T5650" s="18"/>
      <c r="U5650" s="18"/>
      <c r="V5650" s="18"/>
      <c r="W5650" s="18"/>
      <c r="X5650" s="18"/>
    </row>
    <row r="5651" spans="13:24">
      <c r="M5651" s="558">
        <f t="shared" si="269"/>
        <v>5649</v>
      </c>
      <c r="N5651" s="15">
        <f t="shared" si="267"/>
        <v>0.18018536490338713</v>
      </c>
      <c r="O5651" s="165">
        <f t="shared" si="268"/>
        <v>0.18018536490338713</v>
      </c>
      <c r="P5651" s="18"/>
      <c r="Q5651" s="18"/>
      <c r="R5651" s="18"/>
      <c r="S5651" s="18"/>
      <c r="T5651" s="18"/>
      <c r="U5651" s="18"/>
      <c r="V5651" s="18"/>
      <c r="W5651" s="18"/>
      <c r="X5651" s="18"/>
    </row>
    <row r="5652" spans="13:24">
      <c r="M5652" s="558">
        <f t="shared" si="269"/>
        <v>5650</v>
      </c>
      <c r="N5652" s="15">
        <f t="shared" si="267"/>
        <v>0.18013352605044639</v>
      </c>
      <c r="O5652" s="165">
        <f t="shared" si="268"/>
        <v>0.18013352605044639</v>
      </c>
      <c r="P5652" s="18"/>
      <c r="Q5652" s="18"/>
      <c r="R5652" s="18"/>
      <c r="S5652" s="18"/>
      <c r="T5652" s="18"/>
      <c r="U5652" s="18"/>
      <c r="V5652" s="18"/>
      <c r="W5652" s="18"/>
      <c r="X5652" s="18"/>
    </row>
    <row r="5653" spans="13:24">
      <c r="M5653" s="558">
        <f t="shared" si="269"/>
        <v>5651</v>
      </c>
      <c r="N5653" s="15">
        <f t="shared" si="267"/>
        <v>0.1800816877860503</v>
      </c>
      <c r="O5653" s="165">
        <f t="shared" si="268"/>
        <v>0.1800816877860503</v>
      </c>
      <c r="P5653" s="18"/>
      <c r="Q5653" s="18"/>
      <c r="R5653" s="18"/>
      <c r="S5653" s="18"/>
      <c r="T5653" s="18"/>
      <c r="U5653" s="18"/>
      <c r="V5653" s="18"/>
      <c r="W5653" s="18"/>
      <c r="X5653" s="18"/>
    </row>
    <row r="5654" spans="13:24">
      <c r="M5654" s="558">
        <f t="shared" si="269"/>
        <v>5652</v>
      </c>
      <c r="N5654" s="15">
        <f t="shared" si="267"/>
        <v>0.18002985010946038</v>
      </c>
      <c r="O5654" s="165">
        <f t="shared" si="268"/>
        <v>0.18002985010946038</v>
      </c>
      <c r="P5654" s="18"/>
      <c r="Q5654" s="18"/>
      <c r="R5654" s="18"/>
      <c r="S5654" s="18"/>
      <c r="T5654" s="18"/>
      <c r="U5654" s="18"/>
      <c r="V5654" s="18"/>
      <c r="W5654" s="18"/>
      <c r="X5654" s="18"/>
    </row>
    <row r="5655" spans="13:24">
      <c r="M5655" s="558">
        <f t="shared" si="269"/>
        <v>5653</v>
      </c>
      <c r="N5655" s="15">
        <f t="shared" si="267"/>
        <v>0.17997801301993888</v>
      </c>
      <c r="O5655" s="165">
        <f t="shared" si="268"/>
        <v>0.17997801301993888</v>
      </c>
      <c r="P5655" s="18"/>
      <c r="Q5655" s="18"/>
      <c r="R5655" s="18"/>
      <c r="S5655" s="18"/>
      <c r="T5655" s="18"/>
      <c r="U5655" s="18"/>
      <c r="V5655" s="18"/>
      <c r="W5655" s="18"/>
      <c r="X5655" s="18"/>
    </row>
    <row r="5656" spans="13:24">
      <c r="M5656" s="558">
        <f t="shared" si="269"/>
        <v>5654</v>
      </c>
      <c r="N5656" s="15">
        <f t="shared" si="267"/>
        <v>0.17992617651674916</v>
      </c>
      <c r="O5656" s="165">
        <f t="shared" si="268"/>
        <v>0.17992617651674916</v>
      </c>
      <c r="P5656" s="18"/>
      <c r="Q5656" s="18"/>
      <c r="R5656" s="18"/>
      <c r="S5656" s="18"/>
      <c r="T5656" s="18"/>
      <c r="U5656" s="18"/>
      <c r="V5656" s="18"/>
      <c r="W5656" s="18"/>
      <c r="X5656" s="18"/>
    </row>
    <row r="5657" spans="13:24">
      <c r="M5657" s="558">
        <f t="shared" si="269"/>
        <v>5655</v>
      </c>
      <c r="N5657" s="15">
        <f t="shared" si="267"/>
        <v>0.17987434059915536</v>
      </c>
      <c r="O5657" s="165">
        <f t="shared" si="268"/>
        <v>0.17987434059915536</v>
      </c>
      <c r="P5657" s="18"/>
      <c r="Q5657" s="18"/>
      <c r="R5657" s="18"/>
      <c r="S5657" s="18"/>
      <c r="T5657" s="18"/>
      <c r="U5657" s="18"/>
      <c r="V5657" s="18"/>
      <c r="W5657" s="18"/>
      <c r="X5657" s="18"/>
    </row>
    <row r="5658" spans="13:24">
      <c r="M5658" s="558">
        <f t="shared" si="269"/>
        <v>5656</v>
      </c>
      <c r="N5658" s="15">
        <f t="shared" si="267"/>
        <v>0.17982250526642268</v>
      </c>
      <c r="O5658" s="165">
        <f t="shared" si="268"/>
        <v>0.17982250526642268</v>
      </c>
      <c r="P5658" s="18"/>
      <c r="Q5658" s="18"/>
      <c r="R5658" s="18"/>
      <c r="S5658" s="18"/>
      <c r="T5658" s="18"/>
      <c r="U5658" s="18"/>
      <c r="V5658" s="18"/>
      <c r="W5658" s="18"/>
      <c r="X5658" s="18"/>
    </row>
    <row r="5659" spans="13:24">
      <c r="M5659" s="558">
        <f t="shared" si="269"/>
        <v>5657</v>
      </c>
      <c r="N5659" s="15">
        <f t="shared" si="267"/>
        <v>0.17977067051781706</v>
      </c>
      <c r="O5659" s="165">
        <f t="shared" si="268"/>
        <v>0.17977067051781706</v>
      </c>
      <c r="P5659" s="18"/>
      <c r="Q5659" s="18"/>
      <c r="R5659" s="18"/>
      <c r="S5659" s="18"/>
      <c r="T5659" s="18"/>
      <c r="U5659" s="18"/>
      <c r="V5659" s="18"/>
      <c r="W5659" s="18"/>
      <c r="X5659" s="18"/>
    </row>
    <row r="5660" spans="13:24">
      <c r="M5660" s="558">
        <f t="shared" si="269"/>
        <v>5658</v>
      </c>
      <c r="N5660" s="15">
        <f t="shared" si="267"/>
        <v>0.17971883635260552</v>
      </c>
      <c r="O5660" s="165">
        <f t="shared" si="268"/>
        <v>0.17971883635260552</v>
      </c>
      <c r="P5660" s="18"/>
      <c r="Q5660" s="18"/>
      <c r="R5660" s="18"/>
      <c r="S5660" s="18"/>
      <c r="T5660" s="18"/>
      <c r="U5660" s="18"/>
      <c r="V5660" s="18"/>
      <c r="W5660" s="18"/>
      <c r="X5660" s="18"/>
    </row>
    <row r="5661" spans="13:24">
      <c r="M5661" s="558">
        <f t="shared" si="269"/>
        <v>5659</v>
      </c>
      <c r="N5661" s="15">
        <f t="shared" si="267"/>
        <v>0.17966700277005601</v>
      </c>
      <c r="O5661" s="165">
        <f t="shared" si="268"/>
        <v>0.17966700277005601</v>
      </c>
      <c r="P5661" s="18"/>
      <c r="Q5661" s="18"/>
      <c r="R5661" s="18"/>
      <c r="S5661" s="18"/>
      <c r="T5661" s="18"/>
      <c r="U5661" s="18"/>
      <c r="V5661" s="18"/>
      <c r="W5661" s="18"/>
      <c r="X5661" s="18"/>
    </row>
    <row r="5662" spans="13:24">
      <c r="M5662" s="558">
        <f t="shared" si="269"/>
        <v>5660</v>
      </c>
      <c r="N5662" s="15">
        <f t="shared" si="267"/>
        <v>0.17961516976943723</v>
      </c>
      <c r="O5662" s="165">
        <f t="shared" si="268"/>
        <v>0.17961516976943723</v>
      </c>
      <c r="P5662" s="18"/>
      <c r="Q5662" s="18"/>
      <c r="R5662" s="18"/>
      <c r="S5662" s="18"/>
      <c r="T5662" s="18"/>
      <c r="U5662" s="18"/>
      <c r="V5662" s="18"/>
      <c r="W5662" s="18"/>
      <c r="X5662" s="18"/>
    </row>
    <row r="5663" spans="13:24">
      <c r="M5663" s="558">
        <f t="shared" si="269"/>
        <v>5661</v>
      </c>
      <c r="N5663" s="15">
        <f t="shared" si="267"/>
        <v>0.17956333735001898</v>
      </c>
      <c r="O5663" s="165">
        <f t="shared" si="268"/>
        <v>0.17956333735001898</v>
      </c>
      <c r="P5663" s="18"/>
      <c r="Q5663" s="18"/>
      <c r="R5663" s="18"/>
      <c r="S5663" s="18"/>
      <c r="T5663" s="18"/>
      <c r="U5663" s="18"/>
      <c r="V5663" s="18"/>
      <c r="W5663" s="18"/>
      <c r="X5663" s="18"/>
    </row>
    <row r="5664" spans="13:24">
      <c r="M5664" s="558">
        <f t="shared" si="269"/>
        <v>5662</v>
      </c>
      <c r="N5664" s="15">
        <f t="shared" si="267"/>
        <v>0.17951150551107181</v>
      </c>
      <c r="O5664" s="165">
        <f t="shared" si="268"/>
        <v>0.17951150551107181</v>
      </c>
      <c r="P5664" s="18"/>
      <c r="Q5664" s="18"/>
      <c r="R5664" s="18"/>
      <c r="S5664" s="18"/>
      <c r="T5664" s="18"/>
      <c r="U5664" s="18"/>
      <c r="V5664" s="18"/>
      <c r="W5664" s="18"/>
      <c r="X5664" s="18"/>
    </row>
    <row r="5665" spans="13:24">
      <c r="M5665" s="558">
        <f t="shared" si="269"/>
        <v>5663</v>
      </c>
      <c r="N5665" s="15">
        <f t="shared" si="267"/>
        <v>0.1794596742518674</v>
      </c>
      <c r="O5665" s="165">
        <f t="shared" si="268"/>
        <v>0.1794596742518674</v>
      </c>
      <c r="P5665" s="18"/>
      <c r="Q5665" s="18"/>
      <c r="R5665" s="18"/>
      <c r="S5665" s="18"/>
      <c r="T5665" s="18"/>
      <c r="U5665" s="18"/>
      <c r="V5665" s="18"/>
      <c r="W5665" s="18"/>
      <c r="X5665" s="18"/>
    </row>
    <row r="5666" spans="13:24">
      <c r="M5666" s="558">
        <f t="shared" si="269"/>
        <v>5664</v>
      </c>
      <c r="N5666" s="15">
        <f t="shared" si="267"/>
        <v>0.17940784357167813</v>
      </c>
      <c r="O5666" s="165">
        <f t="shared" si="268"/>
        <v>0.17940784357167813</v>
      </c>
      <c r="P5666" s="18"/>
      <c r="Q5666" s="18"/>
      <c r="R5666" s="18"/>
      <c r="S5666" s="18"/>
      <c r="T5666" s="18"/>
      <c r="U5666" s="18"/>
      <c r="V5666" s="18"/>
      <c r="W5666" s="18"/>
      <c r="X5666" s="18"/>
    </row>
    <row r="5667" spans="13:24">
      <c r="M5667" s="558">
        <f t="shared" si="269"/>
        <v>5665</v>
      </c>
      <c r="N5667" s="15">
        <f t="shared" si="267"/>
        <v>0.17935601346977742</v>
      </c>
      <c r="O5667" s="165">
        <f t="shared" si="268"/>
        <v>0.17935601346977742</v>
      </c>
      <c r="P5667" s="18"/>
      <c r="Q5667" s="18"/>
      <c r="R5667" s="18"/>
      <c r="S5667" s="18"/>
      <c r="T5667" s="18"/>
      <c r="U5667" s="18"/>
      <c r="V5667" s="18"/>
      <c r="W5667" s="18"/>
      <c r="X5667" s="18"/>
    </row>
    <row r="5668" spans="13:24">
      <c r="M5668" s="558">
        <f t="shared" si="269"/>
        <v>5666</v>
      </c>
      <c r="N5668" s="15">
        <f t="shared" si="267"/>
        <v>0.17930418394543954</v>
      </c>
      <c r="O5668" s="165">
        <f t="shared" si="268"/>
        <v>0.17930418394543954</v>
      </c>
      <c r="P5668" s="18"/>
      <c r="Q5668" s="18"/>
      <c r="R5668" s="18"/>
      <c r="S5668" s="18"/>
      <c r="T5668" s="18"/>
      <c r="U5668" s="18"/>
      <c r="V5668" s="18"/>
      <c r="W5668" s="18"/>
      <c r="X5668" s="18"/>
    </row>
    <row r="5669" spans="13:24">
      <c r="M5669" s="558">
        <f t="shared" si="269"/>
        <v>5667</v>
      </c>
      <c r="N5669" s="15">
        <f t="shared" si="267"/>
        <v>0.17925235499793971</v>
      </c>
      <c r="O5669" s="165">
        <f t="shared" si="268"/>
        <v>0.17925235499793971</v>
      </c>
      <c r="P5669" s="18"/>
      <c r="Q5669" s="18"/>
      <c r="R5669" s="18"/>
      <c r="S5669" s="18"/>
      <c r="T5669" s="18"/>
      <c r="U5669" s="18"/>
      <c r="V5669" s="18"/>
      <c r="W5669" s="18"/>
      <c r="X5669" s="18"/>
    </row>
    <row r="5670" spans="13:24">
      <c r="M5670" s="558">
        <f t="shared" si="269"/>
        <v>5668</v>
      </c>
      <c r="N5670" s="15">
        <f t="shared" si="267"/>
        <v>0.17920052662655403</v>
      </c>
      <c r="O5670" s="165">
        <f t="shared" si="268"/>
        <v>0.17920052662655403</v>
      </c>
      <c r="P5670" s="18"/>
      <c r="Q5670" s="18"/>
      <c r="R5670" s="18"/>
      <c r="S5670" s="18"/>
      <c r="T5670" s="18"/>
      <c r="U5670" s="18"/>
      <c r="V5670" s="18"/>
      <c r="W5670" s="18"/>
      <c r="X5670" s="18"/>
    </row>
    <row r="5671" spans="13:24">
      <c r="M5671" s="558">
        <f t="shared" si="269"/>
        <v>5669</v>
      </c>
      <c r="N5671" s="15">
        <f t="shared" si="267"/>
        <v>0.17914869883055956</v>
      </c>
      <c r="O5671" s="165">
        <f t="shared" si="268"/>
        <v>0.17914869883055956</v>
      </c>
      <c r="P5671" s="18"/>
      <c r="Q5671" s="18"/>
      <c r="R5671" s="18"/>
      <c r="S5671" s="18"/>
      <c r="T5671" s="18"/>
      <c r="U5671" s="18"/>
      <c r="V5671" s="18"/>
      <c r="W5671" s="18"/>
      <c r="X5671" s="18"/>
    </row>
    <row r="5672" spans="13:24">
      <c r="M5672" s="558">
        <f t="shared" si="269"/>
        <v>5670</v>
      </c>
      <c r="N5672" s="15">
        <f t="shared" si="267"/>
        <v>0.17909687160923418</v>
      </c>
      <c r="O5672" s="165">
        <f t="shared" si="268"/>
        <v>0.17909687160923418</v>
      </c>
      <c r="P5672" s="18"/>
      <c r="Q5672" s="18"/>
      <c r="R5672" s="18"/>
      <c r="S5672" s="18"/>
      <c r="T5672" s="18"/>
      <c r="U5672" s="18"/>
      <c r="V5672" s="18"/>
      <c r="W5672" s="18"/>
      <c r="X5672" s="18"/>
    </row>
    <row r="5673" spans="13:24">
      <c r="M5673" s="558">
        <f t="shared" si="269"/>
        <v>5671</v>
      </c>
      <c r="N5673" s="15">
        <f t="shared" si="267"/>
        <v>0.17904504496185678</v>
      </c>
      <c r="O5673" s="165">
        <f t="shared" si="268"/>
        <v>0.17904504496185678</v>
      </c>
      <c r="P5673" s="18"/>
      <c r="Q5673" s="18"/>
      <c r="R5673" s="18"/>
      <c r="S5673" s="18"/>
      <c r="T5673" s="18"/>
      <c r="U5673" s="18"/>
      <c r="V5673" s="18"/>
      <c r="W5673" s="18"/>
      <c r="X5673" s="18"/>
    </row>
    <row r="5674" spans="13:24">
      <c r="M5674" s="558">
        <f t="shared" si="269"/>
        <v>5672</v>
      </c>
      <c r="N5674" s="15">
        <f t="shared" si="267"/>
        <v>0.17899321888770706</v>
      </c>
      <c r="O5674" s="165">
        <f t="shared" si="268"/>
        <v>0.17899321888770706</v>
      </c>
      <c r="P5674" s="18"/>
      <c r="Q5674" s="18"/>
      <c r="R5674" s="18"/>
      <c r="S5674" s="18"/>
      <c r="T5674" s="18"/>
      <c r="U5674" s="18"/>
      <c r="V5674" s="18"/>
      <c r="W5674" s="18"/>
      <c r="X5674" s="18"/>
    </row>
    <row r="5675" spans="13:24">
      <c r="M5675" s="558">
        <f t="shared" si="269"/>
        <v>5673</v>
      </c>
      <c r="N5675" s="15">
        <f t="shared" si="267"/>
        <v>0.17894139338606566</v>
      </c>
      <c r="O5675" s="165">
        <f t="shared" si="268"/>
        <v>0.17894139338606566</v>
      </c>
      <c r="P5675" s="18"/>
      <c r="Q5675" s="18"/>
      <c r="R5675" s="18"/>
      <c r="S5675" s="18"/>
      <c r="T5675" s="18"/>
      <c r="U5675" s="18"/>
      <c r="V5675" s="18"/>
      <c r="W5675" s="18"/>
      <c r="X5675" s="18"/>
    </row>
    <row r="5676" spans="13:24">
      <c r="M5676" s="558">
        <f t="shared" si="269"/>
        <v>5674</v>
      </c>
      <c r="N5676" s="15">
        <f t="shared" si="267"/>
        <v>0.17888956845621418</v>
      </c>
      <c r="O5676" s="165">
        <f t="shared" si="268"/>
        <v>0.17888956845621418</v>
      </c>
      <c r="P5676" s="18"/>
      <c r="Q5676" s="18"/>
      <c r="R5676" s="18"/>
      <c r="S5676" s="18"/>
      <c r="T5676" s="18"/>
      <c r="U5676" s="18"/>
      <c r="V5676" s="18"/>
      <c r="W5676" s="18"/>
      <c r="X5676" s="18"/>
    </row>
    <row r="5677" spans="13:24">
      <c r="M5677" s="558">
        <f t="shared" si="269"/>
        <v>5675</v>
      </c>
      <c r="N5677" s="15">
        <f t="shared" si="267"/>
        <v>0.178837744097435</v>
      </c>
      <c r="O5677" s="165">
        <f t="shared" si="268"/>
        <v>0.178837744097435</v>
      </c>
      <c r="P5677" s="18"/>
      <c r="Q5677" s="18"/>
      <c r="R5677" s="18"/>
      <c r="S5677" s="18"/>
      <c r="T5677" s="18"/>
      <c r="U5677" s="18"/>
      <c r="V5677" s="18"/>
      <c r="W5677" s="18"/>
      <c r="X5677" s="18"/>
    </row>
    <row r="5678" spans="13:24">
      <c r="M5678" s="558">
        <f t="shared" si="269"/>
        <v>5676</v>
      </c>
      <c r="N5678" s="15">
        <f t="shared" si="267"/>
        <v>0.17878592030901153</v>
      </c>
      <c r="O5678" s="165">
        <f t="shared" si="268"/>
        <v>0.17878592030901153</v>
      </c>
      <c r="P5678" s="18"/>
      <c r="Q5678" s="18"/>
      <c r="R5678" s="18"/>
      <c r="S5678" s="18"/>
      <c r="T5678" s="18"/>
      <c r="U5678" s="18"/>
      <c r="V5678" s="18"/>
      <c r="W5678" s="18"/>
      <c r="X5678" s="18"/>
    </row>
    <row r="5679" spans="13:24">
      <c r="M5679" s="558">
        <f t="shared" si="269"/>
        <v>5677</v>
      </c>
      <c r="N5679" s="15">
        <f t="shared" si="267"/>
        <v>0.17873409709022797</v>
      </c>
      <c r="O5679" s="165">
        <f t="shared" si="268"/>
        <v>0.17873409709022797</v>
      </c>
      <c r="P5679" s="18"/>
      <c r="Q5679" s="18"/>
      <c r="R5679" s="18"/>
      <c r="S5679" s="18"/>
      <c r="T5679" s="18"/>
      <c r="U5679" s="18"/>
      <c r="V5679" s="18"/>
      <c r="W5679" s="18"/>
      <c r="X5679" s="18"/>
    </row>
    <row r="5680" spans="13:24">
      <c r="M5680" s="558">
        <f t="shared" si="269"/>
        <v>5678</v>
      </c>
      <c r="N5680" s="15">
        <f t="shared" si="267"/>
        <v>0.17868227444036952</v>
      </c>
      <c r="O5680" s="165">
        <f t="shared" si="268"/>
        <v>0.17868227444036952</v>
      </c>
      <c r="P5680" s="18"/>
      <c r="Q5680" s="18"/>
      <c r="R5680" s="18"/>
      <c r="S5680" s="18"/>
      <c r="T5680" s="18"/>
      <c r="U5680" s="18"/>
      <c r="V5680" s="18"/>
      <c r="W5680" s="18"/>
      <c r="X5680" s="18"/>
    </row>
    <row r="5681" spans="13:24">
      <c r="M5681" s="558">
        <f t="shared" si="269"/>
        <v>5679</v>
      </c>
      <c r="N5681" s="15">
        <f t="shared" si="267"/>
        <v>0.17863045235872219</v>
      </c>
      <c r="O5681" s="165">
        <f t="shared" si="268"/>
        <v>0.17863045235872219</v>
      </c>
      <c r="P5681" s="18"/>
      <c r="Q5681" s="18"/>
      <c r="R5681" s="18"/>
      <c r="S5681" s="18"/>
      <c r="T5681" s="18"/>
      <c r="U5681" s="18"/>
      <c r="V5681" s="18"/>
      <c r="W5681" s="18"/>
      <c r="X5681" s="18"/>
    </row>
    <row r="5682" spans="13:24">
      <c r="M5682" s="558">
        <f t="shared" si="269"/>
        <v>5680</v>
      </c>
      <c r="N5682" s="15">
        <f t="shared" si="267"/>
        <v>0.17857863084457293</v>
      </c>
      <c r="O5682" s="165">
        <f t="shared" si="268"/>
        <v>0.17857863084457293</v>
      </c>
      <c r="P5682" s="18"/>
      <c r="Q5682" s="18"/>
      <c r="R5682" s="18"/>
      <c r="S5682" s="18"/>
      <c r="T5682" s="18"/>
      <c r="U5682" s="18"/>
      <c r="V5682" s="18"/>
      <c r="W5682" s="18"/>
      <c r="X5682" s="18"/>
    </row>
    <row r="5683" spans="13:24">
      <c r="M5683" s="558">
        <f t="shared" si="269"/>
        <v>5681</v>
      </c>
      <c r="N5683" s="15">
        <f t="shared" si="267"/>
        <v>0.17852680989720957</v>
      </c>
      <c r="O5683" s="165">
        <f t="shared" si="268"/>
        <v>0.17852680989720957</v>
      </c>
      <c r="P5683" s="18"/>
      <c r="Q5683" s="18"/>
      <c r="R5683" s="18"/>
      <c r="S5683" s="18"/>
      <c r="T5683" s="18"/>
      <c r="U5683" s="18"/>
      <c r="V5683" s="18"/>
      <c r="W5683" s="18"/>
      <c r="X5683" s="18"/>
    </row>
    <row r="5684" spans="13:24">
      <c r="M5684" s="558">
        <f t="shared" si="269"/>
        <v>5682</v>
      </c>
      <c r="N5684" s="15">
        <f t="shared" si="267"/>
        <v>0.17847498951592083</v>
      </c>
      <c r="O5684" s="165">
        <f t="shared" si="268"/>
        <v>0.17847498951592083</v>
      </c>
      <c r="P5684" s="18"/>
      <c r="Q5684" s="18"/>
      <c r="R5684" s="18"/>
      <c r="S5684" s="18"/>
      <c r="T5684" s="18"/>
      <c r="U5684" s="18"/>
      <c r="V5684" s="18"/>
      <c r="W5684" s="18"/>
      <c r="X5684" s="18"/>
    </row>
    <row r="5685" spans="13:24">
      <c r="M5685" s="558">
        <f t="shared" si="269"/>
        <v>5683</v>
      </c>
      <c r="N5685" s="15">
        <f t="shared" si="267"/>
        <v>0.17842316969999636</v>
      </c>
      <c r="O5685" s="165">
        <f t="shared" si="268"/>
        <v>0.17842316969999636</v>
      </c>
      <c r="P5685" s="18"/>
      <c r="Q5685" s="18"/>
      <c r="R5685" s="18"/>
      <c r="S5685" s="18"/>
      <c r="T5685" s="18"/>
      <c r="U5685" s="18"/>
      <c r="V5685" s="18"/>
      <c r="W5685" s="18"/>
      <c r="X5685" s="18"/>
    </row>
    <row r="5686" spans="13:24">
      <c r="M5686" s="558">
        <f t="shared" si="269"/>
        <v>5684</v>
      </c>
      <c r="N5686" s="15">
        <f t="shared" si="267"/>
        <v>0.17837135044872665</v>
      </c>
      <c r="O5686" s="165">
        <f t="shared" si="268"/>
        <v>0.17837135044872665</v>
      </c>
      <c r="P5686" s="18"/>
      <c r="Q5686" s="18"/>
      <c r="R5686" s="18"/>
      <c r="S5686" s="18"/>
      <c r="T5686" s="18"/>
      <c r="U5686" s="18"/>
      <c r="V5686" s="18"/>
      <c r="W5686" s="18"/>
      <c r="X5686" s="18"/>
    </row>
    <row r="5687" spans="13:24">
      <c r="M5687" s="558">
        <f t="shared" si="269"/>
        <v>5685</v>
      </c>
      <c r="N5687" s="15">
        <f t="shared" si="267"/>
        <v>0.17831953176140311</v>
      </c>
      <c r="O5687" s="165">
        <f t="shared" si="268"/>
        <v>0.17831953176140311</v>
      </c>
      <c r="P5687" s="18"/>
      <c r="Q5687" s="18"/>
      <c r="R5687" s="18"/>
      <c r="S5687" s="18"/>
      <c r="T5687" s="18"/>
      <c r="U5687" s="18"/>
      <c r="V5687" s="18"/>
      <c r="W5687" s="18"/>
      <c r="X5687" s="18"/>
    </row>
    <row r="5688" spans="13:24">
      <c r="M5688" s="558">
        <f t="shared" si="269"/>
        <v>5686</v>
      </c>
      <c r="N5688" s="15">
        <f t="shared" si="267"/>
        <v>0.17826771363731805</v>
      </c>
      <c r="O5688" s="165">
        <f t="shared" si="268"/>
        <v>0.17826771363731805</v>
      </c>
      <c r="P5688" s="18"/>
      <c r="Q5688" s="18"/>
      <c r="R5688" s="18"/>
      <c r="S5688" s="18"/>
      <c r="T5688" s="18"/>
      <c r="U5688" s="18"/>
      <c r="V5688" s="18"/>
      <c r="W5688" s="18"/>
      <c r="X5688" s="18"/>
    </row>
    <row r="5689" spans="13:24">
      <c r="M5689" s="558">
        <f t="shared" si="269"/>
        <v>5687</v>
      </c>
      <c r="N5689" s="15">
        <f t="shared" si="267"/>
        <v>0.17821589607576463</v>
      </c>
      <c r="O5689" s="165">
        <f t="shared" si="268"/>
        <v>0.17821589607576463</v>
      </c>
      <c r="P5689" s="18"/>
      <c r="Q5689" s="18"/>
      <c r="R5689" s="18"/>
      <c r="S5689" s="18"/>
      <c r="T5689" s="18"/>
      <c r="U5689" s="18"/>
      <c r="V5689" s="18"/>
      <c r="W5689" s="18"/>
      <c r="X5689" s="18"/>
    </row>
    <row r="5690" spans="13:24">
      <c r="M5690" s="558">
        <f t="shared" si="269"/>
        <v>5688</v>
      </c>
      <c r="N5690" s="15">
        <f t="shared" si="267"/>
        <v>0.1781640790760369</v>
      </c>
      <c r="O5690" s="165">
        <f t="shared" si="268"/>
        <v>0.1781640790760369</v>
      </c>
      <c r="P5690" s="18"/>
      <c r="Q5690" s="18"/>
      <c r="R5690" s="18"/>
      <c r="S5690" s="18"/>
      <c r="T5690" s="18"/>
      <c r="U5690" s="18"/>
      <c r="V5690" s="18"/>
      <c r="W5690" s="18"/>
      <c r="X5690" s="18"/>
    </row>
    <row r="5691" spans="13:24">
      <c r="M5691" s="558">
        <f t="shared" si="269"/>
        <v>5689</v>
      </c>
      <c r="N5691" s="15">
        <f t="shared" si="267"/>
        <v>0.17811226263742988</v>
      </c>
      <c r="O5691" s="165">
        <f t="shared" si="268"/>
        <v>0.17811226263742988</v>
      </c>
      <c r="P5691" s="18"/>
      <c r="Q5691" s="18"/>
      <c r="R5691" s="18"/>
      <c r="S5691" s="18"/>
      <c r="T5691" s="18"/>
      <c r="U5691" s="18"/>
      <c r="V5691" s="18"/>
      <c r="W5691" s="18"/>
      <c r="X5691" s="18"/>
    </row>
    <row r="5692" spans="13:24">
      <c r="M5692" s="558">
        <f t="shared" si="269"/>
        <v>5690</v>
      </c>
      <c r="N5692" s="15">
        <f t="shared" si="267"/>
        <v>0.17806044675923932</v>
      </c>
      <c r="O5692" s="165">
        <f t="shared" si="268"/>
        <v>0.17806044675923932</v>
      </c>
      <c r="P5692" s="18"/>
      <c r="Q5692" s="18"/>
      <c r="R5692" s="18"/>
      <c r="S5692" s="18"/>
      <c r="T5692" s="18"/>
      <c r="U5692" s="18"/>
      <c r="V5692" s="18"/>
      <c r="W5692" s="18"/>
      <c r="X5692" s="18"/>
    </row>
    <row r="5693" spans="13:24">
      <c r="M5693" s="558">
        <f t="shared" si="269"/>
        <v>5691</v>
      </c>
      <c r="N5693" s="15">
        <f t="shared" si="267"/>
        <v>0.17800863144076204</v>
      </c>
      <c r="O5693" s="165">
        <f t="shared" si="268"/>
        <v>0.17800863144076204</v>
      </c>
      <c r="P5693" s="18"/>
      <c r="Q5693" s="18"/>
      <c r="R5693" s="18"/>
      <c r="S5693" s="18"/>
      <c r="T5693" s="18"/>
      <c r="U5693" s="18"/>
      <c r="V5693" s="18"/>
      <c r="W5693" s="18"/>
      <c r="X5693" s="18"/>
    </row>
    <row r="5694" spans="13:24">
      <c r="M5694" s="558">
        <f t="shared" si="269"/>
        <v>5692</v>
      </c>
      <c r="N5694" s="15">
        <f t="shared" si="267"/>
        <v>0.17795681668129554</v>
      </c>
      <c r="O5694" s="165">
        <f t="shared" si="268"/>
        <v>0.17795681668129554</v>
      </c>
      <c r="P5694" s="18"/>
      <c r="Q5694" s="18"/>
      <c r="R5694" s="18"/>
      <c r="S5694" s="18"/>
      <c r="T5694" s="18"/>
      <c r="U5694" s="18"/>
      <c r="V5694" s="18"/>
      <c r="W5694" s="18"/>
      <c r="X5694" s="18"/>
    </row>
    <row r="5695" spans="13:24">
      <c r="M5695" s="558">
        <f t="shared" si="269"/>
        <v>5693</v>
      </c>
      <c r="N5695" s="15">
        <f t="shared" si="267"/>
        <v>0.17790500248013841</v>
      </c>
      <c r="O5695" s="165">
        <f t="shared" si="268"/>
        <v>0.17790500248013841</v>
      </c>
      <c r="P5695" s="18"/>
      <c r="Q5695" s="18"/>
      <c r="R5695" s="18"/>
      <c r="S5695" s="18"/>
      <c r="T5695" s="18"/>
      <c r="U5695" s="18"/>
      <c r="V5695" s="18"/>
      <c r="W5695" s="18"/>
      <c r="X5695" s="18"/>
    </row>
    <row r="5696" spans="13:24">
      <c r="M5696" s="558">
        <f t="shared" si="269"/>
        <v>5694</v>
      </c>
      <c r="N5696" s="15">
        <f t="shared" si="267"/>
        <v>0.1778531888365899</v>
      </c>
      <c r="O5696" s="165">
        <f t="shared" si="268"/>
        <v>0.1778531888365899</v>
      </c>
      <c r="P5696" s="18"/>
      <c r="Q5696" s="18"/>
      <c r="R5696" s="18"/>
      <c r="S5696" s="18"/>
      <c r="T5696" s="18"/>
      <c r="U5696" s="18"/>
      <c r="V5696" s="18"/>
      <c r="W5696" s="18"/>
      <c r="X5696" s="18"/>
    </row>
    <row r="5697" spans="13:24">
      <c r="M5697" s="558">
        <f t="shared" si="269"/>
        <v>5695</v>
      </c>
      <c r="N5697" s="15">
        <f t="shared" si="267"/>
        <v>0.17780137574995039</v>
      </c>
      <c r="O5697" s="165">
        <f t="shared" si="268"/>
        <v>0.17780137574995039</v>
      </c>
      <c r="P5697" s="18"/>
      <c r="Q5697" s="18"/>
      <c r="R5697" s="18"/>
      <c r="S5697" s="18"/>
      <c r="T5697" s="18"/>
      <c r="U5697" s="18"/>
      <c r="V5697" s="18"/>
      <c r="W5697" s="18"/>
      <c r="X5697" s="18"/>
    </row>
    <row r="5698" spans="13:24">
      <c r="M5698" s="558">
        <f t="shared" si="269"/>
        <v>5696</v>
      </c>
      <c r="N5698" s="15">
        <f t="shared" si="267"/>
        <v>0.1777495632195209</v>
      </c>
      <c r="O5698" s="165">
        <f t="shared" si="268"/>
        <v>0.1777495632195209</v>
      </c>
      <c r="P5698" s="18"/>
      <c r="Q5698" s="18"/>
      <c r="R5698" s="18"/>
      <c r="S5698" s="18"/>
      <c r="T5698" s="18"/>
      <c r="U5698" s="18"/>
      <c r="V5698" s="18"/>
      <c r="W5698" s="18"/>
      <c r="X5698" s="18"/>
    </row>
    <row r="5699" spans="13:24">
      <c r="M5699" s="558">
        <f t="shared" si="269"/>
        <v>5697</v>
      </c>
      <c r="N5699" s="15">
        <f t="shared" si="267"/>
        <v>0.17769775124460346</v>
      </c>
      <c r="O5699" s="165">
        <f t="shared" si="268"/>
        <v>0.17769775124460346</v>
      </c>
      <c r="P5699" s="18"/>
      <c r="Q5699" s="18"/>
      <c r="R5699" s="18"/>
      <c r="S5699" s="18"/>
      <c r="T5699" s="18"/>
      <c r="U5699" s="18"/>
      <c r="V5699" s="18"/>
      <c r="W5699" s="18"/>
      <c r="X5699" s="18"/>
    </row>
    <row r="5700" spans="13:24">
      <c r="M5700" s="558">
        <f t="shared" si="269"/>
        <v>5698</v>
      </c>
      <c r="N5700" s="15">
        <f t="shared" ref="N5700:N5763" si="270">IF(M5700&lt;$B$31+1,$B$32+$B$33/$B$31*(8760-M5700)+$B$34*IF(M5700&lt;$B$36-$B$31/(2*$B$35),1,IF(M5700&lt;$B$36+$B$31/(2*$B$35),COS(PI()/2*(M5700-($B$36-$B$31/(2*$B$35)))*$B$35/$B$31)^2,0))+$B$37*EXP((8760-M5700)/8760*$B$38)/EXP($B$38)-(8760-$B$31)*$B$33/$B$31,0)</f>
        <v>0.17764593982450097</v>
      </c>
      <c r="O5700" s="165">
        <f t="shared" ref="O5700:O5763" si="271">MIN(N5700,C$24)</f>
        <v>0.17764593982450097</v>
      </c>
      <c r="P5700" s="18"/>
      <c r="Q5700" s="18"/>
      <c r="R5700" s="18"/>
      <c r="S5700" s="18"/>
      <c r="T5700" s="18"/>
      <c r="U5700" s="18"/>
      <c r="V5700" s="18"/>
      <c r="W5700" s="18"/>
      <c r="X5700" s="18"/>
    </row>
    <row r="5701" spans="13:24">
      <c r="M5701" s="558">
        <f t="shared" ref="M5701:M5764" si="272">M5700+1</f>
        <v>5699</v>
      </c>
      <c r="N5701" s="15">
        <f t="shared" si="270"/>
        <v>0.17759412895851717</v>
      </c>
      <c r="O5701" s="165">
        <f t="shared" si="271"/>
        <v>0.17759412895851717</v>
      </c>
      <c r="P5701" s="18"/>
      <c r="Q5701" s="18"/>
      <c r="R5701" s="18"/>
      <c r="S5701" s="18"/>
      <c r="T5701" s="18"/>
      <c r="U5701" s="18"/>
      <c r="V5701" s="18"/>
      <c r="W5701" s="18"/>
      <c r="X5701" s="18"/>
    </row>
    <row r="5702" spans="13:24">
      <c r="M5702" s="558">
        <f t="shared" si="272"/>
        <v>5700</v>
      </c>
      <c r="N5702" s="15">
        <f t="shared" si="270"/>
        <v>0.17754231864595668</v>
      </c>
      <c r="O5702" s="165">
        <f t="shared" si="271"/>
        <v>0.17754231864595668</v>
      </c>
      <c r="P5702" s="18"/>
      <c r="Q5702" s="18"/>
      <c r="R5702" s="18"/>
      <c r="S5702" s="18"/>
      <c r="T5702" s="18"/>
      <c r="U5702" s="18"/>
      <c r="V5702" s="18"/>
      <c r="W5702" s="18"/>
      <c r="X5702" s="18"/>
    </row>
    <row r="5703" spans="13:24">
      <c r="M5703" s="558">
        <f t="shared" si="272"/>
        <v>5701</v>
      </c>
      <c r="N5703" s="15">
        <f t="shared" si="270"/>
        <v>0.177490508886125</v>
      </c>
      <c r="O5703" s="165">
        <f t="shared" si="271"/>
        <v>0.177490508886125</v>
      </c>
      <c r="P5703" s="18"/>
      <c r="Q5703" s="18"/>
      <c r="R5703" s="18"/>
      <c r="S5703" s="18"/>
      <c r="T5703" s="18"/>
      <c r="U5703" s="18"/>
      <c r="V5703" s="18"/>
      <c r="W5703" s="18"/>
      <c r="X5703" s="18"/>
    </row>
    <row r="5704" spans="13:24">
      <c r="M5704" s="558">
        <f t="shared" si="272"/>
        <v>5702</v>
      </c>
      <c r="N5704" s="15">
        <f t="shared" si="270"/>
        <v>0.17743869967832848</v>
      </c>
      <c r="O5704" s="165">
        <f t="shared" si="271"/>
        <v>0.17743869967832848</v>
      </c>
      <c r="P5704" s="18"/>
      <c r="Q5704" s="18"/>
      <c r="R5704" s="18"/>
      <c r="S5704" s="18"/>
      <c r="T5704" s="18"/>
      <c r="U5704" s="18"/>
      <c r="V5704" s="18"/>
      <c r="W5704" s="18"/>
      <c r="X5704" s="18"/>
    </row>
    <row r="5705" spans="13:24">
      <c r="M5705" s="558">
        <f t="shared" si="272"/>
        <v>5703</v>
      </c>
      <c r="N5705" s="15">
        <f t="shared" si="270"/>
        <v>0.17738689102187441</v>
      </c>
      <c r="O5705" s="165">
        <f t="shared" si="271"/>
        <v>0.17738689102187441</v>
      </c>
      <c r="P5705" s="18"/>
      <c r="Q5705" s="18"/>
      <c r="R5705" s="18"/>
      <c r="S5705" s="18"/>
      <c r="T5705" s="18"/>
      <c r="U5705" s="18"/>
      <c r="V5705" s="18"/>
      <c r="W5705" s="18"/>
      <c r="X5705" s="18"/>
    </row>
    <row r="5706" spans="13:24">
      <c r="M5706" s="558">
        <f t="shared" si="272"/>
        <v>5704</v>
      </c>
      <c r="N5706" s="15">
        <f t="shared" si="270"/>
        <v>0.17733508291607084</v>
      </c>
      <c r="O5706" s="165">
        <f t="shared" si="271"/>
        <v>0.17733508291607084</v>
      </c>
      <c r="P5706" s="18"/>
      <c r="Q5706" s="18"/>
      <c r="R5706" s="18"/>
      <c r="S5706" s="18"/>
      <c r="T5706" s="18"/>
      <c r="U5706" s="18"/>
      <c r="V5706" s="18"/>
      <c r="W5706" s="18"/>
      <c r="X5706" s="18"/>
    </row>
    <row r="5707" spans="13:24">
      <c r="M5707" s="558">
        <f t="shared" si="272"/>
        <v>5705</v>
      </c>
      <c r="N5707" s="15">
        <f t="shared" si="270"/>
        <v>0.17728327536022676</v>
      </c>
      <c r="O5707" s="165">
        <f t="shared" si="271"/>
        <v>0.17728327536022676</v>
      </c>
      <c r="P5707" s="18"/>
      <c r="Q5707" s="18"/>
      <c r="R5707" s="18"/>
      <c r="S5707" s="18"/>
      <c r="T5707" s="18"/>
      <c r="U5707" s="18"/>
      <c r="V5707" s="18"/>
      <c r="W5707" s="18"/>
      <c r="X5707" s="18"/>
    </row>
    <row r="5708" spans="13:24">
      <c r="M5708" s="558">
        <f t="shared" si="272"/>
        <v>5706</v>
      </c>
      <c r="N5708" s="15">
        <f t="shared" si="270"/>
        <v>0.17723146835365208</v>
      </c>
      <c r="O5708" s="165">
        <f t="shared" si="271"/>
        <v>0.17723146835365208</v>
      </c>
      <c r="P5708" s="18"/>
      <c r="Q5708" s="18"/>
      <c r="R5708" s="18"/>
      <c r="S5708" s="18"/>
      <c r="T5708" s="18"/>
      <c r="U5708" s="18"/>
      <c r="V5708" s="18"/>
      <c r="W5708" s="18"/>
      <c r="X5708" s="18"/>
    </row>
    <row r="5709" spans="13:24">
      <c r="M5709" s="558">
        <f t="shared" si="272"/>
        <v>5707</v>
      </c>
      <c r="N5709" s="15">
        <f t="shared" si="270"/>
        <v>0.17717966189565743</v>
      </c>
      <c r="O5709" s="165">
        <f t="shared" si="271"/>
        <v>0.17717966189565743</v>
      </c>
      <c r="P5709" s="18"/>
      <c r="Q5709" s="18"/>
      <c r="R5709" s="18"/>
      <c r="S5709" s="18"/>
      <c r="T5709" s="18"/>
      <c r="U5709" s="18"/>
      <c r="V5709" s="18"/>
      <c r="W5709" s="18"/>
      <c r="X5709" s="18"/>
    </row>
    <row r="5710" spans="13:24">
      <c r="M5710" s="558">
        <f t="shared" si="272"/>
        <v>5708</v>
      </c>
      <c r="N5710" s="15">
        <f t="shared" si="270"/>
        <v>0.17712785598555444</v>
      </c>
      <c r="O5710" s="165">
        <f t="shared" si="271"/>
        <v>0.17712785598555444</v>
      </c>
      <c r="P5710" s="18"/>
      <c r="Q5710" s="18"/>
      <c r="R5710" s="18"/>
      <c r="S5710" s="18"/>
      <c r="T5710" s="18"/>
      <c r="U5710" s="18"/>
      <c r="V5710" s="18"/>
      <c r="W5710" s="18"/>
      <c r="X5710" s="18"/>
    </row>
    <row r="5711" spans="13:24">
      <c r="M5711" s="558">
        <f t="shared" si="272"/>
        <v>5709</v>
      </c>
      <c r="N5711" s="15">
        <f t="shared" si="270"/>
        <v>0.1770760506226555</v>
      </c>
      <c r="O5711" s="165">
        <f t="shared" si="271"/>
        <v>0.1770760506226555</v>
      </c>
      <c r="P5711" s="18"/>
      <c r="Q5711" s="18"/>
      <c r="R5711" s="18"/>
      <c r="S5711" s="18"/>
      <c r="T5711" s="18"/>
      <c r="U5711" s="18"/>
      <c r="V5711" s="18"/>
      <c r="W5711" s="18"/>
      <c r="X5711" s="18"/>
    </row>
    <row r="5712" spans="13:24">
      <c r="M5712" s="558">
        <f t="shared" si="272"/>
        <v>5710</v>
      </c>
      <c r="N5712" s="15">
        <f t="shared" si="270"/>
        <v>0.17702424580627399</v>
      </c>
      <c r="O5712" s="165">
        <f t="shared" si="271"/>
        <v>0.17702424580627399</v>
      </c>
      <c r="P5712" s="18"/>
      <c r="Q5712" s="18"/>
      <c r="R5712" s="18"/>
      <c r="S5712" s="18"/>
      <c r="T5712" s="18"/>
      <c r="U5712" s="18"/>
      <c r="V5712" s="18"/>
      <c r="W5712" s="18"/>
      <c r="X5712" s="18"/>
    </row>
    <row r="5713" spans="13:24">
      <c r="M5713" s="558">
        <f t="shared" si="272"/>
        <v>5711</v>
      </c>
      <c r="N5713" s="15">
        <f t="shared" si="270"/>
        <v>0.17697244153572397</v>
      </c>
      <c r="O5713" s="165">
        <f t="shared" si="271"/>
        <v>0.17697244153572397</v>
      </c>
      <c r="P5713" s="18"/>
      <c r="Q5713" s="18"/>
      <c r="R5713" s="18"/>
      <c r="S5713" s="18"/>
      <c r="T5713" s="18"/>
      <c r="U5713" s="18"/>
      <c r="V5713" s="18"/>
      <c r="W5713" s="18"/>
      <c r="X5713" s="18"/>
    </row>
    <row r="5714" spans="13:24">
      <c r="M5714" s="558">
        <f t="shared" si="272"/>
        <v>5712</v>
      </c>
      <c r="N5714" s="15">
        <f t="shared" si="270"/>
        <v>0.17692063781032055</v>
      </c>
      <c r="O5714" s="165">
        <f t="shared" si="271"/>
        <v>0.17692063781032055</v>
      </c>
      <c r="P5714" s="18"/>
      <c r="Q5714" s="18"/>
      <c r="R5714" s="18"/>
      <c r="S5714" s="18"/>
      <c r="T5714" s="18"/>
      <c r="U5714" s="18"/>
      <c r="V5714" s="18"/>
      <c r="W5714" s="18"/>
      <c r="X5714" s="18"/>
    </row>
    <row r="5715" spans="13:24">
      <c r="M5715" s="558">
        <f t="shared" si="272"/>
        <v>5713</v>
      </c>
      <c r="N5715" s="15">
        <f t="shared" si="270"/>
        <v>0.17686883462937958</v>
      </c>
      <c r="O5715" s="165">
        <f t="shared" si="271"/>
        <v>0.17686883462937958</v>
      </c>
      <c r="P5715" s="18"/>
      <c r="Q5715" s="18"/>
      <c r="R5715" s="18"/>
      <c r="S5715" s="18"/>
      <c r="T5715" s="18"/>
      <c r="U5715" s="18"/>
      <c r="V5715" s="18"/>
      <c r="W5715" s="18"/>
      <c r="X5715" s="18"/>
    </row>
    <row r="5716" spans="13:24">
      <c r="M5716" s="558">
        <f t="shared" si="272"/>
        <v>5714</v>
      </c>
      <c r="N5716" s="15">
        <f t="shared" si="270"/>
        <v>0.17681703199221782</v>
      </c>
      <c r="O5716" s="165">
        <f t="shared" si="271"/>
        <v>0.17681703199221782</v>
      </c>
      <c r="P5716" s="18"/>
      <c r="Q5716" s="18"/>
      <c r="R5716" s="18"/>
      <c r="S5716" s="18"/>
      <c r="T5716" s="18"/>
      <c r="U5716" s="18"/>
      <c r="V5716" s="18"/>
      <c r="W5716" s="18"/>
      <c r="X5716" s="18"/>
    </row>
    <row r="5717" spans="13:24">
      <c r="M5717" s="558">
        <f t="shared" si="272"/>
        <v>5715</v>
      </c>
      <c r="N5717" s="15">
        <f t="shared" si="270"/>
        <v>0.17676522989815285</v>
      </c>
      <c r="O5717" s="165">
        <f t="shared" si="271"/>
        <v>0.17676522989815285</v>
      </c>
      <c r="P5717" s="18"/>
      <c r="Q5717" s="18"/>
      <c r="R5717" s="18"/>
      <c r="S5717" s="18"/>
      <c r="T5717" s="18"/>
      <c r="U5717" s="18"/>
      <c r="V5717" s="18"/>
      <c r="W5717" s="18"/>
      <c r="X5717" s="18"/>
    </row>
    <row r="5718" spans="13:24">
      <c r="M5718" s="558">
        <f t="shared" si="272"/>
        <v>5716</v>
      </c>
      <c r="N5718" s="15">
        <f t="shared" si="270"/>
        <v>0.17671342834650317</v>
      </c>
      <c r="O5718" s="165">
        <f t="shared" si="271"/>
        <v>0.17671342834650317</v>
      </c>
      <c r="P5718" s="18"/>
      <c r="Q5718" s="18"/>
      <c r="R5718" s="18"/>
      <c r="S5718" s="18"/>
      <c r="T5718" s="18"/>
      <c r="U5718" s="18"/>
      <c r="V5718" s="18"/>
      <c r="W5718" s="18"/>
      <c r="X5718" s="18"/>
    </row>
    <row r="5719" spans="13:24">
      <c r="M5719" s="558">
        <f t="shared" si="272"/>
        <v>5717</v>
      </c>
      <c r="N5719" s="15">
        <f t="shared" si="270"/>
        <v>0.17666162733658802</v>
      </c>
      <c r="O5719" s="165">
        <f t="shared" si="271"/>
        <v>0.17666162733658802</v>
      </c>
      <c r="P5719" s="18"/>
      <c r="Q5719" s="18"/>
      <c r="R5719" s="18"/>
      <c r="S5719" s="18"/>
      <c r="T5719" s="18"/>
      <c r="U5719" s="18"/>
      <c r="V5719" s="18"/>
      <c r="W5719" s="18"/>
      <c r="X5719" s="18"/>
    </row>
    <row r="5720" spans="13:24">
      <c r="M5720" s="558">
        <f t="shared" si="272"/>
        <v>5718</v>
      </c>
      <c r="N5720" s="15">
        <f t="shared" si="270"/>
        <v>0.17660982686772761</v>
      </c>
      <c r="O5720" s="165">
        <f t="shared" si="271"/>
        <v>0.17660982686772761</v>
      </c>
      <c r="P5720" s="18"/>
      <c r="Q5720" s="18"/>
      <c r="R5720" s="18"/>
      <c r="S5720" s="18"/>
      <c r="T5720" s="18"/>
      <c r="U5720" s="18"/>
      <c r="V5720" s="18"/>
      <c r="W5720" s="18"/>
      <c r="X5720" s="18"/>
    </row>
    <row r="5721" spans="13:24">
      <c r="M5721" s="558">
        <f t="shared" si="272"/>
        <v>5719</v>
      </c>
      <c r="N5721" s="15">
        <f t="shared" si="270"/>
        <v>0.17655802693924297</v>
      </c>
      <c r="O5721" s="165">
        <f t="shared" si="271"/>
        <v>0.17655802693924297</v>
      </c>
      <c r="P5721" s="18"/>
      <c r="Q5721" s="18"/>
      <c r="R5721" s="18"/>
      <c r="S5721" s="18"/>
      <c r="T5721" s="18"/>
      <c r="U5721" s="18"/>
      <c r="V5721" s="18"/>
      <c r="W5721" s="18"/>
      <c r="X5721" s="18"/>
    </row>
    <row r="5722" spans="13:24">
      <c r="M5722" s="558">
        <f t="shared" si="272"/>
        <v>5720</v>
      </c>
      <c r="N5722" s="15">
        <f t="shared" si="270"/>
        <v>0.17650622755045595</v>
      </c>
      <c r="O5722" s="165">
        <f t="shared" si="271"/>
        <v>0.17650622755045595</v>
      </c>
      <c r="P5722" s="18"/>
      <c r="Q5722" s="18"/>
      <c r="R5722" s="18"/>
      <c r="S5722" s="18"/>
      <c r="T5722" s="18"/>
      <c r="U5722" s="18"/>
      <c r="V5722" s="18"/>
      <c r="W5722" s="18"/>
      <c r="X5722" s="18"/>
    </row>
    <row r="5723" spans="13:24">
      <c r="M5723" s="558">
        <f t="shared" si="272"/>
        <v>5721</v>
      </c>
      <c r="N5723" s="15">
        <f t="shared" si="270"/>
        <v>0.17645442870068928</v>
      </c>
      <c r="O5723" s="165">
        <f t="shared" si="271"/>
        <v>0.17645442870068928</v>
      </c>
      <c r="P5723" s="18"/>
      <c r="Q5723" s="18"/>
      <c r="R5723" s="18"/>
      <c r="S5723" s="18"/>
      <c r="T5723" s="18"/>
      <c r="U5723" s="18"/>
      <c r="V5723" s="18"/>
      <c r="W5723" s="18"/>
      <c r="X5723" s="18"/>
    </row>
    <row r="5724" spans="13:24">
      <c r="M5724" s="558">
        <f t="shared" si="272"/>
        <v>5722</v>
      </c>
      <c r="N5724" s="15">
        <f t="shared" si="270"/>
        <v>0.17640263038926651</v>
      </c>
      <c r="O5724" s="165">
        <f t="shared" si="271"/>
        <v>0.17640263038926651</v>
      </c>
      <c r="P5724" s="18"/>
      <c r="Q5724" s="18"/>
      <c r="R5724" s="18"/>
      <c r="S5724" s="18"/>
      <c r="T5724" s="18"/>
      <c r="U5724" s="18"/>
      <c r="V5724" s="18"/>
      <c r="W5724" s="18"/>
      <c r="X5724" s="18"/>
    </row>
    <row r="5725" spans="13:24">
      <c r="M5725" s="558">
        <f t="shared" si="272"/>
        <v>5723</v>
      </c>
      <c r="N5725" s="15">
        <f t="shared" si="270"/>
        <v>0.17635083261551215</v>
      </c>
      <c r="O5725" s="165">
        <f t="shared" si="271"/>
        <v>0.17635083261551215</v>
      </c>
      <c r="P5725" s="18"/>
      <c r="Q5725" s="18"/>
      <c r="R5725" s="18"/>
      <c r="S5725" s="18"/>
      <c r="T5725" s="18"/>
      <c r="U5725" s="18"/>
      <c r="V5725" s="18"/>
      <c r="W5725" s="18"/>
      <c r="X5725" s="18"/>
    </row>
    <row r="5726" spans="13:24">
      <c r="M5726" s="558">
        <f t="shared" si="272"/>
        <v>5724</v>
      </c>
      <c r="N5726" s="15">
        <f t="shared" si="270"/>
        <v>0.17629903537875136</v>
      </c>
      <c r="O5726" s="165">
        <f t="shared" si="271"/>
        <v>0.17629903537875136</v>
      </c>
      <c r="P5726" s="18"/>
      <c r="Q5726" s="18"/>
      <c r="R5726" s="18"/>
      <c r="S5726" s="18"/>
      <c r="T5726" s="18"/>
      <c r="U5726" s="18"/>
      <c r="V5726" s="18"/>
      <c r="W5726" s="18"/>
      <c r="X5726" s="18"/>
    </row>
    <row r="5727" spans="13:24">
      <c r="M5727" s="558">
        <f t="shared" si="272"/>
        <v>5725</v>
      </c>
      <c r="N5727" s="15">
        <f t="shared" si="270"/>
        <v>0.1762472386783103</v>
      </c>
      <c r="O5727" s="165">
        <f t="shared" si="271"/>
        <v>0.1762472386783103</v>
      </c>
      <c r="P5727" s="18"/>
      <c r="Q5727" s="18"/>
      <c r="R5727" s="18"/>
      <c r="S5727" s="18"/>
      <c r="T5727" s="18"/>
      <c r="U5727" s="18"/>
      <c r="V5727" s="18"/>
      <c r="W5727" s="18"/>
      <c r="X5727" s="18"/>
    </row>
    <row r="5728" spans="13:24">
      <c r="M5728" s="558">
        <f t="shared" si="272"/>
        <v>5726</v>
      </c>
      <c r="N5728" s="15">
        <f t="shared" si="270"/>
        <v>0.17619544251351593</v>
      </c>
      <c r="O5728" s="165">
        <f t="shared" si="271"/>
        <v>0.17619544251351593</v>
      </c>
      <c r="P5728" s="18"/>
      <c r="Q5728" s="18"/>
      <c r="R5728" s="18"/>
      <c r="S5728" s="18"/>
      <c r="T5728" s="18"/>
      <c r="U5728" s="18"/>
      <c r="V5728" s="18"/>
      <c r="W5728" s="18"/>
      <c r="X5728" s="18"/>
    </row>
    <row r="5729" spans="13:24">
      <c r="M5729" s="558">
        <f t="shared" si="272"/>
        <v>5727</v>
      </c>
      <c r="N5729" s="15">
        <f t="shared" si="270"/>
        <v>0.1761436468836961</v>
      </c>
      <c r="O5729" s="165">
        <f t="shared" si="271"/>
        <v>0.1761436468836961</v>
      </c>
      <c r="P5729" s="18"/>
      <c r="Q5729" s="18"/>
      <c r="R5729" s="18"/>
      <c r="S5729" s="18"/>
      <c r="T5729" s="18"/>
      <c r="U5729" s="18"/>
      <c r="V5729" s="18"/>
      <c r="W5729" s="18"/>
      <c r="X5729" s="18"/>
    </row>
    <row r="5730" spans="13:24">
      <c r="M5730" s="558">
        <f t="shared" si="272"/>
        <v>5728</v>
      </c>
      <c r="N5730" s="15">
        <f t="shared" si="270"/>
        <v>0.17609185178817938</v>
      </c>
      <c r="O5730" s="165">
        <f t="shared" si="271"/>
        <v>0.17609185178817938</v>
      </c>
      <c r="P5730" s="18"/>
      <c r="Q5730" s="18"/>
      <c r="R5730" s="18"/>
      <c r="S5730" s="18"/>
      <c r="T5730" s="18"/>
      <c r="U5730" s="18"/>
      <c r="V5730" s="18"/>
      <c r="W5730" s="18"/>
      <c r="X5730" s="18"/>
    </row>
    <row r="5731" spans="13:24">
      <c r="M5731" s="558">
        <f t="shared" si="272"/>
        <v>5729</v>
      </c>
      <c r="N5731" s="15">
        <f t="shared" si="270"/>
        <v>0.17604005722629532</v>
      </c>
      <c r="O5731" s="165">
        <f t="shared" si="271"/>
        <v>0.17604005722629532</v>
      </c>
      <c r="P5731" s="18"/>
      <c r="Q5731" s="18"/>
      <c r="R5731" s="18"/>
      <c r="S5731" s="18"/>
      <c r="T5731" s="18"/>
      <c r="U5731" s="18"/>
      <c r="V5731" s="18"/>
      <c r="W5731" s="18"/>
      <c r="X5731" s="18"/>
    </row>
    <row r="5732" spans="13:24">
      <c r="M5732" s="558">
        <f t="shared" si="272"/>
        <v>5730</v>
      </c>
      <c r="N5732" s="15">
        <f t="shared" si="270"/>
        <v>0.17598826319737421</v>
      </c>
      <c r="O5732" s="165">
        <f t="shared" si="271"/>
        <v>0.17598826319737421</v>
      </c>
      <c r="P5732" s="18"/>
      <c r="Q5732" s="18"/>
      <c r="R5732" s="18"/>
      <c r="S5732" s="18"/>
      <c r="T5732" s="18"/>
      <c r="U5732" s="18"/>
      <c r="V5732" s="18"/>
      <c r="W5732" s="18"/>
      <c r="X5732" s="18"/>
    </row>
    <row r="5733" spans="13:24">
      <c r="M5733" s="558">
        <f t="shared" si="272"/>
        <v>5731</v>
      </c>
      <c r="N5733" s="15">
        <f t="shared" si="270"/>
        <v>0.17593646970074728</v>
      </c>
      <c r="O5733" s="165">
        <f t="shared" si="271"/>
        <v>0.17593646970074728</v>
      </c>
      <c r="P5733" s="18"/>
      <c r="Q5733" s="18"/>
      <c r="R5733" s="18"/>
      <c r="S5733" s="18"/>
      <c r="T5733" s="18"/>
      <c r="U5733" s="18"/>
      <c r="V5733" s="18"/>
      <c r="W5733" s="18"/>
      <c r="X5733" s="18"/>
    </row>
    <row r="5734" spans="13:24">
      <c r="M5734" s="558">
        <f t="shared" si="272"/>
        <v>5732</v>
      </c>
      <c r="N5734" s="15">
        <f t="shared" si="270"/>
        <v>0.17588467673574648</v>
      </c>
      <c r="O5734" s="165">
        <f t="shared" si="271"/>
        <v>0.17588467673574648</v>
      </c>
      <c r="P5734" s="18"/>
      <c r="Q5734" s="18"/>
      <c r="R5734" s="18"/>
      <c r="S5734" s="18"/>
      <c r="T5734" s="18"/>
      <c r="U5734" s="18"/>
      <c r="V5734" s="18"/>
      <c r="W5734" s="18"/>
      <c r="X5734" s="18"/>
    </row>
    <row r="5735" spans="13:24">
      <c r="M5735" s="558">
        <f t="shared" si="272"/>
        <v>5733</v>
      </c>
      <c r="N5735" s="15">
        <f t="shared" si="270"/>
        <v>0.17583288430170474</v>
      </c>
      <c r="O5735" s="165">
        <f t="shared" si="271"/>
        <v>0.17583288430170474</v>
      </c>
      <c r="P5735" s="18"/>
      <c r="Q5735" s="18"/>
      <c r="R5735" s="18"/>
      <c r="S5735" s="18"/>
      <c r="T5735" s="18"/>
      <c r="U5735" s="18"/>
      <c r="V5735" s="18"/>
      <c r="W5735" s="18"/>
      <c r="X5735" s="18"/>
    </row>
    <row r="5736" spans="13:24">
      <c r="M5736" s="558">
        <f t="shared" si="272"/>
        <v>5734</v>
      </c>
      <c r="N5736" s="15">
        <f t="shared" si="270"/>
        <v>0.17578109239795564</v>
      </c>
      <c r="O5736" s="165">
        <f t="shared" si="271"/>
        <v>0.17578109239795564</v>
      </c>
      <c r="P5736" s="18"/>
      <c r="Q5736" s="18"/>
      <c r="R5736" s="18"/>
      <c r="S5736" s="18"/>
      <c r="T5736" s="18"/>
      <c r="U5736" s="18"/>
      <c r="V5736" s="18"/>
      <c r="W5736" s="18"/>
      <c r="X5736" s="18"/>
    </row>
    <row r="5737" spans="13:24">
      <c r="M5737" s="558">
        <f t="shared" si="272"/>
        <v>5735</v>
      </c>
      <c r="N5737" s="15">
        <f t="shared" si="270"/>
        <v>0.1757293010238338</v>
      </c>
      <c r="O5737" s="165">
        <f t="shared" si="271"/>
        <v>0.1757293010238338</v>
      </c>
      <c r="P5737" s="18"/>
      <c r="Q5737" s="18"/>
      <c r="R5737" s="18"/>
      <c r="S5737" s="18"/>
      <c r="T5737" s="18"/>
      <c r="U5737" s="18"/>
      <c r="V5737" s="18"/>
      <c r="W5737" s="18"/>
      <c r="X5737" s="18"/>
    </row>
    <row r="5738" spans="13:24">
      <c r="M5738" s="558">
        <f t="shared" si="272"/>
        <v>5736</v>
      </c>
      <c r="N5738" s="15">
        <f t="shared" si="270"/>
        <v>0.17567751017867458</v>
      </c>
      <c r="O5738" s="165">
        <f t="shared" si="271"/>
        <v>0.17567751017867458</v>
      </c>
      <c r="P5738" s="18"/>
      <c r="Q5738" s="18"/>
      <c r="R5738" s="18"/>
      <c r="S5738" s="18"/>
      <c r="T5738" s="18"/>
      <c r="U5738" s="18"/>
      <c r="V5738" s="18"/>
      <c r="W5738" s="18"/>
      <c r="X5738" s="18"/>
    </row>
    <row r="5739" spans="13:24">
      <c r="M5739" s="558">
        <f t="shared" si="272"/>
        <v>5737</v>
      </c>
      <c r="N5739" s="15">
        <f t="shared" si="270"/>
        <v>0.17562571986181411</v>
      </c>
      <c r="O5739" s="165">
        <f t="shared" si="271"/>
        <v>0.17562571986181411</v>
      </c>
      <c r="P5739" s="18"/>
      <c r="Q5739" s="18"/>
      <c r="R5739" s="18"/>
      <c r="S5739" s="18"/>
      <c r="T5739" s="18"/>
      <c r="U5739" s="18"/>
      <c r="V5739" s="18"/>
      <c r="W5739" s="18"/>
      <c r="X5739" s="18"/>
    </row>
    <row r="5740" spans="13:24">
      <c r="M5740" s="558">
        <f t="shared" si="272"/>
        <v>5738</v>
      </c>
      <c r="N5740" s="15">
        <f t="shared" si="270"/>
        <v>0.17557393007258948</v>
      </c>
      <c r="O5740" s="165">
        <f t="shared" si="271"/>
        <v>0.17557393007258948</v>
      </c>
      <c r="P5740" s="18"/>
      <c r="Q5740" s="18"/>
      <c r="R5740" s="18"/>
      <c r="S5740" s="18"/>
      <c r="T5740" s="18"/>
      <c r="U5740" s="18"/>
      <c r="V5740" s="18"/>
      <c r="W5740" s="18"/>
      <c r="X5740" s="18"/>
    </row>
    <row r="5741" spans="13:24">
      <c r="M5741" s="558">
        <f t="shared" si="272"/>
        <v>5739</v>
      </c>
      <c r="N5741" s="15">
        <f t="shared" si="270"/>
        <v>0.17552214081033848</v>
      </c>
      <c r="O5741" s="165">
        <f t="shared" si="271"/>
        <v>0.17552214081033848</v>
      </c>
      <c r="P5741" s="18"/>
      <c r="Q5741" s="18"/>
      <c r="R5741" s="18"/>
      <c r="S5741" s="18"/>
      <c r="T5741" s="18"/>
      <c r="U5741" s="18"/>
      <c r="V5741" s="18"/>
      <c r="W5741" s="18"/>
      <c r="X5741" s="18"/>
    </row>
    <row r="5742" spans="13:24">
      <c r="M5742" s="558">
        <f t="shared" si="272"/>
        <v>5740</v>
      </c>
      <c r="N5742" s="15">
        <f t="shared" si="270"/>
        <v>0.17547035207439987</v>
      </c>
      <c r="O5742" s="165">
        <f t="shared" si="271"/>
        <v>0.17547035207439987</v>
      </c>
      <c r="P5742" s="18"/>
      <c r="Q5742" s="18"/>
      <c r="R5742" s="18"/>
      <c r="S5742" s="18"/>
      <c r="T5742" s="18"/>
      <c r="U5742" s="18"/>
      <c r="V5742" s="18"/>
      <c r="W5742" s="18"/>
      <c r="X5742" s="18"/>
    </row>
    <row r="5743" spans="13:24">
      <c r="M5743" s="558">
        <f t="shared" si="272"/>
        <v>5741</v>
      </c>
      <c r="N5743" s="15">
        <f t="shared" si="270"/>
        <v>0.17541856386411314</v>
      </c>
      <c r="O5743" s="165">
        <f t="shared" si="271"/>
        <v>0.17541856386411314</v>
      </c>
      <c r="P5743" s="18"/>
      <c r="Q5743" s="18"/>
      <c r="R5743" s="18"/>
      <c r="S5743" s="18"/>
      <c r="T5743" s="18"/>
      <c r="U5743" s="18"/>
      <c r="V5743" s="18"/>
      <c r="W5743" s="18"/>
      <c r="X5743" s="18"/>
    </row>
    <row r="5744" spans="13:24">
      <c r="M5744" s="558">
        <f t="shared" si="272"/>
        <v>5742</v>
      </c>
      <c r="N5744" s="15">
        <f t="shared" si="270"/>
        <v>0.17536677617881866</v>
      </c>
      <c r="O5744" s="165">
        <f t="shared" si="271"/>
        <v>0.17536677617881866</v>
      </c>
      <c r="P5744" s="18"/>
      <c r="Q5744" s="18"/>
      <c r="R5744" s="18"/>
      <c r="S5744" s="18"/>
      <c r="T5744" s="18"/>
      <c r="U5744" s="18"/>
      <c r="V5744" s="18"/>
      <c r="W5744" s="18"/>
      <c r="X5744" s="18"/>
    </row>
    <row r="5745" spans="13:24">
      <c r="M5745" s="558">
        <f t="shared" si="272"/>
        <v>5743</v>
      </c>
      <c r="N5745" s="15">
        <f t="shared" si="270"/>
        <v>0.17531498901785755</v>
      </c>
      <c r="O5745" s="165">
        <f t="shared" si="271"/>
        <v>0.17531498901785755</v>
      </c>
      <c r="P5745" s="18"/>
      <c r="Q5745" s="18"/>
      <c r="R5745" s="18"/>
      <c r="S5745" s="18"/>
      <c r="T5745" s="18"/>
      <c r="U5745" s="18"/>
      <c r="V5745" s="18"/>
      <c r="W5745" s="18"/>
      <c r="X5745" s="18"/>
    </row>
    <row r="5746" spans="13:24">
      <c r="M5746" s="558">
        <f t="shared" si="272"/>
        <v>5744</v>
      </c>
      <c r="N5746" s="15">
        <f t="shared" si="270"/>
        <v>0.17526320238057189</v>
      </c>
      <c r="O5746" s="165">
        <f t="shared" si="271"/>
        <v>0.17526320238057189</v>
      </c>
      <c r="P5746" s="18"/>
      <c r="Q5746" s="18"/>
      <c r="R5746" s="18"/>
      <c r="S5746" s="18"/>
      <c r="T5746" s="18"/>
      <c r="U5746" s="18"/>
      <c r="V5746" s="18"/>
      <c r="W5746" s="18"/>
      <c r="X5746" s="18"/>
    </row>
    <row r="5747" spans="13:24">
      <c r="M5747" s="558">
        <f t="shared" si="272"/>
        <v>5745</v>
      </c>
      <c r="N5747" s="15">
        <f t="shared" si="270"/>
        <v>0.1752114162663044</v>
      </c>
      <c r="O5747" s="165">
        <f t="shared" si="271"/>
        <v>0.1752114162663044</v>
      </c>
      <c r="P5747" s="18"/>
      <c r="Q5747" s="18"/>
      <c r="R5747" s="18"/>
      <c r="S5747" s="18"/>
      <c r="T5747" s="18"/>
      <c r="U5747" s="18"/>
      <c r="V5747" s="18"/>
      <c r="W5747" s="18"/>
      <c r="X5747" s="18"/>
    </row>
    <row r="5748" spans="13:24">
      <c r="M5748" s="558">
        <f t="shared" si="272"/>
        <v>5746</v>
      </c>
      <c r="N5748" s="15">
        <f t="shared" si="270"/>
        <v>0.17515963067439888</v>
      </c>
      <c r="O5748" s="165">
        <f t="shared" si="271"/>
        <v>0.17515963067439888</v>
      </c>
      <c r="P5748" s="18"/>
      <c r="Q5748" s="18"/>
      <c r="R5748" s="18"/>
      <c r="S5748" s="18"/>
      <c r="T5748" s="18"/>
      <c r="U5748" s="18"/>
      <c r="V5748" s="18"/>
      <c r="W5748" s="18"/>
      <c r="X5748" s="18"/>
    </row>
    <row r="5749" spans="13:24">
      <c r="M5749" s="558">
        <f t="shared" si="272"/>
        <v>5747</v>
      </c>
      <c r="N5749" s="15">
        <f t="shared" si="270"/>
        <v>0.1751078456041997</v>
      </c>
      <c r="O5749" s="165">
        <f t="shared" si="271"/>
        <v>0.1751078456041997</v>
      </c>
      <c r="P5749" s="18"/>
      <c r="Q5749" s="18"/>
      <c r="R5749" s="18"/>
      <c r="S5749" s="18"/>
      <c r="T5749" s="18"/>
      <c r="U5749" s="18"/>
      <c r="V5749" s="18"/>
      <c r="W5749" s="18"/>
      <c r="X5749" s="18"/>
    </row>
    <row r="5750" spans="13:24">
      <c r="M5750" s="558">
        <f t="shared" si="272"/>
        <v>5748</v>
      </c>
      <c r="N5750" s="15">
        <f t="shared" si="270"/>
        <v>0.1750560610550522</v>
      </c>
      <c r="O5750" s="165">
        <f t="shared" si="271"/>
        <v>0.1750560610550522</v>
      </c>
      <c r="P5750" s="18"/>
      <c r="Q5750" s="18"/>
      <c r="R5750" s="18"/>
      <c r="S5750" s="18"/>
      <c r="T5750" s="18"/>
      <c r="U5750" s="18"/>
      <c r="V5750" s="18"/>
      <c r="W5750" s="18"/>
      <c r="X5750" s="18"/>
    </row>
    <row r="5751" spans="13:24">
      <c r="M5751" s="558">
        <f t="shared" si="272"/>
        <v>5749</v>
      </c>
      <c r="N5751" s="15">
        <f t="shared" si="270"/>
        <v>0.1750042770263025</v>
      </c>
      <c r="O5751" s="165">
        <f t="shared" si="271"/>
        <v>0.1750042770263025</v>
      </c>
      <c r="P5751" s="18"/>
      <c r="Q5751" s="18"/>
      <c r="R5751" s="18"/>
      <c r="S5751" s="18"/>
      <c r="T5751" s="18"/>
      <c r="U5751" s="18"/>
      <c r="V5751" s="18"/>
      <c r="W5751" s="18"/>
      <c r="X5751" s="18"/>
    </row>
    <row r="5752" spans="13:24">
      <c r="M5752" s="558">
        <f t="shared" si="272"/>
        <v>5750</v>
      </c>
      <c r="N5752" s="15">
        <f t="shared" si="270"/>
        <v>0.1749524935172975</v>
      </c>
      <c r="O5752" s="165">
        <f t="shared" si="271"/>
        <v>0.1749524935172975</v>
      </c>
      <c r="P5752" s="18"/>
      <c r="Q5752" s="18"/>
      <c r="R5752" s="18"/>
      <c r="S5752" s="18"/>
      <c r="T5752" s="18"/>
      <c r="U5752" s="18"/>
      <c r="V5752" s="18"/>
      <c r="W5752" s="18"/>
      <c r="X5752" s="18"/>
    </row>
    <row r="5753" spans="13:24">
      <c r="M5753" s="558">
        <f t="shared" si="272"/>
        <v>5751</v>
      </c>
      <c r="N5753" s="15">
        <f t="shared" si="270"/>
        <v>0.17490071052738504</v>
      </c>
      <c r="O5753" s="165">
        <f t="shared" si="271"/>
        <v>0.17490071052738504</v>
      </c>
      <c r="P5753" s="18"/>
      <c r="Q5753" s="18"/>
      <c r="R5753" s="18"/>
      <c r="S5753" s="18"/>
      <c r="T5753" s="18"/>
      <c r="U5753" s="18"/>
      <c r="V5753" s="18"/>
      <c r="W5753" s="18"/>
      <c r="X5753" s="18"/>
    </row>
    <row r="5754" spans="13:24">
      <c r="M5754" s="558">
        <f t="shared" si="272"/>
        <v>5752</v>
      </c>
      <c r="N5754" s="15">
        <f t="shared" si="270"/>
        <v>0.17484892805591365</v>
      </c>
      <c r="O5754" s="165">
        <f t="shared" si="271"/>
        <v>0.17484892805591365</v>
      </c>
      <c r="P5754" s="18"/>
      <c r="Q5754" s="18"/>
      <c r="R5754" s="18"/>
      <c r="S5754" s="18"/>
      <c r="T5754" s="18"/>
      <c r="U5754" s="18"/>
      <c r="V5754" s="18"/>
      <c r="W5754" s="18"/>
      <c r="X5754" s="18"/>
    </row>
    <row r="5755" spans="13:24">
      <c r="M5755" s="558">
        <f t="shared" si="272"/>
        <v>5753</v>
      </c>
      <c r="N5755" s="15">
        <f t="shared" si="270"/>
        <v>0.17479714610223276</v>
      </c>
      <c r="O5755" s="165">
        <f t="shared" si="271"/>
        <v>0.17479714610223276</v>
      </c>
      <c r="P5755" s="18"/>
      <c r="Q5755" s="18"/>
      <c r="R5755" s="18"/>
      <c r="S5755" s="18"/>
      <c r="T5755" s="18"/>
      <c r="U5755" s="18"/>
      <c r="V5755" s="18"/>
      <c r="W5755" s="18"/>
      <c r="X5755" s="18"/>
    </row>
    <row r="5756" spans="13:24">
      <c r="M5756" s="558">
        <f t="shared" si="272"/>
        <v>5754</v>
      </c>
      <c r="N5756" s="15">
        <f t="shared" si="270"/>
        <v>0.17474536466569252</v>
      </c>
      <c r="O5756" s="165">
        <f t="shared" si="271"/>
        <v>0.17474536466569252</v>
      </c>
      <c r="P5756" s="18"/>
      <c r="Q5756" s="18"/>
      <c r="R5756" s="18"/>
      <c r="S5756" s="18"/>
      <c r="T5756" s="18"/>
      <c r="U5756" s="18"/>
      <c r="V5756" s="18"/>
      <c r="W5756" s="18"/>
      <c r="X5756" s="18"/>
    </row>
    <row r="5757" spans="13:24">
      <c r="M5757" s="558">
        <f t="shared" si="272"/>
        <v>5755</v>
      </c>
      <c r="N5757" s="15">
        <f t="shared" si="270"/>
        <v>0.17469358374564403</v>
      </c>
      <c r="O5757" s="165">
        <f t="shared" si="271"/>
        <v>0.17469358374564403</v>
      </c>
      <c r="P5757" s="18"/>
      <c r="Q5757" s="18"/>
      <c r="R5757" s="18"/>
      <c r="S5757" s="18"/>
      <c r="T5757" s="18"/>
      <c r="U5757" s="18"/>
      <c r="V5757" s="18"/>
      <c r="W5757" s="18"/>
      <c r="X5757" s="18"/>
    </row>
    <row r="5758" spans="13:24">
      <c r="M5758" s="558">
        <f t="shared" si="272"/>
        <v>5756</v>
      </c>
      <c r="N5758" s="15">
        <f t="shared" si="270"/>
        <v>0.17464180334143911</v>
      </c>
      <c r="O5758" s="165">
        <f t="shared" si="271"/>
        <v>0.17464180334143911</v>
      </c>
      <c r="P5758" s="18"/>
      <c r="Q5758" s="18"/>
      <c r="R5758" s="18"/>
      <c r="S5758" s="18"/>
      <c r="T5758" s="18"/>
      <c r="U5758" s="18"/>
      <c r="V5758" s="18"/>
      <c r="W5758" s="18"/>
      <c r="X5758" s="18"/>
    </row>
    <row r="5759" spans="13:24">
      <c r="M5759" s="558">
        <f t="shared" si="272"/>
        <v>5757</v>
      </c>
      <c r="N5759" s="15">
        <f t="shared" si="270"/>
        <v>0.17459002345243041</v>
      </c>
      <c r="O5759" s="165">
        <f t="shared" si="271"/>
        <v>0.17459002345243041</v>
      </c>
      <c r="P5759" s="18"/>
      <c r="Q5759" s="18"/>
      <c r="R5759" s="18"/>
      <c r="S5759" s="18"/>
      <c r="T5759" s="18"/>
      <c r="U5759" s="18"/>
      <c r="V5759" s="18"/>
      <c r="W5759" s="18"/>
      <c r="X5759" s="18"/>
    </row>
    <row r="5760" spans="13:24">
      <c r="M5760" s="558">
        <f t="shared" si="272"/>
        <v>5758</v>
      </c>
      <c r="N5760" s="15">
        <f t="shared" si="270"/>
        <v>0.17453824407797139</v>
      </c>
      <c r="O5760" s="165">
        <f t="shared" si="271"/>
        <v>0.17453824407797139</v>
      </c>
      <c r="P5760" s="18"/>
      <c r="Q5760" s="18"/>
      <c r="R5760" s="18"/>
      <c r="S5760" s="18"/>
      <c r="T5760" s="18"/>
      <c r="U5760" s="18"/>
      <c r="V5760" s="18"/>
      <c r="W5760" s="18"/>
      <c r="X5760" s="18"/>
    </row>
    <row r="5761" spans="13:24">
      <c r="M5761" s="558">
        <f t="shared" si="272"/>
        <v>5759</v>
      </c>
      <c r="N5761" s="15">
        <f t="shared" si="270"/>
        <v>0.17448646521741637</v>
      </c>
      <c r="O5761" s="165">
        <f t="shared" si="271"/>
        <v>0.17448646521741637</v>
      </c>
      <c r="P5761" s="18"/>
      <c r="Q5761" s="18"/>
      <c r="R5761" s="18"/>
      <c r="S5761" s="18"/>
      <c r="T5761" s="18"/>
      <c r="U5761" s="18"/>
      <c r="V5761" s="18"/>
      <c r="W5761" s="18"/>
      <c r="X5761" s="18"/>
    </row>
    <row r="5762" spans="13:24">
      <c r="M5762" s="558">
        <f t="shared" si="272"/>
        <v>5760</v>
      </c>
      <c r="N5762" s="15">
        <f t="shared" si="270"/>
        <v>0.1744346868701204</v>
      </c>
      <c r="O5762" s="165">
        <f t="shared" si="271"/>
        <v>0.1744346868701204</v>
      </c>
      <c r="P5762" s="18"/>
      <c r="Q5762" s="18"/>
      <c r="R5762" s="18"/>
      <c r="S5762" s="18"/>
      <c r="T5762" s="18"/>
      <c r="U5762" s="18"/>
      <c r="V5762" s="18"/>
      <c r="W5762" s="18"/>
      <c r="X5762" s="18"/>
    </row>
    <row r="5763" spans="13:24">
      <c r="M5763" s="558">
        <f t="shared" si="272"/>
        <v>5761</v>
      </c>
      <c r="N5763" s="15">
        <f t="shared" si="270"/>
        <v>0.17438290903543943</v>
      </c>
      <c r="O5763" s="165">
        <f t="shared" si="271"/>
        <v>0.17438290903543943</v>
      </c>
      <c r="P5763" s="18"/>
      <c r="Q5763" s="18"/>
      <c r="R5763" s="18"/>
      <c r="S5763" s="18"/>
      <c r="T5763" s="18"/>
      <c r="U5763" s="18"/>
      <c r="V5763" s="18"/>
      <c r="W5763" s="18"/>
      <c r="X5763" s="18"/>
    </row>
    <row r="5764" spans="13:24">
      <c r="M5764" s="558">
        <f t="shared" si="272"/>
        <v>5762</v>
      </c>
      <c r="N5764" s="15">
        <f t="shared" ref="N5764:N5827" si="273">IF(M5764&lt;$B$31+1,$B$32+$B$33/$B$31*(8760-M5764)+$B$34*IF(M5764&lt;$B$36-$B$31/(2*$B$35),1,IF(M5764&lt;$B$36+$B$31/(2*$B$35),COS(PI()/2*(M5764-($B$36-$B$31/(2*$B$35)))*$B$35/$B$31)^2,0))+$B$37*EXP((8760-M5764)/8760*$B$38)/EXP($B$38)-(8760-$B$31)*$B$33/$B$31,0)</f>
        <v>0.1743311317127301</v>
      </c>
      <c r="O5764" s="165">
        <f t="shared" ref="O5764:O5827" si="274">MIN(N5764,C$24)</f>
        <v>0.1743311317127301</v>
      </c>
      <c r="P5764" s="18"/>
      <c r="Q5764" s="18"/>
      <c r="R5764" s="18"/>
      <c r="S5764" s="18"/>
      <c r="T5764" s="18"/>
      <c r="U5764" s="18"/>
      <c r="V5764" s="18"/>
      <c r="W5764" s="18"/>
      <c r="X5764" s="18"/>
    </row>
    <row r="5765" spans="13:24">
      <c r="M5765" s="558">
        <f t="shared" ref="M5765:M5828" si="275">M5764+1</f>
        <v>5763</v>
      </c>
      <c r="N5765" s="15">
        <f t="shared" si="273"/>
        <v>0.17427935490134999</v>
      </c>
      <c r="O5765" s="165">
        <f t="shared" si="274"/>
        <v>0.17427935490134999</v>
      </c>
      <c r="P5765" s="18"/>
      <c r="Q5765" s="18"/>
      <c r="R5765" s="18"/>
      <c r="S5765" s="18"/>
      <c r="T5765" s="18"/>
      <c r="U5765" s="18"/>
      <c r="V5765" s="18"/>
      <c r="W5765" s="18"/>
      <c r="X5765" s="18"/>
    </row>
    <row r="5766" spans="13:24">
      <c r="M5766" s="558">
        <f t="shared" si="275"/>
        <v>5764</v>
      </c>
      <c r="N5766" s="15">
        <f t="shared" si="273"/>
        <v>0.17422757860065738</v>
      </c>
      <c r="O5766" s="165">
        <f t="shared" si="274"/>
        <v>0.17422757860065738</v>
      </c>
      <c r="P5766" s="18"/>
      <c r="Q5766" s="18"/>
      <c r="R5766" s="18"/>
      <c r="S5766" s="18"/>
      <c r="T5766" s="18"/>
      <c r="U5766" s="18"/>
      <c r="V5766" s="18"/>
      <c r="W5766" s="18"/>
      <c r="X5766" s="18"/>
    </row>
    <row r="5767" spans="13:24">
      <c r="M5767" s="558">
        <f t="shared" si="275"/>
        <v>5765</v>
      </c>
      <c r="N5767" s="15">
        <f t="shared" si="273"/>
        <v>0.17417580281001141</v>
      </c>
      <c r="O5767" s="165">
        <f t="shared" si="274"/>
        <v>0.17417580281001141</v>
      </c>
      <c r="P5767" s="18"/>
      <c r="Q5767" s="18"/>
      <c r="R5767" s="18"/>
      <c r="S5767" s="18"/>
      <c r="T5767" s="18"/>
      <c r="U5767" s="18"/>
      <c r="V5767" s="18"/>
      <c r="W5767" s="18"/>
      <c r="X5767" s="18"/>
    </row>
    <row r="5768" spans="13:24">
      <c r="M5768" s="558">
        <f t="shared" si="275"/>
        <v>5766</v>
      </c>
      <c r="N5768" s="15">
        <f t="shared" si="273"/>
        <v>0.17412402752877207</v>
      </c>
      <c r="O5768" s="165">
        <f t="shared" si="274"/>
        <v>0.17412402752877207</v>
      </c>
      <c r="P5768" s="18"/>
      <c r="Q5768" s="18"/>
      <c r="R5768" s="18"/>
      <c r="S5768" s="18"/>
      <c r="T5768" s="18"/>
      <c r="U5768" s="18"/>
      <c r="V5768" s="18"/>
      <c r="W5768" s="18"/>
      <c r="X5768" s="18"/>
    </row>
    <row r="5769" spans="13:24">
      <c r="M5769" s="558">
        <f t="shared" si="275"/>
        <v>5767</v>
      </c>
      <c r="N5769" s="15">
        <f t="shared" si="273"/>
        <v>0.17407225275629998</v>
      </c>
      <c r="O5769" s="165">
        <f t="shared" si="274"/>
        <v>0.17407225275629998</v>
      </c>
      <c r="P5769" s="18"/>
      <c r="Q5769" s="18"/>
      <c r="R5769" s="18"/>
      <c r="S5769" s="18"/>
      <c r="T5769" s="18"/>
      <c r="U5769" s="18"/>
      <c r="V5769" s="18"/>
      <c r="W5769" s="18"/>
      <c r="X5769" s="18"/>
    </row>
    <row r="5770" spans="13:24">
      <c r="M5770" s="558">
        <f t="shared" si="275"/>
        <v>5768</v>
      </c>
      <c r="N5770" s="15">
        <f t="shared" si="273"/>
        <v>0.17402047849195679</v>
      </c>
      <c r="O5770" s="165">
        <f t="shared" si="274"/>
        <v>0.17402047849195679</v>
      </c>
      <c r="P5770" s="18"/>
      <c r="Q5770" s="18"/>
      <c r="R5770" s="18"/>
      <c r="S5770" s="18"/>
      <c r="T5770" s="18"/>
      <c r="U5770" s="18"/>
      <c r="V5770" s="18"/>
      <c r="W5770" s="18"/>
      <c r="X5770" s="18"/>
    </row>
    <row r="5771" spans="13:24">
      <c r="M5771" s="558">
        <f t="shared" si="275"/>
        <v>5769</v>
      </c>
      <c r="N5771" s="15">
        <f t="shared" si="273"/>
        <v>0.17396870473510476</v>
      </c>
      <c r="O5771" s="165">
        <f t="shared" si="274"/>
        <v>0.17396870473510476</v>
      </c>
      <c r="P5771" s="18"/>
      <c r="Q5771" s="18"/>
      <c r="R5771" s="18"/>
      <c r="S5771" s="18"/>
      <c r="T5771" s="18"/>
      <c r="U5771" s="18"/>
      <c r="V5771" s="18"/>
      <c r="W5771" s="18"/>
      <c r="X5771" s="18"/>
    </row>
    <row r="5772" spans="13:24">
      <c r="M5772" s="558">
        <f t="shared" si="275"/>
        <v>5770</v>
      </c>
      <c r="N5772" s="15">
        <f t="shared" si="273"/>
        <v>0.17391693148510709</v>
      </c>
      <c r="O5772" s="165">
        <f t="shared" si="274"/>
        <v>0.17391693148510709</v>
      </c>
      <c r="P5772" s="18"/>
      <c r="Q5772" s="18"/>
      <c r="R5772" s="18"/>
      <c r="S5772" s="18"/>
      <c r="T5772" s="18"/>
      <c r="U5772" s="18"/>
      <c r="V5772" s="18"/>
      <c r="W5772" s="18"/>
      <c r="X5772" s="18"/>
    </row>
    <row r="5773" spans="13:24">
      <c r="M5773" s="558">
        <f t="shared" si="275"/>
        <v>5771</v>
      </c>
      <c r="N5773" s="15">
        <f t="shared" si="273"/>
        <v>0.17386515874132766</v>
      </c>
      <c r="O5773" s="165">
        <f t="shared" si="274"/>
        <v>0.17386515874132766</v>
      </c>
      <c r="P5773" s="18"/>
      <c r="Q5773" s="18"/>
      <c r="R5773" s="18"/>
      <c r="S5773" s="18"/>
      <c r="T5773" s="18"/>
      <c r="U5773" s="18"/>
      <c r="V5773" s="18"/>
      <c r="W5773" s="18"/>
      <c r="X5773" s="18"/>
    </row>
    <row r="5774" spans="13:24">
      <c r="M5774" s="558">
        <f t="shared" si="275"/>
        <v>5772</v>
      </c>
      <c r="N5774" s="15">
        <f t="shared" si="273"/>
        <v>0.17381338650313127</v>
      </c>
      <c r="O5774" s="165">
        <f t="shared" si="274"/>
        <v>0.17381338650313127</v>
      </c>
      <c r="P5774" s="18"/>
      <c r="Q5774" s="18"/>
      <c r="R5774" s="18"/>
      <c r="S5774" s="18"/>
      <c r="T5774" s="18"/>
      <c r="U5774" s="18"/>
      <c r="V5774" s="18"/>
      <c r="W5774" s="18"/>
      <c r="X5774" s="18"/>
    </row>
    <row r="5775" spans="13:24">
      <c r="M5775" s="558">
        <f t="shared" si="275"/>
        <v>5773</v>
      </c>
      <c r="N5775" s="15">
        <f t="shared" si="273"/>
        <v>0.17376161476988339</v>
      </c>
      <c r="O5775" s="165">
        <f t="shared" si="274"/>
        <v>0.17376161476988339</v>
      </c>
      <c r="P5775" s="18"/>
      <c r="Q5775" s="18"/>
      <c r="R5775" s="18"/>
      <c r="S5775" s="18"/>
      <c r="T5775" s="18"/>
      <c r="U5775" s="18"/>
      <c r="V5775" s="18"/>
      <c r="W5775" s="18"/>
      <c r="X5775" s="18"/>
    </row>
    <row r="5776" spans="13:24">
      <c r="M5776" s="558">
        <f t="shared" si="275"/>
        <v>5774</v>
      </c>
      <c r="N5776" s="15">
        <f t="shared" si="273"/>
        <v>0.1737098435409504</v>
      </c>
      <c r="O5776" s="165">
        <f t="shared" si="274"/>
        <v>0.1737098435409504</v>
      </c>
      <c r="P5776" s="18"/>
      <c r="Q5776" s="18"/>
      <c r="R5776" s="18"/>
      <c r="S5776" s="18"/>
      <c r="T5776" s="18"/>
      <c r="U5776" s="18"/>
      <c r="V5776" s="18"/>
      <c r="W5776" s="18"/>
      <c r="X5776" s="18"/>
    </row>
    <row r="5777" spans="13:24">
      <c r="M5777" s="558">
        <f t="shared" si="275"/>
        <v>5775</v>
      </c>
      <c r="N5777" s="15">
        <f t="shared" si="273"/>
        <v>0.17365807281569939</v>
      </c>
      <c r="O5777" s="165">
        <f t="shared" si="274"/>
        <v>0.17365807281569939</v>
      </c>
      <c r="P5777" s="18"/>
      <c r="Q5777" s="18"/>
      <c r="R5777" s="18"/>
      <c r="S5777" s="18"/>
      <c r="T5777" s="18"/>
      <c r="U5777" s="18"/>
      <c r="V5777" s="18"/>
      <c r="W5777" s="18"/>
      <c r="X5777" s="18"/>
    </row>
    <row r="5778" spans="13:24">
      <c r="M5778" s="558">
        <f t="shared" si="275"/>
        <v>5776</v>
      </c>
      <c r="N5778" s="15">
        <f t="shared" si="273"/>
        <v>0.17360630259349832</v>
      </c>
      <c r="O5778" s="165">
        <f t="shared" si="274"/>
        <v>0.17360630259349832</v>
      </c>
      <c r="P5778" s="18"/>
      <c r="Q5778" s="18"/>
      <c r="R5778" s="18"/>
      <c r="S5778" s="18"/>
      <c r="T5778" s="18"/>
      <c r="U5778" s="18"/>
      <c r="V5778" s="18"/>
      <c r="W5778" s="18"/>
      <c r="X5778" s="18"/>
    </row>
    <row r="5779" spans="13:24">
      <c r="M5779" s="558">
        <f t="shared" si="275"/>
        <v>5777</v>
      </c>
      <c r="N5779" s="15">
        <f t="shared" si="273"/>
        <v>0.17355453287371583</v>
      </c>
      <c r="O5779" s="165">
        <f t="shared" si="274"/>
        <v>0.17355453287371583</v>
      </c>
      <c r="P5779" s="18"/>
      <c r="Q5779" s="18"/>
      <c r="R5779" s="18"/>
      <c r="S5779" s="18"/>
      <c r="T5779" s="18"/>
      <c r="U5779" s="18"/>
      <c r="V5779" s="18"/>
      <c r="W5779" s="18"/>
      <c r="X5779" s="18"/>
    </row>
    <row r="5780" spans="13:24">
      <c r="M5780" s="558">
        <f t="shared" si="275"/>
        <v>5778</v>
      </c>
      <c r="N5780" s="15">
        <f t="shared" si="273"/>
        <v>0.17350276365572154</v>
      </c>
      <c r="O5780" s="165">
        <f t="shared" si="274"/>
        <v>0.17350276365572154</v>
      </c>
      <c r="P5780" s="18"/>
      <c r="Q5780" s="18"/>
      <c r="R5780" s="18"/>
      <c r="S5780" s="18"/>
      <c r="T5780" s="18"/>
      <c r="U5780" s="18"/>
      <c r="V5780" s="18"/>
      <c r="W5780" s="18"/>
      <c r="X5780" s="18"/>
    </row>
    <row r="5781" spans="13:24">
      <c r="M5781" s="558">
        <f t="shared" si="275"/>
        <v>5779</v>
      </c>
      <c r="N5781" s="15">
        <f t="shared" si="273"/>
        <v>0.17345099493888563</v>
      </c>
      <c r="O5781" s="165">
        <f t="shared" si="274"/>
        <v>0.17345099493888563</v>
      </c>
      <c r="P5781" s="18"/>
      <c r="Q5781" s="18"/>
      <c r="R5781" s="18"/>
      <c r="S5781" s="18"/>
      <c r="T5781" s="18"/>
      <c r="U5781" s="18"/>
      <c r="V5781" s="18"/>
      <c r="W5781" s="18"/>
      <c r="X5781" s="18"/>
    </row>
    <row r="5782" spans="13:24">
      <c r="M5782" s="558">
        <f t="shared" si="275"/>
        <v>5780</v>
      </c>
      <c r="N5782" s="15">
        <f t="shared" si="273"/>
        <v>0.17339922672257924</v>
      </c>
      <c r="O5782" s="165">
        <f t="shared" si="274"/>
        <v>0.17339922672257924</v>
      </c>
      <c r="P5782" s="18"/>
      <c r="Q5782" s="18"/>
      <c r="R5782" s="18"/>
      <c r="S5782" s="18"/>
      <c r="T5782" s="18"/>
      <c r="U5782" s="18"/>
      <c r="V5782" s="18"/>
      <c r="W5782" s="18"/>
      <c r="X5782" s="18"/>
    </row>
    <row r="5783" spans="13:24">
      <c r="M5783" s="558">
        <f t="shared" si="275"/>
        <v>5781</v>
      </c>
      <c r="N5783" s="15">
        <f t="shared" si="273"/>
        <v>0.17334745900617424</v>
      </c>
      <c r="O5783" s="165">
        <f t="shared" si="274"/>
        <v>0.17334745900617424</v>
      </c>
      <c r="P5783" s="18"/>
      <c r="Q5783" s="18"/>
      <c r="R5783" s="18"/>
      <c r="S5783" s="18"/>
      <c r="T5783" s="18"/>
      <c r="U5783" s="18"/>
      <c r="V5783" s="18"/>
      <c r="W5783" s="18"/>
      <c r="X5783" s="18"/>
    </row>
    <row r="5784" spans="13:24">
      <c r="M5784" s="558">
        <f t="shared" si="275"/>
        <v>5782</v>
      </c>
      <c r="N5784" s="15">
        <f t="shared" si="273"/>
        <v>0.1732956917890433</v>
      </c>
      <c r="O5784" s="165">
        <f t="shared" si="274"/>
        <v>0.1732956917890433</v>
      </c>
      <c r="P5784" s="18"/>
      <c r="Q5784" s="18"/>
      <c r="R5784" s="18"/>
      <c r="S5784" s="18"/>
      <c r="T5784" s="18"/>
      <c r="U5784" s="18"/>
      <c r="V5784" s="18"/>
      <c r="W5784" s="18"/>
      <c r="X5784" s="18"/>
    </row>
    <row r="5785" spans="13:24">
      <c r="M5785" s="558">
        <f t="shared" si="275"/>
        <v>5783</v>
      </c>
      <c r="N5785" s="15">
        <f t="shared" si="273"/>
        <v>0.17324392507055988</v>
      </c>
      <c r="O5785" s="165">
        <f t="shared" si="274"/>
        <v>0.17324392507055988</v>
      </c>
      <c r="P5785" s="18"/>
      <c r="Q5785" s="18"/>
      <c r="R5785" s="18"/>
      <c r="S5785" s="18"/>
      <c r="T5785" s="18"/>
      <c r="U5785" s="18"/>
      <c r="V5785" s="18"/>
      <c r="W5785" s="18"/>
      <c r="X5785" s="18"/>
    </row>
    <row r="5786" spans="13:24">
      <c r="M5786" s="558">
        <f t="shared" si="275"/>
        <v>5784</v>
      </c>
      <c r="N5786" s="15">
        <f t="shared" si="273"/>
        <v>0.1731921588500982</v>
      </c>
      <c r="O5786" s="165">
        <f t="shared" si="274"/>
        <v>0.1731921588500982</v>
      </c>
      <c r="P5786" s="18"/>
      <c r="Q5786" s="18"/>
      <c r="R5786" s="18"/>
      <c r="S5786" s="18"/>
      <c r="T5786" s="18"/>
      <c r="U5786" s="18"/>
      <c r="V5786" s="18"/>
      <c r="W5786" s="18"/>
      <c r="X5786" s="18"/>
    </row>
    <row r="5787" spans="13:24">
      <c r="M5787" s="558">
        <f t="shared" si="275"/>
        <v>5785</v>
      </c>
      <c r="N5787" s="15">
        <f t="shared" si="273"/>
        <v>0.17314039312703328</v>
      </c>
      <c r="O5787" s="165">
        <f t="shared" si="274"/>
        <v>0.17314039312703328</v>
      </c>
      <c r="P5787" s="18"/>
      <c r="Q5787" s="18"/>
      <c r="R5787" s="18"/>
      <c r="S5787" s="18"/>
      <c r="T5787" s="18"/>
      <c r="U5787" s="18"/>
      <c r="V5787" s="18"/>
      <c r="W5787" s="18"/>
      <c r="X5787" s="18"/>
    </row>
    <row r="5788" spans="13:24">
      <c r="M5788" s="558">
        <f t="shared" si="275"/>
        <v>5786</v>
      </c>
      <c r="N5788" s="15">
        <f t="shared" si="273"/>
        <v>0.17308862790074092</v>
      </c>
      <c r="O5788" s="165">
        <f t="shared" si="274"/>
        <v>0.17308862790074092</v>
      </c>
      <c r="P5788" s="18"/>
      <c r="Q5788" s="18"/>
      <c r="R5788" s="18"/>
      <c r="S5788" s="18"/>
      <c r="T5788" s="18"/>
      <c r="U5788" s="18"/>
      <c r="V5788" s="18"/>
      <c r="W5788" s="18"/>
      <c r="X5788" s="18"/>
    </row>
    <row r="5789" spans="13:24">
      <c r="M5789" s="558">
        <f t="shared" si="275"/>
        <v>5787</v>
      </c>
      <c r="N5789" s="15">
        <f t="shared" si="273"/>
        <v>0.17303686317059774</v>
      </c>
      <c r="O5789" s="165">
        <f t="shared" si="274"/>
        <v>0.17303686317059774</v>
      </c>
      <c r="P5789" s="18"/>
      <c r="Q5789" s="18"/>
      <c r="R5789" s="18"/>
      <c r="S5789" s="18"/>
      <c r="T5789" s="18"/>
      <c r="U5789" s="18"/>
      <c r="V5789" s="18"/>
      <c r="W5789" s="18"/>
      <c r="X5789" s="18"/>
    </row>
    <row r="5790" spans="13:24">
      <c r="M5790" s="558">
        <f t="shared" si="275"/>
        <v>5788</v>
      </c>
      <c r="N5790" s="15">
        <f t="shared" si="273"/>
        <v>0.1729850989359811</v>
      </c>
      <c r="O5790" s="165">
        <f t="shared" si="274"/>
        <v>0.1729850989359811</v>
      </c>
      <c r="P5790" s="18"/>
      <c r="Q5790" s="18"/>
      <c r="R5790" s="18"/>
      <c r="S5790" s="18"/>
      <c r="T5790" s="18"/>
      <c r="U5790" s="18"/>
      <c r="V5790" s="18"/>
      <c r="W5790" s="18"/>
      <c r="X5790" s="18"/>
    </row>
    <row r="5791" spans="13:24">
      <c r="M5791" s="558">
        <f t="shared" si="275"/>
        <v>5789</v>
      </c>
      <c r="N5791" s="15">
        <f t="shared" si="273"/>
        <v>0.17293333519626916</v>
      </c>
      <c r="O5791" s="165">
        <f t="shared" si="274"/>
        <v>0.17293333519626916</v>
      </c>
      <c r="P5791" s="18"/>
      <c r="Q5791" s="18"/>
      <c r="R5791" s="18"/>
      <c r="S5791" s="18"/>
      <c r="T5791" s="18"/>
      <c r="U5791" s="18"/>
      <c r="V5791" s="18"/>
      <c r="W5791" s="18"/>
      <c r="X5791" s="18"/>
    </row>
    <row r="5792" spans="13:24">
      <c r="M5792" s="558">
        <f t="shared" si="275"/>
        <v>5790</v>
      </c>
      <c r="N5792" s="15">
        <f t="shared" si="273"/>
        <v>0.17288157195084081</v>
      </c>
      <c r="O5792" s="165">
        <f t="shared" si="274"/>
        <v>0.17288157195084081</v>
      </c>
      <c r="P5792" s="18"/>
      <c r="Q5792" s="18"/>
      <c r="R5792" s="18"/>
      <c r="S5792" s="18"/>
      <c r="T5792" s="18"/>
      <c r="U5792" s="18"/>
      <c r="V5792" s="18"/>
      <c r="W5792" s="18"/>
      <c r="X5792" s="18"/>
    </row>
    <row r="5793" spans="13:24">
      <c r="M5793" s="558">
        <f t="shared" si="275"/>
        <v>5791</v>
      </c>
      <c r="N5793" s="15">
        <f t="shared" si="273"/>
        <v>0.17282980919907584</v>
      </c>
      <c r="O5793" s="165">
        <f t="shared" si="274"/>
        <v>0.17282980919907584</v>
      </c>
      <c r="P5793" s="18"/>
      <c r="Q5793" s="18"/>
      <c r="R5793" s="18"/>
      <c r="S5793" s="18"/>
      <c r="T5793" s="18"/>
      <c r="U5793" s="18"/>
      <c r="V5793" s="18"/>
      <c r="W5793" s="18"/>
      <c r="X5793" s="18"/>
    </row>
    <row r="5794" spans="13:24">
      <c r="M5794" s="558">
        <f t="shared" si="275"/>
        <v>5792</v>
      </c>
      <c r="N5794" s="15">
        <f t="shared" si="273"/>
        <v>0.17277804694035465</v>
      </c>
      <c r="O5794" s="165">
        <f t="shared" si="274"/>
        <v>0.17277804694035465</v>
      </c>
      <c r="P5794" s="18"/>
      <c r="Q5794" s="18"/>
      <c r="R5794" s="18"/>
      <c r="S5794" s="18"/>
      <c r="T5794" s="18"/>
      <c r="U5794" s="18"/>
      <c r="V5794" s="18"/>
      <c r="W5794" s="18"/>
      <c r="X5794" s="18"/>
    </row>
    <row r="5795" spans="13:24">
      <c r="M5795" s="558">
        <f t="shared" si="275"/>
        <v>5793</v>
      </c>
      <c r="N5795" s="15">
        <f t="shared" si="273"/>
        <v>0.17272628517405861</v>
      </c>
      <c r="O5795" s="165">
        <f t="shared" si="274"/>
        <v>0.17272628517405861</v>
      </c>
      <c r="P5795" s="18"/>
      <c r="Q5795" s="18"/>
      <c r="R5795" s="18"/>
      <c r="S5795" s="18"/>
      <c r="T5795" s="18"/>
      <c r="U5795" s="18"/>
      <c r="V5795" s="18"/>
      <c r="W5795" s="18"/>
      <c r="X5795" s="18"/>
    </row>
    <row r="5796" spans="13:24">
      <c r="M5796" s="558">
        <f t="shared" si="275"/>
        <v>5794</v>
      </c>
      <c r="N5796" s="15">
        <f t="shared" si="273"/>
        <v>0.17267452389956967</v>
      </c>
      <c r="O5796" s="165">
        <f t="shared" si="274"/>
        <v>0.17267452389956967</v>
      </c>
      <c r="P5796" s="18"/>
      <c r="Q5796" s="18"/>
      <c r="R5796" s="18"/>
      <c r="S5796" s="18"/>
      <c r="T5796" s="18"/>
      <c r="U5796" s="18"/>
      <c r="V5796" s="18"/>
      <c r="W5796" s="18"/>
      <c r="X5796" s="18"/>
    </row>
    <row r="5797" spans="13:24">
      <c r="M5797" s="558">
        <f t="shared" si="275"/>
        <v>5795</v>
      </c>
      <c r="N5797" s="15">
        <f t="shared" si="273"/>
        <v>0.1726227631162707</v>
      </c>
      <c r="O5797" s="165">
        <f t="shared" si="274"/>
        <v>0.1726227631162707</v>
      </c>
      <c r="P5797" s="18"/>
      <c r="Q5797" s="18"/>
      <c r="R5797" s="18"/>
      <c r="S5797" s="18"/>
      <c r="T5797" s="18"/>
      <c r="U5797" s="18"/>
      <c r="V5797" s="18"/>
      <c r="W5797" s="18"/>
      <c r="X5797" s="18"/>
    </row>
    <row r="5798" spans="13:24">
      <c r="M5798" s="558">
        <f t="shared" si="275"/>
        <v>5796</v>
      </c>
      <c r="N5798" s="15">
        <f t="shared" si="273"/>
        <v>0.17257100282354534</v>
      </c>
      <c r="O5798" s="165">
        <f t="shared" si="274"/>
        <v>0.17257100282354534</v>
      </c>
      <c r="P5798" s="18"/>
      <c r="Q5798" s="18"/>
      <c r="R5798" s="18"/>
      <c r="S5798" s="18"/>
      <c r="T5798" s="18"/>
      <c r="U5798" s="18"/>
      <c r="V5798" s="18"/>
      <c r="W5798" s="18"/>
      <c r="X5798" s="18"/>
    </row>
    <row r="5799" spans="13:24">
      <c r="M5799" s="558">
        <f t="shared" si="275"/>
        <v>5797</v>
      </c>
      <c r="N5799" s="15">
        <f t="shared" si="273"/>
        <v>0.17251924302077787</v>
      </c>
      <c r="O5799" s="165">
        <f t="shared" si="274"/>
        <v>0.17251924302077787</v>
      </c>
      <c r="P5799" s="18"/>
      <c r="Q5799" s="18"/>
      <c r="R5799" s="18"/>
      <c r="S5799" s="18"/>
      <c r="T5799" s="18"/>
      <c r="U5799" s="18"/>
      <c r="V5799" s="18"/>
      <c r="W5799" s="18"/>
      <c r="X5799" s="18"/>
    </row>
    <row r="5800" spans="13:24">
      <c r="M5800" s="558">
        <f t="shared" si="275"/>
        <v>5798</v>
      </c>
      <c r="N5800" s="15">
        <f t="shared" si="273"/>
        <v>0.17246748370735351</v>
      </c>
      <c r="O5800" s="165">
        <f t="shared" si="274"/>
        <v>0.17246748370735351</v>
      </c>
      <c r="P5800" s="18"/>
      <c r="Q5800" s="18"/>
      <c r="R5800" s="18"/>
      <c r="S5800" s="18"/>
      <c r="T5800" s="18"/>
      <c r="U5800" s="18"/>
      <c r="V5800" s="18"/>
      <c r="W5800" s="18"/>
      <c r="X5800" s="18"/>
    </row>
    <row r="5801" spans="13:24">
      <c r="M5801" s="558">
        <f t="shared" si="275"/>
        <v>5799</v>
      </c>
      <c r="N5801" s="15">
        <f t="shared" si="273"/>
        <v>0.17241572488265811</v>
      </c>
      <c r="O5801" s="165">
        <f t="shared" si="274"/>
        <v>0.17241572488265811</v>
      </c>
      <c r="P5801" s="18"/>
      <c r="Q5801" s="18"/>
      <c r="R5801" s="18"/>
      <c r="S5801" s="18"/>
      <c r="T5801" s="18"/>
      <c r="U5801" s="18"/>
      <c r="V5801" s="18"/>
      <c r="W5801" s="18"/>
      <c r="X5801" s="18"/>
    </row>
    <row r="5802" spans="13:24">
      <c r="M5802" s="558">
        <f t="shared" si="275"/>
        <v>5800</v>
      </c>
      <c r="N5802" s="15">
        <f t="shared" si="273"/>
        <v>0.17236396654607841</v>
      </c>
      <c r="O5802" s="165">
        <f t="shared" si="274"/>
        <v>0.17236396654607841</v>
      </c>
      <c r="P5802" s="18"/>
      <c r="Q5802" s="18"/>
      <c r="R5802" s="18"/>
      <c r="S5802" s="18"/>
      <c r="T5802" s="18"/>
      <c r="U5802" s="18"/>
      <c r="V5802" s="18"/>
      <c r="W5802" s="18"/>
      <c r="X5802" s="18"/>
    </row>
    <row r="5803" spans="13:24">
      <c r="M5803" s="558">
        <f t="shared" si="275"/>
        <v>5801</v>
      </c>
      <c r="N5803" s="15">
        <f t="shared" si="273"/>
        <v>0.17231220869700181</v>
      </c>
      <c r="O5803" s="165">
        <f t="shared" si="274"/>
        <v>0.17231220869700181</v>
      </c>
      <c r="P5803" s="18"/>
      <c r="Q5803" s="18"/>
      <c r="R5803" s="18"/>
      <c r="S5803" s="18"/>
      <c r="T5803" s="18"/>
      <c r="U5803" s="18"/>
      <c r="V5803" s="18"/>
      <c r="W5803" s="18"/>
      <c r="X5803" s="18"/>
    </row>
    <row r="5804" spans="13:24">
      <c r="M5804" s="558">
        <f t="shared" si="275"/>
        <v>5802</v>
      </c>
      <c r="N5804" s="15">
        <f t="shared" si="273"/>
        <v>0.1722604513348166</v>
      </c>
      <c r="O5804" s="165">
        <f t="shared" si="274"/>
        <v>0.1722604513348166</v>
      </c>
      <c r="P5804" s="18"/>
      <c r="Q5804" s="18"/>
      <c r="R5804" s="18"/>
      <c r="S5804" s="18"/>
      <c r="T5804" s="18"/>
      <c r="U5804" s="18"/>
      <c r="V5804" s="18"/>
      <c r="W5804" s="18"/>
      <c r="X5804" s="18"/>
    </row>
    <row r="5805" spans="13:24">
      <c r="M5805" s="558">
        <f t="shared" si="275"/>
        <v>5803</v>
      </c>
      <c r="N5805" s="15">
        <f t="shared" si="273"/>
        <v>0.17220869445891168</v>
      </c>
      <c r="O5805" s="165">
        <f t="shared" si="274"/>
        <v>0.17220869445891168</v>
      </c>
      <c r="P5805" s="18"/>
      <c r="Q5805" s="18"/>
      <c r="R5805" s="18"/>
      <c r="S5805" s="18"/>
      <c r="T5805" s="18"/>
      <c r="U5805" s="18"/>
      <c r="V5805" s="18"/>
      <c r="W5805" s="18"/>
      <c r="X5805" s="18"/>
    </row>
    <row r="5806" spans="13:24">
      <c r="M5806" s="558">
        <f t="shared" si="275"/>
        <v>5804</v>
      </c>
      <c r="N5806" s="15">
        <f t="shared" si="273"/>
        <v>0.17215693806867691</v>
      </c>
      <c r="O5806" s="165">
        <f t="shared" si="274"/>
        <v>0.17215693806867691</v>
      </c>
      <c r="P5806" s="18"/>
      <c r="Q5806" s="18"/>
      <c r="R5806" s="18"/>
      <c r="S5806" s="18"/>
      <c r="T5806" s="18"/>
      <c r="U5806" s="18"/>
      <c r="V5806" s="18"/>
      <c r="W5806" s="18"/>
      <c r="X5806" s="18"/>
    </row>
    <row r="5807" spans="13:24">
      <c r="M5807" s="558">
        <f t="shared" si="275"/>
        <v>5805</v>
      </c>
      <c r="N5807" s="15">
        <f t="shared" si="273"/>
        <v>0.17210518216350271</v>
      </c>
      <c r="O5807" s="165">
        <f t="shared" si="274"/>
        <v>0.17210518216350271</v>
      </c>
      <c r="P5807" s="18"/>
      <c r="Q5807" s="18"/>
      <c r="R5807" s="18"/>
      <c r="S5807" s="18"/>
      <c r="T5807" s="18"/>
      <c r="U5807" s="18"/>
      <c r="V5807" s="18"/>
      <c r="W5807" s="18"/>
      <c r="X5807" s="18"/>
    </row>
    <row r="5808" spans="13:24">
      <c r="M5808" s="558">
        <f t="shared" si="275"/>
        <v>5806</v>
      </c>
      <c r="N5808" s="15">
        <f t="shared" si="273"/>
        <v>0.17205342674278046</v>
      </c>
      <c r="O5808" s="165">
        <f t="shared" si="274"/>
        <v>0.17205342674278046</v>
      </c>
      <c r="P5808" s="18"/>
      <c r="Q5808" s="18"/>
      <c r="R5808" s="18"/>
      <c r="S5808" s="18"/>
      <c r="T5808" s="18"/>
      <c r="U5808" s="18"/>
      <c r="V5808" s="18"/>
      <c r="W5808" s="18"/>
      <c r="X5808" s="18"/>
    </row>
    <row r="5809" spans="13:24">
      <c r="M5809" s="558">
        <f t="shared" si="275"/>
        <v>5807</v>
      </c>
      <c r="N5809" s="15">
        <f t="shared" si="273"/>
        <v>0.17200167180590215</v>
      </c>
      <c r="O5809" s="165">
        <f t="shared" si="274"/>
        <v>0.17200167180590215</v>
      </c>
      <c r="P5809" s="18"/>
      <c r="Q5809" s="18"/>
      <c r="R5809" s="18"/>
      <c r="S5809" s="18"/>
      <c r="T5809" s="18"/>
      <c r="U5809" s="18"/>
      <c r="V5809" s="18"/>
      <c r="W5809" s="18"/>
      <c r="X5809" s="18"/>
    </row>
    <row r="5810" spans="13:24">
      <c r="M5810" s="558">
        <f t="shared" si="275"/>
        <v>5808</v>
      </c>
      <c r="N5810" s="15">
        <f t="shared" si="273"/>
        <v>0.17194991735226064</v>
      </c>
      <c r="O5810" s="165">
        <f t="shared" si="274"/>
        <v>0.17194991735226064</v>
      </c>
      <c r="P5810" s="18"/>
      <c r="Q5810" s="18"/>
      <c r="R5810" s="18"/>
      <c r="S5810" s="18"/>
      <c r="T5810" s="18"/>
      <c r="U5810" s="18"/>
      <c r="V5810" s="18"/>
      <c r="W5810" s="18"/>
      <c r="X5810" s="18"/>
    </row>
    <row r="5811" spans="13:24">
      <c r="M5811" s="558">
        <f t="shared" si="275"/>
        <v>5809</v>
      </c>
      <c r="N5811" s="15">
        <f t="shared" si="273"/>
        <v>0.17189816338124944</v>
      </c>
      <c r="O5811" s="165">
        <f t="shared" si="274"/>
        <v>0.17189816338124944</v>
      </c>
      <c r="P5811" s="18"/>
      <c r="Q5811" s="18"/>
      <c r="R5811" s="18"/>
      <c r="S5811" s="18"/>
      <c r="T5811" s="18"/>
      <c r="U5811" s="18"/>
      <c r="V5811" s="18"/>
      <c r="W5811" s="18"/>
      <c r="X5811" s="18"/>
    </row>
    <row r="5812" spans="13:24">
      <c r="M5812" s="558">
        <f t="shared" si="275"/>
        <v>5810</v>
      </c>
      <c r="N5812" s="15">
        <f t="shared" si="273"/>
        <v>0.17184640989226296</v>
      </c>
      <c r="O5812" s="165">
        <f t="shared" si="274"/>
        <v>0.17184640989226296</v>
      </c>
      <c r="P5812" s="18"/>
      <c r="Q5812" s="18"/>
      <c r="R5812" s="18"/>
      <c r="S5812" s="18"/>
      <c r="T5812" s="18"/>
      <c r="U5812" s="18"/>
      <c r="V5812" s="18"/>
      <c r="W5812" s="18"/>
      <c r="X5812" s="18"/>
    </row>
    <row r="5813" spans="13:24">
      <c r="M5813" s="558">
        <f t="shared" si="275"/>
        <v>5811</v>
      </c>
      <c r="N5813" s="15">
        <f t="shared" si="273"/>
        <v>0.17179465688469625</v>
      </c>
      <c r="O5813" s="165">
        <f t="shared" si="274"/>
        <v>0.17179465688469625</v>
      </c>
      <c r="P5813" s="18"/>
      <c r="Q5813" s="18"/>
      <c r="R5813" s="18"/>
      <c r="S5813" s="18"/>
      <c r="T5813" s="18"/>
      <c r="U5813" s="18"/>
      <c r="V5813" s="18"/>
      <c r="W5813" s="18"/>
      <c r="X5813" s="18"/>
    </row>
    <row r="5814" spans="13:24">
      <c r="M5814" s="558">
        <f t="shared" si="275"/>
        <v>5812</v>
      </c>
      <c r="N5814" s="15">
        <f t="shared" si="273"/>
        <v>0.17174290435794518</v>
      </c>
      <c r="O5814" s="165">
        <f t="shared" si="274"/>
        <v>0.17174290435794518</v>
      </c>
      <c r="P5814" s="18"/>
      <c r="Q5814" s="18"/>
      <c r="R5814" s="18"/>
      <c r="S5814" s="18"/>
      <c r="T5814" s="18"/>
      <c r="U5814" s="18"/>
      <c r="V5814" s="18"/>
      <c r="W5814" s="18"/>
      <c r="X5814" s="18"/>
    </row>
    <row r="5815" spans="13:24">
      <c r="M5815" s="558">
        <f t="shared" si="275"/>
        <v>5813</v>
      </c>
      <c r="N5815" s="15">
        <f t="shared" si="273"/>
        <v>0.17169115231140639</v>
      </c>
      <c r="O5815" s="165">
        <f t="shared" si="274"/>
        <v>0.17169115231140639</v>
      </c>
      <c r="P5815" s="18"/>
      <c r="Q5815" s="18"/>
      <c r="R5815" s="18"/>
      <c r="S5815" s="18"/>
      <c r="T5815" s="18"/>
      <c r="U5815" s="18"/>
      <c r="V5815" s="18"/>
      <c r="W5815" s="18"/>
      <c r="X5815" s="18"/>
    </row>
    <row r="5816" spans="13:24">
      <c r="M5816" s="558">
        <f t="shared" si="275"/>
        <v>5814</v>
      </c>
      <c r="N5816" s="15">
        <f t="shared" si="273"/>
        <v>0.17163940074447723</v>
      </c>
      <c r="O5816" s="165">
        <f t="shared" si="274"/>
        <v>0.17163940074447723</v>
      </c>
      <c r="P5816" s="18"/>
      <c r="Q5816" s="18"/>
      <c r="R5816" s="18"/>
      <c r="S5816" s="18"/>
      <c r="T5816" s="18"/>
      <c r="U5816" s="18"/>
      <c r="V5816" s="18"/>
      <c r="W5816" s="18"/>
      <c r="X5816" s="18"/>
    </row>
    <row r="5817" spans="13:24">
      <c r="M5817" s="558">
        <f t="shared" si="275"/>
        <v>5815</v>
      </c>
      <c r="N5817" s="15">
        <f t="shared" si="273"/>
        <v>0.17158764965655582</v>
      </c>
      <c r="O5817" s="165">
        <f t="shared" si="274"/>
        <v>0.17158764965655582</v>
      </c>
      <c r="P5817" s="18"/>
      <c r="Q5817" s="18"/>
      <c r="R5817" s="18"/>
      <c r="S5817" s="18"/>
      <c r="T5817" s="18"/>
      <c r="U5817" s="18"/>
      <c r="V5817" s="18"/>
      <c r="W5817" s="18"/>
      <c r="X5817" s="18"/>
    </row>
    <row r="5818" spans="13:24">
      <c r="M5818" s="558">
        <f t="shared" si="275"/>
        <v>5816</v>
      </c>
      <c r="N5818" s="15">
        <f t="shared" si="273"/>
        <v>0.17153589904704106</v>
      </c>
      <c r="O5818" s="165">
        <f t="shared" si="274"/>
        <v>0.17153589904704106</v>
      </c>
      <c r="P5818" s="18"/>
      <c r="Q5818" s="18"/>
      <c r="R5818" s="18"/>
      <c r="S5818" s="18"/>
      <c r="T5818" s="18"/>
      <c r="U5818" s="18"/>
      <c r="V5818" s="18"/>
      <c r="W5818" s="18"/>
      <c r="X5818" s="18"/>
    </row>
    <row r="5819" spans="13:24">
      <c r="M5819" s="558">
        <f t="shared" si="275"/>
        <v>5817</v>
      </c>
      <c r="N5819" s="15">
        <f t="shared" si="273"/>
        <v>0.17148414891533259</v>
      </c>
      <c r="O5819" s="165">
        <f t="shared" si="274"/>
        <v>0.17148414891533259</v>
      </c>
      <c r="P5819" s="18"/>
      <c r="Q5819" s="18"/>
      <c r="R5819" s="18"/>
      <c r="S5819" s="18"/>
      <c r="T5819" s="18"/>
      <c r="U5819" s="18"/>
      <c r="V5819" s="18"/>
      <c r="W5819" s="18"/>
      <c r="X5819" s="18"/>
    </row>
    <row r="5820" spans="13:24">
      <c r="M5820" s="558">
        <f t="shared" si="275"/>
        <v>5818</v>
      </c>
      <c r="N5820" s="15">
        <f t="shared" si="273"/>
        <v>0.17143239926083076</v>
      </c>
      <c r="O5820" s="165">
        <f t="shared" si="274"/>
        <v>0.17143239926083076</v>
      </c>
      <c r="P5820" s="18"/>
      <c r="Q5820" s="18"/>
      <c r="R5820" s="18"/>
      <c r="S5820" s="18"/>
      <c r="T5820" s="18"/>
      <c r="U5820" s="18"/>
      <c r="V5820" s="18"/>
      <c r="W5820" s="18"/>
      <c r="X5820" s="18"/>
    </row>
    <row r="5821" spans="13:24">
      <c r="M5821" s="558">
        <f t="shared" si="275"/>
        <v>5819</v>
      </c>
      <c r="N5821" s="15">
        <f t="shared" si="273"/>
        <v>0.17138065008293679</v>
      </c>
      <c r="O5821" s="165">
        <f t="shared" si="274"/>
        <v>0.17138065008293679</v>
      </c>
      <c r="P5821" s="18"/>
      <c r="Q5821" s="18"/>
      <c r="R5821" s="18"/>
      <c r="S5821" s="18"/>
      <c r="T5821" s="18"/>
      <c r="U5821" s="18"/>
      <c r="V5821" s="18"/>
      <c r="W5821" s="18"/>
      <c r="X5821" s="18"/>
    </row>
    <row r="5822" spans="13:24">
      <c r="M5822" s="558">
        <f t="shared" si="275"/>
        <v>5820</v>
      </c>
      <c r="N5822" s="15">
        <f t="shared" si="273"/>
        <v>0.1713289013810525</v>
      </c>
      <c r="O5822" s="165">
        <f t="shared" si="274"/>
        <v>0.1713289013810525</v>
      </c>
      <c r="P5822" s="18"/>
      <c r="Q5822" s="18"/>
      <c r="R5822" s="18"/>
      <c r="S5822" s="18"/>
      <c r="T5822" s="18"/>
      <c r="U5822" s="18"/>
      <c r="V5822" s="18"/>
      <c r="W5822" s="18"/>
      <c r="X5822" s="18"/>
    </row>
    <row r="5823" spans="13:24">
      <c r="M5823" s="558">
        <f t="shared" si="275"/>
        <v>5821</v>
      </c>
      <c r="N5823" s="15">
        <f t="shared" si="273"/>
        <v>0.17127715315458059</v>
      </c>
      <c r="O5823" s="165">
        <f t="shared" si="274"/>
        <v>0.17127715315458059</v>
      </c>
      <c r="P5823" s="18"/>
      <c r="Q5823" s="18"/>
      <c r="R5823" s="18"/>
      <c r="S5823" s="18"/>
      <c r="T5823" s="18"/>
      <c r="U5823" s="18"/>
      <c r="V5823" s="18"/>
      <c r="W5823" s="18"/>
      <c r="X5823" s="18"/>
    </row>
    <row r="5824" spans="13:24">
      <c r="M5824" s="558">
        <f t="shared" si="275"/>
        <v>5822</v>
      </c>
      <c r="N5824" s="15">
        <f t="shared" si="273"/>
        <v>0.17122540540292441</v>
      </c>
      <c r="O5824" s="165">
        <f t="shared" si="274"/>
        <v>0.17122540540292441</v>
      </c>
      <c r="P5824" s="18"/>
      <c r="Q5824" s="18"/>
      <c r="R5824" s="18"/>
      <c r="S5824" s="18"/>
      <c r="T5824" s="18"/>
      <c r="U5824" s="18"/>
      <c r="V5824" s="18"/>
      <c r="W5824" s="18"/>
      <c r="X5824" s="18"/>
    </row>
    <row r="5825" spans="13:24">
      <c r="M5825" s="558">
        <f t="shared" si="275"/>
        <v>5823</v>
      </c>
      <c r="N5825" s="15">
        <f t="shared" si="273"/>
        <v>0.17117365812548815</v>
      </c>
      <c r="O5825" s="165">
        <f t="shared" si="274"/>
        <v>0.17117365812548815</v>
      </c>
      <c r="P5825" s="18"/>
      <c r="Q5825" s="18"/>
      <c r="R5825" s="18"/>
      <c r="S5825" s="18"/>
      <c r="T5825" s="18"/>
      <c r="U5825" s="18"/>
      <c r="V5825" s="18"/>
      <c r="W5825" s="18"/>
      <c r="X5825" s="18"/>
    </row>
    <row r="5826" spans="13:24">
      <c r="M5826" s="558">
        <f t="shared" si="275"/>
        <v>5824</v>
      </c>
      <c r="N5826" s="15">
        <f t="shared" si="273"/>
        <v>0.17112191132167667</v>
      </c>
      <c r="O5826" s="165">
        <f t="shared" si="274"/>
        <v>0.17112191132167667</v>
      </c>
      <c r="P5826" s="18"/>
      <c r="Q5826" s="18"/>
      <c r="R5826" s="18"/>
      <c r="S5826" s="18"/>
      <c r="T5826" s="18"/>
      <c r="U5826" s="18"/>
      <c r="V5826" s="18"/>
      <c r="W5826" s="18"/>
      <c r="X5826" s="18"/>
    </row>
    <row r="5827" spans="13:24">
      <c r="M5827" s="558">
        <f t="shared" si="275"/>
        <v>5825</v>
      </c>
      <c r="N5827" s="15">
        <f t="shared" si="273"/>
        <v>0.17107016499089564</v>
      </c>
      <c r="O5827" s="165">
        <f t="shared" si="274"/>
        <v>0.17107016499089564</v>
      </c>
      <c r="P5827" s="18"/>
      <c r="Q5827" s="18"/>
      <c r="R5827" s="18"/>
      <c r="S5827" s="18"/>
      <c r="T5827" s="18"/>
      <c r="U5827" s="18"/>
      <c r="V5827" s="18"/>
      <c r="W5827" s="18"/>
      <c r="X5827" s="18"/>
    </row>
    <row r="5828" spans="13:24">
      <c r="M5828" s="558">
        <f t="shared" si="275"/>
        <v>5826</v>
      </c>
      <c r="N5828" s="15">
        <f t="shared" ref="N5828:N5891" si="276">IF(M5828&lt;$B$31+1,$B$32+$B$33/$B$31*(8760-M5828)+$B$34*IF(M5828&lt;$B$36-$B$31/(2*$B$35),1,IF(M5828&lt;$B$36+$B$31/(2*$B$35),COS(PI()/2*(M5828-($B$36-$B$31/(2*$B$35)))*$B$35/$B$31)^2,0))+$B$37*EXP((8760-M5828)/8760*$B$38)/EXP($B$38)-(8760-$B$31)*$B$33/$B$31,0)</f>
        <v>0.17101841913255139</v>
      </c>
      <c r="O5828" s="165">
        <f t="shared" ref="O5828:O5891" si="277">MIN(N5828,C$24)</f>
        <v>0.17101841913255139</v>
      </c>
      <c r="P5828" s="18"/>
      <c r="Q5828" s="18"/>
      <c r="R5828" s="18"/>
      <c r="S5828" s="18"/>
      <c r="T5828" s="18"/>
      <c r="U5828" s="18"/>
      <c r="V5828" s="18"/>
      <c r="W5828" s="18"/>
      <c r="X5828" s="18"/>
    </row>
    <row r="5829" spans="13:24">
      <c r="M5829" s="558">
        <f t="shared" ref="M5829:M5892" si="278">M5828+1</f>
        <v>5827</v>
      </c>
      <c r="N5829" s="15">
        <f t="shared" si="276"/>
        <v>0.1709666737460511</v>
      </c>
      <c r="O5829" s="165">
        <f t="shared" si="277"/>
        <v>0.1709666737460511</v>
      </c>
      <c r="P5829" s="18"/>
      <c r="Q5829" s="18"/>
      <c r="R5829" s="18"/>
      <c r="S5829" s="18"/>
      <c r="T5829" s="18"/>
      <c r="U5829" s="18"/>
      <c r="V5829" s="18"/>
      <c r="W5829" s="18"/>
      <c r="X5829" s="18"/>
    </row>
    <row r="5830" spans="13:24">
      <c r="M5830" s="558">
        <f t="shared" si="278"/>
        <v>5828</v>
      </c>
      <c r="N5830" s="15">
        <f t="shared" si="276"/>
        <v>0.17091492883080264</v>
      </c>
      <c r="O5830" s="165">
        <f t="shared" si="277"/>
        <v>0.17091492883080264</v>
      </c>
      <c r="P5830" s="18"/>
      <c r="Q5830" s="18"/>
      <c r="R5830" s="18"/>
      <c r="S5830" s="18"/>
      <c r="T5830" s="18"/>
      <c r="U5830" s="18"/>
      <c r="V5830" s="18"/>
      <c r="W5830" s="18"/>
      <c r="X5830" s="18"/>
    </row>
    <row r="5831" spans="13:24">
      <c r="M5831" s="558">
        <f t="shared" si="278"/>
        <v>5829</v>
      </c>
      <c r="N5831" s="15">
        <f t="shared" si="276"/>
        <v>0.17086318438621459</v>
      </c>
      <c r="O5831" s="165">
        <f t="shared" si="277"/>
        <v>0.17086318438621459</v>
      </c>
      <c r="P5831" s="18"/>
      <c r="Q5831" s="18"/>
      <c r="R5831" s="18"/>
      <c r="S5831" s="18"/>
      <c r="T5831" s="18"/>
      <c r="U5831" s="18"/>
      <c r="V5831" s="18"/>
      <c r="W5831" s="18"/>
      <c r="X5831" s="18"/>
    </row>
    <row r="5832" spans="13:24">
      <c r="M5832" s="558">
        <f t="shared" si="278"/>
        <v>5830</v>
      </c>
      <c r="N5832" s="15">
        <f t="shared" si="276"/>
        <v>0.17081144041169635</v>
      </c>
      <c r="O5832" s="165">
        <f t="shared" si="277"/>
        <v>0.17081144041169635</v>
      </c>
      <c r="P5832" s="18"/>
      <c r="Q5832" s="18"/>
      <c r="R5832" s="18"/>
      <c r="S5832" s="18"/>
      <c r="T5832" s="18"/>
      <c r="U5832" s="18"/>
      <c r="V5832" s="18"/>
      <c r="W5832" s="18"/>
      <c r="X5832" s="18"/>
    </row>
    <row r="5833" spans="13:24">
      <c r="M5833" s="558">
        <f t="shared" si="278"/>
        <v>5831</v>
      </c>
      <c r="N5833" s="15">
        <f t="shared" si="276"/>
        <v>0.17075969690665799</v>
      </c>
      <c r="O5833" s="165">
        <f t="shared" si="277"/>
        <v>0.17075969690665799</v>
      </c>
      <c r="P5833" s="18"/>
      <c r="Q5833" s="18"/>
      <c r="R5833" s="18"/>
      <c r="S5833" s="18"/>
      <c r="T5833" s="18"/>
      <c r="U5833" s="18"/>
      <c r="V5833" s="18"/>
      <c r="W5833" s="18"/>
      <c r="X5833" s="18"/>
    </row>
    <row r="5834" spans="13:24">
      <c r="M5834" s="558">
        <f t="shared" si="278"/>
        <v>5832</v>
      </c>
      <c r="N5834" s="15">
        <f t="shared" si="276"/>
        <v>0.17070795387051038</v>
      </c>
      <c r="O5834" s="165">
        <f t="shared" si="277"/>
        <v>0.17070795387051038</v>
      </c>
      <c r="P5834" s="18"/>
      <c r="Q5834" s="18"/>
      <c r="R5834" s="18"/>
      <c r="S5834" s="18"/>
      <c r="T5834" s="18"/>
      <c r="U5834" s="18"/>
      <c r="V5834" s="18"/>
      <c r="W5834" s="18"/>
      <c r="X5834" s="18"/>
    </row>
    <row r="5835" spans="13:24">
      <c r="M5835" s="558">
        <f t="shared" si="278"/>
        <v>5833</v>
      </c>
      <c r="N5835" s="15">
        <f t="shared" si="276"/>
        <v>0.17065621130266509</v>
      </c>
      <c r="O5835" s="165">
        <f t="shared" si="277"/>
        <v>0.17065621130266509</v>
      </c>
      <c r="P5835" s="18"/>
      <c r="Q5835" s="18"/>
      <c r="R5835" s="18"/>
      <c r="S5835" s="18"/>
      <c r="T5835" s="18"/>
      <c r="U5835" s="18"/>
      <c r="V5835" s="18"/>
      <c r="W5835" s="18"/>
      <c r="X5835" s="18"/>
    </row>
    <row r="5836" spans="13:24">
      <c r="M5836" s="558">
        <f t="shared" si="278"/>
        <v>5834</v>
      </c>
      <c r="N5836" s="15">
        <f t="shared" si="276"/>
        <v>0.17060446920253444</v>
      </c>
      <c r="O5836" s="165">
        <f t="shared" si="277"/>
        <v>0.17060446920253444</v>
      </c>
      <c r="P5836" s="18"/>
      <c r="Q5836" s="18"/>
      <c r="R5836" s="18"/>
      <c r="S5836" s="18"/>
      <c r="T5836" s="18"/>
      <c r="U5836" s="18"/>
      <c r="V5836" s="18"/>
      <c r="W5836" s="18"/>
      <c r="X5836" s="18"/>
    </row>
    <row r="5837" spans="13:24">
      <c r="M5837" s="558">
        <f t="shared" si="278"/>
        <v>5835</v>
      </c>
      <c r="N5837" s="15">
        <f t="shared" si="276"/>
        <v>0.17055272756953144</v>
      </c>
      <c r="O5837" s="165">
        <f t="shared" si="277"/>
        <v>0.17055272756953144</v>
      </c>
      <c r="P5837" s="18"/>
      <c r="Q5837" s="18"/>
      <c r="R5837" s="18"/>
      <c r="S5837" s="18"/>
      <c r="T5837" s="18"/>
      <c r="U5837" s="18"/>
      <c r="V5837" s="18"/>
      <c r="W5837" s="18"/>
      <c r="X5837" s="18"/>
    </row>
    <row r="5838" spans="13:24">
      <c r="M5838" s="558">
        <f t="shared" si="278"/>
        <v>5836</v>
      </c>
      <c r="N5838" s="15">
        <f t="shared" si="276"/>
        <v>0.17050098640306996</v>
      </c>
      <c r="O5838" s="165">
        <f t="shared" si="277"/>
        <v>0.17050098640306996</v>
      </c>
      <c r="P5838" s="18"/>
      <c r="Q5838" s="18"/>
      <c r="R5838" s="18"/>
      <c r="S5838" s="18"/>
      <c r="T5838" s="18"/>
      <c r="U5838" s="18"/>
      <c r="V5838" s="18"/>
      <c r="W5838" s="18"/>
      <c r="X5838" s="18"/>
    </row>
    <row r="5839" spans="13:24">
      <c r="M5839" s="558">
        <f t="shared" si="278"/>
        <v>5837</v>
      </c>
      <c r="N5839" s="15">
        <f t="shared" si="276"/>
        <v>0.17044924570256445</v>
      </c>
      <c r="O5839" s="165">
        <f t="shared" si="277"/>
        <v>0.17044924570256445</v>
      </c>
      <c r="P5839" s="18"/>
      <c r="Q5839" s="18"/>
      <c r="R5839" s="18"/>
      <c r="S5839" s="18"/>
      <c r="T5839" s="18"/>
      <c r="U5839" s="18"/>
      <c r="V5839" s="18"/>
      <c r="W5839" s="18"/>
      <c r="X5839" s="18"/>
    </row>
    <row r="5840" spans="13:24">
      <c r="M5840" s="558">
        <f t="shared" si="278"/>
        <v>5838</v>
      </c>
      <c r="N5840" s="15">
        <f t="shared" si="276"/>
        <v>0.17039750546743024</v>
      </c>
      <c r="O5840" s="165">
        <f t="shared" si="277"/>
        <v>0.17039750546743024</v>
      </c>
      <c r="P5840" s="18"/>
      <c r="Q5840" s="18"/>
      <c r="R5840" s="18"/>
      <c r="S5840" s="18"/>
      <c r="T5840" s="18"/>
      <c r="U5840" s="18"/>
      <c r="V5840" s="18"/>
      <c r="W5840" s="18"/>
      <c r="X5840" s="18"/>
    </row>
    <row r="5841" spans="13:24">
      <c r="M5841" s="558">
        <f t="shared" si="278"/>
        <v>5839</v>
      </c>
      <c r="N5841" s="15">
        <f t="shared" si="276"/>
        <v>0.17034576569708326</v>
      </c>
      <c r="O5841" s="165">
        <f t="shared" si="277"/>
        <v>0.17034576569708326</v>
      </c>
      <c r="P5841" s="18"/>
      <c r="Q5841" s="18"/>
      <c r="R5841" s="18"/>
      <c r="S5841" s="18"/>
      <c r="T5841" s="18"/>
      <c r="U5841" s="18"/>
      <c r="V5841" s="18"/>
      <c r="W5841" s="18"/>
      <c r="X5841" s="18"/>
    </row>
    <row r="5842" spans="13:24">
      <c r="M5842" s="558">
        <f t="shared" si="278"/>
        <v>5840</v>
      </c>
      <c r="N5842" s="15">
        <f t="shared" si="276"/>
        <v>0.17029402639094032</v>
      </c>
      <c r="O5842" s="165">
        <f t="shared" si="277"/>
        <v>0.17029402639094032</v>
      </c>
      <c r="P5842" s="18"/>
      <c r="Q5842" s="18"/>
      <c r="R5842" s="18"/>
      <c r="S5842" s="18"/>
      <c r="T5842" s="18"/>
      <c r="U5842" s="18"/>
      <c r="V5842" s="18"/>
      <c r="W5842" s="18"/>
      <c r="X5842" s="18"/>
    </row>
    <row r="5843" spans="13:24">
      <c r="M5843" s="558">
        <f t="shared" si="278"/>
        <v>5841</v>
      </c>
      <c r="N5843" s="15">
        <f t="shared" si="276"/>
        <v>0.17024228754841883</v>
      </c>
      <c r="O5843" s="165">
        <f t="shared" si="277"/>
        <v>0.17024228754841883</v>
      </c>
      <c r="P5843" s="18"/>
      <c r="Q5843" s="18"/>
      <c r="R5843" s="18"/>
      <c r="S5843" s="18"/>
      <c r="T5843" s="18"/>
      <c r="U5843" s="18"/>
      <c r="V5843" s="18"/>
      <c r="W5843" s="18"/>
      <c r="X5843" s="18"/>
    </row>
    <row r="5844" spans="13:24">
      <c r="M5844" s="558">
        <f t="shared" si="278"/>
        <v>5842</v>
      </c>
      <c r="N5844" s="15">
        <f t="shared" si="276"/>
        <v>0.17019054916893697</v>
      </c>
      <c r="O5844" s="165">
        <f t="shared" si="277"/>
        <v>0.17019054916893697</v>
      </c>
      <c r="P5844" s="18"/>
      <c r="Q5844" s="18"/>
      <c r="R5844" s="18"/>
      <c r="S5844" s="18"/>
      <c r="T5844" s="18"/>
      <c r="U5844" s="18"/>
      <c r="V5844" s="18"/>
      <c r="W5844" s="18"/>
      <c r="X5844" s="18"/>
    </row>
    <row r="5845" spans="13:24">
      <c r="M5845" s="558">
        <f t="shared" si="278"/>
        <v>5843</v>
      </c>
      <c r="N5845" s="15">
        <f t="shared" si="276"/>
        <v>0.17013881125191369</v>
      </c>
      <c r="O5845" s="165">
        <f t="shared" si="277"/>
        <v>0.17013881125191369</v>
      </c>
      <c r="P5845" s="18"/>
      <c r="Q5845" s="18"/>
      <c r="R5845" s="18"/>
      <c r="S5845" s="18"/>
      <c r="T5845" s="18"/>
      <c r="U5845" s="18"/>
      <c r="V5845" s="18"/>
      <c r="W5845" s="18"/>
      <c r="X5845" s="18"/>
    </row>
    <row r="5846" spans="13:24">
      <c r="M5846" s="558">
        <f t="shared" si="278"/>
        <v>5844</v>
      </c>
      <c r="N5846" s="15">
        <f t="shared" si="276"/>
        <v>0.17008707379676863</v>
      </c>
      <c r="O5846" s="165">
        <f t="shared" si="277"/>
        <v>0.17008707379676863</v>
      </c>
      <c r="P5846" s="18"/>
      <c r="Q5846" s="18"/>
      <c r="R5846" s="18"/>
      <c r="S5846" s="18"/>
      <c r="T5846" s="18"/>
      <c r="U5846" s="18"/>
      <c r="V5846" s="18"/>
      <c r="W5846" s="18"/>
      <c r="X5846" s="18"/>
    </row>
    <row r="5847" spans="13:24">
      <c r="M5847" s="558">
        <f t="shared" si="278"/>
        <v>5845</v>
      </c>
      <c r="N5847" s="15">
        <f t="shared" si="276"/>
        <v>0.17003533680292221</v>
      </c>
      <c r="O5847" s="165">
        <f t="shared" si="277"/>
        <v>0.17003533680292221</v>
      </c>
      <c r="P5847" s="18"/>
      <c r="Q5847" s="18"/>
      <c r="R5847" s="18"/>
      <c r="S5847" s="18"/>
      <c r="T5847" s="18"/>
      <c r="U5847" s="18"/>
      <c r="V5847" s="18"/>
      <c r="W5847" s="18"/>
      <c r="X5847" s="18"/>
    </row>
    <row r="5848" spans="13:24">
      <c r="M5848" s="558">
        <f t="shared" si="278"/>
        <v>5846</v>
      </c>
      <c r="N5848" s="15">
        <f t="shared" si="276"/>
        <v>0.16998360026979545</v>
      </c>
      <c r="O5848" s="165">
        <f t="shared" si="277"/>
        <v>0.16998360026979545</v>
      </c>
      <c r="P5848" s="18"/>
      <c r="Q5848" s="18"/>
      <c r="R5848" s="18"/>
      <c r="S5848" s="18"/>
      <c r="T5848" s="18"/>
      <c r="U5848" s="18"/>
      <c r="V5848" s="18"/>
      <c r="W5848" s="18"/>
      <c r="X5848" s="18"/>
    </row>
    <row r="5849" spans="13:24">
      <c r="M5849" s="558">
        <f t="shared" si="278"/>
        <v>5847</v>
      </c>
      <c r="N5849" s="15">
        <f t="shared" si="276"/>
        <v>0.16993186419681028</v>
      </c>
      <c r="O5849" s="165">
        <f t="shared" si="277"/>
        <v>0.16993186419681028</v>
      </c>
      <c r="P5849" s="18"/>
      <c r="Q5849" s="18"/>
      <c r="R5849" s="18"/>
      <c r="S5849" s="18"/>
      <c r="T5849" s="18"/>
      <c r="U5849" s="18"/>
      <c r="V5849" s="18"/>
      <c r="W5849" s="18"/>
      <c r="X5849" s="18"/>
    </row>
    <row r="5850" spans="13:24">
      <c r="M5850" s="558">
        <f t="shared" si="278"/>
        <v>5848</v>
      </c>
      <c r="N5850" s="15">
        <f t="shared" si="276"/>
        <v>0.16988012858338916</v>
      </c>
      <c r="O5850" s="165">
        <f t="shared" si="277"/>
        <v>0.16988012858338916</v>
      </c>
      <c r="P5850" s="18"/>
      <c r="Q5850" s="18"/>
      <c r="R5850" s="18"/>
      <c r="S5850" s="18"/>
      <c r="T5850" s="18"/>
      <c r="U5850" s="18"/>
      <c r="V5850" s="18"/>
      <c r="W5850" s="18"/>
      <c r="X5850" s="18"/>
    </row>
    <row r="5851" spans="13:24">
      <c r="M5851" s="558">
        <f t="shared" si="278"/>
        <v>5849</v>
      </c>
      <c r="N5851" s="15">
        <f t="shared" si="276"/>
        <v>0.16982839342895548</v>
      </c>
      <c r="O5851" s="165">
        <f t="shared" si="277"/>
        <v>0.16982839342895548</v>
      </c>
      <c r="P5851" s="18"/>
      <c r="Q5851" s="18"/>
      <c r="R5851" s="18"/>
      <c r="S5851" s="18"/>
      <c r="T5851" s="18"/>
      <c r="U5851" s="18"/>
      <c r="V5851" s="18"/>
      <c r="W5851" s="18"/>
      <c r="X5851" s="18"/>
    </row>
    <row r="5852" spans="13:24">
      <c r="M5852" s="558">
        <f t="shared" si="278"/>
        <v>5850</v>
      </c>
      <c r="N5852" s="15">
        <f t="shared" si="276"/>
        <v>0.16977665873293318</v>
      </c>
      <c r="O5852" s="165">
        <f t="shared" si="277"/>
        <v>0.16977665873293318</v>
      </c>
      <c r="P5852" s="18"/>
      <c r="Q5852" s="18"/>
      <c r="R5852" s="18"/>
      <c r="S5852" s="18"/>
      <c r="T5852" s="18"/>
      <c r="U5852" s="18"/>
      <c r="V5852" s="18"/>
      <c r="W5852" s="18"/>
      <c r="X5852" s="18"/>
    </row>
    <row r="5853" spans="13:24">
      <c r="M5853" s="558">
        <f t="shared" si="278"/>
        <v>5851</v>
      </c>
      <c r="N5853" s="15">
        <f t="shared" si="276"/>
        <v>0.16972492449474702</v>
      </c>
      <c r="O5853" s="165">
        <f t="shared" si="277"/>
        <v>0.16972492449474702</v>
      </c>
      <c r="P5853" s="18"/>
      <c r="Q5853" s="18"/>
      <c r="R5853" s="18"/>
      <c r="S5853" s="18"/>
      <c r="T5853" s="18"/>
      <c r="U5853" s="18"/>
      <c r="V5853" s="18"/>
      <c r="W5853" s="18"/>
      <c r="X5853" s="18"/>
    </row>
    <row r="5854" spans="13:24">
      <c r="M5854" s="558">
        <f t="shared" si="278"/>
        <v>5852</v>
      </c>
      <c r="N5854" s="15">
        <f t="shared" si="276"/>
        <v>0.16967319071382239</v>
      </c>
      <c r="O5854" s="165">
        <f t="shared" si="277"/>
        <v>0.16967319071382239</v>
      </c>
      <c r="P5854" s="18"/>
      <c r="Q5854" s="18"/>
      <c r="R5854" s="18"/>
      <c r="S5854" s="18"/>
      <c r="T5854" s="18"/>
      <c r="U5854" s="18"/>
      <c r="V5854" s="18"/>
      <c r="W5854" s="18"/>
      <c r="X5854" s="18"/>
    </row>
    <row r="5855" spans="13:24">
      <c r="M5855" s="558">
        <f t="shared" si="278"/>
        <v>5853</v>
      </c>
      <c r="N5855" s="15">
        <f t="shared" si="276"/>
        <v>0.16962145738958556</v>
      </c>
      <c r="O5855" s="165">
        <f t="shared" si="277"/>
        <v>0.16962145738958556</v>
      </c>
      <c r="P5855" s="18"/>
      <c r="Q5855" s="18"/>
      <c r="R5855" s="18"/>
      <c r="S5855" s="18"/>
      <c r="T5855" s="18"/>
      <c r="U5855" s="18"/>
      <c r="V5855" s="18"/>
      <c r="W5855" s="18"/>
      <c r="X5855" s="18"/>
    </row>
    <row r="5856" spans="13:24">
      <c r="M5856" s="558">
        <f t="shared" si="278"/>
        <v>5854</v>
      </c>
      <c r="N5856" s="15">
        <f t="shared" si="276"/>
        <v>0.16956972452146335</v>
      </c>
      <c r="O5856" s="165">
        <f t="shared" si="277"/>
        <v>0.16956972452146335</v>
      </c>
      <c r="P5856" s="18"/>
      <c r="Q5856" s="18"/>
      <c r="R5856" s="18"/>
      <c r="S5856" s="18"/>
      <c r="T5856" s="18"/>
      <c r="U5856" s="18"/>
      <c r="V5856" s="18"/>
      <c r="W5856" s="18"/>
      <c r="X5856" s="18"/>
    </row>
    <row r="5857" spans="13:24">
      <c r="M5857" s="558">
        <f t="shared" si="278"/>
        <v>5855</v>
      </c>
      <c r="N5857" s="15">
        <f t="shared" si="276"/>
        <v>0.16951799210888344</v>
      </c>
      <c r="O5857" s="165">
        <f t="shared" si="277"/>
        <v>0.16951799210888344</v>
      </c>
      <c r="P5857" s="18"/>
      <c r="Q5857" s="18"/>
      <c r="R5857" s="18"/>
      <c r="S5857" s="18"/>
      <c r="T5857" s="18"/>
      <c r="U5857" s="18"/>
      <c r="V5857" s="18"/>
      <c r="W5857" s="18"/>
      <c r="X5857" s="18"/>
    </row>
    <row r="5858" spans="13:24">
      <c r="M5858" s="558">
        <f t="shared" si="278"/>
        <v>5856</v>
      </c>
      <c r="N5858" s="15">
        <f t="shared" si="276"/>
        <v>0.16946626015127408</v>
      </c>
      <c r="O5858" s="165">
        <f t="shared" si="277"/>
        <v>0.16946626015127408</v>
      </c>
      <c r="P5858" s="18"/>
      <c r="Q5858" s="18"/>
      <c r="R5858" s="18"/>
      <c r="S5858" s="18"/>
      <c r="T5858" s="18"/>
      <c r="U5858" s="18"/>
      <c r="V5858" s="18"/>
      <c r="W5858" s="18"/>
      <c r="X5858" s="18"/>
    </row>
    <row r="5859" spans="13:24">
      <c r="M5859" s="558">
        <f t="shared" si="278"/>
        <v>5857</v>
      </c>
      <c r="N5859" s="15">
        <f t="shared" si="276"/>
        <v>0.16941452864806433</v>
      </c>
      <c r="O5859" s="165">
        <f t="shared" si="277"/>
        <v>0.16941452864806433</v>
      </c>
      <c r="P5859" s="18"/>
      <c r="Q5859" s="18"/>
      <c r="R5859" s="18"/>
      <c r="S5859" s="18"/>
      <c r="T5859" s="18"/>
      <c r="U5859" s="18"/>
      <c r="V5859" s="18"/>
      <c r="W5859" s="18"/>
      <c r="X5859" s="18"/>
    </row>
    <row r="5860" spans="13:24">
      <c r="M5860" s="558">
        <f t="shared" si="278"/>
        <v>5858</v>
      </c>
      <c r="N5860" s="15">
        <f t="shared" si="276"/>
        <v>0.16936279759868406</v>
      </c>
      <c r="O5860" s="165">
        <f t="shared" si="277"/>
        <v>0.16936279759868406</v>
      </c>
      <c r="P5860" s="18"/>
      <c r="Q5860" s="18"/>
      <c r="R5860" s="18"/>
      <c r="S5860" s="18"/>
      <c r="T5860" s="18"/>
      <c r="U5860" s="18"/>
      <c r="V5860" s="18"/>
      <c r="W5860" s="18"/>
      <c r="X5860" s="18"/>
    </row>
    <row r="5861" spans="13:24">
      <c r="M5861" s="558">
        <f t="shared" si="278"/>
        <v>5859</v>
      </c>
      <c r="N5861" s="15">
        <f t="shared" si="276"/>
        <v>0.16931106700256363</v>
      </c>
      <c r="O5861" s="165">
        <f t="shared" si="277"/>
        <v>0.16931106700256363</v>
      </c>
      <c r="P5861" s="18"/>
      <c r="Q5861" s="18"/>
      <c r="R5861" s="18"/>
      <c r="S5861" s="18"/>
      <c r="T5861" s="18"/>
      <c r="U5861" s="18"/>
      <c r="V5861" s="18"/>
      <c r="W5861" s="18"/>
      <c r="X5861" s="18"/>
    </row>
    <row r="5862" spans="13:24">
      <c r="M5862" s="558">
        <f t="shared" si="278"/>
        <v>5860</v>
      </c>
      <c r="N5862" s="15">
        <f t="shared" si="276"/>
        <v>0.16925933685913427</v>
      </c>
      <c r="O5862" s="165">
        <f t="shared" si="277"/>
        <v>0.16925933685913427</v>
      </c>
      <c r="P5862" s="18"/>
      <c r="Q5862" s="18"/>
      <c r="R5862" s="18"/>
      <c r="S5862" s="18"/>
      <c r="T5862" s="18"/>
      <c r="U5862" s="18"/>
      <c r="V5862" s="18"/>
      <c r="W5862" s="18"/>
      <c r="X5862" s="18"/>
    </row>
    <row r="5863" spans="13:24">
      <c r="M5863" s="558">
        <f t="shared" si="278"/>
        <v>5861</v>
      </c>
      <c r="N5863" s="15">
        <f t="shared" si="276"/>
        <v>0.1692076071678279</v>
      </c>
      <c r="O5863" s="165">
        <f t="shared" si="277"/>
        <v>0.1692076071678279</v>
      </c>
      <c r="P5863" s="18"/>
      <c r="Q5863" s="18"/>
      <c r="R5863" s="18"/>
      <c r="S5863" s="18"/>
      <c r="T5863" s="18"/>
      <c r="U5863" s="18"/>
      <c r="V5863" s="18"/>
      <c r="W5863" s="18"/>
      <c r="X5863" s="18"/>
    </row>
    <row r="5864" spans="13:24">
      <c r="M5864" s="558">
        <f t="shared" si="278"/>
        <v>5862</v>
      </c>
      <c r="N5864" s="15">
        <f t="shared" si="276"/>
        <v>0.16915587792807718</v>
      </c>
      <c r="O5864" s="165">
        <f t="shared" si="277"/>
        <v>0.16915587792807718</v>
      </c>
      <c r="P5864" s="18"/>
      <c r="Q5864" s="18"/>
      <c r="R5864" s="18"/>
      <c r="S5864" s="18"/>
      <c r="T5864" s="18"/>
      <c r="U5864" s="18"/>
      <c r="V5864" s="18"/>
      <c r="W5864" s="18"/>
      <c r="X5864" s="18"/>
    </row>
    <row r="5865" spans="13:24">
      <c r="M5865" s="558">
        <f t="shared" si="278"/>
        <v>5863</v>
      </c>
      <c r="N5865" s="15">
        <f t="shared" si="276"/>
        <v>0.16910414913931537</v>
      </c>
      <c r="O5865" s="165">
        <f t="shared" si="277"/>
        <v>0.16910414913931537</v>
      </c>
      <c r="P5865" s="18"/>
      <c r="Q5865" s="18"/>
      <c r="R5865" s="18"/>
      <c r="S5865" s="18"/>
      <c r="T5865" s="18"/>
      <c r="U5865" s="18"/>
      <c r="V5865" s="18"/>
      <c r="W5865" s="18"/>
      <c r="X5865" s="18"/>
    </row>
    <row r="5866" spans="13:24">
      <c r="M5866" s="558">
        <f t="shared" si="278"/>
        <v>5864</v>
      </c>
      <c r="N5866" s="15">
        <f t="shared" si="276"/>
        <v>0.16905242080097657</v>
      </c>
      <c r="O5866" s="165">
        <f t="shared" si="277"/>
        <v>0.16905242080097657</v>
      </c>
      <c r="P5866" s="18"/>
      <c r="Q5866" s="18"/>
      <c r="R5866" s="18"/>
      <c r="S5866" s="18"/>
      <c r="T5866" s="18"/>
      <c r="U5866" s="18"/>
      <c r="V5866" s="18"/>
      <c r="W5866" s="18"/>
      <c r="X5866" s="18"/>
    </row>
    <row r="5867" spans="13:24">
      <c r="M5867" s="558">
        <f t="shared" si="278"/>
        <v>5865</v>
      </c>
      <c r="N5867" s="15">
        <f t="shared" si="276"/>
        <v>0.16900069291249548</v>
      </c>
      <c r="O5867" s="165">
        <f t="shared" si="277"/>
        <v>0.16900069291249548</v>
      </c>
      <c r="P5867" s="18"/>
      <c r="Q5867" s="18"/>
      <c r="R5867" s="18"/>
      <c r="S5867" s="18"/>
      <c r="T5867" s="18"/>
      <c r="U5867" s="18"/>
      <c r="V5867" s="18"/>
      <c r="W5867" s="18"/>
      <c r="X5867" s="18"/>
    </row>
    <row r="5868" spans="13:24">
      <c r="M5868" s="558">
        <f t="shared" si="278"/>
        <v>5866</v>
      </c>
      <c r="N5868" s="15">
        <f t="shared" si="276"/>
        <v>0.16894896547330762</v>
      </c>
      <c r="O5868" s="165">
        <f t="shared" si="277"/>
        <v>0.16894896547330762</v>
      </c>
      <c r="P5868" s="18"/>
      <c r="Q5868" s="18"/>
      <c r="R5868" s="18"/>
      <c r="S5868" s="18"/>
      <c r="T5868" s="18"/>
      <c r="U5868" s="18"/>
      <c r="V5868" s="18"/>
      <c r="W5868" s="18"/>
      <c r="X5868" s="18"/>
    </row>
    <row r="5869" spans="13:24">
      <c r="M5869" s="558">
        <f t="shared" si="278"/>
        <v>5867</v>
      </c>
      <c r="N5869" s="15">
        <f t="shared" si="276"/>
        <v>0.16889723848284913</v>
      </c>
      <c r="O5869" s="165">
        <f t="shared" si="277"/>
        <v>0.16889723848284913</v>
      </c>
      <c r="P5869" s="18"/>
      <c r="Q5869" s="18"/>
      <c r="R5869" s="18"/>
      <c r="S5869" s="18"/>
      <c r="T5869" s="18"/>
      <c r="U5869" s="18"/>
      <c r="V5869" s="18"/>
      <c r="W5869" s="18"/>
      <c r="X5869" s="18"/>
    </row>
    <row r="5870" spans="13:24">
      <c r="M5870" s="558">
        <f t="shared" si="278"/>
        <v>5868</v>
      </c>
      <c r="N5870" s="15">
        <f t="shared" si="276"/>
        <v>0.16884551194055694</v>
      </c>
      <c r="O5870" s="165">
        <f t="shared" si="277"/>
        <v>0.16884551194055694</v>
      </c>
      <c r="P5870" s="18"/>
      <c r="Q5870" s="18"/>
      <c r="R5870" s="18"/>
      <c r="S5870" s="18"/>
      <c r="T5870" s="18"/>
      <c r="U5870" s="18"/>
      <c r="V5870" s="18"/>
      <c r="W5870" s="18"/>
      <c r="X5870" s="18"/>
    </row>
    <row r="5871" spans="13:24">
      <c r="M5871" s="558">
        <f t="shared" si="278"/>
        <v>5869</v>
      </c>
      <c r="N5871" s="15">
        <f t="shared" si="276"/>
        <v>0.16879378584586857</v>
      </c>
      <c r="O5871" s="165">
        <f t="shared" si="277"/>
        <v>0.16879378584586857</v>
      </c>
      <c r="P5871" s="18"/>
      <c r="Q5871" s="18"/>
      <c r="R5871" s="18"/>
      <c r="S5871" s="18"/>
      <c r="T5871" s="18"/>
      <c r="U5871" s="18"/>
      <c r="V5871" s="18"/>
      <c r="W5871" s="18"/>
      <c r="X5871" s="18"/>
    </row>
    <row r="5872" spans="13:24">
      <c r="M5872" s="558">
        <f t="shared" si="278"/>
        <v>5870</v>
      </c>
      <c r="N5872" s="15">
        <f t="shared" si="276"/>
        <v>0.16874206019822235</v>
      </c>
      <c r="O5872" s="165">
        <f t="shared" si="277"/>
        <v>0.16874206019822235</v>
      </c>
      <c r="P5872" s="18"/>
      <c r="Q5872" s="18"/>
      <c r="R5872" s="18"/>
      <c r="S5872" s="18"/>
      <c r="T5872" s="18"/>
      <c r="U5872" s="18"/>
      <c r="V5872" s="18"/>
      <c r="W5872" s="18"/>
      <c r="X5872" s="18"/>
    </row>
    <row r="5873" spans="13:24">
      <c r="M5873" s="558">
        <f t="shared" si="278"/>
        <v>5871</v>
      </c>
      <c r="N5873" s="15">
        <f t="shared" si="276"/>
        <v>0.16869033499705727</v>
      </c>
      <c r="O5873" s="165">
        <f t="shared" si="277"/>
        <v>0.16869033499705727</v>
      </c>
      <c r="P5873" s="18"/>
      <c r="Q5873" s="18"/>
      <c r="R5873" s="18"/>
      <c r="S5873" s="18"/>
      <c r="T5873" s="18"/>
      <c r="U5873" s="18"/>
      <c r="V5873" s="18"/>
      <c r="W5873" s="18"/>
      <c r="X5873" s="18"/>
    </row>
    <row r="5874" spans="13:24">
      <c r="M5874" s="558">
        <f t="shared" si="278"/>
        <v>5872</v>
      </c>
      <c r="N5874" s="15">
        <f t="shared" si="276"/>
        <v>0.16863861024181301</v>
      </c>
      <c r="O5874" s="165">
        <f t="shared" si="277"/>
        <v>0.16863861024181301</v>
      </c>
      <c r="P5874" s="18"/>
      <c r="Q5874" s="18"/>
      <c r="R5874" s="18"/>
      <c r="S5874" s="18"/>
      <c r="T5874" s="18"/>
      <c r="U5874" s="18"/>
      <c r="V5874" s="18"/>
      <c r="W5874" s="18"/>
      <c r="X5874" s="18"/>
    </row>
    <row r="5875" spans="13:24">
      <c r="M5875" s="558">
        <f t="shared" si="278"/>
        <v>5873</v>
      </c>
      <c r="N5875" s="15">
        <f t="shared" si="276"/>
        <v>0.16858688593193003</v>
      </c>
      <c r="O5875" s="165">
        <f t="shared" si="277"/>
        <v>0.16858688593193003</v>
      </c>
      <c r="P5875" s="18"/>
      <c r="Q5875" s="18"/>
      <c r="R5875" s="18"/>
      <c r="S5875" s="18"/>
      <c r="T5875" s="18"/>
      <c r="U5875" s="18"/>
      <c r="V5875" s="18"/>
      <c r="W5875" s="18"/>
      <c r="X5875" s="18"/>
    </row>
    <row r="5876" spans="13:24">
      <c r="M5876" s="558">
        <f t="shared" si="278"/>
        <v>5874</v>
      </c>
      <c r="N5876" s="15">
        <f t="shared" si="276"/>
        <v>0.16853516206684938</v>
      </c>
      <c r="O5876" s="165">
        <f t="shared" si="277"/>
        <v>0.16853516206684938</v>
      </c>
      <c r="P5876" s="18"/>
      <c r="Q5876" s="18"/>
      <c r="R5876" s="18"/>
      <c r="S5876" s="18"/>
      <c r="T5876" s="18"/>
      <c r="U5876" s="18"/>
      <c r="V5876" s="18"/>
      <c r="W5876" s="18"/>
      <c r="X5876" s="18"/>
    </row>
    <row r="5877" spans="13:24">
      <c r="M5877" s="558">
        <f t="shared" si="278"/>
        <v>5875</v>
      </c>
      <c r="N5877" s="15">
        <f t="shared" si="276"/>
        <v>0.16848343864601292</v>
      </c>
      <c r="O5877" s="165">
        <f t="shared" si="277"/>
        <v>0.16848343864601292</v>
      </c>
      <c r="P5877" s="18"/>
      <c r="Q5877" s="18"/>
      <c r="R5877" s="18"/>
      <c r="S5877" s="18"/>
      <c r="T5877" s="18"/>
      <c r="U5877" s="18"/>
      <c r="V5877" s="18"/>
      <c r="W5877" s="18"/>
      <c r="X5877" s="18"/>
    </row>
    <row r="5878" spans="13:24">
      <c r="M5878" s="558">
        <f t="shared" si="278"/>
        <v>5876</v>
      </c>
      <c r="N5878" s="15">
        <f t="shared" si="276"/>
        <v>0.16843171566886311</v>
      </c>
      <c r="O5878" s="165">
        <f t="shared" si="277"/>
        <v>0.16843171566886311</v>
      </c>
      <c r="P5878" s="18"/>
      <c r="Q5878" s="18"/>
      <c r="R5878" s="18"/>
      <c r="S5878" s="18"/>
      <c r="T5878" s="18"/>
      <c r="U5878" s="18"/>
      <c r="V5878" s="18"/>
      <c r="W5878" s="18"/>
      <c r="X5878" s="18"/>
    </row>
    <row r="5879" spans="13:24">
      <c r="M5879" s="558">
        <f t="shared" si="278"/>
        <v>5877</v>
      </c>
      <c r="N5879" s="15">
        <f t="shared" si="276"/>
        <v>0.16837999313484323</v>
      </c>
      <c r="O5879" s="165">
        <f t="shared" si="277"/>
        <v>0.16837999313484323</v>
      </c>
      <c r="P5879" s="18"/>
      <c r="Q5879" s="18"/>
      <c r="R5879" s="18"/>
      <c r="S5879" s="18"/>
      <c r="T5879" s="18"/>
      <c r="U5879" s="18"/>
      <c r="V5879" s="18"/>
      <c r="W5879" s="18"/>
      <c r="X5879" s="18"/>
    </row>
    <row r="5880" spans="13:24">
      <c r="M5880" s="558">
        <f t="shared" si="278"/>
        <v>5878</v>
      </c>
      <c r="N5880" s="15">
        <f t="shared" si="276"/>
        <v>0.16832827104339709</v>
      </c>
      <c r="O5880" s="165">
        <f t="shared" si="277"/>
        <v>0.16832827104339709</v>
      </c>
      <c r="P5880" s="18"/>
      <c r="Q5880" s="18"/>
      <c r="R5880" s="18"/>
      <c r="S5880" s="18"/>
      <c r="T5880" s="18"/>
      <c r="U5880" s="18"/>
      <c r="V5880" s="18"/>
      <c r="W5880" s="18"/>
      <c r="X5880" s="18"/>
    </row>
    <row r="5881" spans="13:24">
      <c r="M5881" s="558">
        <f t="shared" si="278"/>
        <v>5879</v>
      </c>
      <c r="N5881" s="15">
        <f t="shared" si="276"/>
        <v>0.16827654939396938</v>
      </c>
      <c r="O5881" s="165">
        <f t="shared" si="277"/>
        <v>0.16827654939396938</v>
      </c>
      <c r="P5881" s="18"/>
      <c r="Q5881" s="18"/>
      <c r="R5881" s="18"/>
      <c r="S5881" s="18"/>
      <c r="T5881" s="18"/>
      <c r="U5881" s="18"/>
      <c r="V5881" s="18"/>
      <c r="W5881" s="18"/>
      <c r="X5881" s="18"/>
    </row>
    <row r="5882" spans="13:24">
      <c r="M5882" s="558">
        <f t="shared" si="278"/>
        <v>5880</v>
      </c>
      <c r="N5882" s="15">
        <f t="shared" si="276"/>
        <v>0.16822482818600534</v>
      </c>
      <c r="O5882" s="165">
        <f t="shared" si="277"/>
        <v>0.16822482818600534</v>
      </c>
      <c r="P5882" s="18"/>
      <c r="Q5882" s="18"/>
      <c r="R5882" s="18"/>
      <c r="S5882" s="18"/>
      <c r="T5882" s="18"/>
      <c r="U5882" s="18"/>
      <c r="V5882" s="18"/>
      <c r="W5882" s="18"/>
      <c r="X5882" s="18"/>
    </row>
    <row r="5883" spans="13:24">
      <c r="M5883" s="558">
        <f t="shared" si="278"/>
        <v>5881</v>
      </c>
      <c r="N5883" s="15">
        <f t="shared" si="276"/>
        <v>0.168173107418951</v>
      </c>
      <c r="O5883" s="165">
        <f t="shared" si="277"/>
        <v>0.168173107418951</v>
      </c>
      <c r="P5883" s="18"/>
      <c r="Q5883" s="18"/>
      <c r="R5883" s="18"/>
      <c r="S5883" s="18"/>
      <c r="T5883" s="18"/>
      <c r="U5883" s="18"/>
      <c r="V5883" s="18"/>
      <c r="W5883" s="18"/>
      <c r="X5883" s="18"/>
    </row>
    <row r="5884" spans="13:24">
      <c r="M5884" s="558">
        <f t="shared" si="278"/>
        <v>5882</v>
      </c>
      <c r="N5884" s="15">
        <f t="shared" si="276"/>
        <v>0.16812138709225305</v>
      </c>
      <c r="O5884" s="165">
        <f t="shared" si="277"/>
        <v>0.16812138709225305</v>
      </c>
      <c r="P5884" s="18"/>
      <c r="Q5884" s="18"/>
      <c r="R5884" s="18"/>
      <c r="S5884" s="18"/>
      <c r="T5884" s="18"/>
      <c r="U5884" s="18"/>
      <c r="V5884" s="18"/>
      <c r="W5884" s="18"/>
      <c r="X5884" s="18"/>
    </row>
    <row r="5885" spans="13:24">
      <c r="M5885" s="558">
        <f t="shared" si="278"/>
        <v>5883</v>
      </c>
      <c r="N5885" s="15">
        <f t="shared" si="276"/>
        <v>0.1680696672053589</v>
      </c>
      <c r="O5885" s="165">
        <f t="shared" si="277"/>
        <v>0.1680696672053589</v>
      </c>
      <c r="P5885" s="18"/>
      <c r="Q5885" s="18"/>
      <c r="R5885" s="18"/>
      <c r="S5885" s="18"/>
      <c r="T5885" s="18"/>
      <c r="U5885" s="18"/>
      <c r="V5885" s="18"/>
      <c r="W5885" s="18"/>
      <c r="X5885" s="18"/>
    </row>
    <row r="5886" spans="13:24">
      <c r="M5886" s="558">
        <f t="shared" si="278"/>
        <v>5884</v>
      </c>
      <c r="N5886" s="15">
        <f t="shared" si="276"/>
        <v>0.16801794775771658</v>
      </c>
      <c r="O5886" s="165">
        <f t="shared" si="277"/>
        <v>0.16801794775771658</v>
      </c>
      <c r="P5886" s="18"/>
      <c r="Q5886" s="18"/>
      <c r="R5886" s="18"/>
      <c r="S5886" s="18"/>
      <c r="T5886" s="18"/>
      <c r="U5886" s="18"/>
      <c r="V5886" s="18"/>
      <c r="W5886" s="18"/>
      <c r="X5886" s="18"/>
    </row>
    <row r="5887" spans="13:24">
      <c r="M5887" s="558">
        <f t="shared" si="278"/>
        <v>5885</v>
      </c>
      <c r="N5887" s="15">
        <f t="shared" si="276"/>
        <v>0.16796622874877495</v>
      </c>
      <c r="O5887" s="165">
        <f t="shared" si="277"/>
        <v>0.16796622874877495</v>
      </c>
      <c r="P5887" s="18"/>
      <c r="Q5887" s="18"/>
      <c r="R5887" s="18"/>
      <c r="S5887" s="18"/>
      <c r="T5887" s="18"/>
      <c r="U5887" s="18"/>
      <c r="V5887" s="18"/>
      <c r="W5887" s="18"/>
      <c r="X5887" s="18"/>
    </row>
    <row r="5888" spans="13:24">
      <c r="M5888" s="558">
        <f t="shared" si="278"/>
        <v>5886</v>
      </c>
      <c r="N5888" s="15">
        <f t="shared" si="276"/>
        <v>0.16791451017798337</v>
      </c>
      <c r="O5888" s="165">
        <f t="shared" si="277"/>
        <v>0.16791451017798337</v>
      </c>
      <c r="P5888" s="18"/>
      <c r="Q5888" s="18"/>
      <c r="R5888" s="18"/>
      <c r="S5888" s="18"/>
      <c r="T5888" s="18"/>
      <c r="U5888" s="18"/>
      <c r="V5888" s="18"/>
      <c r="W5888" s="18"/>
      <c r="X5888" s="18"/>
    </row>
    <row r="5889" spans="13:24">
      <c r="M5889" s="558">
        <f t="shared" si="278"/>
        <v>5887</v>
      </c>
      <c r="N5889" s="15">
        <f t="shared" si="276"/>
        <v>0.16786279204479204</v>
      </c>
      <c r="O5889" s="165">
        <f t="shared" si="277"/>
        <v>0.16786279204479204</v>
      </c>
      <c r="P5889" s="18"/>
      <c r="Q5889" s="18"/>
      <c r="R5889" s="18"/>
      <c r="S5889" s="18"/>
      <c r="T5889" s="18"/>
      <c r="U5889" s="18"/>
      <c r="V5889" s="18"/>
      <c r="W5889" s="18"/>
      <c r="X5889" s="18"/>
    </row>
    <row r="5890" spans="13:24">
      <c r="M5890" s="558">
        <f t="shared" si="278"/>
        <v>5888</v>
      </c>
      <c r="N5890" s="15">
        <f t="shared" si="276"/>
        <v>0.16781107434865183</v>
      </c>
      <c r="O5890" s="165">
        <f t="shared" si="277"/>
        <v>0.16781107434865183</v>
      </c>
      <c r="P5890" s="18"/>
      <c r="Q5890" s="18"/>
      <c r="R5890" s="18"/>
      <c r="S5890" s="18"/>
      <c r="T5890" s="18"/>
      <c r="U5890" s="18"/>
      <c r="V5890" s="18"/>
      <c r="W5890" s="18"/>
      <c r="X5890" s="18"/>
    </row>
    <row r="5891" spans="13:24">
      <c r="M5891" s="558">
        <f t="shared" si="278"/>
        <v>5889</v>
      </c>
      <c r="N5891" s="15">
        <f t="shared" si="276"/>
        <v>0.16775935708901427</v>
      </c>
      <c r="O5891" s="165">
        <f t="shared" si="277"/>
        <v>0.16775935708901427</v>
      </c>
      <c r="P5891" s="18"/>
      <c r="Q5891" s="18"/>
      <c r="R5891" s="18"/>
      <c r="S5891" s="18"/>
      <c r="T5891" s="18"/>
      <c r="U5891" s="18"/>
      <c r="V5891" s="18"/>
      <c r="W5891" s="18"/>
      <c r="X5891" s="18"/>
    </row>
    <row r="5892" spans="13:24">
      <c r="M5892" s="558">
        <f t="shared" si="278"/>
        <v>5890</v>
      </c>
      <c r="N5892" s="15">
        <f t="shared" ref="N5892:N5955" si="279">IF(M5892&lt;$B$31+1,$B$32+$B$33/$B$31*(8760-M5892)+$B$34*IF(M5892&lt;$B$36-$B$31/(2*$B$35),1,IF(M5892&lt;$B$36+$B$31/(2*$B$35),COS(PI()/2*(M5892-($B$36-$B$31/(2*$B$35)))*$B$35/$B$31)^2,0))+$B$37*EXP((8760-M5892)/8760*$B$38)/EXP($B$38)-(8760-$B$31)*$B$33/$B$31,0)</f>
        <v>0.16770764026533158</v>
      </c>
      <c r="O5892" s="165">
        <f t="shared" ref="O5892:O5955" si="280">MIN(N5892,C$24)</f>
        <v>0.16770764026533158</v>
      </c>
      <c r="P5892" s="18"/>
      <c r="Q5892" s="18"/>
      <c r="R5892" s="18"/>
      <c r="S5892" s="18"/>
      <c r="T5892" s="18"/>
      <c r="U5892" s="18"/>
      <c r="V5892" s="18"/>
      <c r="W5892" s="18"/>
      <c r="X5892" s="18"/>
    </row>
    <row r="5893" spans="13:24">
      <c r="M5893" s="558">
        <f t="shared" ref="M5893:M5956" si="281">M5892+1</f>
        <v>5891</v>
      </c>
      <c r="N5893" s="15">
        <f t="shared" si="279"/>
        <v>0.16765592387705663</v>
      </c>
      <c r="O5893" s="165">
        <f t="shared" si="280"/>
        <v>0.16765592387705663</v>
      </c>
      <c r="P5893" s="18"/>
      <c r="Q5893" s="18"/>
      <c r="R5893" s="18"/>
      <c r="S5893" s="18"/>
      <c r="T5893" s="18"/>
      <c r="U5893" s="18"/>
      <c r="V5893" s="18"/>
      <c r="W5893" s="18"/>
      <c r="X5893" s="18"/>
    </row>
    <row r="5894" spans="13:24">
      <c r="M5894" s="558">
        <f t="shared" si="281"/>
        <v>5892</v>
      </c>
      <c r="N5894" s="15">
        <f t="shared" si="279"/>
        <v>0.16760420792364308</v>
      </c>
      <c r="O5894" s="165">
        <f t="shared" si="280"/>
        <v>0.16760420792364308</v>
      </c>
      <c r="P5894" s="18"/>
      <c r="Q5894" s="18"/>
      <c r="R5894" s="18"/>
      <c r="S5894" s="18"/>
      <c r="T5894" s="18"/>
      <c r="U5894" s="18"/>
      <c r="V5894" s="18"/>
      <c r="W5894" s="18"/>
      <c r="X5894" s="18"/>
    </row>
    <row r="5895" spans="13:24">
      <c r="M5895" s="558">
        <f t="shared" si="281"/>
        <v>5893</v>
      </c>
      <c r="N5895" s="15">
        <f t="shared" si="279"/>
        <v>0.16755249240454517</v>
      </c>
      <c r="O5895" s="165">
        <f t="shared" si="280"/>
        <v>0.16755249240454517</v>
      </c>
      <c r="P5895" s="18"/>
      <c r="Q5895" s="18"/>
      <c r="R5895" s="18"/>
      <c r="S5895" s="18"/>
      <c r="T5895" s="18"/>
      <c r="U5895" s="18"/>
      <c r="V5895" s="18"/>
      <c r="W5895" s="18"/>
      <c r="X5895" s="18"/>
    </row>
    <row r="5896" spans="13:24">
      <c r="M5896" s="558">
        <f t="shared" si="281"/>
        <v>5894</v>
      </c>
      <c r="N5896" s="15">
        <f t="shared" si="279"/>
        <v>0.16750077731921792</v>
      </c>
      <c r="O5896" s="165">
        <f t="shared" si="280"/>
        <v>0.16750077731921792</v>
      </c>
      <c r="P5896" s="18"/>
      <c r="Q5896" s="18"/>
      <c r="R5896" s="18"/>
      <c r="S5896" s="18"/>
      <c r="T5896" s="18"/>
      <c r="U5896" s="18"/>
      <c r="V5896" s="18"/>
      <c r="W5896" s="18"/>
      <c r="X5896" s="18"/>
    </row>
    <row r="5897" spans="13:24">
      <c r="M5897" s="558">
        <f t="shared" si="281"/>
        <v>5895</v>
      </c>
      <c r="N5897" s="15">
        <f t="shared" si="279"/>
        <v>0.16744906266711693</v>
      </c>
      <c r="O5897" s="165">
        <f t="shared" si="280"/>
        <v>0.16744906266711693</v>
      </c>
      <c r="P5897" s="18"/>
      <c r="Q5897" s="18"/>
      <c r="R5897" s="18"/>
      <c r="S5897" s="18"/>
      <c r="T5897" s="18"/>
      <c r="U5897" s="18"/>
      <c r="V5897" s="18"/>
      <c r="W5897" s="18"/>
      <c r="X5897" s="18"/>
    </row>
    <row r="5898" spans="13:24">
      <c r="M5898" s="558">
        <f t="shared" si="281"/>
        <v>5896</v>
      </c>
      <c r="N5898" s="15">
        <f t="shared" si="279"/>
        <v>0.16739734844769857</v>
      </c>
      <c r="O5898" s="165">
        <f t="shared" si="280"/>
        <v>0.16739734844769857</v>
      </c>
      <c r="P5898" s="18"/>
      <c r="Q5898" s="18"/>
      <c r="R5898" s="18"/>
      <c r="S5898" s="18"/>
      <c r="T5898" s="18"/>
      <c r="U5898" s="18"/>
      <c r="V5898" s="18"/>
      <c r="W5898" s="18"/>
      <c r="X5898" s="18"/>
    </row>
    <row r="5899" spans="13:24">
      <c r="M5899" s="558">
        <f t="shared" si="281"/>
        <v>5897</v>
      </c>
      <c r="N5899" s="15">
        <f t="shared" si="279"/>
        <v>0.1673456346604198</v>
      </c>
      <c r="O5899" s="165">
        <f t="shared" si="280"/>
        <v>0.1673456346604198</v>
      </c>
      <c r="P5899" s="18"/>
      <c r="Q5899" s="18"/>
      <c r="R5899" s="18"/>
      <c r="S5899" s="18"/>
      <c r="T5899" s="18"/>
      <c r="U5899" s="18"/>
      <c r="V5899" s="18"/>
      <c r="W5899" s="18"/>
      <c r="X5899" s="18"/>
    </row>
    <row r="5900" spans="13:24">
      <c r="M5900" s="558">
        <f t="shared" si="281"/>
        <v>5898</v>
      </c>
      <c r="N5900" s="15">
        <f t="shared" si="279"/>
        <v>0.16729392130473841</v>
      </c>
      <c r="O5900" s="165">
        <f t="shared" si="280"/>
        <v>0.16729392130473841</v>
      </c>
      <c r="P5900" s="18"/>
      <c r="Q5900" s="18"/>
      <c r="R5900" s="18"/>
      <c r="S5900" s="18"/>
      <c r="T5900" s="18"/>
      <c r="U5900" s="18"/>
      <c r="V5900" s="18"/>
      <c r="W5900" s="18"/>
      <c r="X5900" s="18"/>
    </row>
    <row r="5901" spans="13:24">
      <c r="M5901" s="558">
        <f t="shared" si="281"/>
        <v>5899</v>
      </c>
      <c r="N5901" s="15">
        <f t="shared" si="279"/>
        <v>0.16724220838011269</v>
      </c>
      <c r="O5901" s="165">
        <f t="shared" si="280"/>
        <v>0.16724220838011269</v>
      </c>
      <c r="P5901" s="18"/>
      <c r="Q5901" s="18"/>
      <c r="R5901" s="18"/>
      <c r="S5901" s="18"/>
      <c r="T5901" s="18"/>
      <c r="U5901" s="18"/>
      <c r="V5901" s="18"/>
      <c r="W5901" s="18"/>
      <c r="X5901" s="18"/>
    </row>
    <row r="5902" spans="13:24">
      <c r="M5902" s="558">
        <f t="shared" si="281"/>
        <v>5900</v>
      </c>
      <c r="N5902" s="15">
        <f t="shared" si="279"/>
        <v>0.16719049588600179</v>
      </c>
      <c r="O5902" s="165">
        <f t="shared" si="280"/>
        <v>0.16719049588600179</v>
      </c>
      <c r="P5902" s="18"/>
      <c r="Q5902" s="18"/>
      <c r="R5902" s="18"/>
      <c r="S5902" s="18"/>
      <c r="T5902" s="18"/>
      <c r="U5902" s="18"/>
      <c r="V5902" s="18"/>
      <c r="W5902" s="18"/>
      <c r="X5902" s="18"/>
    </row>
    <row r="5903" spans="13:24">
      <c r="M5903" s="558">
        <f t="shared" si="281"/>
        <v>5901</v>
      </c>
      <c r="N5903" s="15">
        <f t="shared" si="279"/>
        <v>0.16713878382186537</v>
      </c>
      <c r="O5903" s="165">
        <f t="shared" si="280"/>
        <v>0.16713878382186537</v>
      </c>
      <c r="P5903" s="18"/>
      <c r="Q5903" s="18"/>
      <c r="R5903" s="18"/>
      <c r="S5903" s="18"/>
      <c r="T5903" s="18"/>
      <c r="U5903" s="18"/>
      <c r="V5903" s="18"/>
      <c r="W5903" s="18"/>
      <c r="X5903" s="18"/>
    </row>
    <row r="5904" spans="13:24">
      <c r="M5904" s="558">
        <f t="shared" si="281"/>
        <v>5902</v>
      </c>
      <c r="N5904" s="15">
        <f t="shared" si="279"/>
        <v>0.16708707218716387</v>
      </c>
      <c r="O5904" s="165">
        <f t="shared" si="280"/>
        <v>0.16708707218716387</v>
      </c>
      <c r="P5904" s="18"/>
      <c r="Q5904" s="18"/>
      <c r="R5904" s="18"/>
      <c r="S5904" s="18"/>
      <c r="T5904" s="18"/>
      <c r="U5904" s="18"/>
      <c r="V5904" s="18"/>
      <c r="W5904" s="18"/>
      <c r="X5904" s="18"/>
    </row>
    <row r="5905" spans="13:24">
      <c r="M5905" s="558">
        <f t="shared" si="281"/>
        <v>5903</v>
      </c>
      <c r="N5905" s="15">
        <f t="shared" si="279"/>
        <v>0.16703536098135841</v>
      </c>
      <c r="O5905" s="165">
        <f t="shared" si="280"/>
        <v>0.16703536098135841</v>
      </c>
      <c r="P5905" s="18"/>
      <c r="Q5905" s="18"/>
      <c r="R5905" s="18"/>
      <c r="S5905" s="18"/>
      <c r="T5905" s="18"/>
      <c r="U5905" s="18"/>
      <c r="V5905" s="18"/>
      <c r="W5905" s="18"/>
      <c r="X5905" s="18"/>
    </row>
    <row r="5906" spans="13:24">
      <c r="M5906" s="558">
        <f t="shared" si="281"/>
        <v>5904</v>
      </c>
      <c r="N5906" s="15">
        <f t="shared" si="279"/>
        <v>0.16698365020391073</v>
      </c>
      <c r="O5906" s="165">
        <f t="shared" si="280"/>
        <v>0.16698365020391073</v>
      </c>
      <c r="P5906" s="18"/>
      <c r="Q5906" s="18"/>
      <c r="R5906" s="18"/>
      <c r="S5906" s="18"/>
      <c r="T5906" s="18"/>
      <c r="U5906" s="18"/>
      <c r="V5906" s="18"/>
      <c r="W5906" s="18"/>
      <c r="X5906" s="18"/>
    </row>
    <row r="5907" spans="13:24">
      <c r="M5907" s="558">
        <f t="shared" si="281"/>
        <v>5905</v>
      </c>
      <c r="N5907" s="15">
        <f t="shared" si="279"/>
        <v>0.16693193985428331</v>
      </c>
      <c r="O5907" s="165">
        <f t="shared" si="280"/>
        <v>0.16693193985428331</v>
      </c>
      <c r="P5907" s="18"/>
      <c r="Q5907" s="18"/>
      <c r="R5907" s="18"/>
      <c r="S5907" s="18"/>
      <c r="T5907" s="18"/>
      <c r="U5907" s="18"/>
      <c r="V5907" s="18"/>
      <c r="W5907" s="18"/>
      <c r="X5907" s="18"/>
    </row>
    <row r="5908" spans="13:24">
      <c r="M5908" s="558">
        <f t="shared" si="281"/>
        <v>5906</v>
      </c>
      <c r="N5908" s="15">
        <f t="shared" si="279"/>
        <v>0.16688022993193921</v>
      </c>
      <c r="O5908" s="165">
        <f t="shared" si="280"/>
        <v>0.16688022993193921</v>
      </c>
      <c r="P5908" s="18"/>
      <c r="Q5908" s="18"/>
      <c r="R5908" s="18"/>
      <c r="S5908" s="18"/>
      <c r="T5908" s="18"/>
      <c r="U5908" s="18"/>
      <c r="V5908" s="18"/>
      <c r="W5908" s="18"/>
      <c r="X5908" s="18"/>
    </row>
    <row r="5909" spans="13:24">
      <c r="M5909" s="558">
        <f t="shared" si="281"/>
        <v>5907</v>
      </c>
      <c r="N5909" s="15">
        <f t="shared" si="279"/>
        <v>0.16682852043634228</v>
      </c>
      <c r="O5909" s="165">
        <f t="shared" si="280"/>
        <v>0.16682852043634228</v>
      </c>
      <c r="P5909" s="18"/>
      <c r="Q5909" s="18"/>
      <c r="R5909" s="18"/>
      <c r="S5909" s="18"/>
      <c r="T5909" s="18"/>
      <c r="U5909" s="18"/>
      <c r="V5909" s="18"/>
      <c r="W5909" s="18"/>
      <c r="X5909" s="18"/>
    </row>
    <row r="5910" spans="13:24">
      <c r="M5910" s="558">
        <f t="shared" si="281"/>
        <v>5908</v>
      </c>
      <c r="N5910" s="15">
        <f t="shared" si="279"/>
        <v>0.16677681136695696</v>
      </c>
      <c r="O5910" s="165">
        <f t="shared" si="280"/>
        <v>0.16677681136695696</v>
      </c>
      <c r="P5910" s="18"/>
      <c r="Q5910" s="18"/>
      <c r="R5910" s="18"/>
      <c r="S5910" s="18"/>
      <c r="T5910" s="18"/>
      <c r="U5910" s="18"/>
      <c r="V5910" s="18"/>
      <c r="W5910" s="18"/>
      <c r="X5910" s="18"/>
    </row>
    <row r="5911" spans="13:24">
      <c r="M5911" s="558">
        <f t="shared" si="281"/>
        <v>5909</v>
      </c>
      <c r="N5911" s="15">
        <f t="shared" si="279"/>
        <v>0.16672510272324842</v>
      </c>
      <c r="O5911" s="165">
        <f t="shared" si="280"/>
        <v>0.16672510272324842</v>
      </c>
      <c r="P5911" s="18"/>
      <c r="Q5911" s="18"/>
      <c r="R5911" s="18"/>
      <c r="S5911" s="18"/>
      <c r="T5911" s="18"/>
      <c r="U5911" s="18"/>
      <c r="V5911" s="18"/>
      <c r="W5911" s="18"/>
      <c r="X5911" s="18"/>
    </row>
    <row r="5912" spans="13:24">
      <c r="M5912" s="558">
        <f t="shared" si="281"/>
        <v>5910</v>
      </c>
      <c r="N5912" s="15">
        <f t="shared" si="279"/>
        <v>0.16667339450468241</v>
      </c>
      <c r="O5912" s="165">
        <f t="shared" si="280"/>
        <v>0.16667339450468241</v>
      </c>
      <c r="P5912" s="18"/>
      <c r="Q5912" s="18"/>
      <c r="R5912" s="18"/>
      <c r="S5912" s="18"/>
      <c r="T5912" s="18"/>
      <c r="U5912" s="18"/>
      <c r="V5912" s="18"/>
      <c r="W5912" s="18"/>
      <c r="X5912" s="18"/>
    </row>
    <row r="5913" spans="13:24">
      <c r="M5913" s="558">
        <f t="shared" si="281"/>
        <v>5911</v>
      </c>
      <c r="N5913" s="15">
        <f t="shared" si="279"/>
        <v>0.16662168671072547</v>
      </c>
      <c r="O5913" s="165">
        <f t="shared" si="280"/>
        <v>0.16662168671072547</v>
      </c>
      <c r="P5913" s="18"/>
      <c r="Q5913" s="18"/>
      <c r="R5913" s="18"/>
      <c r="S5913" s="18"/>
      <c r="T5913" s="18"/>
      <c r="U5913" s="18"/>
      <c r="V5913" s="18"/>
      <c r="W5913" s="18"/>
      <c r="X5913" s="18"/>
    </row>
    <row r="5914" spans="13:24">
      <c r="M5914" s="558">
        <f t="shared" si="281"/>
        <v>5912</v>
      </c>
      <c r="N5914" s="15">
        <f t="shared" si="279"/>
        <v>0.16656997934084469</v>
      </c>
      <c r="O5914" s="165">
        <f t="shared" si="280"/>
        <v>0.16656997934084469</v>
      </c>
      <c r="P5914" s="18"/>
      <c r="Q5914" s="18"/>
      <c r="R5914" s="18"/>
      <c r="S5914" s="18"/>
      <c r="T5914" s="18"/>
      <c r="U5914" s="18"/>
      <c r="V5914" s="18"/>
      <c r="W5914" s="18"/>
      <c r="X5914" s="18"/>
    </row>
    <row r="5915" spans="13:24">
      <c r="M5915" s="558">
        <f t="shared" si="281"/>
        <v>5913</v>
      </c>
      <c r="N5915" s="15">
        <f t="shared" si="279"/>
        <v>0.16651827239450798</v>
      </c>
      <c r="O5915" s="165">
        <f t="shared" si="280"/>
        <v>0.16651827239450798</v>
      </c>
      <c r="P5915" s="18"/>
      <c r="Q5915" s="18"/>
      <c r="R5915" s="18"/>
      <c r="S5915" s="18"/>
      <c r="T5915" s="18"/>
      <c r="U5915" s="18"/>
      <c r="V5915" s="18"/>
      <c r="W5915" s="18"/>
      <c r="X5915" s="18"/>
    </row>
    <row r="5916" spans="13:24">
      <c r="M5916" s="558">
        <f t="shared" si="281"/>
        <v>5914</v>
      </c>
      <c r="N5916" s="15">
        <f t="shared" si="279"/>
        <v>0.16646656587118372</v>
      </c>
      <c r="O5916" s="165">
        <f t="shared" si="280"/>
        <v>0.16646656587118372</v>
      </c>
      <c r="P5916" s="18"/>
      <c r="Q5916" s="18"/>
      <c r="R5916" s="18"/>
      <c r="S5916" s="18"/>
      <c r="T5916" s="18"/>
      <c r="U5916" s="18"/>
      <c r="V5916" s="18"/>
      <c r="W5916" s="18"/>
      <c r="X5916" s="18"/>
    </row>
    <row r="5917" spans="13:24">
      <c r="M5917" s="558">
        <f t="shared" si="281"/>
        <v>5915</v>
      </c>
      <c r="N5917" s="15">
        <f t="shared" si="279"/>
        <v>0.16641485977034115</v>
      </c>
      <c r="O5917" s="165">
        <f t="shared" si="280"/>
        <v>0.16641485977034115</v>
      </c>
      <c r="P5917" s="18"/>
      <c r="Q5917" s="18"/>
      <c r="R5917" s="18"/>
      <c r="S5917" s="18"/>
      <c r="T5917" s="18"/>
      <c r="U5917" s="18"/>
      <c r="V5917" s="18"/>
      <c r="W5917" s="18"/>
      <c r="X5917" s="18"/>
    </row>
    <row r="5918" spans="13:24">
      <c r="M5918" s="558">
        <f t="shared" si="281"/>
        <v>5916</v>
      </c>
      <c r="N5918" s="15">
        <f t="shared" si="279"/>
        <v>0.16636315409145</v>
      </c>
      <c r="O5918" s="165">
        <f t="shared" si="280"/>
        <v>0.16636315409145</v>
      </c>
      <c r="P5918" s="18"/>
      <c r="Q5918" s="18"/>
      <c r="R5918" s="18"/>
      <c r="S5918" s="18"/>
      <c r="T5918" s="18"/>
      <c r="U5918" s="18"/>
      <c r="V5918" s="18"/>
      <c r="W5918" s="18"/>
      <c r="X5918" s="18"/>
    </row>
    <row r="5919" spans="13:24">
      <c r="M5919" s="558">
        <f t="shared" si="281"/>
        <v>5917</v>
      </c>
      <c r="N5919" s="15">
        <f t="shared" si="279"/>
        <v>0.16631144883398086</v>
      </c>
      <c r="O5919" s="165">
        <f t="shared" si="280"/>
        <v>0.16631144883398086</v>
      </c>
      <c r="P5919" s="18"/>
      <c r="Q5919" s="18"/>
      <c r="R5919" s="18"/>
      <c r="S5919" s="18"/>
      <c r="T5919" s="18"/>
      <c r="U5919" s="18"/>
      <c r="V5919" s="18"/>
      <c r="W5919" s="18"/>
      <c r="X5919" s="18"/>
    </row>
    <row r="5920" spans="13:24">
      <c r="M5920" s="558">
        <f t="shared" si="281"/>
        <v>5918</v>
      </c>
      <c r="N5920" s="15">
        <f t="shared" si="279"/>
        <v>0.16625974399740481</v>
      </c>
      <c r="O5920" s="165">
        <f t="shared" si="280"/>
        <v>0.16625974399740481</v>
      </c>
      <c r="P5920" s="18"/>
      <c r="Q5920" s="18"/>
      <c r="R5920" s="18"/>
      <c r="S5920" s="18"/>
      <c r="T5920" s="18"/>
      <c r="U5920" s="18"/>
      <c r="V5920" s="18"/>
      <c r="W5920" s="18"/>
      <c r="X5920" s="18"/>
    </row>
    <row r="5921" spans="13:24">
      <c r="M5921" s="558">
        <f t="shared" si="281"/>
        <v>5919</v>
      </c>
      <c r="N5921" s="15">
        <f t="shared" si="279"/>
        <v>0.16620803958119365</v>
      </c>
      <c r="O5921" s="165">
        <f t="shared" si="280"/>
        <v>0.16620803958119365</v>
      </c>
      <c r="P5921" s="18"/>
      <c r="Q5921" s="18"/>
      <c r="R5921" s="18"/>
      <c r="S5921" s="18"/>
      <c r="T5921" s="18"/>
      <c r="U5921" s="18"/>
      <c r="V5921" s="18"/>
      <c r="W5921" s="18"/>
      <c r="X5921" s="18"/>
    </row>
    <row r="5922" spans="13:24">
      <c r="M5922" s="558">
        <f t="shared" si="281"/>
        <v>5920</v>
      </c>
      <c r="N5922" s="15">
        <f t="shared" si="279"/>
        <v>0.16615633558481993</v>
      </c>
      <c r="O5922" s="165">
        <f t="shared" si="280"/>
        <v>0.16615633558481993</v>
      </c>
      <c r="P5922" s="18"/>
      <c r="Q5922" s="18"/>
      <c r="R5922" s="18"/>
      <c r="S5922" s="18"/>
      <c r="T5922" s="18"/>
      <c r="U5922" s="18"/>
      <c r="V5922" s="18"/>
      <c r="W5922" s="18"/>
      <c r="X5922" s="18"/>
    </row>
    <row r="5923" spans="13:24">
      <c r="M5923" s="558">
        <f t="shared" si="281"/>
        <v>5921</v>
      </c>
      <c r="N5923" s="15">
        <f t="shared" si="279"/>
        <v>0.16610463200775671</v>
      </c>
      <c r="O5923" s="165">
        <f t="shared" si="280"/>
        <v>0.16610463200775671</v>
      </c>
      <c r="P5923" s="18"/>
      <c r="Q5923" s="18"/>
      <c r="R5923" s="18"/>
      <c r="S5923" s="18"/>
      <c r="T5923" s="18"/>
      <c r="U5923" s="18"/>
      <c r="V5923" s="18"/>
      <c r="W5923" s="18"/>
      <c r="X5923" s="18"/>
    </row>
    <row r="5924" spans="13:24">
      <c r="M5924" s="558">
        <f t="shared" si="281"/>
        <v>5922</v>
      </c>
      <c r="N5924" s="15">
        <f t="shared" si="279"/>
        <v>0.16605292884947787</v>
      </c>
      <c r="O5924" s="165">
        <f t="shared" si="280"/>
        <v>0.16605292884947787</v>
      </c>
      <c r="P5924" s="18"/>
      <c r="Q5924" s="18"/>
      <c r="R5924" s="18"/>
      <c r="S5924" s="18"/>
      <c r="T5924" s="18"/>
      <c r="U5924" s="18"/>
      <c r="V5924" s="18"/>
      <c r="W5924" s="18"/>
      <c r="X5924" s="18"/>
    </row>
    <row r="5925" spans="13:24">
      <c r="M5925" s="558">
        <f t="shared" si="281"/>
        <v>5923</v>
      </c>
      <c r="N5925" s="15">
        <f t="shared" si="279"/>
        <v>0.16600122610945775</v>
      </c>
      <c r="O5925" s="165">
        <f t="shared" si="280"/>
        <v>0.16600122610945775</v>
      </c>
      <c r="P5925" s="18"/>
      <c r="Q5925" s="18"/>
      <c r="R5925" s="18"/>
      <c r="S5925" s="18"/>
      <c r="T5925" s="18"/>
      <c r="U5925" s="18"/>
      <c r="V5925" s="18"/>
      <c r="W5925" s="18"/>
      <c r="X5925" s="18"/>
    </row>
    <row r="5926" spans="13:24">
      <c r="M5926" s="558">
        <f t="shared" si="281"/>
        <v>5924</v>
      </c>
      <c r="N5926" s="15">
        <f t="shared" si="279"/>
        <v>0.16594952378717159</v>
      </c>
      <c r="O5926" s="165">
        <f t="shared" si="280"/>
        <v>0.16594952378717159</v>
      </c>
      <c r="P5926" s="18"/>
      <c r="Q5926" s="18"/>
      <c r="R5926" s="18"/>
      <c r="S5926" s="18"/>
      <c r="T5926" s="18"/>
      <c r="U5926" s="18"/>
      <c r="V5926" s="18"/>
      <c r="W5926" s="18"/>
      <c r="X5926" s="18"/>
    </row>
    <row r="5927" spans="13:24">
      <c r="M5927" s="558">
        <f t="shared" si="281"/>
        <v>5925</v>
      </c>
      <c r="N5927" s="15">
        <f t="shared" si="279"/>
        <v>0.16589782188209512</v>
      </c>
      <c r="O5927" s="165">
        <f t="shared" si="280"/>
        <v>0.16589782188209512</v>
      </c>
      <c r="P5927" s="18"/>
      <c r="Q5927" s="18"/>
      <c r="R5927" s="18"/>
      <c r="S5927" s="18"/>
      <c r="T5927" s="18"/>
      <c r="U5927" s="18"/>
      <c r="V5927" s="18"/>
      <c r="W5927" s="18"/>
      <c r="X5927" s="18"/>
    </row>
    <row r="5928" spans="13:24">
      <c r="M5928" s="558">
        <f t="shared" si="281"/>
        <v>5926</v>
      </c>
      <c r="N5928" s="15">
        <f t="shared" si="279"/>
        <v>0.16584612039370475</v>
      </c>
      <c r="O5928" s="165">
        <f t="shared" si="280"/>
        <v>0.16584612039370475</v>
      </c>
      <c r="P5928" s="18"/>
      <c r="Q5928" s="18"/>
      <c r="R5928" s="18"/>
      <c r="S5928" s="18"/>
      <c r="T5928" s="18"/>
      <c r="U5928" s="18"/>
      <c r="V5928" s="18"/>
      <c r="W5928" s="18"/>
      <c r="X5928" s="18"/>
    </row>
    <row r="5929" spans="13:24">
      <c r="M5929" s="558">
        <f t="shared" si="281"/>
        <v>5927</v>
      </c>
      <c r="N5929" s="15">
        <f t="shared" si="279"/>
        <v>0.16579441932147759</v>
      </c>
      <c r="O5929" s="165">
        <f t="shared" si="280"/>
        <v>0.16579441932147759</v>
      </c>
      <c r="P5929" s="18"/>
      <c r="Q5929" s="18"/>
      <c r="R5929" s="18"/>
      <c r="S5929" s="18"/>
      <c r="T5929" s="18"/>
      <c r="U5929" s="18"/>
      <c r="V5929" s="18"/>
      <c r="W5929" s="18"/>
      <c r="X5929" s="18"/>
    </row>
    <row r="5930" spans="13:24">
      <c r="M5930" s="558">
        <f t="shared" si="281"/>
        <v>5928</v>
      </c>
      <c r="N5930" s="15">
        <f t="shared" si="279"/>
        <v>0.16574271866489143</v>
      </c>
      <c r="O5930" s="165">
        <f t="shared" si="280"/>
        <v>0.16574271866489143</v>
      </c>
      <c r="P5930" s="18"/>
      <c r="Q5930" s="18"/>
      <c r="R5930" s="18"/>
      <c r="S5930" s="18"/>
      <c r="T5930" s="18"/>
      <c r="U5930" s="18"/>
      <c r="V5930" s="18"/>
      <c r="W5930" s="18"/>
      <c r="X5930" s="18"/>
    </row>
    <row r="5931" spans="13:24">
      <c r="M5931" s="558">
        <f t="shared" si="281"/>
        <v>5929</v>
      </c>
      <c r="N5931" s="15">
        <f t="shared" si="279"/>
        <v>0.1656910184234246</v>
      </c>
      <c r="O5931" s="165">
        <f t="shared" si="280"/>
        <v>0.1656910184234246</v>
      </c>
      <c r="P5931" s="18"/>
      <c r="Q5931" s="18"/>
      <c r="R5931" s="18"/>
      <c r="S5931" s="18"/>
      <c r="T5931" s="18"/>
      <c r="U5931" s="18"/>
      <c r="V5931" s="18"/>
      <c r="W5931" s="18"/>
      <c r="X5931" s="18"/>
    </row>
    <row r="5932" spans="13:24">
      <c r="M5932" s="558">
        <f t="shared" si="281"/>
        <v>5930</v>
      </c>
      <c r="N5932" s="15">
        <f t="shared" si="279"/>
        <v>0.16563931859655623</v>
      </c>
      <c r="O5932" s="165">
        <f t="shared" si="280"/>
        <v>0.16563931859655623</v>
      </c>
      <c r="P5932" s="18"/>
      <c r="Q5932" s="18"/>
      <c r="R5932" s="18"/>
      <c r="S5932" s="18"/>
      <c r="T5932" s="18"/>
      <c r="U5932" s="18"/>
      <c r="V5932" s="18"/>
      <c r="W5932" s="18"/>
      <c r="X5932" s="18"/>
    </row>
    <row r="5933" spans="13:24">
      <c r="M5933" s="558">
        <f t="shared" si="281"/>
        <v>5931</v>
      </c>
      <c r="N5933" s="15">
        <f t="shared" si="279"/>
        <v>0.16558761918376597</v>
      </c>
      <c r="O5933" s="165">
        <f t="shared" si="280"/>
        <v>0.16558761918376597</v>
      </c>
      <c r="P5933" s="18"/>
      <c r="Q5933" s="18"/>
      <c r="R5933" s="18"/>
      <c r="S5933" s="18"/>
      <c r="T5933" s="18"/>
      <c r="U5933" s="18"/>
      <c r="V5933" s="18"/>
      <c r="W5933" s="18"/>
      <c r="X5933" s="18"/>
    </row>
    <row r="5934" spans="13:24">
      <c r="M5934" s="558">
        <f t="shared" si="281"/>
        <v>5932</v>
      </c>
      <c r="N5934" s="15">
        <f t="shared" si="279"/>
        <v>0.16553592018453425</v>
      </c>
      <c r="O5934" s="165">
        <f t="shared" si="280"/>
        <v>0.16553592018453425</v>
      </c>
      <c r="P5934" s="18"/>
      <c r="Q5934" s="18"/>
      <c r="R5934" s="18"/>
      <c r="S5934" s="18"/>
      <c r="T5934" s="18"/>
      <c r="U5934" s="18"/>
      <c r="V5934" s="18"/>
      <c r="W5934" s="18"/>
      <c r="X5934" s="18"/>
    </row>
    <row r="5935" spans="13:24">
      <c r="M5935" s="558">
        <f t="shared" si="281"/>
        <v>5933</v>
      </c>
      <c r="N5935" s="15">
        <f t="shared" si="279"/>
        <v>0.165484221598342</v>
      </c>
      <c r="O5935" s="165">
        <f t="shared" si="280"/>
        <v>0.165484221598342</v>
      </c>
      <c r="P5935" s="18"/>
      <c r="Q5935" s="18"/>
      <c r="R5935" s="18"/>
      <c r="S5935" s="18"/>
      <c r="T5935" s="18"/>
      <c r="U5935" s="18"/>
      <c r="V5935" s="18"/>
      <c r="W5935" s="18"/>
      <c r="X5935" s="18"/>
    </row>
    <row r="5936" spans="13:24">
      <c r="M5936" s="558">
        <f t="shared" si="281"/>
        <v>5934</v>
      </c>
      <c r="N5936" s="15">
        <f t="shared" si="279"/>
        <v>0.16543252342467096</v>
      </c>
      <c r="O5936" s="165">
        <f t="shared" si="280"/>
        <v>0.16543252342467096</v>
      </c>
      <c r="P5936" s="18"/>
      <c r="Q5936" s="18"/>
      <c r="R5936" s="18"/>
      <c r="S5936" s="18"/>
      <c r="T5936" s="18"/>
      <c r="U5936" s="18"/>
      <c r="V5936" s="18"/>
      <c r="W5936" s="18"/>
      <c r="X5936" s="18"/>
    </row>
    <row r="5937" spans="13:24">
      <c r="M5937" s="558">
        <f t="shared" si="281"/>
        <v>5935</v>
      </c>
      <c r="N5937" s="15">
        <f t="shared" si="279"/>
        <v>0.16538082566300347</v>
      </c>
      <c r="O5937" s="165">
        <f t="shared" si="280"/>
        <v>0.16538082566300347</v>
      </c>
      <c r="P5937" s="18"/>
      <c r="Q5937" s="18"/>
      <c r="R5937" s="18"/>
      <c r="S5937" s="18"/>
      <c r="T5937" s="18"/>
      <c r="U5937" s="18"/>
      <c r="V5937" s="18"/>
      <c r="W5937" s="18"/>
      <c r="X5937" s="18"/>
    </row>
    <row r="5938" spans="13:24">
      <c r="M5938" s="558">
        <f t="shared" si="281"/>
        <v>5936</v>
      </c>
      <c r="N5938" s="15">
        <f t="shared" si="279"/>
        <v>0.1653291283128224</v>
      </c>
      <c r="O5938" s="165">
        <f t="shared" si="280"/>
        <v>0.1653291283128224</v>
      </c>
      <c r="P5938" s="18"/>
      <c r="Q5938" s="18"/>
      <c r="R5938" s="18"/>
      <c r="S5938" s="18"/>
      <c r="T5938" s="18"/>
      <c r="U5938" s="18"/>
      <c r="V5938" s="18"/>
      <c r="W5938" s="18"/>
      <c r="X5938" s="18"/>
    </row>
    <row r="5939" spans="13:24">
      <c r="M5939" s="558">
        <f t="shared" si="281"/>
        <v>5937</v>
      </c>
      <c r="N5939" s="15">
        <f t="shared" si="279"/>
        <v>0.16527743137361145</v>
      </c>
      <c r="O5939" s="165">
        <f t="shared" si="280"/>
        <v>0.16527743137361145</v>
      </c>
      <c r="P5939" s="18"/>
      <c r="Q5939" s="18"/>
      <c r="R5939" s="18"/>
      <c r="S5939" s="18"/>
      <c r="T5939" s="18"/>
      <c r="U5939" s="18"/>
      <c r="V5939" s="18"/>
      <c r="W5939" s="18"/>
      <c r="X5939" s="18"/>
    </row>
    <row r="5940" spans="13:24">
      <c r="M5940" s="558">
        <f t="shared" si="281"/>
        <v>5938</v>
      </c>
      <c r="N5940" s="15">
        <f t="shared" si="279"/>
        <v>0.16522573484485487</v>
      </c>
      <c r="O5940" s="165">
        <f t="shared" si="280"/>
        <v>0.16522573484485487</v>
      </c>
      <c r="P5940" s="18"/>
      <c r="Q5940" s="18"/>
      <c r="R5940" s="18"/>
      <c r="S5940" s="18"/>
      <c r="T5940" s="18"/>
      <c r="U5940" s="18"/>
      <c r="V5940" s="18"/>
      <c r="W5940" s="18"/>
      <c r="X5940" s="18"/>
    </row>
    <row r="5941" spans="13:24">
      <c r="M5941" s="558">
        <f t="shared" si="281"/>
        <v>5939</v>
      </c>
      <c r="N5941" s="15">
        <f t="shared" si="279"/>
        <v>0.16517403872603756</v>
      </c>
      <c r="O5941" s="165">
        <f t="shared" si="280"/>
        <v>0.16517403872603756</v>
      </c>
      <c r="P5941" s="18"/>
      <c r="Q5941" s="18"/>
      <c r="R5941" s="18"/>
      <c r="S5941" s="18"/>
      <c r="T5941" s="18"/>
      <c r="U5941" s="18"/>
      <c r="V5941" s="18"/>
      <c r="W5941" s="18"/>
      <c r="X5941" s="18"/>
    </row>
    <row r="5942" spans="13:24">
      <c r="M5942" s="558">
        <f t="shared" si="281"/>
        <v>5940</v>
      </c>
      <c r="N5942" s="15">
        <f t="shared" si="279"/>
        <v>0.16512234301664505</v>
      </c>
      <c r="O5942" s="165">
        <f t="shared" si="280"/>
        <v>0.16512234301664505</v>
      </c>
      <c r="P5942" s="18"/>
      <c r="Q5942" s="18"/>
      <c r="R5942" s="18"/>
      <c r="S5942" s="18"/>
      <c r="T5942" s="18"/>
      <c r="U5942" s="18"/>
      <c r="V5942" s="18"/>
      <c r="W5942" s="18"/>
      <c r="X5942" s="18"/>
    </row>
    <row r="5943" spans="13:24">
      <c r="M5943" s="558">
        <f t="shared" si="281"/>
        <v>5941</v>
      </c>
      <c r="N5943" s="15">
        <f t="shared" si="279"/>
        <v>0.16507064771616362</v>
      </c>
      <c r="O5943" s="165">
        <f t="shared" si="280"/>
        <v>0.16507064771616362</v>
      </c>
      <c r="P5943" s="18"/>
      <c r="Q5943" s="18"/>
      <c r="R5943" s="18"/>
      <c r="S5943" s="18"/>
      <c r="T5943" s="18"/>
      <c r="U5943" s="18"/>
      <c r="V5943" s="18"/>
      <c r="W5943" s="18"/>
      <c r="X5943" s="18"/>
    </row>
    <row r="5944" spans="13:24">
      <c r="M5944" s="558">
        <f t="shared" si="281"/>
        <v>5942</v>
      </c>
      <c r="N5944" s="15">
        <f t="shared" si="279"/>
        <v>0.16501895282408005</v>
      </c>
      <c r="O5944" s="165">
        <f t="shared" si="280"/>
        <v>0.16501895282408005</v>
      </c>
      <c r="P5944" s="18"/>
      <c r="Q5944" s="18"/>
      <c r="R5944" s="18"/>
      <c r="S5944" s="18"/>
      <c r="T5944" s="18"/>
      <c r="U5944" s="18"/>
      <c r="V5944" s="18"/>
      <c r="W5944" s="18"/>
      <c r="X5944" s="18"/>
    </row>
    <row r="5945" spans="13:24">
      <c r="M5945" s="558">
        <f t="shared" si="281"/>
        <v>5943</v>
      </c>
      <c r="N5945" s="15">
        <f t="shared" si="279"/>
        <v>0.16496725833988188</v>
      </c>
      <c r="O5945" s="165">
        <f t="shared" si="280"/>
        <v>0.16496725833988188</v>
      </c>
      <c r="P5945" s="18"/>
      <c r="Q5945" s="18"/>
      <c r="R5945" s="18"/>
      <c r="S5945" s="18"/>
      <c r="T5945" s="18"/>
      <c r="U5945" s="18"/>
      <c r="V5945" s="18"/>
      <c r="W5945" s="18"/>
      <c r="X5945" s="18"/>
    </row>
    <row r="5946" spans="13:24">
      <c r="M5946" s="558">
        <f t="shared" si="281"/>
        <v>5944</v>
      </c>
      <c r="N5946" s="15">
        <f t="shared" si="279"/>
        <v>0.1649155642630572</v>
      </c>
      <c r="O5946" s="165">
        <f t="shared" si="280"/>
        <v>0.1649155642630572</v>
      </c>
      <c r="P5946" s="18"/>
      <c r="Q5946" s="18"/>
      <c r="R5946" s="18"/>
      <c r="S5946" s="18"/>
      <c r="T5946" s="18"/>
      <c r="U5946" s="18"/>
      <c r="V5946" s="18"/>
      <c r="W5946" s="18"/>
      <c r="X5946" s="18"/>
    </row>
    <row r="5947" spans="13:24">
      <c r="M5947" s="558">
        <f t="shared" si="281"/>
        <v>5945</v>
      </c>
      <c r="N5947" s="15">
        <f t="shared" si="279"/>
        <v>0.16486387059309485</v>
      </c>
      <c r="O5947" s="165">
        <f t="shared" si="280"/>
        <v>0.16486387059309485</v>
      </c>
      <c r="P5947" s="18"/>
      <c r="Q5947" s="18"/>
      <c r="R5947" s="18"/>
      <c r="S5947" s="18"/>
      <c r="T5947" s="18"/>
      <c r="U5947" s="18"/>
      <c r="V5947" s="18"/>
      <c r="W5947" s="18"/>
      <c r="X5947" s="18"/>
    </row>
    <row r="5948" spans="13:24">
      <c r="M5948" s="558">
        <f t="shared" si="281"/>
        <v>5946</v>
      </c>
      <c r="N5948" s="15">
        <f t="shared" si="279"/>
        <v>0.16481217732948417</v>
      </c>
      <c r="O5948" s="165">
        <f t="shared" si="280"/>
        <v>0.16481217732948417</v>
      </c>
      <c r="P5948" s="18"/>
      <c r="Q5948" s="18"/>
      <c r="R5948" s="18"/>
      <c r="S5948" s="18"/>
      <c r="T5948" s="18"/>
      <c r="U5948" s="18"/>
      <c r="V5948" s="18"/>
      <c r="W5948" s="18"/>
      <c r="X5948" s="18"/>
    </row>
    <row r="5949" spans="13:24">
      <c r="M5949" s="558">
        <f t="shared" si="281"/>
        <v>5947</v>
      </c>
      <c r="N5949" s="15">
        <f t="shared" si="279"/>
        <v>0.16476048447171532</v>
      </c>
      <c r="O5949" s="165">
        <f t="shared" si="280"/>
        <v>0.16476048447171532</v>
      </c>
      <c r="P5949" s="18"/>
      <c r="Q5949" s="18"/>
      <c r="R5949" s="18"/>
      <c r="S5949" s="18"/>
      <c r="T5949" s="18"/>
      <c r="U5949" s="18"/>
      <c r="V5949" s="18"/>
      <c r="W5949" s="18"/>
      <c r="X5949" s="18"/>
    </row>
    <row r="5950" spans="13:24">
      <c r="M5950" s="558">
        <f t="shared" si="281"/>
        <v>5948</v>
      </c>
      <c r="N5950" s="15">
        <f t="shared" si="279"/>
        <v>0.1647087920192789</v>
      </c>
      <c r="O5950" s="165">
        <f t="shared" si="280"/>
        <v>0.1647087920192789</v>
      </c>
      <c r="P5950" s="18"/>
      <c r="Q5950" s="18"/>
      <c r="R5950" s="18"/>
      <c r="S5950" s="18"/>
      <c r="T5950" s="18"/>
      <c r="U5950" s="18"/>
      <c r="V5950" s="18"/>
      <c r="W5950" s="18"/>
      <c r="X5950" s="18"/>
    </row>
    <row r="5951" spans="13:24">
      <c r="M5951" s="558">
        <f t="shared" si="281"/>
        <v>5949</v>
      </c>
      <c r="N5951" s="15">
        <f t="shared" si="279"/>
        <v>0.1646570999716663</v>
      </c>
      <c r="O5951" s="165">
        <f t="shared" si="280"/>
        <v>0.1646570999716663</v>
      </c>
      <c r="P5951" s="18"/>
      <c r="Q5951" s="18"/>
      <c r="R5951" s="18"/>
      <c r="S5951" s="18"/>
      <c r="T5951" s="18"/>
      <c r="U5951" s="18"/>
      <c r="V5951" s="18"/>
      <c r="W5951" s="18"/>
      <c r="X5951" s="18"/>
    </row>
    <row r="5952" spans="13:24">
      <c r="M5952" s="558">
        <f t="shared" si="281"/>
        <v>5950</v>
      </c>
      <c r="N5952" s="15">
        <f t="shared" si="279"/>
        <v>0.16460540832836953</v>
      </c>
      <c r="O5952" s="165">
        <f t="shared" si="280"/>
        <v>0.16460540832836953</v>
      </c>
      <c r="P5952" s="18"/>
      <c r="Q5952" s="18"/>
      <c r="R5952" s="18"/>
      <c r="S5952" s="18"/>
      <c r="T5952" s="18"/>
      <c r="U5952" s="18"/>
      <c r="V5952" s="18"/>
      <c r="W5952" s="18"/>
      <c r="X5952" s="18"/>
    </row>
    <row r="5953" spans="13:24">
      <c r="M5953" s="558">
        <f t="shared" si="281"/>
        <v>5951</v>
      </c>
      <c r="N5953" s="15">
        <f t="shared" si="279"/>
        <v>0.16455371708888117</v>
      </c>
      <c r="O5953" s="165">
        <f t="shared" si="280"/>
        <v>0.16455371708888117</v>
      </c>
      <c r="P5953" s="18"/>
      <c r="Q5953" s="18"/>
      <c r="R5953" s="18"/>
      <c r="S5953" s="18"/>
      <c r="T5953" s="18"/>
      <c r="U5953" s="18"/>
      <c r="V5953" s="18"/>
      <c r="W5953" s="18"/>
      <c r="X5953" s="18"/>
    </row>
    <row r="5954" spans="13:24">
      <c r="M5954" s="558">
        <f t="shared" si="281"/>
        <v>5952</v>
      </c>
      <c r="N5954" s="15">
        <f t="shared" si="279"/>
        <v>0.16450202625269447</v>
      </c>
      <c r="O5954" s="165">
        <f t="shared" si="280"/>
        <v>0.16450202625269447</v>
      </c>
      <c r="P5954" s="18"/>
      <c r="Q5954" s="18"/>
      <c r="R5954" s="18"/>
      <c r="S5954" s="18"/>
      <c r="T5954" s="18"/>
      <c r="U5954" s="18"/>
      <c r="V5954" s="18"/>
      <c r="W5954" s="18"/>
      <c r="X5954" s="18"/>
    </row>
    <row r="5955" spans="13:24">
      <c r="M5955" s="558">
        <f t="shared" si="281"/>
        <v>5953</v>
      </c>
      <c r="N5955" s="15">
        <f t="shared" si="279"/>
        <v>0.16445033581930332</v>
      </c>
      <c r="O5955" s="165">
        <f t="shared" si="280"/>
        <v>0.16445033581930332</v>
      </c>
      <c r="P5955" s="18"/>
      <c r="Q5955" s="18"/>
      <c r="R5955" s="18"/>
      <c r="S5955" s="18"/>
      <c r="T5955" s="18"/>
      <c r="U5955" s="18"/>
      <c r="V5955" s="18"/>
      <c r="W5955" s="18"/>
      <c r="X5955" s="18"/>
    </row>
    <row r="5956" spans="13:24">
      <c r="M5956" s="558">
        <f t="shared" si="281"/>
        <v>5954</v>
      </c>
      <c r="N5956" s="15">
        <f t="shared" ref="N5956:N6019" si="282">IF(M5956&lt;$B$31+1,$B$32+$B$33/$B$31*(8760-M5956)+$B$34*IF(M5956&lt;$B$36-$B$31/(2*$B$35),1,IF(M5956&lt;$B$36+$B$31/(2*$B$35),COS(PI()/2*(M5956-($B$36-$B$31/(2*$B$35)))*$B$35/$B$31)^2,0))+$B$37*EXP((8760-M5956)/8760*$B$38)/EXP($B$38)-(8760-$B$31)*$B$33/$B$31,0)</f>
        <v>0.16439864578820226</v>
      </c>
      <c r="O5956" s="165">
        <f t="shared" ref="O5956:O6019" si="283">MIN(N5956,C$24)</f>
        <v>0.16439864578820226</v>
      </c>
      <c r="P5956" s="18"/>
      <c r="Q5956" s="18"/>
      <c r="R5956" s="18"/>
      <c r="S5956" s="18"/>
      <c r="T5956" s="18"/>
      <c r="U5956" s="18"/>
      <c r="V5956" s="18"/>
      <c r="W5956" s="18"/>
      <c r="X5956" s="18"/>
    </row>
    <row r="5957" spans="13:24">
      <c r="M5957" s="558">
        <f t="shared" ref="M5957:M6020" si="284">M5956+1</f>
        <v>5955</v>
      </c>
      <c r="N5957" s="15">
        <f t="shared" si="282"/>
        <v>0.16434695615888642</v>
      </c>
      <c r="O5957" s="165">
        <f t="shared" si="283"/>
        <v>0.16434695615888642</v>
      </c>
      <c r="P5957" s="18"/>
      <c r="Q5957" s="18"/>
      <c r="R5957" s="18"/>
      <c r="S5957" s="18"/>
      <c r="T5957" s="18"/>
      <c r="U5957" s="18"/>
      <c r="V5957" s="18"/>
      <c r="W5957" s="18"/>
      <c r="X5957" s="18"/>
    </row>
    <row r="5958" spans="13:24">
      <c r="M5958" s="558">
        <f t="shared" si="284"/>
        <v>5956</v>
      </c>
      <c r="N5958" s="15">
        <f t="shared" si="282"/>
        <v>0.16429526693085164</v>
      </c>
      <c r="O5958" s="165">
        <f t="shared" si="283"/>
        <v>0.16429526693085164</v>
      </c>
      <c r="P5958" s="18"/>
      <c r="Q5958" s="18"/>
      <c r="R5958" s="18"/>
      <c r="S5958" s="18"/>
      <c r="T5958" s="18"/>
      <c r="U5958" s="18"/>
      <c r="V5958" s="18"/>
      <c r="W5958" s="18"/>
      <c r="X5958" s="18"/>
    </row>
    <row r="5959" spans="13:24">
      <c r="M5959" s="558">
        <f t="shared" si="284"/>
        <v>5957</v>
      </c>
      <c r="N5959" s="15">
        <f t="shared" si="282"/>
        <v>0.16424357810359427</v>
      </c>
      <c r="O5959" s="165">
        <f t="shared" si="283"/>
        <v>0.16424357810359427</v>
      </c>
      <c r="P5959" s="18"/>
      <c r="Q5959" s="18"/>
      <c r="R5959" s="18"/>
      <c r="S5959" s="18"/>
      <c r="T5959" s="18"/>
      <c r="U5959" s="18"/>
      <c r="V5959" s="18"/>
      <c r="W5959" s="18"/>
      <c r="X5959" s="18"/>
    </row>
    <row r="5960" spans="13:24">
      <c r="M5960" s="558">
        <f t="shared" si="284"/>
        <v>5958</v>
      </c>
      <c r="N5960" s="15">
        <f t="shared" si="282"/>
        <v>0.16419188967661144</v>
      </c>
      <c r="O5960" s="165">
        <f t="shared" si="283"/>
        <v>0.16419188967661144</v>
      </c>
      <c r="P5960" s="18"/>
      <c r="Q5960" s="18"/>
      <c r="R5960" s="18"/>
      <c r="S5960" s="18"/>
      <c r="T5960" s="18"/>
      <c r="U5960" s="18"/>
      <c r="V5960" s="18"/>
      <c r="W5960" s="18"/>
      <c r="X5960" s="18"/>
    </row>
    <row r="5961" spans="13:24">
      <c r="M5961" s="558">
        <f t="shared" si="284"/>
        <v>5959</v>
      </c>
      <c r="N5961" s="15">
        <f t="shared" si="282"/>
        <v>0.1641402016494008</v>
      </c>
      <c r="O5961" s="165">
        <f t="shared" si="283"/>
        <v>0.1641402016494008</v>
      </c>
      <c r="P5961" s="18"/>
      <c r="Q5961" s="18"/>
      <c r="R5961" s="18"/>
      <c r="S5961" s="18"/>
      <c r="T5961" s="18"/>
      <c r="U5961" s="18"/>
      <c r="V5961" s="18"/>
      <c r="W5961" s="18"/>
      <c r="X5961" s="18"/>
    </row>
    <row r="5962" spans="13:24">
      <c r="M5962" s="558">
        <f t="shared" si="284"/>
        <v>5960</v>
      </c>
      <c r="N5962" s="15">
        <f t="shared" si="282"/>
        <v>0.16408851402146069</v>
      </c>
      <c r="O5962" s="165">
        <f t="shared" si="283"/>
        <v>0.16408851402146069</v>
      </c>
      <c r="P5962" s="18"/>
      <c r="Q5962" s="18"/>
      <c r="R5962" s="18"/>
      <c r="S5962" s="18"/>
      <c r="T5962" s="18"/>
      <c r="U5962" s="18"/>
      <c r="V5962" s="18"/>
      <c r="W5962" s="18"/>
      <c r="X5962" s="18"/>
    </row>
    <row r="5963" spans="13:24">
      <c r="M5963" s="558">
        <f t="shared" si="284"/>
        <v>5961</v>
      </c>
      <c r="N5963" s="15">
        <f t="shared" si="282"/>
        <v>0.16403682679229001</v>
      </c>
      <c r="O5963" s="165">
        <f t="shared" si="283"/>
        <v>0.16403682679229001</v>
      </c>
      <c r="P5963" s="18"/>
      <c r="Q5963" s="18"/>
      <c r="R5963" s="18"/>
      <c r="S5963" s="18"/>
      <c r="T5963" s="18"/>
      <c r="U5963" s="18"/>
      <c r="V5963" s="18"/>
      <c r="W5963" s="18"/>
      <c r="X5963" s="18"/>
    </row>
    <row r="5964" spans="13:24">
      <c r="M5964" s="558">
        <f t="shared" si="284"/>
        <v>5962</v>
      </c>
      <c r="N5964" s="15">
        <f t="shared" si="282"/>
        <v>0.16398513996138842</v>
      </c>
      <c r="O5964" s="165">
        <f t="shared" si="283"/>
        <v>0.16398513996138842</v>
      </c>
      <c r="P5964" s="18"/>
      <c r="Q5964" s="18"/>
      <c r="R5964" s="18"/>
      <c r="S5964" s="18"/>
      <c r="T5964" s="18"/>
      <c r="U5964" s="18"/>
      <c r="V5964" s="18"/>
      <c r="W5964" s="18"/>
      <c r="X5964" s="18"/>
    </row>
    <row r="5965" spans="13:24">
      <c r="M5965" s="558">
        <f t="shared" si="284"/>
        <v>5963</v>
      </c>
      <c r="N5965" s="15">
        <f t="shared" si="282"/>
        <v>0.16393345352825603</v>
      </c>
      <c r="O5965" s="165">
        <f t="shared" si="283"/>
        <v>0.16393345352825603</v>
      </c>
      <c r="P5965" s="18"/>
      <c r="Q5965" s="18"/>
      <c r="R5965" s="18"/>
      <c r="S5965" s="18"/>
      <c r="T5965" s="18"/>
      <c r="U5965" s="18"/>
      <c r="V5965" s="18"/>
      <c r="W5965" s="18"/>
      <c r="X5965" s="18"/>
    </row>
    <row r="5966" spans="13:24">
      <c r="M5966" s="558">
        <f t="shared" si="284"/>
        <v>5964</v>
      </c>
      <c r="N5966" s="15">
        <f t="shared" si="282"/>
        <v>0.16388176749239372</v>
      </c>
      <c r="O5966" s="165">
        <f t="shared" si="283"/>
        <v>0.16388176749239372</v>
      </c>
      <c r="P5966" s="18"/>
      <c r="Q5966" s="18"/>
      <c r="R5966" s="18"/>
      <c r="S5966" s="18"/>
      <c r="T5966" s="18"/>
      <c r="U5966" s="18"/>
      <c r="V5966" s="18"/>
      <c r="W5966" s="18"/>
      <c r="X5966" s="18"/>
    </row>
    <row r="5967" spans="13:24">
      <c r="M5967" s="558">
        <f t="shared" si="284"/>
        <v>5965</v>
      </c>
      <c r="N5967" s="15">
        <f t="shared" si="282"/>
        <v>0.16383008185330297</v>
      </c>
      <c r="O5967" s="165">
        <f t="shared" si="283"/>
        <v>0.16383008185330297</v>
      </c>
      <c r="P5967" s="18"/>
      <c r="Q5967" s="18"/>
      <c r="R5967" s="18"/>
      <c r="S5967" s="18"/>
      <c r="T5967" s="18"/>
      <c r="U5967" s="18"/>
      <c r="V5967" s="18"/>
      <c r="W5967" s="18"/>
      <c r="X5967" s="18"/>
    </row>
    <row r="5968" spans="13:24">
      <c r="M5968" s="558">
        <f t="shared" si="284"/>
        <v>5966</v>
      </c>
      <c r="N5968" s="15">
        <f t="shared" si="282"/>
        <v>0.16377839661048579</v>
      </c>
      <c r="O5968" s="165">
        <f t="shared" si="283"/>
        <v>0.16377839661048579</v>
      </c>
      <c r="P5968" s="18"/>
      <c r="Q5968" s="18"/>
      <c r="R5968" s="18"/>
      <c r="S5968" s="18"/>
      <c r="T5968" s="18"/>
      <c r="U5968" s="18"/>
      <c r="V5968" s="18"/>
      <c r="W5968" s="18"/>
      <c r="X5968" s="18"/>
    </row>
    <row r="5969" spans="13:24">
      <c r="M5969" s="558">
        <f t="shared" si="284"/>
        <v>5967</v>
      </c>
      <c r="N5969" s="15">
        <f t="shared" si="282"/>
        <v>0.163726711763445</v>
      </c>
      <c r="O5969" s="165">
        <f t="shared" si="283"/>
        <v>0.163726711763445</v>
      </c>
      <c r="P5969" s="18"/>
      <c r="Q5969" s="18"/>
      <c r="R5969" s="18"/>
      <c r="S5969" s="18"/>
      <c r="T5969" s="18"/>
      <c r="U5969" s="18"/>
      <c r="V5969" s="18"/>
      <c r="W5969" s="18"/>
      <c r="X5969" s="18"/>
    </row>
    <row r="5970" spans="13:24">
      <c r="M5970" s="558">
        <f t="shared" si="284"/>
        <v>5968</v>
      </c>
      <c r="N5970" s="15">
        <f t="shared" si="282"/>
        <v>0.16367502731168382</v>
      </c>
      <c r="O5970" s="165">
        <f t="shared" si="283"/>
        <v>0.16367502731168382</v>
      </c>
      <c r="P5970" s="18"/>
      <c r="Q5970" s="18"/>
      <c r="R5970" s="18"/>
      <c r="S5970" s="18"/>
      <c r="T5970" s="18"/>
      <c r="U5970" s="18"/>
      <c r="V5970" s="18"/>
      <c r="W5970" s="18"/>
      <c r="X5970" s="18"/>
    </row>
    <row r="5971" spans="13:24">
      <c r="M5971" s="558">
        <f t="shared" si="284"/>
        <v>5969</v>
      </c>
      <c r="N5971" s="15">
        <f t="shared" si="282"/>
        <v>0.16362334325470629</v>
      </c>
      <c r="O5971" s="165">
        <f t="shared" si="283"/>
        <v>0.16362334325470629</v>
      </c>
      <c r="P5971" s="18"/>
      <c r="Q5971" s="18"/>
      <c r="R5971" s="18"/>
      <c r="S5971" s="18"/>
      <c r="T5971" s="18"/>
      <c r="U5971" s="18"/>
      <c r="V5971" s="18"/>
      <c r="W5971" s="18"/>
      <c r="X5971" s="18"/>
    </row>
    <row r="5972" spans="13:24">
      <c r="M5972" s="558">
        <f t="shared" si="284"/>
        <v>5970</v>
      </c>
      <c r="N5972" s="15">
        <f t="shared" si="282"/>
        <v>0.16357165959201692</v>
      </c>
      <c r="O5972" s="165">
        <f t="shared" si="283"/>
        <v>0.16357165959201692</v>
      </c>
      <c r="P5972" s="18"/>
      <c r="Q5972" s="18"/>
      <c r="R5972" s="18"/>
      <c r="S5972" s="18"/>
      <c r="T5972" s="18"/>
      <c r="U5972" s="18"/>
      <c r="V5972" s="18"/>
      <c r="W5972" s="18"/>
      <c r="X5972" s="18"/>
    </row>
    <row r="5973" spans="13:24">
      <c r="M5973" s="558">
        <f t="shared" si="284"/>
        <v>5971</v>
      </c>
      <c r="N5973" s="15">
        <f t="shared" si="282"/>
        <v>0.16351997632312096</v>
      </c>
      <c r="O5973" s="165">
        <f t="shared" si="283"/>
        <v>0.16351997632312096</v>
      </c>
      <c r="P5973" s="18"/>
      <c r="Q5973" s="18"/>
      <c r="R5973" s="18"/>
      <c r="S5973" s="18"/>
      <c r="T5973" s="18"/>
      <c r="U5973" s="18"/>
      <c r="V5973" s="18"/>
      <c r="W5973" s="18"/>
      <c r="X5973" s="18"/>
    </row>
    <row r="5974" spans="13:24">
      <c r="M5974" s="558">
        <f t="shared" si="284"/>
        <v>5972</v>
      </c>
      <c r="N5974" s="15">
        <f t="shared" si="282"/>
        <v>0.16346829344752417</v>
      </c>
      <c r="O5974" s="165">
        <f t="shared" si="283"/>
        <v>0.16346829344752417</v>
      </c>
      <c r="P5974" s="18"/>
      <c r="Q5974" s="18"/>
      <c r="R5974" s="18"/>
      <c r="S5974" s="18"/>
      <c r="T5974" s="18"/>
      <c r="U5974" s="18"/>
      <c r="V5974" s="18"/>
      <c r="W5974" s="18"/>
      <c r="X5974" s="18"/>
    </row>
    <row r="5975" spans="13:24">
      <c r="M5975" s="558">
        <f t="shared" si="284"/>
        <v>5973</v>
      </c>
      <c r="N5975" s="15">
        <f t="shared" si="282"/>
        <v>0.16341661096473309</v>
      </c>
      <c r="O5975" s="165">
        <f t="shared" si="283"/>
        <v>0.16341661096473309</v>
      </c>
      <c r="P5975" s="18"/>
      <c r="Q5975" s="18"/>
      <c r="R5975" s="18"/>
      <c r="S5975" s="18"/>
      <c r="T5975" s="18"/>
      <c r="U5975" s="18"/>
      <c r="V5975" s="18"/>
      <c r="W5975" s="18"/>
      <c r="X5975" s="18"/>
    </row>
    <row r="5976" spans="13:24">
      <c r="M5976" s="558">
        <f t="shared" si="284"/>
        <v>5974</v>
      </c>
      <c r="N5976" s="15">
        <f t="shared" si="282"/>
        <v>0.16336492887425469</v>
      </c>
      <c r="O5976" s="165">
        <f t="shared" si="283"/>
        <v>0.16336492887425469</v>
      </c>
      <c r="P5976" s="18"/>
      <c r="Q5976" s="18"/>
      <c r="R5976" s="18"/>
      <c r="S5976" s="18"/>
      <c r="T5976" s="18"/>
      <c r="U5976" s="18"/>
      <c r="V5976" s="18"/>
      <c r="W5976" s="18"/>
      <c r="X5976" s="18"/>
    </row>
    <row r="5977" spans="13:24">
      <c r="M5977" s="558">
        <f t="shared" si="284"/>
        <v>5975</v>
      </c>
      <c r="N5977" s="15">
        <f t="shared" si="282"/>
        <v>0.16331324717559673</v>
      </c>
      <c r="O5977" s="165">
        <f t="shared" si="283"/>
        <v>0.16331324717559673</v>
      </c>
      <c r="P5977" s="18"/>
      <c r="Q5977" s="18"/>
      <c r="R5977" s="18"/>
      <c r="S5977" s="18"/>
      <c r="T5977" s="18"/>
      <c r="U5977" s="18"/>
      <c r="V5977" s="18"/>
      <c r="W5977" s="18"/>
      <c r="X5977" s="18"/>
    </row>
    <row r="5978" spans="13:24">
      <c r="M5978" s="558">
        <f t="shared" si="284"/>
        <v>5976</v>
      </c>
      <c r="N5978" s="15">
        <f t="shared" si="282"/>
        <v>0.1632615658682674</v>
      </c>
      <c r="O5978" s="165">
        <f t="shared" si="283"/>
        <v>0.1632615658682674</v>
      </c>
      <c r="P5978" s="18"/>
      <c r="Q5978" s="18"/>
      <c r="R5978" s="18"/>
      <c r="S5978" s="18"/>
      <c r="T5978" s="18"/>
      <c r="U5978" s="18"/>
      <c r="V5978" s="18"/>
      <c r="W5978" s="18"/>
      <c r="X5978" s="18"/>
    </row>
    <row r="5979" spans="13:24">
      <c r="M5979" s="558">
        <f t="shared" si="284"/>
        <v>5977</v>
      </c>
      <c r="N5979" s="15">
        <f t="shared" si="282"/>
        <v>0.16320988495177574</v>
      </c>
      <c r="O5979" s="165">
        <f t="shared" si="283"/>
        <v>0.16320988495177574</v>
      </c>
      <c r="P5979" s="18"/>
      <c r="Q5979" s="18"/>
      <c r="R5979" s="18"/>
      <c r="S5979" s="18"/>
      <c r="T5979" s="18"/>
      <c r="U5979" s="18"/>
      <c r="V5979" s="18"/>
      <c r="W5979" s="18"/>
      <c r="X5979" s="18"/>
    </row>
    <row r="5980" spans="13:24">
      <c r="M5980" s="558">
        <f t="shared" si="284"/>
        <v>5978</v>
      </c>
      <c r="N5980" s="15">
        <f t="shared" si="282"/>
        <v>0.16315820442563114</v>
      </c>
      <c r="O5980" s="165">
        <f t="shared" si="283"/>
        <v>0.16315820442563114</v>
      </c>
      <c r="P5980" s="18"/>
      <c r="Q5980" s="18"/>
      <c r="R5980" s="18"/>
      <c r="S5980" s="18"/>
      <c r="T5980" s="18"/>
      <c r="U5980" s="18"/>
      <c r="V5980" s="18"/>
      <c r="W5980" s="18"/>
      <c r="X5980" s="18"/>
    </row>
    <row r="5981" spans="13:24">
      <c r="M5981" s="558">
        <f t="shared" si="284"/>
        <v>5979</v>
      </c>
      <c r="N5981" s="15">
        <f t="shared" si="282"/>
        <v>0.16310652428934386</v>
      </c>
      <c r="O5981" s="165">
        <f t="shared" si="283"/>
        <v>0.16310652428934386</v>
      </c>
      <c r="P5981" s="18"/>
      <c r="Q5981" s="18"/>
      <c r="R5981" s="18"/>
      <c r="S5981" s="18"/>
      <c r="T5981" s="18"/>
      <c r="U5981" s="18"/>
      <c r="V5981" s="18"/>
      <c r="W5981" s="18"/>
      <c r="X5981" s="18"/>
    </row>
    <row r="5982" spans="13:24">
      <c r="M5982" s="558">
        <f t="shared" si="284"/>
        <v>5980</v>
      </c>
      <c r="N5982" s="15">
        <f t="shared" si="282"/>
        <v>0.16305484454242464</v>
      </c>
      <c r="O5982" s="165">
        <f t="shared" si="283"/>
        <v>0.16305484454242464</v>
      </c>
      <c r="P5982" s="18"/>
      <c r="Q5982" s="18"/>
      <c r="R5982" s="18"/>
      <c r="S5982" s="18"/>
      <c r="T5982" s="18"/>
      <c r="U5982" s="18"/>
      <c r="V5982" s="18"/>
      <c r="W5982" s="18"/>
      <c r="X5982" s="18"/>
    </row>
    <row r="5983" spans="13:24">
      <c r="M5983" s="558">
        <f t="shared" si="284"/>
        <v>5981</v>
      </c>
      <c r="N5983" s="15">
        <f t="shared" si="282"/>
        <v>0.16300316518438479</v>
      </c>
      <c r="O5983" s="165">
        <f t="shared" si="283"/>
        <v>0.16300316518438479</v>
      </c>
      <c r="P5983" s="18"/>
      <c r="Q5983" s="18"/>
      <c r="R5983" s="18"/>
      <c r="S5983" s="18"/>
      <c r="T5983" s="18"/>
      <c r="U5983" s="18"/>
      <c r="V5983" s="18"/>
      <c r="W5983" s="18"/>
      <c r="X5983" s="18"/>
    </row>
    <row r="5984" spans="13:24">
      <c r="M5984" s="558">
        <f t="shared" si="284"/>
        <v>5982</v>
      </c>
      <c r="N5984" s="15">
        <f t="shared" si="282"/>
        <v>0.16295148621473637</v>
      </c>
      <c r="O5984" s="165">
        <f t="shared" si="283"/>
        <v>0.16295148621473637</v>
      </c>
      <c r="P5984" s="18"/>
      <c r="Q5984" s="18"/>
      <c r="R5984" s="18"/>
      <c r="S5984" s="18"/>
      <c r="T5984" s="18"/>
      <c r="U5984" s="18"/>
      <c r="V5984" s="18"/>
      <c r="W5984" s="18"/>
      <c r="X5984" s="18"/>
    </row>
    <row r="5985" spans="13:24">
      <c r="M5985" s="558">
        <f t="shared" si="284"/>
        <v>5983</v>
      </c>
      <c r="N5985" s="15">
        <f t="shared" si="282"/>
        <v>0.16289980763299194</v>
      </c>
      <c r="O5985" s="165">
        <f t="shared" si="283"/>
        <v>0.16289980763299194</v>
      </c>
      <c r="P5985" s="18"/>
      <c r="Q5985" s="18"/>
      <c r="R5985" s="18"/>
      <c r="S5985" s="18"/>
      <c r="T5985" s="18"/>
      <c r="U5985" s="18"/>
      <c r="V5985" s="18"/>
      <c r="W5985" s="18"/>
      <c r="X5985" s="18"/>
    </row>
    <row r="5986" spans="13:24">
      <c r="M5986" s="558">
        <f t="shared" si="284"/>
        <v>5984</v>
      </c>
      <c r="N5986" s="15">
        <f t="shared" si="282"/>
        <v>0.16284812943866475</v>
      </c>
      <c r="O5986" s="165">
        <f t="shared" si="283"/>
        <v>0.16284812943866475</v>
      </c>
      <c r="P5986" s="18"/>
      <c r="Q5986" s="18"/>
      <c r="R5986" s="18"/>
      <c r="S5986" s="18"/>
      <c r="T5986" s="18"/>
      <c r="U5986" s="18"/>
      <c r="V5986" s="18"/>
      <c r="W5986" s="18"/>
      <c r="X5986" s="18"/>
    </row>
    <row r="5987" spans="13:24">
      <c r="M5987" s="558">
        <f t="shared" si="284"/>
        <v>5985</v>
      </c>
      <c r="N5987" s="15">
        <f t="shared" si="282"/>
        <v>0.16279645163126857</v>
      </c>
      <c r="O5987" s="165">
        <f t="shared" si="283"/>
        <v>0.16279645163126857</v>
      </c>
      <c r="P5987" s="18"/>
      <c r="Q5987" s="18"/>
      <c r="R5987" s="18"/>
      <c r="S5987" s="18"/>
      <c r="T5987" s="18"/>
      <c r="U5987" s="18"/>
      <c r="V5987" s="18"/>
      <c r="W5987" s="18"/>
      <c r="X5987" s="18"/>
    </row>
    <row r="5988" spans="13:24">
      <c r="M5988" s="558">
        <f t="shared" si="284"/>
        <v>5986</v>
      </c>
      <c r="N5988" s="15">
        <f t="shared" si="282"/>
        <v>0.16274477421031788</v>
      </c>
      <c r="O5988" s="165">
        <f t="shared" si="283"/>
        <v>0.16274477421031788</v>
      </c>
      <c r="P5988" s="18"/>
      <c r="Q5988" s="18"/>
      <c r="R5988" s="18"/>
      <c r="S5988" s="18"/>
      <c r="T5988" s="18"/>
      <c r="U5988" s="18"/>
      <c r="V5988" s="18"/>
      <c r="W5988" s="18"/>
      <c r="X5988" s="18"/>
    </row>
    <row r="5989" spans="13:24">
      <c r="M5989" s="558">
        <f t="shared" si="284"/>
        <v>5987</v>
      </c>
      <c r="N5989" s="15">
        <f t="shared" si="282"/>
        <v>0.16269309717532768</v>
      </c>
      <c r="O5989" s="165">
        <f t="shared" si="283"/>
        <v>0.16269309717532768</v>
      </c>
      <c r="P5989" s="18"/>
      <c r="Q5989" s="18"/>
      <c r="R5989" s="18"/>
      <c r="S5989" s="18"/>
      <c r="T5989" s="18"/>
      <c r="U5989" s="18"/>
      <c r="V5989" s="18"/>
      <c r="W5989" s="18"/>
      <c r="X5989" s="18"/>
    </row>
    <row r="5990" spans="13:24">
      <c r="M5990" s="558">
        <f t="shared" si="284"/>
        <v>5988</v>
      </c>
      <c r="N5990" s="15">
        <f t="shared" si="282"/>
        <v>0.16264142052581368</v>
      </c>
      <c r="O5990" s="165">
        <f t="shared" si="283"/>
        <v>0.16264142052581368</v>
      </c>
      <c r="P5990" s="18"/>
      <c r="Q5990" s="18"/>
      <c r="R5990" s="18"/>
      <c r="S5990" s="18"/>
      <c r="T5990" s="18"/>
      <c r="U5990" s="18"/>
      <c r="V5990" s="18"/>
      <c r="W5990" s="18"/>
      <c r="X5990" s="18"/>
    </row>
    <row r="5991" spans="13:24">
      <c r="M5991" s="558">
        <f t="shared" si="284"/>
        <v>5989</v>
      </c>
      <c r="N5991" s="15">
        <f t="shared" si="282"/>
        <v>0.16258974426129205</v>
      </c>
      <c r="O5991" s="165">
        <f t="shared" si="283"/>
        <v>0.16258974426129205</v>
      </c>
      <c r="P5991" s="18"/>
      <c r="Q5991" s="18"/>
      <c r="R5991" s="18"/>
      <c r="S5991" s="18"/>
      <c r="T5991" s="18"/>
      <c r="U5991" s="18"/>
      <c r="V5991" s="18"/>
      <c r="W5991" s="18"/>
      <c r="X5991" s="18"/>
    </row>
    <row r="5992" spans="13:24">
      <c r="M5992" s="558">
        <f t="shared" si="284"/>
        <v>5990</v>
      </c>
      <c r="N5992" s="15">
        <f t="shared" si="282"/>
        <v>0.16253806838127977</v>
      </c>
      <c r="O5992" s="165">
        <f t="shared" si="283"/>
        <v>0.16253806838127977</v>
      </c>
      <c r="P5992" s="18"/>
      <c r="Q5992" s="18"/>
      <c r="R5992" s="18"/>
      <c r="S5992" s="18"/>
      <c r="T5992" s="18"/>
      <c r="U5992" s="18"/>
      <c r="V5992" s="18"/>
      <c r="W5992" s="18"/>
      <c r="X5992" s="18"/>
    </row>
    <row r="5993" spans="13:24">
      <c r="M5993" s="558">
        <f t="shared" si="284"/>
        <v>5991</v>
      </c>
      <c r="N5993" s="15">
        <f t="shared" si="282"/>
        <v>0.16248639288529418</v>
      </c>
      <c r="O5993" s="165">
        <f t="shared" si="283"/>
        <v>0.16248639288529418</v>
      </c>
      <c r="P5993" s="18"/>
      <c r="Q5993" s="18"/>
      <c r="R5993" s="18"/>
      <c r="S5993" s="18"/>
      <c r="T5993" s="18"/>
      <c r="U5993" s="18"/>
      <c r="V5993" s="18"/>
      <c r="W5993" s="18"/>
      <c r="X5993" s="18"/>
    </row>
    <row r="5994" spans="13:24">
      <c r="M5994" s="558">
        <f t="shared" si="284"/>
        <v>5992</v>
      </c>
      <c r="N5994" s="15">
        <f t="shared" si="282"/>
        <v>0.16243471777285345</v>
      </c>
      <c r="O5994" s="165">
        <f t="shared" si="283"/>
        <v>0.16243471777285345</v>
      </c>
      <c r="P5994" s="18"/>
      <c r="Q5994" s="18"/>
      <c r="R5994" s="18"/>
      <c r="S5994" s="18"/>
      <c r="T5994" s="18"/>
      <c r="U5994" s="18"/>
      <c r="V5994" s="18"/>
      <c r="W5994" s="18"/>
      <c r="X5994" s="18"/>
    </row>
    <row r="5995" spans="13:24">
      <c r="M5995" s="558">
        <f t="shared" si="284"/>
        <v>5993</v>
      </c>
      <c r="N5995" s="15">
        <f t="shared" si="282"/>
        <v>0.16238304304347623</v>
      </c>
      <c r="O5995" s="165">
        <f t="shared" si="283"/>
        <v>0.16238304304347623</v>
      </c>
      <c r="P5995" s="18"/>
      <c r="Q5995" s="18"/>
      <c r="R5995" s="18"/>
      <c r="S5995" s="18"/>
      <c r="T5995" s="18"/>
      <c r="U5995" s="18"/>
      <c r="V5995" s="18"/>
      <c r="W5995" s="18"/>
      <c r="X5995" s="18"/>
    </row>
    <row r="5996" spans="13:24">
      <c r="M5996" s="558">
        <f t="shared" si="284"/>
        <v>5994</v>
      </c>
      <c r="N5996" s="15">
        <f t="shared" si="282"/>
        <v>0.16233136869668183</v>
      </c>
      <c r="O5996" s="165">
        <f t="shared" si="283"/>
        <v>0.16233136869668183</v>
      </c>
      <c r="P5996" s="18"/>
      <c r="Q5996" s="18"/>
      <c r="R5996" s="18"/>
      <c r="S5996" s="18"/>
      <c r="T5996" s="18"/>
      <c r="U5996" s="18"/>
      <c r="V5996" s="18"/>
      <c r="W5996" s="18"/>
      <c r="X5996" s="18"/>
    </row>
    <row r="5997" spans="13:24">
      <c r="M5997" s="558">
        <f t="shared" si="284"/>
        <v>5995</v>
      </c>
      <c r="N5997" s="15">
        <f t="shared" si="282"/>
        <v>0.16227969473199011</v>
      </c>
      <c r="O5997" s="165">
        <f t="shared" si="283"/>
        <v>0.16227969473199011</v>
      </c>
      <c r="P5997" s="18"/>
      <c r="Q5997" s="18"/>
      <c r="R5997" s="18"/>
      <c r="S5997" s="18"/>
      <c r="T5997" s="18"/>
      <c r="U5997" s="18"/>
      <c r="V5997" s="18"/>
      <c r="W5997" s="18"/>
      <c r="X5997" s="18"/>
    </row>
    <row r="5998" spans="13:24">
      <c r="M5998" s="558">
        <f t="shared" si="284"/>
        <v>5996</v>
      </c>
      <c r="N5998" s="15">
        <f t="shared" si="282"/>
        <v>0.16222802114892157</v>
      </c>
      <c r="O5998" s="165">
        <f t="shared" si="283"/>
        <v>0.16222802114892157</v>
      </c>
      <c r="P5998" s="18"/>
      <c r="Q5998" s="18"/>
      <c r="R5998" s="18"/>
      <c r="S5998" s="18"/>
      <c r="T5998" s="18"/>
      <c r="U5998" s="18"/>
      <c r="V5998" s="18"/>
      <c r="W5998" s="18"/>
      <c r="X5998" s="18"/>
    </row>
    <row r="5999" spans="13:24">
      <c r="M5999" s="558">
        <f t="shared" si="284"/>
        <v>5997</v>
      </c>
      <c r="N5999" s="15">
        <f t="shared" si="282"/>
        <v>0.16217634794699734</v>
      </c>
      <c r="O5999" s="165">
        <f t="shared" si="283"/>
        <v>0.16217634794699734</v>
      </c>
      <c r="P5999" s="18"/>
      <c r="Q5999" s="18"/>
      <c r="R5999" s="18"/>
      <c r="S5999" s="18"/>
      <c r="T5999" s="18"/>
      <c r="U5999" s="18"/>
      <c r="V5999" s="18"/>
      <c r="W5999" s="18"/>
      <c r="X5999" s="18"/>
    </row>
    <row r="6000" spans="13:24">
      <c r="M6000" s="558">
        <f t="shared" si="284"/>
        <v>5998</v>
      </c>
      <c r="N6000" s="15">
        <f t="shared" si="282"/>
        <v>0.16212467512573903</v>
      </c>
      <c r="O6000" s="165">
        <f t="shared" si="283"/>
        <v>0.16212467512573903</v>
      </c>
      <c r="P6000" s="18"/>
      <c r="Q6000" s="18"/>
      <c r="R6000" s="18"/>
      <c r="S6000" s="18"/>
      <c r="T6000" s="18"/>
      <c r="U6000" s="18"/>
      <c r="V6000" s="18"/>
      <c r="W6000" s="18"/>
      <c r="X6000" s="18"/>
    </row>
    <row r="6001" spans="13:24">
      <c r="M6001" s="558">
        <f t="shared" si="284"/>
        <v>5999</v>
      </c>
      <c r="N6001" s="15">
        <f t="shared" si="282"/>
        <v>0.16207300268466904</v>
      </c>
      <c r="O6001" s="165">
        <f t="shared" si="283"/>
        <v>0.16207300268466904</v>
      </c>
      <c r="P6001" s="18"/>
      <c r="Q6001" s="18"/>
      <c r="R6001" s="18"/>
      <c r="S6001" s="18"/>
      <c r="T6001" s="18"/>
      <c r="U6001" s="18"/>
      <c r="V6001" s="18"/>
      <c r="W6001" s="18"/>
      <c r="X6001" s="18"/>
    </row>
    <row r="6002" spans="13:24">
      <c r="M6002" s="558">
        <f t="shared" si="284"/>
        <v>6000</v>
      </c>
      <c r="N6002" s="15">
        <f t="shared" si="282"/>
        <v>0.16202133062331017</v>
      </c>
      <c r="O6002" s="165">
        <f t="shared" si="283"/>
        <v>0.16202133062331017</v>
      </c>
      <c r="P6002" s="18"/>
      <c r="Q6002" s="18"/>
      <c r="R6002" s="18"/>
      <c r="S6002" s="18"/>
      <c r="T6002" s="18"/>
      <c r="U6002" s="18"/>
      <c r="V6002" s="18"/>
      <c r="W6002" s="18"/>
      <c r="X6002" s="18"/>
    </row>
    <row r="6003" spans="13:24">
      <c r="M6003" s="558">
        <f t="shared" si="284"/>
        <v>6001</v>
      </c>
      <c r="N6003" s="15">
        <f t="shared" si="282"/>
        <v>0.16196965894118598</v>
      </c>
      <c r="O6003" s="165">
        <f t="shared" si="283"/>
        <v>0.16196965894118598</v>
      </c>
      <c r="P6003" s="18"/>
      <c r="Q6003" s="18"/>
      <c r="R6003" s="18"/>
      <c r="S6003" s="18"/>
      <c r="T6003" s="18"/>
      <c r="U6003" s="18"/>
      <c r="V6003" s="18"/>
      <c r="W6003" s="18"/>
      <c r="X6003" s="18"/>
    </row>
    <row r="6004" spans="13:24">
      <c r="M6004" s="558">
        <f t="shared" si="284"/>
        <v>6002</v>
      </c>
      <c r="N6004" s="15">
        <f t="shared" si="282"/>
        <v>0.1619179876378205</v>
      </c>
      <c r="O6004" s="165">
        <f t="shared" si="283"/>
        <v>0.1619179876378205</v>
      </c>
      <c r="P6004" s="18"/>
      <c r="Q6004" s="18"/>
      <c r="R6004" s="18"/>
      <c r="S6004" s="18"/>
      <c r="T6004" s="18"/>
      <c r="U6004" s="18"/>
      <c r="V6004" s="18"/>
      <c r="W6004" s="18"/>
      <c r="X6004" s="18"/>
    </row>
    <row r="6005" spans="13:24">
      <c r="M6005" s="558">
        <f t="shared" si="284"/>
        <v>6003</v>
      </c>
      <c r="N6005" s="15">
        <f t="shared" si="282"/>
        <v>0.16186631671273852</v>
      </c>
      <c r="O6005" s="165">
        <f t="shared" si="283"/>
        <v>0.16186631671273852</v>
      </c>
      <c r="P6005" s="18"/>
      <c r="Q6005" s="18"/>
      <c r="R6005" s="18"/>
      <c r="S6005" s="18"/>
      <c r="T6005" s="18"/>
      <c r="U6005" s="18"/>
      <c r="V6005" s="18"/>
      <c r="W6005" s="18"/>
      <c r="X6005" s="18"/>
    </row>
    <row r="6006" spans="13:24">
      <c r="M6006" s="558">
        <f t="shared" si="284"/>
        <v>6004</v>
      </c>
      <c r="N6006" s="15">
        <f t="shared" si="282"/>
        <v>0.16181464616546518</v>
      </c>
      <c r="O6006" s="165">
        <f t="shared" si="283"/>
        <v>0.16181464616546518</v>
      </c>
      <c r="P6006" s="18"/>
      <c r="Q6006" s="18"/>
      <c r="R6006" s="18"/>
      <c r="S6006" s="18"/>
      <c r="T6006" s="18"/>
      <c r="U6006" s="18"/>
      <c r="V6006" s="18"/>
      <c r="W6006" s="18"/>
      <c r="X6006" s="18"/>
    </row>
    <row r="6007" spans="13:24">
      <c r="M6007" s="558">
        <f t="shared" si="284"/>
        <v>6005</v>
      </c>
      <c r="N6007" s="15">
        <f t="shared" si="282"/>
        <v>0.1617629759955265</v>
      </c>
      <c r="O6007" s="165">
        <f t="shared" si="283"/>
        <v>0.1617629759955265</v>
      </c>
      <c r="P6007" s="18"/>
      <c r="Q6007" s="18"/>
      <c r="R6007" s="18"/>
      <c r="S6007" s="18"/>
      <c r="T6007" s="18"/>
      <c r="U6007" s="18"/>
      <c r="V6007" s="18"/>
      <c r="W6007" s="18"/>
      <c r="X6007" s="18"/>
    </row>
    <row r="6008" spans="13:24">
      <c r="M6008" s="558">
        <f t="shared" si="284"/>
        <v>6006</v>
      </c>
      <c r="N6008" s="15">
        <f t="shared" si="282"/>
        <v>0.16171130620244886</v>
      </c>
      <c r="O6008" s="165">
        <f t="shared" si="283"/>
        <v>0.16171130620244886</v>
      </c>
      <c r="P6008" s="18"/>
      <c r="Q6008" s="18"/>
      <c r="R6008" s="18"/>
      <c r="S6008" s="18"/>
      <c r="T6008" s="18"/>
      <c r="U6008" s="18"/>
      <c r="V6008" s="18"/>
      <c r="W6008" s="18"/>
      <c r="X6008" s="18"/>
    </row>
    <row r="6009" spans="13:24">
      <c r="M6009" s="558">
        <f t="shared" si="284"/>
        <v>6007</v>
      </c>
      <c r="N6009" s="15">
        <f t="shared" si="282"/>
        <v>0.16165963678575937</v>
      </c>
      <c r="O6009" s="165">
        <f t="shared" si="283"/>
        <v>0.16165963678575937</v>
      </c>
      <c r="P6009" s="18"/>
      <c r="Q6009" s="18"/>
      <c r="R6009" s="18"/>
      <c r="S6009" s="18"/>
      <c r="T6009" s="18"/>
      <c r="U6009" s="18"/>
      <c r="V6009" s="18"/>
      <c r="W6009" s="18"/>
      <c r="X6009" s="18"/>
    </row>
    <row r="6010" spans="13:24">
      <c r="M6010" s="558">
        <f t="shared" si="284"/>
        <v>6008</v>
      </c>
      <c r="N6010" s="15">
        <f t="shared" si="282"/>
        <v>0.16160796774498568</v>
      </c>
      <c r="O6010" s="165">
        <f t="shared" si="283"/>
        <v>0.16160796774498568</v>
      </c>
      <c r="P6010" s="18"/>
      <c r="Q6010" s="18"/>
      <c r="R6010" s="18"/>
      <c r="S6010" s="18"/>
      <c r="T6010" s="18"/>
      <c r="U6010" s="18"/>
      <c r="V6010" s="18"/>
      <c r="W6010" s="18"/>
      <c r="X6010" s="18"/>
    </row>
    <row r="6011" spans="13:24">
      <c r="M6011" s="558">
        <f t="shared" si="284"/>
        <v>6009</v>
      </c>
      <c r="N6011" s="15">
        <f t="shared" si="282"/>
        <v>0.16155629907965605</v>
      </c>
      <c r="O6011" s="165">
        <f t="shared" si="283"/>
        <v>0.16155629907965605</v>
      </c>
      <c r="P6011" s="18"/>
      <c r="Q6011" s="18"/>
      <c r="R6011" s="18"/>
      <c r="S6011" s="18"/>
      <c r="T6011" s="18"/>
      <c r="U6011" s="18"/>
      <c r="V6011" s="18"/>
      <c r="W6011" s="18"/>
      <c r="X6011" s="18"/>
    </row>
    <row r="6012" spans="13:24">
      <c r="M6012" s="558">
        <f t="shared" si="284"/>
        <v>6010</v>
      </c>
      <c r="N6012" s="15">
        <f t="shared" si="282"/>
        <v>0.16150463078929936</v>
      </c>
      <c r="O6012" s="165">
        <f t="shared" si="283"/>
        <v>0.16150463078929936</v>
      </c>
      <c r="P6012" s="18"/>
      <c r="Q6012" s="18"/>
      <c r="R6012" s="18"/>
      <c r="S6012" s="18"/>
      <c r="T6012" s="18"/>
      <c r="U6012" s="18"/>
      <c r="V6012" s="18"/>
      <c r="W6012" s="18"/>
      <c r="X6012" s="18"/>
    </row>
    <row r="6013" spans="13:24">
      <c r="M6013" s="558">
        <f t="shared" si="284"/>
        <v>6011</v>
      </c>
      <c r="N6013" s="15">
        <f t="shared" si="282"/>
        <v>0.16145296287344496</v>
      </c>
      <c r="O6013" s="165">
        <f t="shared" si="283"/>
        <v>0.16145296287344496</v>
      </c>
      <c r="P6013" s="18"/>
      <c r="Q6013" s="18"/>
      <c r="R6013" s="18"/>
      <c r="S6013" s="18"/>
      <c r="T6013" s="18"/>
      <c r="U6013" s="18"/>
      <c r="V6013" s="18"/>
      <c r="W6013" s="18"/>
      <c r="X6013" s="18"/>
    </row>
    <row r="6014" spans="13:24">
      <c r="M6014" s="558">
        <f t="shared" si="284"/>
        <v>6012</v>
      </c>
      <c r="N6014" s="15">
        <f t="shared" si="282"/>
        <v>0.16140129533162301</v>
      </c>
      <c r="O6014" s="165">
        <f t="shared" si="283"/>
        <v>0.16140129533162301</v>
      </c>
      <c r="P6014" s="18"/>
      <c r="Q6014" s="18"/>
      <c r="R6014" s="18"/>
      <c r="S6014" s="18"/>
      <c r="T6014" s="18"/>
      <c r="U6014" s="18"/>
      <c r="V6014" s="18"/>
      <c r="W6014" s="18"/>
      <c r="X6014" s="18"/>
    </row>
    <row r="6015" spans="13:24">
      <c r="M6015" s="558">
        <f t="shared" si="284"/>
        <v>6013</v>
      </c>
      <c r="N6015" s="15">
        <f t="shared" si="282"/>
        <v>0.16134962816336401</v>
      </c>
      <c r="O6015" s="165">
        <f t="shared" si="283"/>
        <v>0.16134962816336401</v>
      </c>
      <c r="P6015" s="18"/>
      <c r="Q6015" s="18"/>
      <c r="R6015" s="18"/>
      <c r="S6015" s="18"/>
      <c r="T6015" s="18"/>
      <c r="U6015" s="18"/>
      <c r="V6015" s="18"/>
      <c r="W6015" s="18"/>
      <c r="X6015" s="18"/>
    </row>
    <row r="6016" spans="13:24">
      <c r="M6016" s="558">
        <f t="shared" si="284"/>
        <v>6014</v>
      </c>
      <c r="N6016" s="15">
        <f t="shared" si="282"/>
        <v>0.16129796136819924</v>
      </c>
      <c r="O6016" s="165">
        <f t="shared" si="283"/>
        <v>0.16129796136819924</v>
      </c>
      <c r="P6016" s="18"/>
      <c r="Q6016" s="18"/>
      <c r="R6016" s="18"/>
      <c r="S6016" s="18"/>
      <c r="T6016" s="18"/>
      <c r="U6016" s="18"/>
      <c r="V6016" s="18"/>
      <c r="W6016" s="18"/>
      <c r="X6016" s="18"/>
    </row>
    <row r="6017" spans="13:24">
      <c r="M6017" s="558">
        <f t="shared" si="284"/>
        <v>6015</v>
      </c>
      <c r="N6017" s="15">
        <f t="shared" si="282"/>
        <v>0.16124629494566045</v>
      </c>
      <c r="O6017" s="165">
        <f t="shared" si="283"/>
        <v>0.16124629494566045</v>
      </c>
      <c r="P6017" s="18"/>
      <c r="Q6017" s="18"/>
      <c r="R6017" s="18"/>
      <c r="S6017" s="18"/>
      <c r="T6017" s="18"/>
      <c r="U6017" s="18"/>
      <c r="V6017" s="18"/>
      <c r="W6017" s="18"/>
      <c r="X6017" s="18"/>
    </row>
    <row r="6018" spans="13:24">
      <c r="M6018" s="558">
        <f t="shared" si="284"/>
        <v>6016</v>
      </c>
      <c r="N6018" s="15">
        <f t="shared" si="282"/>
        <v>0.16119462889528008</v>
      </c>
      <c r="O6018" s="165">
        <f t="shared" si="283"/>
        <v>0.16119462889528008</v>
      </c>
      <c r="P6018" s="18"/>
      <c r="Q6018" s="18"/>
      <c r="R6018" s="18"/>
      <c r="S6018" s="18"/>
      <c r="T6018" s="18"/>
      <c r="U6018" s="18"/>
      <c r="V6018" s="18"/>
      <c r="W6018" s="18"/>
      <c r="X6018" s="18"/>
    </row>
    <row r="6019" spans="13:24">
      <c r="M6019" s="558">
        <f t="shared" si="284"/>
        <v>6017</v>
      </c>
      <c r="N6019" s="15">
        <f t="shared" si="282"/>
        <v>0.16114296321659105</v>
      </c>
      <c r="O6019" s="165">
        <f t="shared" si="283"/>
        <v>0.16114296321659105</v>
      </c>
      <c r="P6019" s="18"/>
      <c r="Q6019" s="18"/>
      <c r="R6019" s="18"/>
      <c r="S6019" s="18"/>
      <c r="T6019" s="18"/>
      <c r="U6019" s="18"/>
      <c r="V6019" s="18"/>
      <c r="W6019" s="18"/>
      <c r="X6019" s="18"/>
    </row>
    <row r="6020" spans="13:24">
      <c r="M6020" s="558">
        <f t="shared" si="284"/>
        <v>6018</v>
      </c>
      <c r="N6020" s="15">
        <f t="shared" ref="N6020:N6083" si="285">IF(M6020&lt;$B$31+1,$B$32+$B$33/$B$31*(8760-M6020)+$B$34*IF(M6020&lt;$B$36-$B$31/(2*$B$35),1,IF(M6020&lt;$B$36+$B$31/(2*$B$35),COS(PI()/2*(M6020-($B$36-$B$31/(2*$B$35)))*$B$35/$B$31)^2,0))+$B$37*EXP((8760-M6020)/8760*$B$38)/EXP($B$38)-(8760-$B$31)*$B$33/$B$31,0)</f>
        <v>0.16109129790912693</v>
      </c>
      <c r="O6020" s="165">
        <f t="shared" ref="O6020:O6083" si="286">MIN(N6020,C$24)</f>
        <v>0.16109129790912693</v>
      </c>
      <c r="P6020" s="18"/>
      <c r="Q6020" s="18"/>
      <c r="R6020" s="18"/>
      <c r="S6020" s="18"/>
      <c r="T6020" s="18"/>
      <c r="U6020" s="18"/>
      <c r="V6020" s="18"/>
      <c r="W6020" s="18"/>
      <c r="X6020" s="18"/>
    </row>
    <row r="6021" spans="13:24">
      <c r="M6021" s="558">
        <f t="shared" ref="M6021:M6084" si="287">M6020+1</f>
        <v>6019</v>
      </c>
      <c r="N6021" s="15">
        <f t="shared" si="285"/>
        <v>0.16103963297242188</v>
      </c>
      <c r="O6021" s="165">
        <f t="shared" si="286"/>
        <v>0.16103963297242188</v>
      </c>
      <c r="P6021" s="18"/>
      <c r="Q6021" s="18"/>
      <c r="R6021" s="18"/>
      <c r="S6021" s="18"/>
      <c r="T6021" s="18"/>
      <c r="U6021" s="18"/>
      <c r="V6021" s="18"/>
      <c r="W6021" s="18"/>
      <c r="X6021" s="18"/>
    </row>
    <row r="6022" spans="13:24">
      <c r="M6022" s="558">
        <f t="shared" si="287"/>
        <v>6020</v>
      </c>
      <c r="N6022" s="15">
        <f t="shared" si="285"/>
        <v>0.16098796840601062</v>
      </c>
      <c r="O6022" s="165">
        <f t="shared" si="286"/>
        <v>0.16098796840601062</v>
      </c>
      <c r="P6022" s="18"/>
      <c r="Q6022" s="18"/>
      <c r="R6022" s="18"/>
      <c r="S6022" s="18"/>
      <c r="T6022" s="18"/>
      <c r="U6022" s="18"/>
      <c r="V6022" s="18"/>
      <c r="W6022" s="18"/>
      <c r="X6022" s="18"/>
    </row>
    <row r="6023" spans="13:24">
      <c r="M6023" s="558">
        <f t="shared" si="287"/>
        <v>6021</v>
      </c>
      <c r="N6023" s="15">
        <f t="shared" si="285"/>
        <v>0.16093630420942845</v>
      </c>
      <c r="O6023" s="165">
        <f t="shared" si="286"/>
        <v>0.16093630420942845</v>
      </c>
      <c r="P6023" s="18"/>
      <c r="Q6023" s="18"/>
      <c r="R6023" s="18"/>
      <c r="S6023" s="18"/>
      <c r="T6023" s="18"/>
      <c r="U6023" s="18"/>
      <c r="V6023" s="18"/>
      <c r="W6023" s="18"/>
      <c r="X6023" s="18"/>
    </row>
    <row r="6024" spans="13:24">
      <c r="M6024" s="558">
        <f t="shared" si="287"/>
        <v>6022</v>
      </c>
      <c r="N6024" s="15">
        <f t="shared" si="285"/>
        <v>0.16088464038221129</v>
      </c>
      <c r="O6024" s="165">
        <f t="shared" si="286"/>
        <v>0.16088464038221129</v>
      </c>
      <c r="P6024" s="18"/>
      <c r="Q6024" s="18"/>
      <c r="R6024" s="18"/>
      <c r="S6024" s="18"/>
      <c r="T6024" s="18"/>
      <c r="U6024" s="18"/>
      <c r="V6024" s="18"/>
      <c r="W6024" s="18"/>
      <c r="X6024" s="18"/>
    </row>
    <row r="6025" spans="13:24">
      <c r="M6025" s="558">
        <f t="shared" si="287"/>
        <v>6023</v>
      </c>
      <c r="N6025" s="15">
        <f t="shared" si="285"/>
        <v>0.16083297692389556</v>
      </c>
      <c r="O6025" s="165">
        <f t="shared" si="286"/>
        <v>0.16083297692389556</v>
      </c>
      <c r="P6025" s="18"/>
      <c r="Q6025" s="18"/>
      <c r="R6025" s="18"/>
      <c r="S6025" s="18"/>
      <c r="T6025" s="18"/>
      <c r="U6025" s="18"/>
      <c r="V6025" s="18"/>
      <c r="W6025" s="18"/>
      <c r="X6025" s="18"/>
    </row>
    <row r="6026" spans="13:24">
      <c r="M6026" s="558">
        <f t="shared" si="287"/>
        <v>6024</v>
      </c>
      <c r="N6026" s="15">
        <f t="shared" si="285"/>
        <v>0.16078131383401839</v>
      </c>
      <c r="O6026" s="165">
        <f t="shared" si="286"/>
        <v>0.16078131383401839</v>
      </c>
      <c r="P6026" s="18"/>
      <c r="Q6026" s="18"/>
      <c r="R6026" s="18"/>
      <c r="S6026" s="18"/>
      <c r="T6026" s="18"/>
      <c r="U6026" s="18"/>
      <c r="V6026" s="18"/>
      <c r="W6026" s="18"/>
      <c r="X6026" s="18"/>
    </row>
    <row r="6027" spans="13:24">
      <c r="M6027" s="558">
        <f t="shared" si="287"/>
        <v>6025</v>
      </c>
      <c r="N6027" s="15">
        <f t="shared" si="285"/>
        <v>0.16072965111211734</v>
      </c>
      <c r="O6027" s="165">
        <f t="shared" si="286"/>
        <v>0.16072965111211734</v>
      </c>
      <c r="P6027" s="18"/>
      <c r="Q6027" s="18"/>
      <c r="R6027" s="18"/>
      <c r="S6027" s="18"/>
      <c r="T6027" s="18"/>
      <c r="U6027" s="18"/>
      <c r="V6027" s="18"/>
      <c r="W6027" s="18"/>
      <c r="X6027" s="18"/>
    </row>
    <row r="6028" spans="13:24">
      <c r="M6028" s="558">
        <f t="shared" si="287"/>
        <v>6026</v>
      </c>
      <c r="N6028" s="15">
        <f t="shared" si="285"/>
        <v>0.16067798875773071</v>
      </c>
      <c r="O6028" s="165">
        <f t="shared" si="286"/>
        <v>0.16067798875773071</v>
      </c>
      <c r="P6028" s="18"/>
      <c r="Q6028" s="18"/>
      <c r="R6028" s="18"/>
      <c r="S6028" s="18"/>
      <c r="T6028" s="18"/>
      <c r="U6028" s="18"/>
      <c r="V6028" s="18"/>
      <c r="W6028" s="18"/>
      <c r="X6028" s="18"/>
    </row>
    <row r="6029" spans="13:24">
      <c r="M6029" s="558">
        <f t="shared" si="287"/>
        <v>6027</v>
      </c>
      <c r="N6029" s="15">
        <f t="shared" si="285"/>
        <v>0.16062632677039726</v>
      </c>
      <c r="O6029" s="165">
        <f t="shared" si="286"/>
        <v>0.16062632677039726</v>
      </c>
      <c r="P6029" s="18"/>
      <c r="Q6029" s="18"/>
      <c r="R6029" s="18"/>
      <c r="S6029" s="18"/>
      <c r="T6029" s="18"/>
      <c r="U6029" s="18"/>
      <c r="V6029" s="18"/>
      <c r="W6029" s="18"/>
      <c r="X6029" s="18"/>
    </row>
    <row r="6030" spans="13:24">
      <c r="M6030" s="558">
        <f t="shared" si="287"/>
        <v>6028</v>
      </c>
      <c r="N6030" s="15">
        <f t="shared" si="285"/>
        <v>0.16057466514965635</v>
      </c>
      <c r="O6030" s="165">
        <f t="shared" si="286"/>
        <v>0.16057466514965635</v>
      </c>
      <c r="P6030" s="18"/>
      <c r="Q6030" s="18"/>
      <c r="R6030" s="18"/>
      <c r="S6030" s="18"/>
      <c r="T6030" s="18"/>
      <c r="U6030" s="18"/>
      <c r="V6030" s="18"/>
      <c r="W6030" s="18"/>
      <c r="X6030" s="18"/>
    </row>
    <row r="6031" spans="13:24">
      <c r="M6031" s="558">
        <f t="shared" si="287"/>
        <v>6029</v>
      </c>
      <c r="N6031" s="15">
        <f t="shared" si="285"/>
        <v>0.16052300389504801</v>
      </c>
      <c r="O6031" s="165">
        <f t="shared" si="286"/>
        <v>0.16052300389504801</v>
      </c>
      <c r="P6031" s="18"/>
      <c r="Q6031" s="18"/>
      <c r="R6031" s="18"/>
      <c r="S6031" s="18"/>
      <c r="T6031" s="18"/>
      <c r="U6031" s="18"/>
      <c r="V6031" s="18"/>
      <c r="W6031" s="18"/>
      <c r="X6031" s="18"/>
    </row>
    <row r="6032" spans="13:24">
      <c r="M6032" s="558">
        <f t="shared" si="287"/>
        <v>6030</v>
      </c>
      <c r="N6032" s="15">
        <f t="shared" si="285"/>
        <v>0.16047134300611265</v>
      </c>
      <c r="O6032" s="165">
        <f t="shared" si="286"/>
        <v>0.16047134300611265</v>
      </c>
      <c r="P6032" s="18"/>
      <c r="Q6032" s="18"/>
      <c r="R6032" s="18"/>
      <c r="S6032" s="18"/>
      <c r="T6032" s="18"/>
      <c r="U6032" s="18"/>
      <c r="V6032" s="18"/>
      <c r="W6032" s="18"/>
      <c r="X6032" s="18"/>
    </row>
    <row r="6033" spans="13:24">
      <c r="M6033" s="558">
        <f t="shared" si="287"/>
        <v>6031</v>
      </c>
      <c r="N6033" s="15">
        <f t="shared" si="285"/>
        <v>0.1604196824823915</v>
      </c>
      <c r="O6033" s="165">
        <f t="shared" si="286"/>
        <v>0.1604196824823915</v>
      </c>
      <c r="P6033" s="18"/>
      <c r="Q6033" s="18"/>
      <c r="R6033" s="18"/>
      <c r="S6033" s="18"/>
      <c r="T6033" s="18"/>
      <c r="U6033" s="18"/>
      <c r="V6033" s="18"/>
      <c r="W6033" s="18"/>
      <c r="X6033" s="18"/>
    </row>
    <row r="6034" spans="13:24">
      <c r="M6034" s="558">
        <f t="shared" si="287"/>
        <v>6032</v>
      </c>
      <c r="N6034" s="15">
        <f t="shared" si="285"/>
        <v>0.16036802232342617</v>
      </c>
      <c r="O6034" s="165">
        <f t="shared" si="286"/>
        <v>0.16036802232342617</v>
      </c>
      <c r="P6034" s="18"/>
      <c r="Q6034" s="18"/>
      <c r="R6034" s="18"/>
      <c r="S6034" s="18"/>
      <c r="T6034" s="18"/>
      <c r="U6034" s="18"/>
      <c r="V6034" s="18"/>
      <c r="W6034" s="18"/>
      <c r="X6034" s="18"/>
    </row>
    <row r="6035" spans="13:24">
      <c r="M6035" s="558">
        <f t="shared" si="287"/>
        <v>6033</v>
      </c>
      <c r="N6035" s="15">
        <f t="shared" si="285"/>
        <v>0.16031636252875897</v>
      </c>
      <c r="O6035" s="165">
        <f t="shared" si="286"/>
        <v>0.16031636252875897</v>
      </c>
      <c r="P6035" s="18"/>
      <c r="Q6035" s="18"/>
      <c r="R6035" s="18"/>
      <c r="S6035" s="18"/>
      <c r="T6035" s="18"/>
      <c r="U6035" s="18"/>
      <c r="V6035" s="18"/>
      <c r="W6035" s="18"/>
      <c r="X6035" s="18"/>
    </row>
    <row r="6036" spans="13:24">
      <c r="M6036" s="558">
        <f t="shared" si="287"/>
        <v>6034</v>
      </c>
      <c r="N6036" s="15">
        <f t="shared" si="285"/>
        <v>0.1602647030979327</v>
      </c>
      <c r="O6036" s="165">
        <f t="shared" si="286"/>
        <v>0.1602647030979327</v>
      </c>
      <c r="P6036" s="18"/>
      <c r="Q6036" s="18"/>
      <c r="R6036" s="18"/>
      <c r="S6036" s="18"/>
      <c r="T6036" s="18"/>
      <c r="U6036" s="18"/>
      <c r="V6036" s="18"/>
      <c r="W6036" s="18"/>
      <c r="X6036" s="18"/>
    </row>
    <row r="6037" spans="13:24">
      <c r="M6037" s="558">
        <f t="shared" si="287"/>
        <v>6035</v>
      </c>
      <c r="N6037" s="15">
        <f t="shared" si="285"/>
        <v>0.16021304403049078</v>
      </c>
      <c r="O6037" s="165">
        <f t="shared" si="286"/>
        <v>0.16021304403049078</v>
      </c>
      <c r="P6037" s="18"/>
      <c r="Q6037" s="18"/>
      <c r="R6037" s="18"/>
      <c r="S6037" s="18"/>
      <c r="T6037" s="18"/>
      <c r="U6037" s="18"/>
      <c r="V6037" s="18"/>
      <c r="W6037" s="18"/>
      <c r="X6037" s="18"/>
    </row>
    <row r="6038" spans="13:24">
      <c r="M6038" s="558">
        <f t="shared" si="287"/>
        <v>6036</v>
      </c>
      <c r="N6038" s="15">
        <f t="shared" si="285"/>
        <v>0.16016138532597718</v>
      </c>
      <c r="O6038" s="165">
        <f t="shared" si="286"/>
        <v>0.16016138532597718</v>
      </c>
      <c r="P6038" s="18"/>
      <c r="Q6038" s="18"/>
      <c r="R6038" s="18"/>
      <c r="S6038" s="18"/>
      <c r="T6038" s="18"/>
      <c r="U6038" s="18"/>
      <c r="V6038" s="18"/>
      <c r="W6038" s="18"/>
      <c r="X6038" s="18"/>
    </row>
    <row r="6039" spans="13:24">
      <c r="M6039" s="558">
        <f t="shared" si="287"/>
        <v>6037</v>
      </c>
      <c r="N6039" s="15">
        <f t="shared" si="285"/>
        <v>0.1601097269839365</v>
      </c>
      <c r="O6039" s="165">
        <f t="shared" si="286"/>
        <v>0.1601097269839365</v>
      </c>
      <c r="P6039" s="18"/>
      <c r="Q6039" s="18"/>
      <c r="R6039" s="18"/>
      <c r="S6039" s="18"/>
      <c r="T6039" s="18"/>
      <c r="U6039" s="18"/>
      <c r="V6039" s="18"/>
      <c r="W6039" s="18"/>
      <c r="X6039" s="18"/>
    </row>
    <row r="6040" spans="13:24">
      <c r="M6040" s="558">
        <f t="shared" si="287"/>
        <v>6038</v>
      </c>
      <c r="N6040" s="15">
        <f t="shared" si="285"/>
        <v>0.16005806900391378</v>
      </c>
      <c r="O6040" s="165">
        <f t="shared" si="286"/>
        <v>0.16005806900391378</v>
      </c>
      <c r="P6040" s="18"/>
      <c r="Q6040" s="18"/>
      <c r="R6040" s="18"/>
      <c r="S6040" s="18"/>
      <c r="T6040" s="18"/>
      <c r="U6040" s="18"/>
      <c r="V6040" s="18"/>
      <c r="W6040" s="18"/>
      <c r="X6040" s="18"/>
    </row>
    <row r="6041" spans="13:24">
      <c r="M6041" s="558">
        <f t="shared" si="287"/>
        <v>6039</v>
      </c>
      <c r="N6041" s="15">
        <f t="shared" si="285"/>
        <v>0.16000641138545479</v>
      </c>
      <c r="O6041" s="165">
        <f t="shared" si="286"/>
        <v>0.16000641138545479</v>
      </c>
      <c r="P6041" s="18"/>
      <c r="Q6041" s="18"/>
      <c r="R6041" s="18"/>
      <c r="S6041" s="18"/>
      <c r="T6041" s="18"/>
      <c r="U6041" s="18"/>
      <c r="V6041" s="18"/>
      <c r="W6041" s="18"/>
      <c r="X6041" s="18"/>
    </row>
    <row r="6042" spans="13:24">
      <c r="M6042" s="558">
        <f t="shared" si="287"/>
        <v>6040</v>
      </c>
      <c r="N6042" s="15">
        <f t="shared" si="285"/>
        <v>0.15995475412810578</v>
      </c>
      <c r="O6042" s="165">
        <f t="shared" si="286"/>
        <v>0.15995475412810578</v>
      </c>
      <c r="P6042" s="18"/>
      <c r="Q6042" s="18"/>
      <c r="R6042" s="18"/>
      <c r="S6042" s="18"/>
      <c r="T6042" s="18"/>
      <c r="U6042" s="18"/>
      <c r="V6042" s="18"/>
      <c r="W6042" s="18"/>
      <c r="X6042" s="18"/>
    </row>
    <row r="6043" spans="13:24">
      <c r="M6043" s="558">
        <f t="shared" si="287"/>
        <v>6041</v>
      </c>
      <c r="N6043" s="15">
        <f t="shared" si="285"/>
        <v>0.15990309723141358</v>
      </c>
      <c r="O6043" s="165">
        <f t="shared" si="286"/>
        <v>0.15990309723141358</v>
      </c>
      <c r="P6043" s="18"/>
      <c r="Q6043" s="18"/>
      <c r="R6043" s="18"/>
      <c r="S6043" s="18"/>
      <c r="T6043" s="18"/>
      <c r="U6043" s="18"/>
      <c r="V6043" s="18"/>
      <c r="W6043" s="18"/>
      <c r="X6043" s="18"/>
    </row>
    <row r="6044" spans="13:24">
      <c r="M6044" s="558">
        <f t="shared" si="287"/>
        <v>6042</v>
      </c>
      <c r="N6044" s="15">
        <f t="shared" si="285"/>
        <v>0.1598514406949256</v>
      </c>
      <c r="O6044" s="165">
        <f t="shared" si="286"/>
        <v>0.1598514406949256</v>
      </c>
      <c r="P6044" s="18"/>
      <c r="Q6044" s="18"/>
      <c r="R6044" s="18"/>
      <c r="S6044" s="18"/>
      <c r="T6044" s="18"/>
      <c r="U6044" s="18"/>
      <c r="V6044" s="18"/>
      <c r="W6044" s="18"/>
      <c r="X6044" s="18"/>
    </row>
    <row r="6045" spans="13:24">
      <c r="M6045" s="558">
        <f t="shared" si="287"/>
        <v>6043</v>
      </c>
      <c r="N6045" s="15">
        <f t="shared" si="285"/>
        <v>0.1597997845181898</v>
      </c>
      <c r="O6045" s="165">
        <f t="shared" si="286"/>
        <v>0.1597997845181898</v>
      </c>
      <c r="P6045" s="18"/>
      <c r="Q6045" s="18"/>
      <c r="R6045" s="18"/>
      <c r="S6045" s="18"/>
      <c r="T6045" s="18"/>
      <c r="U6045" s="18"/>
      <c r="V6045" s="18"/>
      <c r="W6045" s="18"/>
      <c r="X6045" s="18"/>
    </row>
    <row r="6046" spans="13:24">
      <c r="M6046" s="558">
        <f t="shared" si="287"/>
        <v>6044</v>
      </c>
      <c r="N6046" s="15">
        <f t="shared" si="285"/>
        <v>0.15974812870075475</v>
      </c>
      <c r="O6046" s="165">
        <f t="shared" si="286"/>
        <v>0.15974812870075475</v>
      </c>
      <c r="P6046" s="18"/>
      <c r="Q6046" s="18"/>
      <c r="R6046" s="18"/>
      <c r="S6046" s="18"/>
      <c r="T6046" s="18"/>
      <c r="U6046" s="18"/>
      <c r="V6046" s="18"/>
      <c r="W6046" s="18"/>
      <c r="X6046" s="18"/>
    </row>
    <row r="6047" spans="13:24">
      <c r="M6047" s="558">
        <f t="shared" si="287"/>
        <v>6045</v>
      </c>
      <c r="N6047" s="15">
        <f t="shared" si="285"/>
        <v>0.15969647324216948</v>
      </c>
      <c r="O6047" s="165">
        <f t="shared" si="286"/>
        <v>0.15969647324216948</v>
      </c>
      <c r="P6047" s="18"/>
      <c r="Q6047" s="18"/>
      <c r="R6047" s="18"/>
      <c r="S6047" s="18"/>
      <c r="T6047" s="18"/>
      <c r="U6047" s="18"/>
      <c r="V6047" s="18"/>
      <c r="W6047" s="18"/>
      <c r="X6047" s="18"/>
    </row>
    <row r="6048" spans="13:24">
      <c r="M6048" s="558">
        <f t="shared" si="287"/>
        <v>6046</v>
      </c>
      <c r="N6048" s="15">
        <f t="shared" si="285"/>
        <v>0.15964481814198378</v>
      </c>
      <c r="O6048" s="165">
        <f t="shared" si="286"/>
        <v>0.15964481814198378</v>
      </c>
      <c r="P6048" s="18"/>
      <c r="Q6048" s="18"/>
      <c r="R6048" s="18"/>
      <c r="S6048" s="18"/>
      <c r="T6048" s="18"/>
      <c r="U6048" s="18"/>
      <c r="V6048" s="18"/>
      <c r="W6048" s="18"/>
      <c r="X6048" s="18"/>
    </row>
    <row r="6049" spans="13:24">
      <c r="M6049" s="558">
        <f t="shared" si="287"/>
        <v>6047</v>
      </c>
      <c r="N6049" s="15">
        <f t="shared" si="285"/>
        <v>0.15959316339974777</v>
      </c>
      <c r="O6049" s="165">
        <f t="shared" si="286"/>
        <v>0.15959316339974777</v>
      </c>
      <c r="P6049" s="18"/>
      <c r="Q6049" s="18"/>
      <c r="R6049" s="18"/>
      <c r="S6049" s="18"/>
      <c r="T6049" s="18"/>
      <c r="U6049" s="18"/>
      <c r="V6049" s="18"/>
      <c r="W6049" s="18"/>
      <c r="X6049" s="18"/>
    </row>
    <row r="6050" spans="13:24">
      <c r="M6050" s="558">
        <f t="shared" si="287"/>
        <v>6048</v>
      </c>
      <c r="N6050" s="15">
        <f t="shared" si="285"/>
        <v>0.15954150901501235</v>
      </c>
      <c r="O6050" s="165">
        <f t="shared" si="286"/>
        <v>0.15954150901501235</v>
      </c>
      <c r="P6050" s="18"/>
      <c r="Q6050" s="18"/>
      <c r="R6050" s="18"/>
      <c r="S6050" s="18"/>
      <c r="T6050" s="18"/>
      <c r="U6050" s="18"/>
      <c r="V6050" s="18"/>
      <c r="W6050" s="18"/>
      <c r="X6050" s="18"/>
    </row>
    <row r="6051" spans="13:24">
      <c r="M6051" s="558">
        <f t="shared" si="287"/>
        <v>6049</v>
      </c>
      <c r="N6051" s="15">
        <f t="shared" si="285"/>
        <v>0.15948985498732882</v>
      </c>
      <c r="O6051" s="165">
        <f t="shared" si="286"/>
        <v>0.15948985498732882</v>
      </c>
      <c r="P6051" s="18"/>
      <c r="Q6051" s="18"/>
      <c r="R6051" s="18"/>
      <c r="S6051" s="18"/>
      <c r="T6051" s="18"/>
      <c r="U6051" s="18"/>
      <c r="V6051" s="18"/>
      <c r="W6051" s="18"/>
      <c r="X6051" s="18"/>
    </row>
    <row r="6052" spans="13:24">
      <c r="M6052" s="558">
        <f t="shared" si="287"/>
        <v>6050</v>
      </c>
      <c r="N6052" s="15">
        <f t="shared" si="285"/>
        <v>0.15943820131624914</v>
      </c>
      <c r="O6052" s="165">
        <f t="shared" si="286"/>
        <v>0.15943820131624914</v>
      </c>
      <c r="P6052" s="18"/>
      <c r="Q6052" s="18"/>
      <c r="R6052" s="18"/>
      <c r="S6052" s="18"/>
      <c r="T6052" s="18"/>
      <c r="U6052" s="18"/>
      <c r="V6052" s="18"/>
      <c r="W6052" s="18"/>
      <c r="X6052" s="18"/>
    </row>
    <row r="6053" spans="13:24">
      <c r="M6053" s="558">
        <f t="shared" si="287"/>
        <v>6051</v>
      </c>
      <c r="N6053" s="15">
        <f t="shared" si="285"/>
        <v>0.15938654800132576</v>
      </c>
      <c r="O6053" s="165">
        <f t="shared" si="286"/>
        <v>0.15938654800132576</v>
      </c>
      <c r="P6053" s="18"/>
      <c r="Q6053" s="18"/>
      <c r="R6053" s="18"/>
      <c r="S6053" s="18"/>
      <c r="T6053" s="18"/>
      <c r="U6053" s="18"/>
      <c r="V6053" s="18"/>
      <c r="W6053" s="18"/>
      <c r="X6053" s="18"/>
    </row>
    <row r="6054" spans="13:24">
      <c r="M6054" s="558">
        <f t="shared" si="287"/>
        <v>6052</v>
      </c>
      <c r="N6054" s="15">
        <f t="shared" si="285"/>
        <v>0.15933489504211182</v>
      </c>
      <c r="O6054" s="165">
        <f t="shared" si="286"/>
        <v>0.15933489504211182</v>
      </c>
      <c r="P6054" s="18"/>
      <c r="Q6054" s="18"/>
      <c r="R6054" s="18"/>
      <c r="S6054" s="18"/>
      <c r="T6054" s="18"/>
      <c r="U6054" s="18"/>
      <c r="V6054" s="18"/>
      <c r="W6054" s="18"/>
      <c r="X6054" s="18"/>
    </row>
    <row r="6055" spans="13:24">
      <c r="M6055" s="558">
        <f t="shared" si="287"/>
        <v>6053</v>
      </c>
      <c r="N6055" s="15">
        <f t="shared" si="285"/>
        <v>0.1592832424381608</v>
      </c>
      <c r="O6055" s="165">
        <f t="shared" si="286"/>
        <v>0.1592832424381608</v>
      </c>
      <c r="P6055" s="18"/>
      <c r="Q6055" s="18"/>
      <c r="R6055" s="18"/>
      <c r="S6055" s="18"/>
      <c r="T6055" s="18"/>
      <c r="U6055" s="18"/>
      <c r="V6055" s="18"/>
      <c r="W6055" s="18"/>
      <c r="X6055" s="18"/>
    </row>
    <row r="6056" spans="13:24">
      <c r="M6056" s="558">
        <f t="shared" si="287"/>
        <v>6054</v>
      </c>
      <c r="N6056" s="15">
        <f t="shared" si="285"/>
        <v>0.15923159018902702</v>
      </c>
      <c r="O6056" s="165">
        <f t="shared" si="286"/>
        <v>0.15923159018902702</v>
      </c>
      <c r="P6056" s="18"/>
      <c r="Q6056" s="18"/>
      <c r="R6056" s="18"/>
      <c r="S6056" s="18"/>
      <c r="T6056" s="18"/>
      <c r="U6056" s="18"/>
      <c r="V6056" s="18"/>
      <c r="W6056" s="18"/>
      <c r="X6056" s="18"/>
    </row>
    <row r="6057" spans="13:24">
      <c r="M6057" s="558">
        <f t="shared" si="287"/>
        <v>6055</v>
      </c>
      <c r="N6057" s="15">
        <f t="shared" si="285"/>
        <v>0.15917993829426511</v>
      </c>
      <c r="O6057" s="165">
        <f t="shared" si="286"/>
        <v>0.15917993829426511</v>
      </c>
      <c r="P6057" s="18"/>
      <c r="Q6057" s="18"/>
      <c r="R6057" s="18"/>
      <c r="S6057" s="18"/>
      <c r="T6057" s="18"/>
      <c r="U6057" s="18"/>
      <c r="V6057" s="18"/>
      <c r="W6057" s="18"/>
      <c r="X6057" s="18"/>
    </row>
    <row r="6058" spans="13:24">
      <c r="M6058" s="558">
        <f t="shared" si="287"/>
        <v>6056</v>
      </c>
      <c r="N6058" s="15">
        <f t="shared" si="285"/>
        <v>0.15912828675343038</v>
      </c>
      <c r="O6058" s="165">
        <f t="shared" si="286"/>
        <v>0.15912828675343038</v>
      </c>
      <c r="P6058" s="18"/>
      <c r="Q6058" s="18"/>
      <c r="R6058" s="18"/>
      <c r="S6058" s="18"/>
      <c r="T6058" s="18"/>
      <c r="U6058" s="18"/>
      <c r="V6058" s="18"/>
      <c r="W6058" s="18"/>
      <c r="X6058" s="18"/>
    </row>
    <row r="6059" spans="13:24">
      <c r="M6059" s="558">
        <f t="shared" si="287"/>
        <v>6057</v>
      </c>
      <c r="N6059" s="15">
        <f t="shared" si="285"/>
        <v>0.15907663556607873</v>
      </c>
      <c r="O6059" s="165">
        <f t="shared" si="286"/>
        <v>0.15907663556607873</v>
      </c>
      <c r="P6059" s="18"/>
      <c r="Q6059" s="18"/>
      <c r="R6059" s="18"/>
      <c r="S6059" s="18"/>
      <c r="T6059" s="18"/>
      <c r="U6059" s="18"/>
      <c r="V6059" s="18"/>
      <c r="W6059" s="18"/>
      <c r="X6059" s="18"/>
    </row>
    <row r="6060" spans="13:24">
      <c r="M6060" s="558">
        <f t="shared" si="287"/>
        <v>6058</v>
      </c>
      <c r="N6060" s="15">
        <f t="shared" si="285"/>
        <v>0.15902498473176649</v>
      </c>
      <c r="O6060" s="165">
        <f t="shared" si="286"/>
        <v>0.15902498473176649</v>
      </c>
      <c r="P6060" s="18"/>
      <c r="Q6060" s="18"/>
      <c r="R6060" s="18"/>
      <c r="S6060" s="18"/>
      <c r="T6060" s="18"/>
      <c r="U6060" s="18"/>
      <c r="V6060" s="18"/>
      <c r="W6060" s="18"/>
      <c r="X6060" s="18"/>
    </row>
    <row r="6061" spans="13:24">
      <c r="M6061" s="558">
        <f t="shared" si="287"/>
        <v>6059</v>
      </c>
      <c r="N6061" s="15">
        <f t="shared" si="285"/>
        <v>0.15897333425005072</v>
      </c>
      <c r="O6061" s="165">
        <f t="shared" si="286"/>
        <v>0.15897333425005072</v>
      </c>
      <c r="P6061" s="18"/>
      <c r="Q6061" s="18"/>
      <c r="R6061" s="18"/>
      <c r="S6061" s="18"/>
      <c r="T6061" s="18"/>
      <c r="U6061" s="18"/>
      <c r="V6061" s="18"/>
      <c r="W6061" s="18"/>
      <c r="X6061" s="18"/>
    </row>
    <row r="6062" spans="13:24">
      <c r="M6062" s="558">
        <f t="shared" si="287"/>
        <v>6060</v>
      </c>
      <c r="N6062" s="15">
        <f t="shared" si="285"/>
        <v>0.15892168412048885</v>
      </c>
      <c r="O6062" s="165">
        <f t="shared" si="286"/>
        <v>0.15892168412048885</v>
      </c>
      <c r="P6062" s="18"/>
      <c r="Q6062" s="18"/>
      <c r="R6062" s="18"/>
      <c r="S6062" s="18"/>
      <c r="T6062" s="18"/>
      <c r="U6062" s="18"/>
      <c r="V6062" s="18"/>
      <c r="W6062" s="18"/>
      <c r="X6062" s="18"/>
    </row>
    <row r="6063" spans="13:24">
      <c r="M6063" s="558">
        <f t="shared" si="287"/>
        <v>6061</v>
      </c>
      <c r="N6063" s="15">
        <f t="shared" si="285"/>
        <v>0.15887003434263899</v>
      </c>
      <c r="O6063" s="165">
        <f t="shared" si="286"/>
        <v>0.15887003434263899</v>
      </c>
      <c r="P6063" s="18"/>
      <c r="Q6063" s="18"/>
      <c r="R6063" s="18"/>
      <c r="S6063" s="18"/>
      <c r="T6063" s="18"/>
      <c r="U6063" s="18"/>
      <c r="V6063" s="18"/>
      <c r="W6063" s="18"/>
      <c r="X6063" s="18"/>
    </row>
    <row r="6064" spans="13:24">
      <c r="M6064" s="558">
        <f t="shared" si="287"/>
        <v>6062</v>
      </c>
      <c r="N6064" s="15">
        <f t="shared" si="285"/>
        <v>0.15881838491605976</v>
      </c>
      <c r="O6064" s="165">
        <f t="shared" si="286"/>
        <v>0.15881838491605976</v>
      </c>
      <c r="P6064" s="18"/>
      <c r="Q6064" s="18"/>
      <c r="R6064" s="18"/>
      <c r="S6064" s="18"/>
      <c r="T6064" s="18"/>
      <c r="U6064" s="18"/>
      <c r="V6064" s="18"/>
      <c r="W6064" s="18"/>
      <c r="X6064" s="18"/>
    </row>
    <row r="6065" spans="13:24">
      <c r="M6065" s="558">
        <f t="shared" si="287"/>
        <v>6063</v>
      </c>
      <c r="N6065" s="15">
        <f t="shared" si="285"/>
        <v>0.1587667358403104</v>
      </c>
      <c r="O6065" s="165">
        <f t="shared" si="286"/>
        <v>0.1587667358403104</v>
      </c>
      <c r="P6065" s="18"/>
      <c r="Q6065" s="18"/>
      <c r="R6065" s="18"/>
      <c r="S6065" s="18"/>
      <c r="T6065" s="18"/>
      <c r="U6065" s="18"/>
      <c r="V6065" s="18"/>
      <c r="W6065" s="18"/>
      <c r="X6065" s="18"/>
    </row>
    <row r="6066" spans="13:24">
      <c r="M6066" s="558">
        <f t="shared" si="287"/>
        <v>6064</v>
      </c>
      <c r="N6066" s="15">
        <f t="shared" si="285"/>
        <v>0.15871508711495055</v>
      </c>
      <c r="O6066" s="165">
        <f t="shared" si="286"/>
        <v>0.15871508711495055</v>
      </c>
      <c r="P6066" s="18"/>
      <c r="Q6066" s="18"/>
      <c r="R6066" s="18"/>
      <c r="S6066" s="18"/>
      <c r="T6066" s="18"/>
      <c r="U6066" s="18"/>
      <c r="V6066" s="18"/>
      <c r="W6066" s="18"/>
      <c r="X6066" s="18"/>
    </row>
    <row r="6067" spans="13:24">
      <c r="M6067" s="558">
        <f t="shared" si="287"/>
        <v>6065</v>
      </c>
      <c r="N6067" s="15">
        <f t="shared" si="285"/>
        <v>0.15866343873954059</v>
      </c>
      <c r="O6067" s="165">
        <f t="shared" si="286"/>
        <v>0.15866343873954059</v>
      </c>
      <c r="P6067" s="18"/>
      <c r="Q6067" s="18"/>
      <c r="R6067" s="18"/>
      <c r="S6067" s="18"/>
      <c r="T6067" s="18"/>
      <c r="U6067" s="18"/>
      <c r="V6067" s="18"/>
      <c r="W6067" s="18"/>
      <c r="X6067" s="18"/>
    </row>
    <row r="6068" spans="13:24">
      <c r="M6068" s="558">
        <f t="shared" si="287"/>
        <v>6066</v>
      </c>
      <c r="N6068" s="15">
        <f t="shared" si="285"/>
        <v>0.15861179071364129</v>
      </c>
      <c r="O6068" s="165">
        <f t="shared" si="286"/>
        <v>0.15861179071364129</v>
      </c>
      <c r="P6068" s="18"/>
      <c r="Q6068" s="18"/>
      <c r="R6068" s="18"/>
      <c r="S6068" s="18"/>
      <c r="T6068" s="18"/>
      <c r="U6068" s="18"/>
      <c r="V6068" s="18"/>
      <c r="W6068" s="18"/>
      <c r="X6068" s="18"/>
    </row>
    <row r="6069" spans="13:24">
      <c r="M6069" s="558">
        <f t="shared" si="287"/>
        <v>6067</v>
      </c>
      <c r="N6069" s="15">
        <f t="shared" si="285"/>
        <v>0.15856014303681409</v>
      </c>
      <c r="O6069" s="165">
        <f t="shared" si="286"/>
        <v>0.15856014303681409</v>
      </c>
      <c r="P6069" s="18"/>
      <c r="Q6069" s="18"/>
      <c r="R6069" s="18"/>
      <c r="S6069" s="18"/>
      <c r="T6069" s="18"/>
      <c r="U6069" s="18"/>
      <c r="V6069" s="18"/>
      <c r="W6069" s="18"/>
      <c r="X6069" s="18"/>
    </row>
    <row r="6070" spans="13:24">
      <c r="M6070" s="558">
        <f t="shared" si="287"/>
        <v>6068</v>
      </c>
      <c r="N6070" s="15">
        <f t="shared" si="285"/>
        <v>0.15850849570862088</v>
      </c>
      <c r="O6070" s="165">
        <f t="shared" si="286"/>
        <v>0.15850849570862088</v>
      </c>
      <c r="P6070" s="18"/>
      <c r="Q6070" s="18"/>
      <c r="R6070" s="18"/>
      <c r="S6070" s="18"/>
      <c r="T6070" s="18"/>
      <c r="U6070" s="18"/>
      <c r="V6070" s="18"/>
      <c r="W6070" s="18"/>
      <c r="X6070" s="18"/>
    </row>
    <row r="6071" spans="13:24">
      <c r="M6071" s="558">
        <f t="shared" si="287"/>
        <v>6069</v>
      </c>
      <c r="N6071" s="15">
        <f t="shared" si="285"/>
        <v>0.15845684872862423</v>
      </c>
      <c r="O6071" s="165">
        <f t="shared" si="286"/>
        <v>0.15845684872862423</v>
      </c>
      <c r="P6071" s="18"/>
      <c r="Q6071" s="18"/>
      <c r="R6071" s="18"/>
      <c r="S6071" s="18"/>
      <c r="T6071" s="18"/>
      <c r="U6071" s="18"/>
      <c r="V6071" s="18"/>
      <c r="W6071" s="18"/>
      <c r="X6071" s="18"/>
    </row>
    <row r="6072" spans="13:24">
      <c r="M6072" s="558">
        <f t="shared" si="287"/>
        <v>6070</v>
      </c>
      <c r="N6072" s="15">
        <f t="shared" si="285"/>
        <v>0.15840520209638712</v>
      </c>
      <c r="O6072" s="165">
        <f t="shared" si="286"/>
        <v>0.15840520209638712</v>
      </c>
      <c r="P6072" s="18"/>
      <c r="Q6072" s="18"/>
      <c r="R6072" s="18"/>
      <c r="S6072" s="18"/>
      <c r="T6072" s="18"/>
      <c r="U6072" s="18"/>
      <c r="V6072" s="18"/>
      <c r="W6072" s="18"/>
      <c r="X6072" s="18"/>
    </row>
    <row r="6073" spans="13:24">
      <c r="M6073" s="558">
        <f t="shared" si="287"/>
        <v>6071</v>
      </c>
      <c r="N6073" s="15">
        <f t="shared" si="285"/>
        <v>0.15835355581147315</v>
      </c>
      <c r="O6073" s="165">
        <f t="shared" si="286"/>
        <v>0.15835355581147315</v>
      </c>
      <c r="P6073" s="18"/>
      <c r="Q6073" s="18"/>
      <c r="R6073" s="18"/>
      <c r="S6073" s="18"/>
      <c r="T6073" s="18"/>
      <c r="U6073" s="18"/>
      <c r="V6073" s="18"/>
      <c r="W6073" s="18"/>
      <c r="X6073" s="18"/>
    </row>
    <row r="6074" spans="13:24">
      <c r="M6074" s="558">
        <f t="shared" si="287"/>
        <v>6072</v>
      </c>
      <c r="N6074" s="15">
        <f t="shared" si="285"/>
        <v>0.15830190987344647</v>
      </c>
      <c r="O6074" s="165">
        <f t="shared" si="286"/>
        <v>0.15830190987344647</v>
      </c>
      <c r="P6074" s="18"/>
      <c r="Q6074" s="18"/>
      <c r="R6074" s="18"/>
      <c r="S6074" s="18"/>
      <c r="T6074" s="18"/>
      <c r="U6074" s="18"/>
      <c r="V6074" s="18"/>
      <c r="W6074" s="18"/>
      <c r="X6074" s="18"/>
    </row>
    <row r="6075" spans="13:24">
      <c r="M6075" s="558">
        <f t="shared" si="287"/>
        <v>6073</v>
      </c>
      <c r="N6075" s="15">
        <f t="shared" si="285"/>
        <v>0.15825026428187178</v>
      </c>
      <c r="O6075" s="165">
        <f t="shared" si="286"/>
        <v>0.15825026428187178</v>
      </c>
      <c r="P6075" s="18"/>
      <c r="Q6075" s="18"/>
      <c r="R6075" s="18"/>
      <c r="S6075" s="18"/>
      <c r="T6075" s="18"/>
      <c r="U6075" s="18"/>
      <c r="V6075" s="18"/>
      <c r="W6075" s="18"/>
      <c r="X6075" s="18"/>
    </row>
    <row r="6076" spans="13:24">
      <c r="M6076" s="558">
        <f t="shared" si="287"/>
        <v>6074</v>
      </c>
      <c r="N6076" s="15">
        <f t="shared" si="285"/>
        <v>0.15819861903631427</v>
      </c>
      <c r="O6076" s="165">
        <f t="shared" si="286"/>
        <v>0.15819861903631427</v>
      </c>
      <c r="P6076" s="18"/>
      <c r="Q6076" s="18"/>
      <c r="R6076" s="18"/>
      <c r="S6076" s="18"/>
      <c r="T6076" s="18"/>
      <c r="U6076" s="18"/>
      <c r="V6076" s="18"/>
      <c r="W6076" s="18"/>
      <c r="X6076" s="18"/>
    </row>
    <row r="6077" spans="13:24">
      <c r="M6077" s="558">
        <f t="shared" si="287"/>
        <v>6075</v>
      </c>
      <c r="N6077" s="15">
        <f t="shared" si="285"/>
        <v>0.15814697413633974</v>
      </c>
      <c r="O6077" s="165">
        <f t="shared" si="286"/>
        <v>0.15814697413633974</v>
      </c>
      <c r="P6077" s="18"/>
      <c r="Q6077" s="18"/>
      <c r="R6077" s="18"/>
      <c r="S6077" s="18"/>
      <c r="T6077" s="18"/>
      <c r="U6077" s="18"/>
      <c r="V6077" s="18"/>
      <c r="W6077" s="18"/>
      <c r="X6077" s="18"/>
    </row>
    <row r="6078" spans="13:24">
      <c r="M6078" s="558">
        <f t="shared" si="287"/>
        <v>6076</v>
      </c>
      <c r="N6078" s="15">
        <f t="shared" si="285"/>
        <v>0.15809532958151454</v>
      </c>
      <c r="O6078" s="165">
        <f t="shared" si="286"/>
        <v>0.15809532958151454</v>
      </c>
      <c r="P6078" s="18"/>
      <c r="Q6078" s="18"/>
      <c r="R6078" s="18"/>
      <c r="S6078" s="18"/>
      <c r="T6078" s="18"/>
      <c r="U6078" s="18"/>
      <c r="V6078" s="18"/>
      <c r="W6078" s="18"/>
      <c r="X6078" s="18"/>
    </row>
    <row r="6079" spans="13:24">
      <c r="M6079" s="558">
        <f t="shared" si="287"/>
        <v>6077</v>
      </c>
      <c r="N6079" s="15">
        <f t="shared" si="285"/>
        <v>0.15804368537140545</v>
      </c>
      <c r="O6079" s="165">
        <f t="shared" si="286"/>
        <v>0.15804368537140545</v>
      </c>
      <c r="P6079" s="18"/>
      <c r="Q6079" s="18"/>
      <c r="R6079" s="18"/>
      <c r="S6079" s="18"/>
      <c r="T6079" s="18"/>
      <c r="U6079" s="18"/>
      <c r="V6079" s="18"/>
      <c r="W6079" s="18"/>
      <c r="X6079" s="18"/>
    </row>
    <row r="6080" spans="13:24">
      <c r="M6080" s="558">
        <f t="shared" si="287"/>
        <v>6078</v>
      </c>
      <c r="N6080" s="15">
        <f t="shared" si="285"/>
        <v>0.15799204150557997</v>
      </c>
      <c r="O6080" s="165">
        <f t="shared" si="286"/>
        <v>0.15799204150557997</v>
      </c>
      <c r="P6080" s="18"/>
      <c r="Q6080" s="18"/>
      <c r="R6080" s="18"/>
      <c r="S6080" s="18"/>
      <c r="T6080" s="18"/>
      <c r="U6080" s="18"/>
      <c r="V6080" s="18"/>
      <c r="W6080" s="18"/>
      <c r="X6080" s="18"/>
    </row>
    <row r="6081" spans="13:24">
      <c r="M6081" s="558">
        <f t="shared" si="287"/>
        <v>6079</v>
      </c>
      <c r="N6081" s="15">
        <f t="shared" si="285"/>
        <v>0.15794039798360598</v>
      </c>
      <c r="O6081" s="165">
        <f t="shared" si="286"/>
        <v>0.15794039798360598</v>
      </c>
      <c r="P6081" s="18"/>
      <c r="Q6081" s="18"/>
      <c r="R6081" s="18"/>
      <c r="S6081" s="18"/>
      <c r="T6081" s="18"/>
      <c r="U6081" s="18"/>
      <c r="V6081" s="18"/>
      <c r="W6081" s="18"/>
      <c r="X6081" s="18"/>
    </row>
    <row r="6082" spans="13:24">
      <c r="M6082" s="558">
        <f t="shared" si="287"/>
        <v>6080</v>
      </c>
      <c r="N6082" s="15">
        <f t="shared" si="285"/>
        <v>0.15788875480505205</v>
      </c>
      <c r="O6082" s="165">
        <f t="shared" si="286"/>
        <v>0.15788875480505205</v>
      </c>
      <c r="P6082" s="18"/>
      <c r="Q6082" s="18"/>
      <c r="R6082" s="18"/>
      <c r="S6082" s="18"/>
      <c r="T6082" s="18"/>
      <c r="U6082" s="18"/>
      <c r="V6082" s="18"/>
      <c r="W6082" s="18"/>
      <c r="X6082" s="18"/>
    </row>
    <row r="6083" spans="13:24">
      <c r="M6083" s="558">
        <f t="shared" si="287"/>
        <v>6081</v>
      </c>
      <c r="N6083" s="15">
        <f t="shared" si="285"/>
        <v>0.15783711196948713</v>
      </c>
      <c r="O6083" s="165">
        <f t="shared" si="286"/>
        <v>0.15783711196948713</v>
      </c>
      <c r="P6083" s="18"/>
      <c r="Q6083" s="18"/>
      <c r="R6083" s="18"/>
      <c r="S6083" s="18"/>
      <c r="T6083" s="18"/>
      <c r="U6083" s="18"/>
      <c r="V6083" s="18"/>
      <c r="W6083" s="18"/>
      <c r="X6083" s="18"/>
    </row>
    <row r="6084" spans="13:24">
      <c r="M6084" s="558">
        <f t="shared" si="287"/>
        <v>6082</v>
      </c>
      <c r="N6084" s="15">
        <f t="shared" ref="N6084:N6147" si="288">IF(M6084&lt;$B$31+1,$B$32+$B$33/$B$31*(8760-M6084)+$B$34*IF(M6084&lt;$B$36-$B$31/(2*$B$35),1,IF(M6084&lt;$B$36+$B$31/(2*$B$35),COS(PI()/2*(M6084-($B$36-$B$31/(2*$B$35)))*$B$35/$B$31)^2,0))+$B$37*EXP((8760-M6084)/8760*$B$38)/EXP($B$38)-(8760-$B$31)*$B$33/$B$31,0)</f>
        <v>0.15778546947648089</v>
      </c>
      <c r="O6084" s="165">
        <f t="shared" ref="O6084:O6147" si="289">MIN(N6084,C$24)</f>
        <v>0.15778546947648089</v>
      </c>
      <c r="P6084" s="18"/>
      <c r="Q6084" s="18"/>
      <c r="R6084" s="18"/>
      <c r="S6084" s="18"/>
      <c r="T6084" s="18"/>
      <c r="U6084" s="18"/>
      <c r="V6084" s="18"/>
      <c r="W6084" s="18"/>
      <c r="X6084" s="18"/>
    </row>
    <row r="6085" spans="13:24">
      <c r="M6085" s="558">
        <f t="shared" ref="M6085:M6148" si="290">M6084+1</f>
        <v>6083</v>
      </c>
      <c r="N6085" s="15">
        <f t="shared" si="288"/>
        <v>0.15773382732560337</v>
      </c>
      <c r="O6085" s="165">
        <f t="shared" si="289"/>
        <v>0.15773382732560337</v>
      </c>
      <c r="P6085" s="18"/>
      <c r="Q6085" s="18"/>
      <c r="R6085" s="18"/>
      <c r="S6085" s="18"/>
      <c r="T6085" s="18"/>
      <c r="U6085" s="18"/>
      <c r="V6085" s="18"/>
      <c r="W6085" s="18"/>
      <c r="X6085" s="18"/>
    </row>
    <row r="6086" spans="13:24">
      <c r="M6086" s="558">
        <f t="shared" si="290"/>
        <v>6084</v>
      </c>
      <c r="N6086" s="15">
        <f t="shared" si="288"/>
        <v>0.15768218551642527</v>
      </c>
      <c r="O6086" s="165">
        <f t="shared" si="289"/>
        <v>0.15768218551642527</v>
      </c>
      <c r="P6086" s="18"/>
      <c r="Q6086" s="18"/>
      <c r="R6086" s="18"/>
      <c r="S6086" s="18"/>
      <c r="T6086" s="18"/>
      <c r="U6086" s="18"/>
      <c r="V6086" s="18"/>
      <c r="W6086" s="18"/>
      <c r="X6086" s="18"/>
    </row>
    <row r="6087" spans="13:24">
      <c r="M6087" s="558">
        <f t="shared" si="290"/>
        <v>6085</v>
      </c>
      <c r="N6087" s="15">
        <f t="shared" si="288"/>
        <v>0.15763054404851773</v>
      </c>
      <c r="O6087" s="165">
        <f t="shared" si="289"/>
        <v>0.15763054404851773</v>
      </c>
      <c r="P6087" s="18"/>
      <c r="Q6087" s="18"/>
      <c r="R6087" s="18"/>
      <c r="S6087" s="18"/>
      <c r="T6087" s="18"/>
      <c r="U6087" s="18"/>
      <c r="V6087" s="18"/>
      <c r="W6087" s="18"/>
      <c r="X6087" s="18"/>
    </row>
    <row r="6088" spans="13:24">
      <c r="M6088" s="558">
        <f t="shared" si="290"/>
        <v>6086</v>
      </c>
      <c r="N6088" s="15">
        <f t="shared" si="288"/>
        <v>0.15757890292145252</v>
      </c>
      <c r="O6088" s="165">
        <f t="shared" si="289"/>
        <v>0.15757890292145252</v>
      </c>
      <c r="P6088" s="18"/>
      <c r="Q6088" s="18"/>
      <c r="R6088" s="18"/>
      <c r="S6088" s="18"/>
      <c r="T6088" s="18"/>
      <c r="U6088" s="18"/>
      <c r="V6088" s="18"/>
      <c r="W6088" s="18"/>
      <c r="X6088" s="18"/>
    </row>
    <row r="6089" spans="13:24">
      <c r="M6089" s="558">
        <f t="shared" si="290"/>
        <v>6087</v>
      </c>
      <c r="N6089" s="15">
        <f t="shared" si="288"/>
        <v>0.15752726213480192</v>
      </c>
      <c r="O6089" s="165">
        <f t="shared" si="289"/>
        <v>0.15752726213480192</v>
      </c>
      <c r="P6089" s="18"/>
      <c r="Q6089" s="18"/>
      <c r="R6089" s="18"/>
      <c r="S6089" s="18"/>
      <c r="T6089" s="18"/>
      <c r="U6089" s="18"/>
      <c r="V6089" s="18"/>
      <c r="W6089" s="18"/>
      <c r="X6089" s="18"/>
    </row>
    <row r="6090" spans="13:24">
      <c r="M6090" s="558">
        <f t="shared" si="290"/>
        <v>6088</v>
      </c>
      <c r="N6090" s="15">
        <f t="shared" si="288"/>
        <v>0.15747562168813872</v>
      </c>
      <c r="O6090" s="165">
        <f t="shared" si="289"/>
        <v>0.15747562168813872</v>
      </c>
      <c r="P6090" s="18"/>
      <c r="Q6090" s="18"/>
      <c r="R6090" s="18"/>
      <c r="S6090" s="18"/>
      <c r="T6090" s="18"/>
      <c r="U6090" s="18"/>
      <c r="V6090" s="18"/>
      <c r="W6090" s="18"/>
      <c r="X6090" s="18"/>
    </row>
    <row r="6091" spans="13:24">
      <c r="M6091" s="558">
        <f t="shared" si="290"/>
        <v>6089</v>
      </c>
      <c r="N6091" s="15">
        <f t="shared" si="288"/>
        <v>0.15742398158103632</v>
      </c>
      <c r="O6091" s="165">
        <f t="shared" si="289"/>
        <v>0.15742398158103632</v>
      </c>
      <c r="P6091" s="18"/>
      <c r="Q6091" s="18"/>
      <c r="R6091" s="18"/>
      <c r="S6091" s="18"/>
      <c r="T6091" s="18"/>
      <c r="U6091" s="18"/>
      <c r="V6091" s="18"/>
      <c r="W6091" s="18"/>
      <c r="X6091" s="18"/>
    </row>
    <row r="6092" spans="13:24">
      <c r="M6092" s="558">
        <f t="shared" si="290"/>
        <v>6090</v>
      </c>
      <c r="N6092" s="15">
        <f t="shared" si="288"/>
        <v>0.1573723418130685</v>
      </c>
      <c r="O6092" s="165">
        <f t="shared" si="289"/>
        <v>0.1573723418130685</v>
      </c>
      <c r="P6092" s="18"/>
      <c r="Q6092" s="18"/>
      <c r="R6092" s="18"/>
      <c r="S6092" s="18"/>
      <c r="T6092" s="18"/>
      <c r="U6092" s="18"/>
      <c r="V6092" s="18"/>
      <c r="W6092" s="18"/>
      <c r="X6092" s="18"/>
    </row>
    <row r="6093" spans="13:24">
      <c r="M6093" s="558">
        <f t="shared" si="290"/>
        <v>6091</v>
      </c>
      <c r="N6093" s="15">
        <f t="shared" si="288"/>
        <v>0.15732070238380974</v>
      </c>
      <c r="O6093" s="165">
        <f t="shared" si="289"/>
        <v>0.15732070238380974</v>
      </c>
      <c r="P6093" s="18"/>
      <c r="Q6093" s="18"/>
      <c r="R6093" s="18"/>
      <c r="S6093" s="18"/>
      <c r="T6093" s="18"/>
      <c r="U6093" s="18"/>
      <c r="V6093" s="18"/>
      <c r="W6093" s="18"/>
      <c r="X6093" s="18"/>
    </row>
    <row r="6094" spans="13:24">
      <c r="M6094" s="558">
        <f t="shared" si="290"/>
        <v>6092</v>
      </c>
      <c r="N6094" s="15">
        <f t="shared" si="288"/>
        <v>0.15726906329283497</v>
      </c>
      <c r="O6094" s="165">
        <f t="shared" si="289"/>
        <v>0.15726906329283497</v>
      </c>
      <c r="P6094" s="18"/>
      <c r="Q6094" s="18"/>
      <c r="R6094" s="18"/>
      <c r="S6094" s="18"/>
      <c r="T6094" s="18"/>
      <c r="U6094" s="18"/>
      <c r="V6094" s="18"/>
      <c r="W6094" s="18"/>
      <c r="X6094" s="18"/>
    </row>
    <row r="6095" spans="13:24">
      <c r="M6095" s="558">
        <f t="shared" si="290"/>
        <v>6093</v>
      </c>
      <c r="N6095" s="15">
        <f t="shared" si="288"/>
        <v>0.15721742453971965</v>
      </c>
      <c r="O6095" s="165">
        <f t="shared" si="289"/>
        <v>0.15721742453971965</v>
      </c>
      <c r="P6095" s="18"/>
      <c r="Q6095" s="18"/>
      <c r="R6095" s="18"/>
      <c r="S6095" s="18"/>
      <c r="T6095" s="18"/>
      <c r="U6095" s="18"/>
      <c r="V6095" s="18"/>
      <c r="W6095" s="18"/>
      <c r="X6095" s="18"/>
    </row>
    <row r="6096" spans="13:24">
      <c r="M6096" s="558">
        <f t="shared" si="290"/>
        <v>6094</v>
      </c>
      <c r="N6096" s="15">
        <f t="shared" si="288"/>
        <v>0.15716578612403984</v>
      </c>
      <c r="O6096" s="165">
        <f t="shared" si="289"/>
        <v>0.15716578612403984</v>
      </c>
      <c r="P6096" s="18"/>
      <c r="Q6096" s="18"/>
      <c r="R6096" s="18"/>
      <c r="S6096" s="18"/>
      <c r="T6096" s="18"/>
      <c r="U6096" s="18"/>
      <c r="V6096" s="18"/>
      <c r="W6096" s="18"/>
      <c r="X6096" s="18"/>
    </row>
    <row r="6097" spans="13:24">
      <c r="M6097" s="558">
        <f t="shared" si="290"/>
        <v>6095</v>
      </c>
      <c r="N6097" s="15">
        <f t="shared" si="288"/>
        <v>0.15711414804537205</v>
      </c>
      <c r="O6097" s="165">
        <f t="shared" si="289"/>
        <v>0.15711414804537205</v>
      </c>
      <c r="P6097" s="18"/>
      <c r="Q6097" s="18"/>
      <c r="R6097" s="18"/>
      <c r="S6097" s="18"/>
      <c r="T6097" s="18"/>
      <c r="U6097" s="18"/>
      <c r="V6097" s="18"/>
      <c r="W6097" s="18"/>
      <c r="X6097" s="18"/>
    </row>
    <row r="6098" spans="13:24">
      <c r="M6098" s="558">
        <f t="shared" si="290"/>
        <v>6096</v>
      </c>
      <c r="N6098" s="15">
        <f t="shared" si="288"/>
        <v>0.15706251030329335</v>
      </c>
      <c r="O6098" s="165">
        <f t="shared" si="289"/>
        <v>0.15706251030329335</v>
      </c>
      <c r="P6098" s="18"/>
      <c r="Q6098" s="18"/>
      <c r="R6098" s="18"/>
      <c r="S6098" s="18"/>
      <c r="T6098" s="18"/>
      <c r="U6098" s="18"/>
      <c r="V6098" s="18"/>
      <c r="W6098" s="18"/>
      <c r="X6098" s="18"/>
    </row>
    <row r="6099" spans="13:24">
      <c r="M6099" s="558">
        <f t="shared" si="290"/>
        <v>6097</v>
      </c>
      <c r="N6099" s="15">
        <f t="shared" si="288"/>
        <v>0.15701087289738139</v>
      </c>
      <c r="O6099" s="165">
        <f t="shared" si="289"/>
        <v>0.15701087289738139</v>
      </c>
      <c r="P6099" s="18"/>
      <c r="Q6099" s="18"/>
      <c r="R6099" s="18"/>
      <c r="S6099" s="18"/>
      <c r="T6099" s="18"/>
      <c r="U6099" s="18"/>
      <c r="V6099" s="18"/>
      <c r="W6099" s="18"/>
      <c r="X6099" s="18"/>
    </row>
    <row r="6100" spans="13:24">
      <c r="M6100" s="558">
        <f t="shared" si="290"/>
        <v>6098</v>
      </c>
      <c r="N6100" s="15">
        <f t="shared" si="288"/>
        <v>0.15695923582721424</v>
      </c>
      <c r="O6100" s="165">
        <f t="shared" si="289"/>
        <v>0.15695923582721424</v>
      </c>
      <c r="P6100" s="18"/>
      <c r="Q6100" s="18"/>
      <c r="R6100" s="18"/>
      <c r="S6100" s="18"/>
      <c r="T6100" s="18"/>
      <c r="U6100" s="18"/>
      <c r="V6100" s="18"/>
      <c r="W6100" s="18"/>
      <c r="X6100" s="18"/>
    </row>
    <row r="6101" spans="13:24">
      <c r="M6101" s="558">
        <f t="shared" si="290"/>
        <v>6099</v>
      </c>
      <c r="N6101" s="15">
        <f t="shared" si="288"/>
        <v>0.15690759909237065</v>
      </c>
      <c r="O6101" s="165">
        <f t="shared" si="289"/>
        <v>0.15690759909237065</v>
      </c>
      <c r="P6101" s="18"/>
      <c r="Q6101" s="18"/>
      <c r="R6101" s="18"/>
      <c r="S6101" s="18"/>
      <c r="T6101" s="18"/>
      <c r="U6101" s="18"/>
      <c r="V6101" s="18"/>
      <c r="W6101" s="18"/>
      <c r="X6101" s="18"/>
    </row>
    <row r="6102" spans="13:24">
      <c r="M6102" s="558">
        <f t="shared" si="290"/>
        <v>6100</v>
      </c>
      <c r="N6102" s="15">
        <f t="shared" si="288"/>
        <v>0.15685596269242974</v>
      </c>
      <c r="O6102" s="165">
        <f t="shared" si="289"/>
        <v>0.15685596269242974</v>
      </c>
      <c r="P6102" s="18"/>
      <c r="Q6102" s="18"/>
      <c r="R6102" s="18"/>
      <c r="S6102" s="18"/>
      <c r="T6102" s="18"/>
      <c r="U6102" s="18"/>
      <c r="V6102" s="18"/>
      <c r="W6102" s="18"/>
      <c r="X6102" s="18"/>
    </row>
    <row r="6103" spans="13:24">
      <c r="M6103" s="558">
        <f t="shared" si="290"/>
        <v>6101</v>
      </c>
      <c r="N6103" s="15">
        <f t="shared" si="288"/>
        <v>0.15680432662697127</v>
      </c>
      <c r="O6103" s="165">
        <f t="shared" si="289"/>
        <v>0.15680432662697127</v>
      </c>
      <c r="P6103" s="18"/>
      <c r="Q6103" s="18"/>
      <c r="R6103" s="18"/>
      <c r="S6103" s="18"/>
      <c r="T6103" s="18"/>
      <c r="U6103" s="18"/>
      <c r="V6103" s="18"/>
      <c r="W6103" s="18"/>
      <c r="X6103" s="18"/>
    </row>
    <row r="6104" spans="13:24">
      <c r="M6104" s="558">
        <f t="shared" si="290"/>
        <v>6102</v>
      </c>
      <c r="N6104" s="15">
        <f t="shared" si="288"/>
        <v>0.15675269089557553</v>
      </c>
      <c r="O6104" s="165">
        <f t="shared" si="289"/>
        <v>0.15675269089557553</v>
      </c>
      <c r="P6104" s="18"/>
      <c r="Q6104" s="18"/>
      <c r="R6104" s="18"/>
      <c r="S6104" s="18"/>
      <c r="T6104" s="18"/>
      <c r="U6104" s="18"/>
      <c r="V6104" s="18"/>
      <c r="W6104" s="18"/>
      <c r="X6104" s="18"/>
    </row>
    <row r="6105" spans="13:24">
      <c r="M6105" s="558">
        <f t="shared" si="290"/>
        <v>6103</v>
      </c>
      <c r="N6105" s="15">
        <f t="shared" si="288"/>
        <v>0.15670105549782323</v>
      </c>
      <c r="O6105" s="165">
        <f t="shared" si="289"/>
        <v>0.15670105549782323</v>
      </c>
      <c r="P6105" s="18"/>
      <c r="Q6105" s="18"/>
      <c r="R6105" s="18"/>
      <c r="S6105" s="18"/>
      <c r="T6105" s="18"/>
      <c r="U6105" s="18"/>
      <c r="V6105" s="18"/>
      <c r="W6105" s="18"/>
      <c r="X6105" s="18"/>
    </row>
    <row r="6106" spans="13:24">
      <c r="M6106" s="558">
        <f t="shared" si="290"/>
        <v>6104</v>
      </c>
      <c r="N6106" s="15">
        <f t="shared" si="288"/>
        <v>0.15664942043329572</v>
      </c>
      <c r="O6106" s="165">
        <f t="shared" si="289"/>
        <v>0.15664942043329572</v>
      </c>
      <c r="P6106" s="18"/>
      <c r="Q6106" s="18"/>
      <c r="R6106" s="18"/>
      <c r="S6106" s="18"/>
      <c r="T6106" s="18"/>
      <c r="U6106" s="18"/>
      <c r="V6106" s="18"/>
      <c r="W6106" s="18"/>
      <c r="X6106" s="18"/>
    </row>
    <row r="6107" spans="13:24">
      <c r="M6107" s="558">
        <f t="shared" si="290"/>
        <v>6105</v>
      </c>
      <c r="N6107" s="15">
        <f t="shared" si="288"/>
        <v>0.15659778570157479</v>
      </c>
      <c r="O6107" s="165">
        <f t="shared" si="289"/>
        <v>0.15659778570157479</v>
      </c>
      <c r="P6107" s="18"/>
      <c r="Q6107" s="18"/>
      <c r="R6107" s="18"/>
      <c r="S6107" s="18"/>
      <c r="T6107" s="18"/>
      <c r="U6107" s="18"/>
      <c r="V6107" s="18"/>
      <c r="W6107" s="18"/>
      <c r="X6107" s="18"/>
    </row>
    <row r="6108" spans="13:24">
      <c r="M6108" s="558">
        <f t="shared" si="290"/>
        <v>6106</v>
      </c>
      <c r="N6108" s="15">
        <f t="shared" si="288"/>
        <v>0.15654615130224284</v>
      </c>
      <c r="O6108" s="165">
        <f t="shared" si="289"/>
        <v>0.15654615130224284</v>
      </c>
      <c r="P6108" s="18"/>
      <c r="Q6108" s="18"/>
      <c r="R6108" s="18"/>
      <c r="S6108" s="18"/>
      <c r="T6108" s="18"/>
      <c r="U6108" s="18"/>
      <c r="V6108" s="18"/>
      <c r="W6108" s="18"/>
      <c r="X6108" s="18"/>
    </row>
    <row r="6109" spans="13:24">
      <c r="M6109" s="558">
        <f t="shared" si="290"/>
        <v>6107</v>
      </c>
      <c r="N6109" s="15">
        <f t="shared" si="288"/>
        <v>0.1564945172348827</v>
      </c>
      <c r="O6109" s="165">
        <f t="shared" si="289"/>
        <v>0.1564945172348827</v>
      </c>
      <c r="P6109" s="18"/>
      <c r="Q6109" s="18"/>
      <c r="R6109" s="18"/>
      <c r="S6109" s="18"/>
      <c r="T6109" s="18"/>
      <c r="U6109" s="18"/>
      <c r="V6109" s="18"/>
      <c r="W6109" s="18"/>
      <c r="X6109" s="18"/>
    </row>
    <row r="6110" spans="13:24">
      <c r="M6110" s="558">
        <f t="shared" si="290"/>
        <v>6108</v>
      </c>
      <c r="N6110" s="15">
        <f t="shared" si="288"/>
        <v>0.15644288349907781</v>
      </c>
      <c r="O6110" s="165">
        <f t="shared" si="289"/>
        <v>0.15644288349907781</v>
      </c>
      <c r="P6110" s="18"/>
      <c r="Q6110" s="18"/>
      <c r="R6110" s="18"/>
      <c r="S6110" s="18"/>
      <c r="T6110" s="18"/>
      <c r="U6110" s="18"/>
      <c r="V6110" s="18"/>
      <c r="W6110" s="18"/>
      <c r="X6110" s="18"/>
    </row>
    <row r="6111" spans="13:24">
      <c r="M6111" s="558">
        <f t="shared" si="290"/>
        <v>6109</v>
      </c>
      <c r="N6111" s="15">
        <f t="shared" si="288"/>
        <v>0.15639125009441207</v>
      </c>
      <c r="O6111" s="165">
        <f t="shared" si="289"/>
        <v>0.15639125009441207</v>
      </c>
      <c r="P6111" s="18"/>
      <c r="Q6111" s="18"/>
      <c r="R6111" s="18"/>
      <c r="S6111" s="18"/>
      <c r="T6111" s="18"/>
      <c r="U6111" s="18"/>
      <c r="V6111" s="18"/>
      <c r="W6111" s="18"/>
      <c r="X6111" s="18"/>
    </row>
    <row r="6112" spans="13:24">
      <c r="M6112" s="558">
        <f t="shared" si="290"/>
        <v>6110</v>
      </c>
      <c r="N6112" s="15">
        <f t="shared" si="288"/>
        <v>0.15633961702046997</v>
      </c>
      <c r="O6112" s="165">
        <f t="shared" si="289"/>
        <v>0.15633961702046997</v>
      </c>
      <c r="P6112" s="18"/>
      <c r="Q6112" s="18"/>
      <c r="R6112" s="18"/>
      <c r="S6112" s="18"/>
      <c r="T6112" s="18"/>
      <c r="U6112" s="18"/>
      <c r="V6112" s="18"/>
      <c r="W6112" s="18"/>
      <c r="X6112" s="18"/>
    </row>
    <row r="6113" spans="13:24">
      <c r="M6113" s="558">
        <f t="shared" si="290"/>
        <v>6111</v>
      </c>
      <c r="N6113" s="15">
        <f t="shared" si="288"/>
        <v>0.15628798427683641</v>
      </c>
      <c r="O6113" s="165">
        <f t="shared" si="289"/>
        <v>0.15628798427683641</v>
      </c>
      <c r="P6113" s="18"/>
      <c r="Q6113" s="18"/>
      <c r="R6113" s="18"/>
      <c r="S6113" s="18"/>
      <c r="T6113" s="18"/>
      <c r="U6113" s="18"/>
      <c r="V6113" s="18"/>
      <c r="W6113" s="18"/>
      <c r="X6113" s="18"/>
    </row>
    <row r="6114" spans="13:24">
      <c r="M6114" s="558">
        <f t="shared" si="290"/>
        <v>6112</v>
      </c>
      <c r="N6114" s="15">
        <f t="shared" si="288"/>
        <v>0.15623635186309695</v>
      </c>
      <c r="O6114" s="165">
        <f t="shared" si="289"/>
        <v>0.15623635186309695</v>
      </c>
      <c r="P6114" s="18"/>
      <c r="Q6114" s="18"/>
      <c r="R6114" s="18"/>
      <c r="S6114" s="18"/>
      <c r="T6114" s="18"/>
      <c r="U6114" s="18"/>
      <c r="V6114" s="18"/>
      <c r="W6114" s="18"/>
      <c r="X6114" s="18"/>
    </row>
    <row r="6115" spans="13:24">
      <c r="M6115" s="558">
        <f t="shared" si="290"/>
        <v>6113</v>
      </c>
      <c r="N6115" s="15">
        <f t="shared" si="288"/>
        <v>0.15618471977883752</v>
      </c>
      <c r="O6115" s="165">
        <f t="shared" si="289"/>
        <v>0.15618471977883752</v>
      </c>
      <c r="P6115" s="18"/>
      <c r="Q6115" s="18"/>
      <c r="R6115" s="18"/>
      <c r="S6115" s="18"/>
      <c r="T6115" s="18"/>
      <c r="U6115" s="18"/>
      <c r="V6115" s="18"/>
      <c r="W6115" s="18"/>
      <c r="X6115" s="18"/>
    </row>
    <row r="6116" spans="13:24">
      <c r="M6116" s="558">
        <f t="shared" si="290"/>
        <v>6114</v>
      </c>
      <c r="N6116" s="15">
        <f t="shared" si="288"/>
        <v>0.15613308802364476</v>
      </c>
      <c r="O6116" s="165">
        <f t="shared" si="289"/>
        <v>0.15613308802364476</v>
      </c>
      <c r="P6116" s="18"/>
      <c r="Q6116" s="18"/>
      <c r="R6116" s="18"/>
      <c r="S6116" s="18"/>
      <c r="T6116" s="18"/>
      <c r="U6116" s="18"/>
      <c r="V6116" s="18"/>
      <c r="W6116" s="18"/>
      <c r="X6116" s="18"/>
    </row>
    <row r="6117" spans="13:24">
      <c r="M6117" s="558">
        <f t="shared" si="290"/>
        <v>6115</v>
      </c>
      <c r="N6117" s="15">
        <f t="shared" si="288"/>
        <v>0.15608145659710559</v>
      </c>
      <c r="O6117" s="165">
        <f t="shared" si="289"/>
        <v>0.15608145659710559</v>
      </c>
      <c r="P6117" s="18"/>
      <c r="Q6117" s="18"/>
      <c r="R6117" s="18"/>
      <c r="S6117" s="18"/>
      <c r="T6117" s="18"/>
      <c r="U6117" s="18"/>
      <c r="V6117" s="18"/>
      <c r="W6117" s="18"/>
      <c r="X6117" s="18"/>
    </row>
    <row r="6118" spans="13:24">
      <c r="M6118" s="558">
        <f t="shared" si="290"/>
        <v>6116</v>
      </c>
      <c r="N6118" s="15">
        <f t="shared" si="288"/>
        <v>0.15602982549880764</v>
      </c>
      <c r="O6118" s="165">
        <f t="shared" si="289"/>
        <v>0.15602982549880764</v>
      </c>
      <c r="P6118" s="18"/>
      <c r="Q6118" s="18"/>
      <c r="R6118" s="18"/>
      <c r="S6118" s="18"/>
      <c r="T6118" s="18"/>
      <c r="U6118" s="18"/>
      <c r="V6118" s="18"/>
      <c r="W6118" s="18"/>
      <c r="X6118" s="18"/>
    </row>
    <row r="6119" spans="13:24">
      <c r="M6119" s="558">
        <f t="shared" si="290"/>
        <v>6117</v>
      </c>
      <c r="N6119" s="15">
        <f t="shared" si="288"/>
        <v>0.15597819472833904</v>
      </c>
      <c r="O6119" s="165">
        <f t="shared" si="289"/>
        <v>0.15597819472833904</v>
      </c>
      <c r="P6119" s="18"/>
      <c r="Q6119" s="18"/>
      <c r="R6119" s="18"/>
      <c r="S6119" s="18"/>
      <c r="T6119" s="18"/>
      <c r="U6119" s="18"/>
      <c r="V6119" s="18"/>
      <c r="W6119" s="18"/>
      <c r="X6119" s="18"/>
    </row>
    <row r="6120" spans="13:24">
      <c r="M6120" s="558">
        <f t="shared" si="290"/>
        <v>6118</v>
      </c>
      <c r="N6120" s="15">
        <f t="shared" si="288"/>
        <v>0.15592656428528831</v>
      </c>
      <c r="O6120" s="165">
        <f t="shared" si="289"/>
        <v>0.15592656428528831</v>
      </c>
      <c r="P6120" s="18"/>
      <c r="Q6120" s="18"/>
      <c r="R6120" s="18"/>
      <c r="S6120" s="18"/>
      <c r="T6120" s="18"/>
      <c r="U6120" s="18"/>
      <c r="V6120" s="18"/>
      <c r="W6120" s="18"/>
      <c r="X6120" s="18"/>
    </row>
    <row r="6121" spans="13:24">
      <c r="M6121" s="558">
        <f t="shared" si="290"/>
        <v>6119</v>
      </c>
      <c r="N6121" s="15">
        <f t="shared" si="288"/>
        <v>0.15587493416924461</v>
      </c>
      <c r="O6121" s="165">
        <f t="shared" si="289"/>
        <v>0.15587493416924461</v>
      </c>
      <c r="P6121" s="18"/>
      <c r="Q6121" s="18"/>
      <c r="R6121" s="18"/>
      <c r="S6121" s="18"/>
      <c r="T6121" s="18"/>
      <c r="U6121" s="18"/>
      <c r="V6121" s="18"/>
      <c r="W6121" s="18"/>
      <c r="X6121" s="18"/>
    </row>
    <row r="6122" spans="13:24">
      <c r="M6122" s="558">
        <f t="shared" si="290"/>
        <v>6120</v>
      </c>
      <c r="N6122" s="15">
        <f t="shared" si="288"/>
        <v>0.15582330437979755</v>
      </c>
      <c r="O6122" s="165">
        <f t="shared" si="289"/>
        <v>0.15582330437979755</v>
      </c>
      <c r="P6122" s="18"/>
      <c r="Q6122" s="18"/>
      <c r="R6122" s="18"/>
      <c r="S6122" s="18"/>
      <c r="T6122" s="18"/>
      <c r="U6122" s="18"/>
      <c r="V6122" s="18"/>
      <c r="W6122" s="18"/>
      <c r="X6122" s="18"/>
    </row>
    <row r="6123" spans="13:24">
      <c r="M6123" s="558">
        <f t="shared" si="290"/>
        <v>6121</v>
      </c>
      <c r="N6123" s="15">
        <f t="shared" si="288"/>
        <v>0.15577167491653732</v>
      </c>
      <c r="O6123" s="165">
        <f t="shared" si="289"/>
        <v>0.15577167491653732</v>
      </c>
      <c r="P6123" s="18"/>
      <c r="Q6123" s="18"/>
      <c r="R6123" s="18"/>
      <c r="S6123" s="18"/>
      <c r="T6123" s="18"/>
      <c r="U6123" s="18"/>
      <c r="V6123" s="18"/>
      <c r="W6123" s="18"/>
      <c r="X6123" s="18"/>
    </row>
    <row r="6124" spans="13:24">
      <c r="M6124" s="558">
        <f t="shared" si="290"/>
        <v>6122</v>
      </c>
      <c r="N6124" s="15">
        <f t="shared" si="288"/>
        <v>0.15572004577905452</v>
      </c>
      <c r="O6124" s="165">
        <f t="shared" si="289"/>
        <v>0.15572004577905452</v>
      </c>
      <c r="P6124" s="18"/>
      <c r="Q6124" s="18"/>
      <c r="R6124" s="18"/>
      <c r="S6124" s="18"/>
      <c r="T6124" s="18"/>
      <c r="U6124" s="18"/>
      <c r="V6124" s="18"/>
      <c r="W6124" s="18"/>
      <c r="X6124" s="18"/>
    </row>
    <row r="6125" spans="13:24">
      <c r="M6125" s="558">
        <f t="shared" si="290"/>
        <v>6123</v>
      </c>
      <c r="N6125" s="15">
        <f t="shared" si="288"/>
        <v>0.15566841696694039</v>
      </c>
      <c r="O6125" s="165">
        <f t="shared" si="289"/>
        <v>0.15566841696694039</v>
      </c>
      <c r="P6125" s="18"/>
      <c r="Q6125" s="18"/>
      <c r="R6125" s="18"/>
      <c r="S6125" s="18"/>
      <c r="T6125" s="18"/>
      <c r="U6125" s="18"/>
      <c r="V6125" s="18"/>
      <c r="W6125" s="18"/>
      <c r="X6125" s="18"/>
    </row>
    <row r="6126" spans="13:24">
      <c r="M6126" s="558">
        <f t="shared" si="290"/>
        <v>6124</v>
      </c>
      <c r="N6126" s="15">
        <f t="shared" si="288"/>
        <v>0.15561678847978655</v>
      </c>
      <c r="O6126" s="165">
        <f t="shared" si="289"/>
        <v>0.15561678847978655</v>
      </c>
      <c r="P6126" s="18"/>
      <c r="Q6126" s="18"/>
      <c r="R6126" s="18"/>
      <c r="S6126" s="18"/>
      <c r="T6126" s="18"/>
      <c r="U6126" s="18"/>
      <c r="V6126" s="18"/>
      <c r="W6126" s="18"/>
      <c r="X6126" s="18"/>
    </row>
    <row r="6127" spans="13:24">
      <c r="M6127" s="558">
        <f t="shared" si="290"/>
        <v>6125</v>
      </c>
      <c r="N6127" s="15">
        <f t="shared" si="288"/>
        <v>0.15556516031718526</v>
      </c>
      <c r="O6127" s="165">
        <f t="shared" si="289"/>
        <v>0.15556516031718526</v>
      </c>
      <c r="P6127" s="18"/>
      <c r="Q6127" s="18"/>
      <c r="R6127" s="18"/>
      <c r="S6127" s="18"/>
      <c r="T6127" s="18"/>
      <c r="U6127" s="18"/>
      <c r="V6127" s="18"/>
      <c r="W6127" s="18"/>
      <c r="X6127" s="18"/>
    </row>
    <row r="6128" spans="13:24">
      <c r="M6128" s="558">
        <f t="shared" si="290"/>
        <v>6126</v>
      </c>
      <c r="N6128" s="15">
        <f t="shared" si="288"/>
        <v>0.15551353247872918</v>
      </c>
      <c r="O6128" s="165">
        <f t="shared" si="289"/>
        <v>0.15551353247872918</v>
      </c>
      <c r="P6128" s="18"/>
      <c r="Q6128" s="18"/>
      <c r="R6128" s="18"/>
      <c r="S6128" s="18"/>
      <c r="T6128" s="18"/>
      <c r="U6128" s="18"/>
      <c r="V6128" s="18"/>
      <c r="W6128" s="18"/>
      <c r="X6128" s="18"/>
    </row>
    <row r="6129" spans="13:24">
      <c r="M6129" s="558">
        <f t="shared" si="290"/>
        <v>6127</v>
      </c>
      <c r="N6129" s="15">
        <f t="shared" si="288"/>
        <v>0.1554619049640116</v>
      </c>
      <c r="O6129" s="165">
        <f t="shared" si="289"/>
        <v>0.1554619049640116</v>
      </c>
      <c r="P6129" s="18"/>
      <c r="Q6129" s="18"/>
      <c r="R6129" s="18"/>
      <c r="S6129" s="18"/>
      <c r="T6129" s="18"/>
      <c r="U6129" s="18"/>
      <c r="V6129" s="18"/>
      <c r="W6129" s="18"/>
      <c r="X6129" s="18"/>
    </row>
    <row r="6130" spans="13:24">
      <c r="M6130" s="558">
        <f t="shared" si="290"/>
        <v>6128</v>
      </c>
      <c r="N6130" s="15">
        <f t="shared" si="288"/>
        <v>0.15541027777262617</v>
      </c>
      <c r="O6130" s="165">
        <f t="shared" si="289"/>
        <v>0.15541027777262617</v>
      </c>
      <c r="P6130" s="18"/>
      <c r="Q6130" s="18"/>
      <c r="R6130" s="18"/>
      <c r="S6130" s="18"/>
      <c r="T6130" s="18"/>
      <c r="U6130" s="18"/>
      <c r="V6130" s="18"/>
      <c r="W6130" s="18"/>
      <c r="X6130" s="18"/>
    </row>
    <row r="6131" spans="13:24">
      <c r="M6131" s="558">
        <f t="shared" si="290"/>
        <v>6129</v>
      </c>
      <c r="N6131" s="15">
        <f t="shared" si="288"/>
        <v>0.15535865090416723</v>
      </c>
      <c r="O6131" s="165">
        <f t="shared" si="289"/>
        <v>0.15535865090416723</v>
      </c>
      <c r="P6131" s="18"/>
      <c r="Q6131" s="18"/>
      <c r="R6131" s="18"/>
      <c r="S6131" s="18"/>
      <c r="T6131" s="18"/>
      <c r="U6131" s="18"/>
      <c r="V6131" s="18"/>
      <c r="W6131" s="18"/>
      <c r="X6131" s="18"/>
    </row>
    <row r="6132" spans="13:24">
      <c r="M6132" s="558">
        <f t="shared" si="290"/>
        <v>6130</v>
      </c>
      <c r="N6132" s="15">
        <f t="shared" si="288"/>
        <v>0.15530702435822946</v>
      </c>
      <c r="O6132" s="165">
        <f t="shared" si="289"/>
        <v>0.15530702435822946</v>
      </c>
      <c r="P6132" s="18"/>
      <c r="Q6132" s="18"/>
      <c r="R6132" s="18"/>
      <c r="S6132" s="18"/>
      <c r="T6132" s="18"/>
      <c r="U6132" s="18"/>
      <c r="V6132" s="18"/>
      <c r="W6132" s="18"/>
      <c r="X6132" s="18"/>
    </row>
    <row r="6133" spans="13:24">
      <c r="M6133" s="558">
        <f t="shared" si="290"/>
        <v>6131</v>
      </c>
      <c r="N6133" s="15">
        <f t="shared" si="288"/>
        <v>0.15525539813440817</v>
      </c>
      <c r="O6133" s="165">
        <f t="shared" si="289"/>
        <v>0.15525539813440817</v>
      </c>
      <c r="P6133" s="18"/>
      <c r="Q6133" s="18"/>
      <c r="R6133" s="18"/>
      <c r="S6133" s="18"/>
      <c r="T6133" s="18"/>
      <c r="U6133" s="18"/>
      <c r="V6133" s="18"/>
      <c r="W6133" s="18"/>
      <c r="X6133" s="18"/>
    </row>
    <row r="6134" spans="13:24">
      <c r="M6134" s="558">
        <f t="shared" si="290"/>
        <v>6132</v>
      </c>
      <c r="N6134" s="15">
        <f t="shared" si="288"/>
        <v>0.15520377223229906</v>
      </c>
      <c r="O6134" s="165">
        <f t="shared" si="289"/>
        <v>0.15520377223229906</v>
      </c>
      <c r="P6134" s="18"/>
      <c r="Q6134" s="18"/>
      <c r="R6134" s="18"/>
      <c r="S6134" s="18"/>
      <c r="T6134" s="18"/>
      <c r="U6134" s="18"/>
      <c r="V6134" s="18"/>
      <c r="W6134" s="18"/>
      <c r="X6134" s="18"/>
    </row>
    <row r="6135" spans="13:24">
      <c r="M6135" s="558">
        <f t="shared" si="290"/>
        <v>6133</v>
      </c>
      <c r="N6135" s="15">
        <f t="shared" si="288"/>
        <v>0.15515214665149846</v>
      </c>
      <c r="O6135" s="165">
        <f t="shared" si="289"/>
        <v>0.15515214665149846</v>
      </c>
      <c r="P6135" s="18"/>
      <c r="Q6135" s="18"/>
      <c r="R6135" s="18"/>
      <c r="S6135" s="18"/>
      <c r="T6135" s="18"/>
      <c r="U6135" s="18"/>
      <c r="V6135" s="18"/>
      <c r="W6135" s="18"/>
      <c r="X6135" s="18"/>
    </row>
    <row r="6136" spans="13:24">
      <c r="M6136" s="558">
        <f t="shared" si="290"/>
        <v>6134</v>
      </c>
      <c r="N6136" s="15">
        <f t="shared" si="288"/>
        <v>0.15510052139160319</v>
      </c>
      <c r="O6136" s="165">
        <f t="shared" si="289"/>
        <v>0.15510052139160319</v>
      </c>
      <c r="P6136" s="18"/>
      <c r="Q6136" s="18"/>
      <c r="R6136" s="18"/>
      <c r="S6136" s="18"/>
      <c r="T6136" s="18"/>
      <c r="U6136" s="18"/>
      <c r="V6136" s="18"/>
      <c r="W6136" s="18"/>
      <c r="X6136" s="18"/>
    </row>
    <row r="6137" spans="13:24">
      <c r="M6137" s="558">
        <f t="shared" si="290"/>
        <v>6135</v>
      </c>
      <c r="N6137" s="15">
        <f t="shared" si="288"/>
        <v>0.15504889645221046</v>
      </c>
      <c r="O6137" s="165">
        <f t="shared" si="289"/>
        <v>0.15504889645221046</v>
      </c>
      <c r="P6137" s="18"/>
      <c r="Q6137" s="18"/>
      <c r="R6137" s="18"/>
      <c r="S6137" s="18"/>
      <c r="T6137" s="18"/>
      <c r="U6137" s="18"/>
      <c r="V6137" s="18"/>
      <c r="W6137" s="18"/>
      <c r="X6137" s="18"/>
    </row>
    <row r="6138" spans="13:24">
      <c r="M6138" s="558">
        <f t="shared" si="290"/>
        <v>6136</v>
      </c>
      <c r="N6138" s="15">
        <f t="shared" si="288"/>
        <v>0.15499727183291812</v>
      </c>
      <c r="O6138" s="165">
        <f t="shared" si="289"/>
        <v>0.15499727183291812</v>
      </c>
      <c r="P6138" s="18"/>
      <c r="Q6138" s="18"/>
      <c r="R6138" s="18"/>
      <c r="S6138" s="18"/>
      <c r="T6138" s="18"/>
      <c r="U6138" s="18"/>
      <c r="V6138" s="18"/>
      <c r="W6138" s="18"/>
      <c r="X6138" s="18"/>
    </row>
    <row r="6139" spans="13:24">
      <c r="M6139" s="558">
        <f t="shared" si="290"/>
        <v>6137</v>
      </c>
      <c r="N6139" s="15">
        <f t="shared" si="288"/>
        <v>0.1549456475333244</v>
      </c>
      <c r="O6139" s="165">
        <f t="shared" si="289"/>
        <v>0.1549456475333244</v>
      </c>
      <c r="P6139" s="18"/>
      <c r="Q6139" s="18"/>
      <c r="R6139" s="18"/>
      <c r="S6139" s="18"/>
      <c r="T6139" s="18"/>
      <c r="U6139" s="18"/>
      <c r="V6139" s="18"/>
      <c r="W6139" s="18"/>
      <c r="X6139" s="18"/>
    </row>
    <row r="6140" spans="13:24">
      <c r="M6140" s="558">
        <f t="shared" si="290"/>
        <v>6138</v>
      </c>
      <c r="N6140" s="15">
        <f t="shared" si="288"/>
        <v>0.15489402355302823</v>
      </c>
      <c r="O6140" s="165">
        <f t="shared" si="289"/>
        <v>0.15489402355302823</v>
      </c>
      <c r="P6140" s="18"/>
      <c r="Q6140" s="18"/>
      <c r="R6140" s="18"/>
      <c r="S6140" s="18"/>
      <c r="T6140" s="18"/>
      <c r="U6140" s="18"/>
      <c r="V6140" s="18"/>
      <c r="W6140" s="18"/>
      <c r="X6140" s="18"/>
    </row>
    <row r="6141" spans="13:24">
      <c r="M6141" s="558">
        <f t="shared" si="290"/>
        <v>6139</v>
      </c>
      <c r="N6141" s="15">
        <f t="shared" si="288"/>
        <v>0.15484239989162879</v>
      </c>
      <c r="O6141" s="165">
        <f t="shared" si="289"/>
        <v>0.15484239989162879</v>
      </c>
      <c r="P6141" s="18"/>
      <c r="Q6141" s="18"/>
      <c r="R6141" s="18"/>
      <c r="S6141" s="18"/>
      <c r="T6141" s="18"/>
      <c r="U6141" s="18"/>
      <c r="V6141" s="18"/>
      <c r="W6141" s="18"/>
      <c r="X6141" s="18"/>
    </row>
    <row r="6142" spans="13:24">
      <c r="M6142" s="558">
        <f t="shared" si="290"/>
        <v>6140</v>
      </c>
      <c r="N6142" s="15">
        <f t="shared" si="288"/>
        <v>0.15479077654872597</v>
      </c>
      <c r="O6142" s="165">
        <f t="shared" si="289"/>
        <v>0.15479077654872597</v>
      </c>
      <c r="P6142" s="18"/>
      <c r="Q6142" s="18"/>
      <c r="R6142" s="18"/>
      <c r="S6142" s="18"/>
      <c r="T6142" s="18"/>
      <c r="U6142" s="18"/>
      <c r="V6142" s="18"/>
      <c r="W6142" s="18"/>
      <c r="X6142" s="18"/>
    </row>
    <row r="6143" spans="13:24">
      <c r="M6143" s="558">
        <f t="shared" si="290"/>
        <v>6141</v>
      </c>
      <c r="N6143" s="15">
        <f t="shared" si="288"/>
        <v>0.15473915352392004</v>
      </c>
      <c r="O6143" s="165">
        <f t="shared" si="289"/>
        <v>0.15473915352392004</v>
      </c>
      <c r="P6143" s="18"/>
      <c r="Q6143" s="18"/>
      <c r="R6143" s="18"/>
      <c r="S6143" s="18"/>
      <c r="T6143" s="18"/>
      <c r="U6143" s="18"/>
      <c r="V6143" s="18"/>
      <c r="W6143" s="18"/>
      <c r="X6143" s="18"/>
    </row>
    <row r="6144" spans="13:24">
      <c r="M6144" s="558">
        <f t="shared" si="290"/>
        <v>6142</v>
      </c>
      <c r="N6144" s="15">
        <f t="shared" si="288"/>
        <v>0.15468753081681183</v>
      </c>
      <c r="O6144" s="165">
        <f t="shared" si="289"/>
        <v>0.15468753081681183</v>
      </c>
      <c r="P6144" s="18"/>
      <c r="Q6144" s="18"/>
      <c r="R6144" s="18"/>
      <c r="S6144" s="18"/>
      <c r="T6144" s="18"/>
      <c r="U6144" s="18"/>
      <c r="V6144" s="18"/>
      <c r="W6144" s="18"/>
      <c r="X6144" s="18"/>
    </row>
    <row r="6145" spans="13:24">
      <c r="M6145" s="558">
        <f t="shared" si="290"/>
        <v>6143</v>
      </c>
      <c r="N6145" s="15">
        <f t="shared" si="288"/>
        <v>0.15463590842700264</v>
      </c>
      <c r="O6145" s="165">
        <f t="shared" si="289"/>
        <v>0.15463590842700264</v>
      </c>
      <c r="P6145" s="18"/>
      <c r="Q6145" s="18"/>
      <c r="R6145" s="18"/>
      <c r="S6145" s="18"/>
      <c r="T6145" s="18"/>
      <c r="U6145" s="18"/>
      <c r="V6145" s="18"/>
      <c r="W6145" s="18"/>
      <c r="X6145" s="18"/>
    </row>
    <row r="6146" spans="13:24">
      <c r="M6146" s="558">
        <f t="shared" si="290"/>
        <v>6144</v>
      </c>
      <c r="N6146" s="15">
        <f t="shared" si="288"/>
        <v>0.15458428635409432</v>
      </c>
      <c r="O6146" s="165">
        <f t="shared" si="289"/>
        <v>0.15458428635409432</v>
      </c>
      <c r="P6146" s="18"/>
      <c r="Q6146" s="18"/>
      <c r="R6146" s="18"/>
      <c r="S6146" s="18"/>
      <c r="T6146" s="18"/>
      <c r="U6146" s="18"/>
      <c r="V6146" s="18"/>
      <c r="W6146" s="18"/>
      <c r="X6146" s="18"/>
    </row>
    <row r="6147" spans="13:24">
      <c r="M6147" s="558">
        <f t="shared" si="290"/>
        <v>6145</v>
      </c>
      <c r="N6147" s="15">
        <f t="shared" si="288"/>
        <v>0.15453266459768916</v>
      </c>
      <c r="O6147" s="165">
        <f t="shared" si="289"/>
        <v>0.15453266459768916</v>
      </c>
      <c r="P6147" s="18"/>
      <c r="Q6147" s="18"/>
      <c r="R6147" s="18"/>
      <c r="S6147" s="18"/>
      <c r="T6147" s="18"/>
      <c r="U6147" s="18"/>
      <c r="V6147" s="18"/>
      <c r="W6147" s="18"/>
      <c r="X6147" s="18"/>
    </row>
    <row r="6148" spans="13:24">
      <c r="M6148" s="558">
        <f t="shared" si="290"/>
        <v>6146</v>
      </c>
      <c r="N6148" s="15">
        <f t="shared" ref="N6148:N6211" si="291">IF(M6148&lt;$B$31+1,$B$32+$B$33/$B$31*(8760-M6148)+$B$34*IF(M6148&lt;$B$36-$B$31/(2*$B$35),1,IF(M6148&lt;$B$36+$B$31/(2*$B$35),COS(PI()/2*(M6148-($B$36-$B$31/(2*$B$35)))*$B$35/$B$31)^2,0))+$B$37*EXP((8760-M6148)/8760*$B$38)/EXP($B$38)-(8760-$B$31)*$B$33/$B$31,0)</f>
        <v>0.15448104315738997</v>
      </c>
      <c r="O6148" s="165">
        <f t="shared" ref="O6148:O6211" si="292">MIN(N6148,C$24)</f>
        <v>0.15448104315738997</v>
      </c>
      <c r="P6148" s="18"/>
      <c r="Q6148" s="18"/>
      <c r="R6148" s="18"/>
      <c r="S6148" s="18"/>
      <c r="T6148" s="18"/>
      <c r="U6148" s="18"/>
      <c r="V6148" s="18"/>
      <c r="W6148" s="18"/>
      <c r="X6148" s="18"/>
    </row>
    <row r="6149" spans="13:24">
      <c r="M6149" s="558">
        <f t="shared" ref="M6149:M6212" si="293">M6148+1</f>
        <v>6147</v>
      </c>
      <c r="N6149" s="15">
        <f t="shared" si="291"/>
        <v>0.15442942203280008</v>
      </c>
      <c r="O6149" s="165">
        <f t="shared" si="292"/>
        <v>0.15442942203280008</v>
      </c>
      <c r="P6149" s="18"/>
      <c r="Q6149" s="18"/>
      <c r="R6149" s="18"/>
      <c r="S6149" s="18"/>
      <c r="T6149" s="18"/>
      <c r="U6149" s="18"/>
      <c r="V6149" s="18"/>
      <c r="W6149" s="18"/>
      <c r="X6149" s="18"/>
    </row>
    <row r="6150" spans="13:24">
      <c r="M6150" s="558">
        <f t="shared" si="293"/>
        <v>6148</v>
      </c>
      <c r="N6150" s="15">
        <f t="shared" si="291"/>
        <v>0.15437780122352326</v>
      </c>
      <c r="O6150" s="165">
        <f t="shared" si="292"/>
        <v>0.15437780122352326</v>
      </c>
      <c r="P6150" s="18"/>
      <c r="Q6150" s="18"/>
      <c r="R6150" s="18"/>
      <c r="S6150" s="18"/>
      <c r="T6150" s="18"/>
      <c r="U6150" s="18"/>
      <c r="V6150" s="18"/>
      <c r="W6150" s="18"/>
      <c r="X6150" s="18"/>
    </row>
    <row r="6151" spans="13:24">
      <c r="M6151" s="558">
        <f t="shared" si="293"/>
        <v>6149</v>
      </c>
      <c r="N6151" s="15">
        <f t="shared" si="291"/>
        <v>0.15432618072916388</v>
      </c>
      <c r="O6151" s="165">
        <f t="shared" si="292"/>
        <v>0.15432618072916388</v>
      </c>
      <c r="P6151" s="18"/>
      <c r="Q6151" s="18"/>
      <c r="R6151" s="18"/>
      <c r="S6151" s="18"/>
      <c r="T6151" s="18"/>
      <c r="U6151" s="18"/>
      <c r="V6151" s="18"/>
      <c r="W6151" s="18"/>
      <c r="X6151" s="18"/>
    </row>
    <row r="6152" spans="13:24">
      <c r="M6152" s="558">
        <f t="shared" si="293"/>
        <v>6150</v>
      </c>
      <c r="N6152" s="15">
        <f t="shared" si="291"/>
        <v>0.15427456054932667</v>
      </c>
      <c r="O6152" s="165">
        <f t="shared" si="292"/>
        <v>0.15427456054932667</v>
      </c>
      <c r="P6152" s="18"/>
      <c r="Q6152" s="18"/>
      <c r="R6152" s="18"/>
      <c r="S6152" s="18"/>
      <c r="T6152" s="18"/>
      <c r="U6152" s="18"/>
      <c r="V6152" s="18"/>
      <c r="W6152" s="18"/>
      <c r="X6152" s="18"/>
    </row>
    <row r="6153" spans="13:24">
      <c r="M6153" s="558">
        <f t="shared" si="293"/>
        <v>6151</v>
      </c>
      <c r="N6153" s="15">
        <f t="shared" si="291"/>
        <v>0.15422294068361703</v>
      </c>
      <c r="O6153" s="165">
        <f t="shared" si="292"/>
        <v>0.15422294068361703</v>
      </c>
      <c r="P6153" s="18"/>
      <c r="Q6153" s="18"/>
      <c r="R6153" s="18"/>
      <c r="S6153" s="18"/>
      <c r="T6153" s="18"/>
      <c r="U6153" s="18"/>
      <c r="V6153" s="18"/>
      <c r="W6153" s="18"/>
      <c r="X6153" s="18"/>
    </row>
    <row r="6154" spans="13:24">
      <c r="M6154" s="558">
        <f t="shared" si="293"/>
        <v>6152</v>
      </c>
      <c r="N6154" s="15">
        <f t="shared" si="291"/>
        <v>0.15417132113164064</v>
      </c>
      <c r="O6154" s="165">
        <f t="shared" si="292"/>
        <v>0.15417132113164064</v>
      </c>
      <c r="P6154" s="18"/>
      <c r="Q6154" s="18"/>
      <c r="R6154" s="18"/>
      <c r="S6154" s="18"/>
      <c r="T6154" s="18"/>
      <c r="U6154" s="18"/>
      <c r="V6154" s="18"/>
      <c r="W6154" s="18"/>
      <c r="X6154" s="18"/>
    </row>
    <row r="6155" spans="13:24">
      <c r="M6155" s="558">
        <f t="shared" si="293"/>
        <v>6153</v>
      </c>
      <c r="N6155" s="15">
        <f t="shared" si="291"/>
        <v>0.15411970189300389</v>
      </c>
      <c r="O6155" s="165">
        <f t="shared" si="292"/>
        <v>0.15411970189300389</v>
      </c>
      <c r="P6155" s="18"/>
      <c r="Q6155" s="18"/>
      <c r="R6155" s="18"/>
      <c r="S6155" s="18"/>
      <c r="T6155" s="18"/>
      <c r="U6155" s="18"/>
      <c r="V6155" s="18"/>
      <c r="W6155" s="18"/>
      <c r="X6155" s="18"/>
    </row>
    <row r="6156" spans="13:24">
      <c r="M6156" s="558">
        <f t="shared" si="293"/>
        <v>6154</v>
      </c>
      <c r="N6156" s="15">
        <f t="shared" si="291"/>
        <v>0.1540680829673135</v>
      </c>
      <c r="O6156" s="165">
        <f t="shared" si="292"/>
        <v>0.1540680829673135</v>
      </c>
      <c r="P6156" s="18"/>
      <c r="Q6156" s="18"/>
      <c r="R6156" s="18"/>
      <c r="S6156" s="18"/>
      <c r="T6156" s="18"/>
      <c r="U6156" s="18"/>
      <c r="V6156" s="18"/>
      <c r="W6156" s="18"/>
      <c r="X6156" s="18"/>
    </row>
    <row r="6157" spans="13:24">
      <c r="M6157" s="558">
        <f t="shared" si="293"/>
        <v>6155</v>
      </c>
      <c r="N6157" s="15">
        <f t="shared" si="291"/>
        <v>0.15401646435417679</v>
      </c>
      <c r="O6157" s="165">
        <f t="shared" si="292"/>
        <v>0.15401646435417679</v>
      </c>
      <c r="P6157" s="18"/>
      <c r="Q6157" s="18"/>
      <c r="R6157" s="18"/>
      <c r="S6157" s="18"/>
      <c r="T6157" s="18"/>
      <c r="U6157" s="18"/>
      <c r="V6157" s="18"/>
      <c r="W6157" s="18"/>
      <c r="X6157" s="18"/>
    </row>
    <row r="6158" spans="13:24">
      <c r="M6158" s="558">
        <f t="shared" si="293"/>
        <v>6156</v>
      </c>
      <c r="N6158" s="15">
        <f t="shared" si="291"/>
        <v>0.15396484605320146</v>
      </c>
      <c r="O6158" s="165">
        <f t="shared" si="292"/>
        <v>0.15396484605320146</v>
      </c>
      <c r="P6158" s="18"/>
      <c r="Q6158" s="18"/>
      <c r="R6158" s="18"/>
      <c r="S6158" s="18"/>
      <c r="T6158" s="18"/>
      <c r="U6158" s="18"/>
      <c r="V6158" s="18"/>
      <c r="W6158" s="18"/>
      <c r="X6158" s="18"/>
    </row>
    <row r="6159" spans="13:24">
      <c r="M6159" s="558">
        <f t="shared" si="293"/>
        <v>6157</v>
      </c>
      <c r="N6159" s="15">
        <f t="shared" si="291"/>
        <v>0.15391322806399588</v>
      </c>
      <c r="O6159" s="165">
        <f t="shared" si="292"/>
        <v>0.15391322806399588</v>
      </c>
      <c r="P6159" s="18"/>
      <c r="Q6159" s="18"/>
      <c r="R6159" s="18"/>
      <c r="S6159" s="18"/>
      <c r="T6159" s="18"/>
      <c r="U6159" s="18"/>
      <c r="V6159" s="18"/>
      <c r="W6159" s="18"/>
      <c r="X6159" s="18"/>
    </row>
    <row r="6160" spans="13:24">
      <c r="M6160" s="558">
        <f t="shared" si="293"/>
        <v>6158</v>
      </c>
      <c r="N6160" s="15">
        <f t="shared" si="291"/>
        <v>0.15386161038616869</v>
      </c>
      <c r="O6160" s="165">
        <f t="shared" si="292"/>
        <v>0.15386161038616869</v>
      </c>
      <c r="P6160" s="18"/>
      <c r="Q6160" s="18"/>
      <c r="R6160" s="18"/>
      <c r="S6160" s="18"/>
      <c r="T6160" s="18"/>
      <c r="U6160" s="18"/>
      <c r="V6160" s="18"/>
      <c r="W6160" s="18"/>
      <c r="X6160" s="18"/>
    </row>
    <row r="6161" spans="13:24">
      <c r="M6161" s="558">
        <f t="shared" si="293"/>
        <v>6159</v>
      </c>
      <c r="N6161" s="15">
        <f t="shared" si="291"/>
        <v>0.15380999301932921</v>
      </c>
      <c r="O6161" s="165">
        <f t="shared" si="292"/>
        <v>0.15380999301932921</v>
      </c>
      <c r="P6161" s="18"/>
      <c r="Q6161" s="18"/>
      <c r="R6161" s="18"/>
      <c r="S6161" s="18"/>
      <c r="T6161" s="18"/>
      <c r="U6161" s="18"/>
      <c r="V6161" s="18"/>
      <c r="W6161" s="18"/>
      <c r="X6161" s="18"/>
    </row>
    <row r="6162" spans="13:24">
      <c r="M6162" s="558">
        <f t="shared" si="293"/>
        <v>6160</v>
      </c>
      <c r="N6162" s="15">
        <f t="shared" si="291"/>
        <v>0.15375837596308717</v>
      </c>
      <c r="O6162" s="165">
        <f t="shared" si="292"/>
        <v>0.15375837596308717</v>
      </c>
      <c r="P6162" s="18"/>
      <c r="Q6162" s="18"/>
      <c r="R6162" s="18"/>
      <c r="S6162" s="18"/>
      <c r="T6162" s="18"/>
      <c r="U6162" s="18"/>
      <c r="V6162" s="18"/>
      <c r="W6162" s="18"/>
      <c r="X6162" s="18"/>
    </row>
    <row r="6163" spans="13:24">
      <c r="M6163" s="558">
        <f t="shared" si="293"/>
        <v>6161</v>
      </c>
      <c r="N6163" s="15">
        <f t="shared" si="291"/>
        <v>0.15370675921705276</v>
      </c>
      <c r="O6163" s="165">
        <f t="shared" si="292"/>
        <v>0.15370675921705276</v>
      </c>
      <c r="P6163" s="18"/>
      <c r="Q6163" s="18"/>
      <c r="R6163" s="18"/>
      <c r="S6163" s="18"/>
      <c r="T6163" s="18"/>
      <c r="U6163" s="18"/>
      <c r="V6163" s="18"/>
      <c r="W6163" s="18"/>
      <c r="X6163" s="18"/>
    </row>
    <row r="6164" spans="13:24">
      <c r="M6164" s="558">
        <f t="shared" si="293"/>
        <v>6162</v>
      </c>
      <c r="N6164" s="15">
        <f t="shared" si="291"/>
        <v>0.15365514278083672</v>
      </c>
      <c r="O6164" s="165">
        <f t="shared" si="292"/>
        <v>0.15365514278083672</v>
      </c>
      <c r="P6164" s="18"/>
      <c r="Q6164" s="18"/>
      <c r="R6164" s="18"/>
      <c r="S6164" s="18"/>
      <c r="T6164" s="18"/>
      <c r="U6164" s="18"/>
      <c r="V6164" s="18"/>
      <c r="W6164" s="18"/>
      <c r="X6164" s="18"/>
    </row>
    <row r="6165" spans="13:24">
      <c r="M6165" s="558">
        <f t="shared" si="293"/>
        <v>6163</v>
      </c>
      <c r="N6165" s="15">
        <f t="shared" si="291"/>
        <v>0.15360352665405022</v>
      </c>
      <c r="O6165" s="165">
        <f t="shared" si="292"/>
        <v>0.15360352665405022</v>
      </c>
      <c r="P6165" s="18"/>
      <c r="Q6165" s="18"/>
      <c r="R6165" s="18"/>
      <c r="S6165" s="18"/>
      <c r="T6165" s="18"/>
      <c r="U6165" s="18"/>
      <c r="V6165" s="18"/>
      <c r="W6165" s="18"/>
      <c r="X6165" s="18"/>
    </row>
    <row r="6166" spans="13:24">
      <c r="M6166" s="558">
        <f t="shared" si="293"/>
        <v>6164</v>
      </c>
      <c r="N6166" s="15">
        <f t="shared" si="291"/>
        <v>0.15355191083630501</v>
      </c>
      <c r="O6166" s="165">
        <f t="shared" si="292"/>
        <v>0.15355191083630501</v>
      </c>
      <c r="P6166" s="18"/>
      <c r="Q6166" s="18"/>
      <c r="R6166" s="18"/>
      <c r="S6166" s="18"/>
      <c r="T6166" s="18"/>
      <c r="U6166" s="18"/>
      <c r="V6166" s="18"/>
      <c r="W6166" s="18"/>
      <c r="X6166" s="18"/>
    </row>
    <row r="6167" spans="13:24">
      <c r="M6167" s="558">
        <f t="shared" si="293"/>
        <v>6165</v>
      </c>
      <c r="N6167" s="15">
        <f t="shared" si="291"/>
        <v>0.15350029532721324</v>
      </c>
      <c r="O6167" s="165">
        <f t="shared" si="292"/>
        <v>0.15350029532721324</v>
      </c>
      <c r="P6167" s="18"/>
      <c r="Q6167" s="18"/>
      <c r="R6167" s="18"/>
      <c r="S6167" s="18"/>
      <c r="T6167" s="18"/>
      <c r="U6167" s="18"/>
      <c r="V6167" s="18"/>
      <c r="W6167" s="18"/>
      <c r="X6167" s="18"/>
    </row>
    <row r="6168" spans="13:24">
      <c r="M6168" s="558">
        <f t="shared" si="293"/>
        <v>6166</v>
      </c>
      <c r="N6168" s="15">
        <f t="shared" si="291"/>
        <v>0.15344868012638757</v>
      </c>
      <c r="O6168" s="165">
        <f t="shared" si="292"/>
        <v>0.15344868012638757</v>
      </c>
      <c r="P6168" s="18"/>
      <c r="Q6168" s="18"/>
      <c r="R6168" s="18"/>
      <c r="S6168" s="18"/>
      <c r="T6168" s="18"/>
      <c r="U6168" s="18"/>
      <c r="V6168" s="18"/>
      <c r="W6168" s="18"/>
      <c r="X6168" s="18"/>
    </row>
    <row r="6169" spans="13:24">
      <c r="M6169" s="558">
        <f t="shared" si="293"/>
        <v>6167</v>
      </c>
      <c r="N6169" s="15">
        <f t="shared" si="291"/>
        <v>0.15339706523344113</v>
      </c>
      <c r="O6169" s="165">
        <f t="shared" si="292"/>
        <v>0.15339706523344113</v>
      </c>
      <c r="P6169" s="18"/>
      <c r="Q6169" s="18"/>
      <c r="R6169" s="18"/>
      <c r="S6169" s="18"/>
      <c r="T6169" s="18"/>
      <c r="U6169" s="18"/>
      <c r="V6169" s="18"/>
      <c r="W6169" s="18"/>
      <c r="X6169" s="18"/>
    </row>
    <row r="6170" spans="13:24">
      <c r="M6170" s="558">
        <f t="shared" si="293"/>
        <v>6168</v>
      </c>
      <c r="N6170" s="15">
        <f t="shared" si="291"/>
        <v>0.1533454506479876</v>
      </c>
      <c r="O6170" s="165">
        <f t="shared" si="292"/>
        <v>0.1533454506479876</v>
      </c>
      <c r="P6170" s="18"/>
      <c r="Q6170" s="18"/>
      <c r="R6170" s="18"/>
      <c r="S6170" s="18"/>
      <c r="T6170" s="18"/>
      <c r="U6170" s="18"/>
      <c r="V6170" s="18"/>
      <c r="W6170" s="18"/>
      <c r="X6170" s="18"/>
    </row>
    <row r="6171" spans="13:24">
      <c r="M6171" s="558">
        <f t="shared" si="293"/>
        <v>6169</v>
      </c>
      <c r="N6171" s="15">
        <f t="shared" si="291"/>
        <v>0.15329383636964106</v>
      </c>
      <c r="O6171" s="165">
        <f t="shared" si="292"/>
        <v>0.15329383636964106</v>
      </c>
      <c r="P6171" s="18"/>
      <c r="Q6171" s="18"/>
      <c r="R6171" s="18"/>
      <c r="S6171" s="18"/>
      <c r="T6171" s="18"/>
      <c r="U6171" s="18"/>
      <c r="V6171" s="18"/>
      <c r="W6171" s="18"/>
      <c r="X6171" s="18"/>
    </row>
    <row r="6172" spans="13:24">
      <c r="M6172" s="558">
        <f t="shared" si="293"/>
        <v>6170</v>
      </c>
      <c r="N6172" s="15">
        <f t="shared" si="291"/>
        <v>0.15324222239801616</v>
      </c>
      <c r="O6172" s="165">
        <f t="shared" si="292"/>
        <v>0.15324222239801616</v>
      </c>
      <c r="P6172" s="18"/>
      <c r="Q6172" s="18"/>
      <c r="R6172" s="18"/>
      <c r="S6172" s="18"/>
      <c r="T6172" s="18"/>
      <c r="U6172" s="18"/>
      <c r="V6172" s="18"/>
      <c r="W6172" s="18"/>
      <c r="X6172" s="18"/>
    </row>
    <row r="6173" spans="13:24">
      <c r="M6173" s="558">
        <f t="shared" si="293"/>
        <v>6171</v>
      </c>
      <c r="N6173" s="15">
        <f t="shared" si="291"/>
        <v>0.15319060873272791</v>
      </c>
      <c r="O6173" s="165">
        <f t="shared" si="292"/>
        <v>0.15319060873272791</v>
      </c>
      <c r="P6173" s="18"/>
      <c r="Q6173" s="18"/>
      <c r="R6173" s="18"/>
      <c r="S6173" s="18"/>
      <c r="T6173" s="18"/>
      <c r="U6173" s="18"/>
      <c r="V6173" s="18"/>
      <c r="W6173" s="18"/>
      <c r="X6173" s="18"/>
    </row>
    <row r="6174" spans="13:24">
      <c r="M6174" s="558">
        <f t="shared" si="293"/>
        <v>6172</v>
      </c>
      <c r="N6174" s="15">
        <f t="shared" si="291"/>
        <v>0.15313899537339201</v>
      </c>
      <c r="O6174" s="165">
        <f t="shared" si="292"/>
        <v>0.15313899537339201</v>
      </c>
      <c r="P6174" s="18"/>
      <c r="Q6174" s="18"/>
      <c r="R6174" s="18"/>
      <c r="S6174" s="18"/>
      <c r="T6174" s="18"/>
      <c r="U6174" s="18"/>
      <c r="V6174" s="18"/>
      <c r="W6174" s="18"/>
      <c r="X6174" s="18"/>
    </row>
    <row r="6175" spans="13:24">
      <c r="M6175" s="558">
        <f t="shared" si="293"/>
        <v>6173</v>
      </c>
      <c r="N6175" s="15">
        <f t="shared" si="291"/>
        <v>0.15308738231962438</v>
      </c>
      <c r="O6175" s="165">
        <f t="shared" si="292"/>
        <v>0.15308738231962438</v>
      </c>
      <c r="P6175" s="18"/>
      <c r="Q6175" s="18"/>
      <c r="R6175" s="18"/>
      <c r="S6175" s="18"/>
      <c r="T6175" s="18"/>
      <c r="U6175" s="18"/>
      <c r="V6175" s="18"/>
      <c r="W6175" s="18"/>
      <c r="X6175" s="18"/>
    </row>
    <row r="6176" spans="13:24">
      <c r="M6176" s="558">
        <f t="shared" si="293"/>
        <v>6174</v>
      </c>
      <c r="N6176" s="15">
        <f t="shared" si="291"/>
        <v>0.15303576957104165</v>
      </c>
      <c r="O6176" s="165">
        <f t="shared" si="292"/>
        <v>0.15303576957104165</v>
      </c>
      <c r="P6176" s="18"/>
      <c r="Q6176" s="18"/>
      <c r="R6176" s="18"/>
      <c r="S6176" s="18"/>
      <c r="T6176" s="18"/>
      <c r="U6176" s="18"/>
      <c r="V6176" s="18"/>
      <c r="W6176" s="18"/>
      <c r="X6176" s="18"/>
    </row>
    <row r="6177" spans="13:24">
      <c r="M6177" s="558">
        <f t="shared" si="293"/>
        <v>6175</v>
      </c>
      <c r="N6177" s="15">
        <f t="shared" si="291"/>
        <v>0.15298415712726077</v>
      </c>
      <c r="O6177" s="165">
        <f t="shared" si="292"/>
        <v>0.15298415712726077</v>
      </c>
      <c r="P6177" s="18"/>
      <c r="Q6177" s="18"/>
      <c r="R6177" s="18"/>
      <c r="S6177" s="18"/>
      <c r="T6177" s="18"/>
      <c r="U6177" s="18"/>
      <c r="V6177" s="18"/>
      <c r="W6177" s="18"/>
      <c r="X6177" s="18"/>
    </row>
    <row r="6178" spans="13:24">
      <c r="M6178" s="558">
        <f t="shared" si="293"/>
        <v>6176</v>
      </c>
      <c r="N6178" s="15">
        <f t="shared" si="291"/>
        <v>0.15293254498789932</v>
      </c>
      <c r="O6178" s="165">
        <f t="shared" si="292"/>
        <v>0.15293254498789932</v>
      </c>
      <c r="P6178" s="18"/>
      <c r="Q6178" s="18"/>
      <c r="R6178" s="18"/>
      <c r="S6178" s="18"/>
      <c r="T6178" s="18"/>
      <c r="U6178" s="18"/>
      <c r="V6178" s="18"/>
      <c r="W6178" s="18"/>
      <c r="X6178" s="18"/>
    </row>
    <row r="6179" spans="13:24">
      <c r="M6179" s="558">
        <f t="shared" si="293"/>
        <v>6177</v>
      </c>
      <c r="N6179" s="15">
        <f t="shared" si="291"/>
        <v>0.15288093315257517</v>
      </c>
      <c r="O6179" s="165">
        <f t="shared" si="292"/>
        <v>0.15288093315257517</v>
      </c>
      <c r="P6179" s="18"/>
      <c r="Q6179" s="18"/>
      <c r="R6179" s="18"/>
      <c r="S6179" s="18"/>
      <c r="T6179" s="18"/>
      <c r="U6179" s="18"/>
      <c r="V6179" s="18"/>
      <c r="W6179" s="18"/>
      <c r="X6179" s="18"/>
    </row>
    <row r="6180" spans="13:24">
      <c r="M6180" s="558">
        <f t="shared" si="293"/>
        <v>6178</v>
      </c>
      <c r="N6180" s="15">
        <f t="shared" si="291"/>
        <v>0.15282932162090687</v>
      </c>
      <c r="O6180" s="165">
        <f t="shared" si="292"/>
        <v>0.15282932162090687</v>
      </c>
      <c r="P6180" s="18"/>
      <c r="Q6180" s="18"/>
      <c r="R6180" s="18"/>
      <c r="S6180" s="18"/>
      <c r="T6180" s="18"/>
      <c r="U6180" s="18"/>
      <c r="V6180" s="18"/>
      <c r="W6180" s="18"/>
      <c r="X6180" s="18"/>
    </row>
    <row r="6181" spans="13:24">
      <c r="M6181" s="558">
        <f t="shared" si="293"/>
        <v>6179</v>
      </c>
      <c r="N6181" s="15">
        <f t="shared" si="291"/>
        <v>0.15277771039251334</v>
      </c>
      <c r="O6181" s="165">
        <f t="shared" si="292"/>
        <v>0.15277771039251334</v>
      </c>
      <c r="P6181" s="18"/>
      <c r="Q6181" s="18"/>
      <c r="R6181" s="18"/>
      <c r="S6181" s="18"/>
      <c r="T6181" s="18"/>
      <c r="U6181" s="18"/>
      <c r="V6181" s="18"/>
      <c r="W6181" s="18"/>
      <c r="X6181" s="18"/>
    </row>
    <row r="6182" spans="13:24">
      <c r="M6182" s="558">
        <f t="shared" si="293"/>
        <v>6180</v>
      </c>
      <c r="N6182" s="15">
        <f t="shared" si="291"/>
        <v>0.15272609946701393</v>
      </c>
      <c r="O6182" s="165">
        <f t="shared" si="292"/>
        <v>0.15272609946701393</v>
      </c>
      <c r="P6182" s="18"/>
      <c r="Q6182" s="18"/>
      <c r="R6182" s="18"/>
      <c r="S6182" s="18"/>
      <c r="T6182" s="18"/>
      <c r="U6182" s="18"/>
      <c r="V6182" s="18"/>
      <c r="W6182" s="18"/>
      <c r="X6182" s="18"/>
    </row>
    <row r="6183" spans="13:24">
      <c r="M6183" s="558">
        <f t="shared" si="293"/>
        <v>6181</v>
      </c>
      <c r="N6183" s="15">
        <f t="shared" si="291"/>
        <v>0.15267448884402862</v>
      </c>
      <c r="O6183" s="165">
        <f t="shared" si="292"/>
        <v>0.15267448884402862</v>
      </c>
      <c r="P6183" s="18"/>
      <c r="Q6183" s="18"/>
      <c r="R6183" s="18"/>
      <c r="S6183" s="18"/>
      <c r="T6183" s="18"/>
      <c r="U6183" s="18"/>
      <c r="V6183" s="18"/>
      <c r="W6183" s="18"/>
      <c r="X6183" s="18"/>
    </row>
    <row r="6184" spans="13:24">
      <c r="M6184" s="558">
        <f t="shared" si="293"/>
        <v>6182</v>
      </c>
      <c r="N6184" s="15">
        <f t="shared" si="291"/>
        <v>0.15262287852317771</v>
      </c>
      <c r="O6184" s="165">
        <f t="shared" si="292"/>
        <v>0.15262287852317771</v>
      </c>
      <c r="P6184" s="18"/>
      <c r="Q6184" s="18"/>
      <c r="R6184" s="18"/>
      <c r="S6184" s="18"/>
      <c r="T6184" s="18"/>
      <c r="U6184" s="18"/>
      <c r="V6184" s="18"/>
      <c r="W6184" s="18"/>
      <c r="X6184" s="18"/>
    </row>
    <row r="6185" spans="13:24">
      <c r="M6185" s="558">
        <f t="shared" si="293"/>
        <v>6183</v>
      </c>
      <c r="N6185" s="15">
        <f t="shared" si="291"/>
        <v>0.15257126850408212</v>
      </c>
      <c r="O6185" s="165">
        <f t="shared" si="292"/>
        <v>0.15257126850408212</v>
      </c>
      <c r="P6185" s="18"/>
      <c r="Q6185" s="18"/>
      <c r="R6185" s="18"/>
      <c r="S6185" s="18"/>
      <c r="T6185" s="18"/>
      <c r="U6185" s="18"/>
      <c r="V6185" s="18"/>
      <c r="W6185" s="18"/>
      <c r="X6185" s="18"/>
    </row>
    <row r="6186" spans="13:24">
      <c r="M6186" s="558">
        <f t="shared" si="293"/>
        <v>6184</v>
      </c>
      <c r="N6186" s="15">
        <f t="shared" si="291"/>
        <v>0.15251965878636309</v>
      </c>
      <c r="O6186" s="165">
        <f t="shared" si="292"/>
        <v>0.15251965878636309</v>
      </c>
      <c r="P6186" s="18"/>
      <c r="Q6186" s="18"/>
      <c r="R6186" s="18"/>
      <c r="S6186" s="18"/>
      <c r="T6186" s="18"/>
      <c r="U6186" s="18"/>
      <c r="V6186" s="18"/>
      <c r="W6186" s="18"/>
      <c r="X6186" s="18"/>
    </row>
    <row r="6187" spans="13:24">
      <c r="M6187" s="558">
        <f t="shared" si="293"/>
        <v>6185</v>
      </c>
      <c r="N6187" s="15">
        <f t="shared" si="291"/>
        <v>0.15246804936964248</v>
      </c>
      <c r="O6187" s="165">
        <f t="shared" si="292"/>
        <v>0.15246804936964248</v>
      </c>
      <c r="P6187" s="18"/>
      <c r="Q6187" s="18"/>
      <c r="R6187" s="18"/>
      <c r="S6187" s="18"/>
      <c r="T6187" s="18"/>
      <c r="U6187" s="18"/>
      <c r="V6187" s="18"/>
      <c r="W6187" s="18"/>
      <c r="X6187" s="18"/>
    </row>
    <row r="6188" spans="13:24">
      <c r="M6188" s="558">
        <f t="shared" si="293"/>
        <v>6186</v>
      </c>
      <c r="N6188" s="15">
        <f t="shared" si="291"/>
        <v>0.15241644025354251</v>
      </c>
      <c r="O6188" s="165">
        <f t="shared" si="292"/>
        <v>0.15241644025354251</v>
      </c>
      <c r="P6188" s="18"/>
      <c r="Q6188" s="18"/>
      <c r="R6188" s="18"/>
      <c r="S6188" s="18"/>
      <c r="T6188" s="18"/>
      <c r="U6188" s="18"/>
      <c r="V6188" s="18"/>
      <c r="W6188" s="18"/>
      <c r="X6188" s="18"/>
    </row>
    <row r="6189" spans="13:24">
      <c r="M6189" s="558">
        <f t="shared" si="293"/>
        <v>6187</v>
      </c>
      <c r="N6189" s="15">
        <f t="shared" si="291"/>
        <v>0.15236483143768595</v>
      </c>
      <c r="O6189" s="165">
        <f t="shared" si="292"/>
        <v>0.15236483143768595</v>
      </c>
      <c r="P6189" s="18"/>
      <c r="Q6189" s="18"/>
      <c r="R6189" s="18"/>
      <c r="S6189" s="18"/>
      <c r="T6189" s="18"/>
      <c r="U6189" s="18"/>
      <c r="V6189" s="18"/>
      <c r="W6189" s="18"/>
      <c r="X6189" s="18"/>
    </row>
    <row r="6190" spans="13:24">
      <c r="M6190" s="558">
        <f t="shared" si="293"/>
        <v>6188</v>
      </c>
      <c r="N6190" s="15">
        <f t="shared" si="291"/>
        <v>0.15231322292169602</v>
      </c>
      <c r="O6190" s="165">
        <f t="shared" si="292"/>
        <v>0.15231322292169602</v>
      </c>
      <c r="P6190" s="18"/>
      <c r="Q6190" s="18"/>
      <c r="R6190" s="18"/>
      <c r="S6190" s="18"/>
      <c r="T6190" s="18"/>
      <c r="U6190" s="18"/>
      <c r="V6190" s="18"/>
      <c r="W6190" s="18"/>
      <c r="X6190" s="18"/>
    </row>
    <row r="6191" spans="13:24">
      <c r="M6191" s="558">
        <f t="shared" si="293"/>
        <v>6189</v>
      </c>
      <c r="N6191" s="15">
        <f t="shared" si="291"/>
        <v>0.15226161470519642</v>
      </c>
      <c r="O6191" s="165">
        <f t="shared" si="292"/>
        <v>0.15226161470519642</v>
      </c>
      <c r="P6191" s="18"/>
      <c r="Q6191" s="18"/>
      <c r="R6191" s="18"/>
      <c r="S6191" s="18"/>
      <c r="T6191" s="18"/>
      <c r="U6191" s="18"/>
      <c r="V6191" s="18"/>
      <c r="W6191" s="18"/>
      <c r="X6191" s="18"/>
    </row>
    <row r="6192" spans="13:24">
      <c r="M6192" s="558">
        <f t="shared" si="293"/>
        <v>6190</v>
      </c>
      <c r="N6192" s="15">
        <f t="shared" si="291"/>
        <v>0.1522100067878113</v>
      </c>
      <c r="O6192" s="165">
        <f t="shared" si="292"/>
        <v>0.1522100067878113</v>
      </c>
      <c r="P6192" s="18"/>
      <c r="Q6192" s="18"/>
      <c r="R6192" s="18"/>
      <c r="S6192" s="18"/>
      <c r="T6192" s="18"/>
      <c r="U6192" s="18"/>
      <c r="V6192" s="18"/>
      <c r="W6192" s="18"/>
      <c r="X6192" s="18"/>
    </row>
    <row r="6193" spans="13:24">
      <c r="M6193" s="558">
        <f t="shared" si="293"/>
        <v>6191</v>
      </c>
      <c r="N6193" s="15">
        <f t="shared" si="291"/>
        <v>0.15215839916916529</v>
      </c>
      <c r="O6193" s="165">
        <f t="shared" si="292"/>
        <v>0.15215839916916529</v>
      </c>
      <c r="P6193" s="18"/>
      <c r="Q6193" s="18"/>
      <c r="R6193" s="18"/>
      <c r="S6193" s="18"/>
      <c r="T6193" s="18"/>
      <c r="U6193" s="18"/>
      <c r="V6193" s="18"/>
      <c r="W6193" s="18"/>
      <c r="X6193" s="18"/>
    </row>
    <row r="6194" spans="13:24">
      <c r="M6194" s="558">
        <f t="shared" si="293"/>
        <v>6192</v>
      </c>
      <c r="N6194" s="15">
        <f t="shared" si="291"/>
        <v>0.15210679184888351</v>
      </c>
      <c r="O6194" s="165">
        <f t="shared" si="292"/>
        <v>0.15210679184888351</v>
      </c>
      <c r="P6194" s="18"/>
      <c r="Q6194" s="18"/>
      <c r="R6194" s="18"/>
      <c r="S6194" s="18"/>
      <c r="T6194" s="18"/>
      <c r="U6194" s="18"/>
      <c r="V6194" s="18"/>
      <c r="W6194" s="18"/>
      <c r="X6194" s="18"/>
    </row>
    <row r="6195" spans="13:24">
      <c r="M6195" s="558">
        <f t="shared" si="293"/>
        <v>6193</v>
      </c>
      <c r="N6195" s="15">
        <f t="shared" si="291"/>
        <v>0.1520551848265915</v>
      </c>
      <c r="O6195" s="165">
        <f t="shared" si="292"/>
        <v>0.1520551848265915</v>
      </c>
      <c r="P6195" s="18"/>
      <c r="Q6195" s="18"/>
      <c r="R6195" s="18"/>
      <c r="S6195" s="18"/>
      <c r="T6195" s="18"/>
      <c r="U6195" s="18"/>
      <c r="V6195" s="18"/>
      <c r="W6195" s="18"/>
      <c r="X6195" s="18"/>
    </row>
    <row r="6196" spans="13:24">
      <c r="M6196" s="558">
        <f t="shared" si="293"/>
        <v>6194</v>
      </c>
      <c r="N6196" s="15">
        <f t="shared" si="291"/>
        <v>0.15200357810191539</v>
      </c>
      <c r="O6196" s="165">
        <f t="shared" si="292"/>
        <v>0.15200357810191539</v>
      </c>
      <c r="P6196" s="18"/>
      <c r="Q6196" s="18"/>
      <c r="R6196" s="18"/>
      <c r="S6196" s="18"/>
      <c r="T6196" s="18"/>
      <c r="U6196" s="18"/>
      <c r="V6196" s="18"/>
      <c r="W6196" s="18"/>
      <c r="X6196" s="18"/>
    </row>
    <row r="6197" spans="13:24">
      <c r="M6197" s="558">
        <f t="shared" si="293"/>
        <v>6195</v>
      </c>
      <c r="N6197" s="15">
        <f t="shared" si="291"/>
        <v>0.1519519716744816</v>
      </c>
      <c r="O6197" s="165">
        <f t="shared" si="292"/>
        <v>0.1519519716744816</v>
      </c>
      <c r="P6197" s="18"/>
      <c r="Q6197" s="18"/>
      <c r="R6197" s="18"/>
      <c r="S6197" s="18"/>
      <c r="T6197" s="18"/>
      <c r="U6197" s="18"/>
      <c r="V6197" s="18"/>
      <c r="W6197" s="18"/>
      <c r="X6197" s="18"/>
    </row>
    <row r="6198" spans="13:24">
      <c r="M6198" s="558">
        <f t="shared" si="293"/>
        <v>6196</v>
      </c>
      <c r="N6198" s="15">
        <f t="shared" si="291"/>
        <v>0.1519003655439172</v>
      </c>
      <c r="O6198" s="165">
        <f t="shared" si="292"/>
        <v>0.1519003655439172</v>
      </c>
      <c r="P6198" s="18"/>
      <c r="Q6198" s="18"/>
      <c r="R6198" s="18"/>
      <c r="S6198" s="18"/>
      <c r="T6198" s="18"/>
      <c r="U6198" s="18"/>
      <c r="V6198" s="18"/>
      <c r="W6198" s="18"/>
      <c r="X6198" s="18"/>
    </row>
    <row r="6199" spans="13:24">
      <c r="M6199" s="558">
        <f t="shared" si="293"/>
        <v>6197</v>
      </c>
      <c r="N6199" s="15">
        <f t="shared" si="291"/>
        <v>0.15184875970984957</v>
      </c>
      <c r="O6199" s="165">
        <f t="shared" si="292"/>
        <v>0.15184875970984957</v>
      </c>
      <c r="P6199" s="18"/>
      <c r="Q6199" s="18"/>
      <c r="R6199" s="18"/>
      <c r="S6199" s="18"/>
      <c r="T6199" s="18"/>
      <c r="U6199" s="18"/>
      <c r="V6199" s="18"/>
      <c r="W6199" s="18"/>
      <c r="X6199" s="18"/>
    </row>
    <row r="6200" spans="13:24">
      <c r="M6200" s="558">
        <f t="shared" si="293"/>
        <v>6198</v>
      </c>
      <c r="N6200" s="15">
        <f t="shared" si="291"/>
        <v>0.1517971541719067</v>
      </c>
      <c r="O6200" s="165">
        <f t="shared" si="292"/>
        <v>0.1517971541719067</v>
      </c>
      <c r="P6200" s="18"/>
      <c r="Q6200" s="18"/>
      <c r="R6200" s="18"/>
      <c r="S6200" s="18"/>
      <c r="T6200" s="18"/>
      <c r="U6200" s="18"/>
      <c r="V6200" s="18"/>
      <c r="W6200" s="18"/>
      <c r="X6200" s="18"/>
    </row>
    <row r="6201" spans="13:24">
      <c r="M6201" s="558">
        <f t="shared" si="293"/>
        <v>6199</v>
      </c>
      <c r="N6201" s="15">
        <f t="shared" si="291"/>
        <v>0.15174554892971689</v>
      </c>
      <c r="O6201" s="165">
        <f t="shared" si="292"/>
        <v>0.15174554892971689</v>
      </c>
      <c r="P6201" s="18"/>
      <c r="Q6201" s="18"/>
      <c r="R6201" s="18"/>
      <c r="S6201" s="18"/>
      <c r="T6201" s="18"/>
      <c r="U6201" s="18"/>
      <c r="V6201" s="18"/>
      <c r="W6201" s="18"/>
      <c r="X6201" s="18"/>
    </row>
    <row r="6202" spans="13:24">
      <c r="M6202" s="558">
        <f t="shared" si="293"/>
        <v>6200</v>
      </c>
      <c r="N6202" s="15">
        <f t="shared" si="291"/>
        <v>0.15169394398290909</v>
      </c>
      <c r="O6202" s="165">
        <f t="shared" si="292"/>
        <v>0.15169394398290909</v>
      </c>
      <c r="P6202" s="18"/>
      <c r="Q6202" s="18"/>
      <c r="R6202" s="18"/>
      <c r="S6202" s="18"/>
      <c r="T6202" s="18"/>
      <c r="U6202" s="18"/>
      <c r="V6202" s="18"/>
      <c r="W6202" s="18"/>
      <c r="X6202" s="18"/>
    </row>
    <row r="6203" spans="13:24">
      <c r="M6203" s="558">
        <f t="shared" si="293"/>
        <v>6201</v>
      </c>
      <c r="N6203" s="15">
        <f t="shared" si="291"/>
        <v>0.15164233933111254</v>
      </c>
      <c r="O6203" s="165">
        <f t="shared" si="292"/>
        <v>0.15164233933111254</v>
      </c>
      <c r="P6203" s="18"/>
      <c r="Q6203" s="18"/>
      <c r="R6203" s="18"/>
      <c r="S6203" s="18"/>
      <c r="T6203" s="18"/>
      <c r="U6203" s="18"/>
      <c r="V6203" s="18"/>
      <c r="W6203" s="18"/>
      <c r="X6203" s="18"/>
    </row>
    <row r="6204" spans="13:24">
      <c r="M6204" s="558">
        <f t="shared" si="293"/>
        <v>6202</v>
      </c>
      <c r="N6204" s="15">
        <f t="shared" si="291"/>
        <v>0.15159073497395709</v>
      </c>
      <c r="O6204" s="165">
        <f t="shared" si="292"/>
        <v>0.15159073497395709</v>
      </c>
      <c r="P6204" s="18"/>
      <c r="Q6204" s="18"/>
      <c r="R6204" s="18"/>
      <c r="S6204" s="18"/>
      <c r="T6204" s="18"/>
      <c r="U6204" s="18"/>
      <c r="V6204" s="18"/>
      <c r="W6204" s="18"/>
      <c r="X6204" s="18"/>
    </row>
    <row r="6205" spans="13:24">
      <c r="M6205" s="558">
        <f t="shared" si="293"/>
        <v>6203</v>
      </c>
      <c r="N6205" s="15">
        <f t="shared" si="291"/>
        <v>0.15153913091107291</v>
      </c>
      <c r="O6205" s="165">
        <f t="shared" si="292"/>
        <v>0.15153913091107291</v>
      </c>
      <c r="P6205" s="18"/>
      <c r="Q6205" s="18"/>
      <c r="R6205" s="18"/>
      <c r="S6205" s="18"/>
      <c r="T6205" s="18"/>
      <c r="U6205" s="18"/>
      <c r="V6205" s="18"/>
      <c r="W6205" s="18"/>
      <c r="X6205" s="18"/>
    </row>
    <row r="6206" spans="13:24">
      <c r="M6206" s="558">
        <f t="shared" si="293"/>
        <v>6204</v>
      </c>
      <c r="N6206" s="15">
        <f t="shared" si="291"/>
        <v>0.15148752714209079</v>
      </c>
      <c r="O6206" s="165">
        <f t="shared" si="292"/>
        <v>0.15148752714209079</v>
      </c>
      <c r="P6206" s="18"/>
      <c r="Q6206" s="18"/>
      <c r="R6206" s="18"/>
      <c r="S6206" s="18"/>
      <c r="T6206" s="18"/>
      <c r="U6206" s="18"/>
      <c r="V6206" s="18"/>
      <c r="W6206" s="18"/>
      <c r="X6206" s="18"/>
    </row>
    <row r="6207" spans="13:24">
      <c r="M6207" s="558">
        <f t="shared" si="293"/>
        <v>6205</v>
      </c>
      <c r="N6207" s="15">
        <f t="shared" si="291"/>
        <v>0.15143592366664188</v>
      </c>
      <c r="O6207" s="165">
        <f t="shared" si="292"/>
        <v>0.15143592366664188</v>
      </c>
      <c r="P6207" s="18"/>
      <c r="Q6207" s="18"/>
      <c r="R6207" s="18"/>
      <c r="S6207" s="18"/>
      <c r="T6207" s="18"/>
      <c r="U6207" s="18"/>
      <c r="V6207" s="18"/>
      <c r="W6207" s="18"/>
      <c r="X6207" s="18"/>
    </row>
    <row r="6208" spans="13:24">
      <c r="M6208" s="558">
        <f t="shared" si="293"/>
        <v>6206</v>
      </c>
      <c r="N6208" s="15">
        <f t="shared" si="291"/>
        <v>0.15138432048435779</v>
      </c>
      <c r="O6208" s="165">
        <f t="shared" si="292"/>
        <v>0.15138432048435779</v>
      </c>
      <c r="P6208" s="18"/>
      <c r="Q6208" s="18"/>
      <c r="R6208" s="18"/>
      <c r="S6208" s="18"/>
      <c r="T6208" s="18"/>
      <c r="U6208" s="18"/>
      <c r="V6208" s="18"/>
      <c r="W6208" s="18"/>
      <c r="X6208" s="18"/>
    </row>
    <row r="6209" spans="13:24">
      <c r="M6209" s="558">
        <f t="shared" si="293"/>
        <v>6207</v>
      </c>
      <c r="N6209" s="15">
        <f t="shared" si="291"/>
        <v>0.15133271759487066</v>
      </c>
      <c r="O6209" s="165">
        <f t="shared" si="292"/>
        <v>0.15133271759487066</v>
      </c>
      <c r="P6209" s="18"/>
      <c r="Q6209" s="18"/>
      <c r="R6209" s="18"/>
      <c r="S6209" s="18"/>
      <c r="T6209" s="18"/>
      <c r="U6209" s="18"/>
      <c r="V6209" s="18"/>
      <c r="W6209" s="18"/>
      <c r="X6209" s="18"/>
    </row>
    <row r="6210" spans="13:24">
      <c r="M6210" s="558">
        <f t="shared" si="293"/>
        <v>6208</v>
      </c>
      <c r="N6210" s="15">
        <f t="shared" si="291"/>
        <v>0.15128111499781302</v>
      </c>
      <c r="O6210" s="165">
        <f t="shared" si="292"/>
        <v>0.15128111499781302</v>
      </c>
      <c r="P6210" s="18"/>
      <c r="Q6210" s="18"/>
      <c r="R6210" s="18"/>
      <c r="S6210" s="18"/>
      <c r="T6210" s="18"/>
      <c r="U6210" s="18"/>
      <c r="V6210" s="18"/>
      <c r="W6210" s="18"/>
      <c r="X6210" s="18"/>
    </row>
    <row r="6211" spans="13:24">
      <c r="M6211" s="558">
        <f t="shared" si="293"/>
        <v>6209</v>
      </c>
      <c r="N6211" s="15">
        <f t="shared" si="291"/>
        <v>0.15122951269281795</v>
      </c>
      <c r="O6211" s="165">
        <f t="shared" si="292"/>
        <v>0.15122951269281795</v>
      </c>
      <c r="P6211" s="18"/>
      <c r="Q6211" s="18"/>
      <c r="R6211" s="18"/>
      <c r="S6211" s="18"/>
      <c r="T6211" s="18"/>
      <c r="U6211" s="18"/>
      <c r="V6211" s="18"/>
      <c r="W6211" s="18"/>
      <c r="X6211" s="18"/>
    </row>
    <row r="6212" spans="13:24">
      <c r="M6212" s="558">
        <f t="shared" si="293"/>
        <v>6210</v>
      </c>
      <c r="N6212" s="15">
        <f t="shared" ref="N6212:N6275" si="294">IF(M6212&lt;$B$31+1,$B$32+$B$33/$B$31*(8760-M6212)+$B$34*IF(M6212&lt;$B$36-$B$31/(2*$B$35),1,IF(M6212&lt;$B$36+$B$31/(2*$B$35),COS(PI()/2*(M6212-($B$36-$B$31/(2*$B$35)))*$B$35/$B$31)^2,0))+$B$37*EXP((8760-M6212)/8760*$B$38)/EXP($B$38)-(8760-$B$31)*$B$33/$B$31,0)</f>
        <v>0.15117791067951888</v>
      </c>
      <c r="O6212" s="165">
        <f t="shared" ref="O6212:O6275" si="295">MIN(N6212,C$24)</f>
        <v>0.15117791067951888</v>
      </c>
      <c r="P6212" s="18"/>
      <c r="Q6212" s="18"/>
      <c r="R6212" s="18"/>
      <c r="S6212" s="18"/>
      <c r="T6212" s="18"/>
      <c r="U6212" s="18"/>
      <c r="V6212" s="18"/>
      <c r="W6212" s="18"/>
      <c r="X6212" s="18"/>
    </row>
    <row r="6213" spans="13:24">
      <c r="M6213" s="558">
        <f t="shared" ref="M6213:M6276" si="296">M6212+1</f>
        <v>6211</v>
      </c>
      <c r="N6213" s="15">
        <f t="shared" si="294"/>
        <v>0.1511263089575498</v>
      </c>
      <c r="O6213" s="165">
        <f t="shared" si="295"/>
        <v>0.1511263089575498</v>
      </c>
      <c r="P6213" s="18"/>
      <c r="Q6213" s="18"/>
      <c r="R6213" s="18"/>
      <c r="S6213" s="18"/>
      <c r="T6213" s="18"/>
      <c r="U6213" s="18"/>
      <c r="V6213" s="18"/>
      <c r="W6213" s="18"/>
      <c r="X6213" s="18"/>
    </row>
    <row r="6214" spans="13:24">
      <c r="M6214" s="558">
        <f t="shared" si="296"/>
        <v>6212</v>
      </c>
      <c r="N6214" s="15">
        <f t="shared" si="294"/>
        <v>0.15107470752654506</v>
      </c>
      <c r="O6214" s="165">
        <f t="shared" si="295"/>
        <v>0.15107470752654506</v>
      </c>
      <c r="P6214" s="18"/>
      <c r="Q6214" s="18"/>
      <c r="R6214" s="18"/>
      <c r="S6214" s="18"/>
      <c r="T6214" s="18"/>
      <c r="U6214" s="18"/>
      <c r="V6214" s="18"/>
      <c r="W6214" s="18"/>
      <c r="X6214" s="18"/>
    </row>
    <row r="6215" spans="13:24">
      <c r="M6215" s="558">
        <f t="shared" si="296"/>
        <v>6213</v>
      </c>
      <c r="N6215" s="15">
        <f t="shared" si="294"/>
        <v>0.15102310638613956</v>
      </c>
      <c r="O6215" s="165">
        <f t="shared" si="295"/>
        <v>0.15102310638613956</v>
      </c>
      <c r="P6215" s="18"/>
      <c r="Q6215" s="18"/>
      <c r="R6215" s="18"/>
      <c r="S6215" s="18"/>
      <c r="T6215" s="18"/>
      <c r="U6215" s="18"/>
      <c r="V6215" s="18"/>
      <c r="W6215" s="18"/>
      <c r="X6215" s="18"/>
    </row>
    <row r="6216" spans="13:24">
      <c r="M6216" s="558">
        <f t="shared" si="296"/>
        <v>6214</v>
      </c>
      <c r="N6216" s="15">
        <f t="shared" si="294"/>
        <v>0.15097150553596861</v>
      </c>
      <c r="O6216" s="165">
        <f t="shared" si="295"/>
        <v>0.15097150553596861</v>
      </c>
      <c r="P6216" s="18"/>
      <c r="Q6216" s="18"/>
      <c r="R6216" s="18"/>
      <c r="S6216" s="18"/>
      <c r="T6216" s="18"/>
      <c r="U6216" s="18"/>
      <c r="V6216" s="18"/>
      <c r="W6216" s="18"/>
      <c r="X6216" s="18"/>
    </row>
    <row r="6217" spans="13:24">
      <c r="M6217" s="558">
        <f t="shared" si="296"/>
        <v>6215</v>
      </c>
      <c r="N6217" s="15">
        <f t="shared" si="294"/>
        <v>0.15091990497566801</v>
      </c>
      <c r="O6217" s="165">
        <f t="shared" si="295"/>
        <v>0.15091990497566801</v>
      </c>
      <c r="P6217" s="18"/>
      <c r="Q6217" s="18"/>
      <c r="R6217" s="18"/>
      <c r="S6217" s="18"/>
      <c r="T6217" s="18"/>
      <c r="U6217" s="18"/>
      <c r="V6217" s="18"/>
      <c r="W6217" s="18"/>
      <c r="X6217" s="18"/>
    </row>
    <row r="6218" spans="13:24">
      <c r="M6218" s="558">
        <f t="shared" si="296"/>
        <v>6216</v>
      </c>
      <c r="N6218" s="15">
        <f t="shared" si="294"/>
        <v>0.15086830470487395</v>
      </c>
      <c r="O6218" s="165">
        <f t="shared" si="295"/>
        <v>0.15086830470487395</v>
      </c>
      <c r="P6218" s="18"/>
      <c r="Q6218" s="18"/>
      <c r="R6218" s="18"/>
      <c r="S6218" s="18"/>
      <c r="T6218" s="18"/>
      <c r="U6218" s="18"/>
      <c r="V6218" s="18"/>
      <c r="W6218" s="18"/>
      <c r="X6218" s="18"/>
    </row>
    <row r="6219" spans="13:24">
      <c r="M6219" s="558">
        <f t="shared" si="296"/>
        <v>6217</v>
      </c>
      <c r="N6219" s="15">
        <f t="shared" si="294"/>
        <v>0.15081670472322317</v>
      </c>
      <c r="O6219" s="165">
        <f t="shared" si="295"/>
        <v>0.15081670472322317</v>
      </c>
      <c r="P6219" s="18"/>
      <c r="Q6219" s="18"/>
      <c r="R6219" s="18"/>
      <c r="S6219" s="18"/>
      <c r="T6219" s="18"/>
      <c r="U6219" s="18"/>
      <c r="V6219" s="18"/>
      <c r="W6219" s="18"/>
      <c r="X6219" s="18"/>
    </row>
    <row r="6220" spans="13:24">
      <c r="M6220" s="558">
        <f t="shared" si="296"/>
        <v>6218</v>
      </c>
      <c r="N6220" s="15">
        <f t="shared" si="294"/>
        <v>0.15076510503035279</v>
      </c>
      <c r="O6220" s="165">
        <f t="shared" si="295"/>
        <v>0.15076510503035279</v>
      </c>
      <c r="P6220" s="18"/>
      <c r="Q6220" s="18"/>
      <c r="R6220" s="18"/>
      <c r="S6220" s="18"/>
      <c r="T6220" s="18"/>
      <c r="U6220" s="18"/>
      <c r="V6220" s="18"/>
      <c r="W6220" s="18"/>
      <c r="X6220" s="18"/>
    </row>
    <row r="6221" spans="13:24">
      <c r="M6221" s="558">
        <f t="shared" si="296"/>
        <v>6219</v>
      </c>
      <c r="N6221" s="15">
        <f t="shared" si="294"/>
        <v>0.15071350562590044</v>
      </c>
      <c r="O6221" s="165">
        <f t="shared" si="295"/>
        <v>0.15071350562590044</v>
      </c>
      <c r="P6221" s="18"/>
      <c r="Q6221" s="18"/>
      <c r="R6221" s="18"/>
      <c r="S6221" s="18"/>
      <c r="T6221" s="18"/>
      <c r="U6221" s="18"/>
      <c r="V6221" s="18"/>
      <c r="W6221" s="18"/>
      <c r="X6221" s="18"/>
    </row>
    <row r="6222" spans="13:24">
      <c r="M6222" s="558">
        <f t="shared" si="296"/>
        <v>6220</v>
      </c>
      <c r="N6222" s="15">
        <f t="shared" si="294"/>
        <v>0.15066190650950415</v>
      </c>
      <c r="O6222" s="165">
        <f t="shared" si="295"/>
        <v>0.15066190650950415</v>
      </c>
      <c r="P6222" s="18"/>
      <c r="Q6222" s="18"/>
      <c r="R6222" s="18"/>
      <c r="S6222" s="18"/>
      <c r="T6222" s="18"/>
      <c r="U6222" s="18"/>
      <c r="V6222" s="18"/>
      <c r="W6222" s="18"/>
      <c r="X6222" s="18"/>
    </row>
    <row r="6223" spans="13:24">
      <c r="M6223" s="558">
        <f t="shared" si="296"/>
        <v>6221</v>
      </c>
      <c r="N6223" s="15">
        <f t="shared" si="294"/>
        <v>0.15061030768080244</v>
      </c>
      <c r="O6223" s="165">
        <f t="shared" si="295"/>
        <v>0.15061030768080244</v>
      </c>
      <c r="P6223" s="18"/>
      <c r="Q6223" s="18"/>
      <c r="R6223" s="18"/>
      <c r="S6223" s="18"/>
      <c r="T6223" s="18"/>
      <c r="U6223" s="18"/>
      <c r="V6223" s="18"/>
      <c r="W6223" s="18"/>
      <c r="X6223" s="18"/>
    </row>
    <row r="6224" spans="13:24">
      <c r="M6224" s="558">
        <f t="shared" si="296"/>
        <v>6222</v>
      </c>
      <c r="N6224" s="15">
        <f t="shared" si="294"/>
        <v>0.15055870913943425</v>
      </c>
      <c r="O6224" s="165">
        <f t="shared" si="295"/>
        <v>0.15055870913943425</v>
      </c>
      <c r="P6224" s="18"/>
      <c r="Q6224" s="18"/>
      <c r="R6224" s="18"/>
      <c r="S6224" s="18"/>
      <c r="T6224" s="18"/>
      <c r="U6224" s="18"/>
      <c r="V6224" s="18"/>
      <c r="W6224" s="18"/>
      <c r="X6224" s="18"/>
    </row>
    <row r="6225" spans="13:24">
      <c r="M6225" s="558">
        <f t="shared" si="296"/>
        <v>6223</v>
      </c>
      <c r="N6225" s="15">
        <f t="shared" si="294"/>
        <v>0.15050711088503907</v>
      </c>
      <c r="O6225" s="165">
        <f t="shared" si="295"/>
        <v>0.15050711088503907</v>
      </c>
      <c r="P6225" s="18"/>
      <c r="Q6225" s="18"/>
      <c r="R6225" s="18"/>
      <c r="S6225" s="18"/>
      <c r="T6225" s="18"/>
      <c r="U6225" s="18"/>
      <c r="V6225" s="18"/>
      <c r="W6225" s="18"/>
      <c r="X6225" s="18"/>
    </row>
    <row r="6226" spans="13:24">
      <c r="M6226" s="558">
        <f t="shared" si="296"/>
        <v>6224</v>
      </c>
      <c r="N6226" s="15">
        <f t="shared" si="294"/>
        <v>0.15045551291725673</v>
      </c>
      <c r="O6226" s="165">
        <f t="shared" si="295"/>
        <v>0.15045551291725673</v>
      </c>
      <c r="P6226" s="18"/>
      <c r="Q6226" s="18"/>
      <c r="R6226" s="18"/>
      <c r="S6226" s="18"/>
      <c r="T6226" s="18"/>
      <c r="U6226" s="18"/>
      <c r="V6226" s="18"/>
      <c r="W6226" s="18"/>
      <c r="X6226" s="18"/>
    </row>
    <row r="6227" spans="13:24">
      <c r="M6227" s="558">
        <f t="shared" si="296"/>
        <v>6225</v>
      </c>
      <c r="N6227" s="15">
        <f t="shared" si="294"/>
        <v>0.15040391523572755</v>
      </c>
      <c r="O6227" s="165">
        <f t="shared" si="295"/>
        <v>0.15040391523572755</v>
      </c>
      <c r="P6227" s="18"/>
      <c r="Q6227" s="18"/>
      <c r="R6227" s="18"/>
      <c r="S6227" s="18"/>
      <c r="T6227" s="18"/>
      <c r="U6227" s="18"/>
      <c r="V6227" s="18"/>
      <c r="W6227" s="18"/>
      <c r="X6227" s="18"/>
    </row>
    <row r="6228" spans="13:24">
      <c r="M6228" s="558">
        <f t="shared" si="296"/>
        <v>6226</v>
      </c>
      <c r="N6228" s="15">
        <f t="shared" si="294"/>
        <v>0.15035231784009231</v>
      </c>
      <c r="O6228" s="165">
        <f t="shared" si="295"/>
        <v>0.15035231784009231</v>
      </c>
      <c r="P6228" s="18"/>
      <c r="Q6228" s="18"/>
      <c r="R6228" s="18"/>
      <c r="S6228" s="18"/>
      <c r="T6228" s="18"/>
      <c r="U6228" s="18"/>
      <c r="V6228" s="18"/>
      <c r="W6228" s="18"/>
      <c r="X6228" s="18"/>
    </row>
    <row r="6229" spans="13:24">
      <c r="M6229" s="558">
        <f t="shared" si="296"/>
        <v>6227</v>
      </c>
      <c r="N6229" s="15">
        <f t="shared" si="294"/>
        <v>0.15030072072999223</v>
      </c>
      <c r="O6229" s="165">
        <f t="shared" si="295"/>
        <v>0.15030072072999223</v>
      </c>
      <c r="P6229" s="18"/>
      <c r="Q6229" s="18"/>
      <c r="R6229" s="18"/>
      <c r="S6229" s="18"/>
      <c r="T6229" s="18"/>
      <c r="U6229" s="18"/>
      <c r="V6229" s="18"/>
      <c r="W6229" s="18"/>
      <c r="X6229" s="18"/>
    </row>
    <row r="6230" spans="13:24">
      <c r="M6230" s="558">
        <f t="shared" si="296"/>
        <v>6228</v>
      </c>
      <c r="N6230" s="15">
        <f t="shared" si="294"/>
        <v>0.15024912390506903</v>
      </c>
      <c r="O6230" s="165">
        <f t="shared" si="295"/>
        <v>0.15024912390506903</v>
      </c>
      <c r="P6230" s="18"/>
      <c r="Q6230" s="18"/>
      <c r="R6230" s="18"/>
      <c r="S6230" s="18"/>
      <c r="T6230" s="18"/>
      <c r="U6230" s="18"/>
      <c r="V6230" s="18"/>
      <c r="W6230" s="18"/>
      <c r="X6230" s="18"/>
    </row>
    <row r="6231" spans="13:24">
      <c r="M6231" s="558">
        <f t="shared" si="296"/>
        <v>6229</v>
      </c>
      <c r="N6231" s="15">
        <f t="shared" si="294"/>
        <v>0.15019752736496475</v>
      </c>
      <c r="O6231" s="165">
        <f t="shared" si="295"/>
        <v>0.15019752736496475</v>
      </c>
      <c r="P6231" s="18"/>
      <c r="Q6231" s="18"/>
      <c r="R6231" s="18"/>
      <c r="S6231" s="18"/>
      <c r="T6231" s="18"/>
      <c r="U6231" s="18"/>
      <c r="V6231" s="18"/>
      <c r="W6231" s="18"/>
      <c r="X6231" s="18"/>
    </row>
    <row r="6232" spans="13:24">
      <c r="M6232" s="558">
        <f t="shared" si="296"/>
        <v>6230</v>
      </c>
      <c r="N6232" s="15">
        <f t="shared" si="294"/>
        <v>0.15014593110932206</v>
      </c>
      <c r="O6232" s="165">
        <f t="shared" si="295"/>
        <v>0.15014593110932206</v>
      </c>
      <c r="P6232" s="18"/>
      <c r="Q6232" s="18"/>
      <c r="R6232" s="18"/>
      <c r="S6232" s="18"/>
      <c r="T6232" s="18"/>
      <c r="U6232" s="18"/>
      <c r="V6232" s="18"/>
      <c r="W6232" s="18"/>
      <c r="X6232" s="18"/>
    </row>
    <row r="6233" spans="13:24">
      <c r="M6233" s="558">
        <f t="shared" si="296"/>
        <v>6231</v>
      </c>
      <c r="N6233" s="15">
        <f t="shared" si="294"/>
        <v>0.15009433513778389</v>
      </c>
      <c r="O6233" s="165">
        <f t="shared" si="295"/>
        <v>0.15009433513778389</v>
      </c>
      <c r="P6233" s="18"/>
      <c r="Q6233" s="18"/>
      <c r="R6233" s="18"/>
      <c r="S6233" s="18"/>
      <c r="T6233" s="18"/>
      <c r="U6233" s="18"/>
      <c r="V6233" s="18"/>
      <c r="W6233" s="18"/>
      <c r="X6233" s="18"/>
    </row>
    <row r="6234" spans="13:24">
      <c r="M6234" s="558">
        <f t="shared" si="296"/>
        <v>6232</v>
      </c>
      <c r="N6234" s="15">
        <f t="shared" si="294"/>
        <v>0.1500427394499938</v>
      </c>
      <c r="O6234" s="165">
        <f t="shared" si="295"/>
        <v>0.1500427394499938</v>
      </c>
      <c r="P6234" s="18"/>
      <c r="Q6234" s="18"/>
      <c r="R6234" s="18"/>
      <c r="S6234" s="18"/>
      <c r="T6234" s="18"/>
      <c r="U6234" s="18"/>
      <c r="V6234" s="18"/>
      <c r="W6234" s="18"/>
      <c r="X6234" s="18"/>
    </row>
    <row r="6235" spans="13:24">
      <c r="M6235" s="558">
        <f t="shared" si="296"/>
        <v>6233</v>
      </c>
      <c r="N6235" s="15">
        <f t="shared" si="294"/>
        <v>0.14999114404559563</v>
      </c>
      <c r="O6235" s="165">
        <f t="shared" si="295"/>
        <v>0.14999114404559563</v>
      </c>
      <c r="P6235" s="18"/>
      <c r="Q6235" s="18"/>
      <c r="R6235" s="18"/>
      <c r="S6235" s="18"/>
      <c r="T6235" s="18"/>
      <c r="U6235" s="18"/>
      <c r="V6235" s="18"/>
      <c r="W6235" s="18"/>
      <c r="X6235" s="18"/>
    </row>
    <row r="6236" spans="13:24">
      <c r="M6236" s="558">
        <f t="shared" si="296"/>
        <v>6234</v>
      </c>
      <c r="N6236" s="15">
        <f t="shared" si="294"/>
        <v>0.14993954892423383</v>
      </c>
      <c r="O6236" s="165">
        <f t="shared" si="295"/>
        <v>0.14993954892423383</v>
      </c>
      <c r="P6236" s="18"/>
      <c r="Q6236" s="18"/>
      <c r="R6236" s="18"/>
      <c r="S6236" s="18"/>
      <c r="T6236" s="18"/>
      <c r="U6236" s="18"/>
      <c r="V6236" s="18"/>
      <c r="W6236" s="18"/>
      <c r="X6236" s="18"/>
    </row>
    <row r="6237" spans="13:24">
      <c r="M6237" s="558">
        <f t="shared" si="296"/>
        <v>6235</v>
      </c>
      <c r="N6237" s="15">
        <f t="shared" si="294"/>
        <v>0.14988795408555314</v>
      </c>
      <c r="O6237" s="165">
        <f t="shared" si="295"/>
        <v>0.14988795408555314</v>
      </c>
      <c r="P6237" s="18"/>
      <c r="Q6237" s="18"/>
      <c r="R6237" s="18"/>
      <c r="S6237" s="18"/>
      <c r="T6237" s="18"/>
      <c r="U6237" s="18"/>
      <c r="V6237" s="18"/>
      <c r="W6237" s="18"/>
      <c r="X6237" s="18"/>
    </row>
    <row r="6238" spans="13:24">
      <c r="M6238" s="558">
        <f t="shared" si="296"/>
        <v>6236</v>
      </c>
      <c r="N6238" s="15">
        <f t="shared" si="294"/>
        <v>0.14983635952919885</v>
      </c>
      <c r="O6238" s="165">
        <f t="shared" si="295"/>
        <v>0.14983635952919885</v>
      </c>
      <c r="P6238" s="18"/>
      <c r="Q6238" s="18"/>
      <c r="R6238" s="18"/>
      <c r="S6238" s="18"/>
      <c r="T6238" s="18"/>
      <c r="U6238" s="18"/>
      <c r="V6238" s="18"/>
      <c r="W6238" s="18"/>
      <c r="X6238" s="18"/>
    </row>
    <row r="6239" spans="13:24">
      <c r="M6239" s="558">
        <f t="shared" si="296"/>
        <v>6237</v>
      </c>
      <c r="N6239" s="15">
        <f t="shared" si="294"/>
        <v>0.14978476525481665</v>
      </c>
      <c r="O6239" s="165">
        <f t="shared" si="295"/>
        <v>0.14978476525481665</v>
      </c>
      <c r="P6239" s="18"/>
      <c r="Q6239" s="18"/>
      <c r="R6239" s="18"/>
      <c r="S6239" s="18"/>
      <c r="T6239" s="18"/>
      <c r="U6239" s="18"/>
      <c r="V6239" s="18"/>
      <c r="W6239" s="18"/>
      <c r="X6239" s="18"/>
    </row>
    <row r="6240" spans="13:24">
      <c r="M6240" s="558">
        <f t="shared" si="296"/>
        <v>6238</v>
      </c>
      <c r="N6240" s="15">
        <f t="shared" si="294"/>
        <v>0.14973317126205271</v>
      </c>
      <c r="O6240" s="165">
        <f t="shared" si="295"/>
        <v>0.14973317126205271</v>
      </c>
      <c r="P6240" s="18"/>
      <c r="Q6240" s="18"/>
      <c r="R6240" s="18"/>
      <c r="S6240" s="18"/>
      <c r="T6240" s="18"/>
      <c r="U6240" s="18"/>
      <c r="V6240" s="18"/>
      <c r="W6240" s="18"/>
      <c r="X6240" s="18"/>
    </row>
    <row r="6241" spans="13:24">
      <c r="M6241" s="558">
        <f t="shared" si="296"/>
        <v>6239</v>
      </c>
      <c r="N6241" s="15">
        <f t="shared" si="294"/>
        <v>0.14968157755055359</v>
      </c>
      <c r="O6241" s="165">
        <f t="shared" si="295"/>
        <v>0.14968157755055359</v>
      </c>
      <c r="P6241" s="18"/>
      <c r="Q6241" s="18"/>
      <c r="R6241" s="18"/>
      <c r="S6241" s="18"/>
      <c r="T6241" s="18"/>
      <c r="U6241" s="18"/>
      <c r="V6241" s="18"/>
      <c r="W6241" s="18"/>
      <c r="X6241" s="18"/>
    </row>
    <row r="6242" spans="13:24">
      <c r="M6242" s="558">
        <f t="shared" si="296"/>
        <v>6240</v>
      </c>
      <c r="N6242" s="15">
        <f t="shared" si="294"/>
        <v>0.14962998411996634</v>
      </c>
      <c r="O6242" s="165">
        <f t="shared" si="295"/>
        <v>0.14962998411996634</v>
      </c>
      <c r="P6242" s="18"/>
      <c r="Q6242" s="18"/>
      <c r="R6242" s="18"/>
      <c r="S6242" s="18"/>
      <c r="T6242" s="18"/>
      <c r="U6242" s="18"/>
      <c r="V6242" s="18"/>
      <c r="W6242" s="18"/>
      <c r="X6242" s="18"/>
    </row>
    <row r="6243" spans="13:24">
      <c r="M6243" s="558">
        <f t="shared" si="296"/>
        <v>6241</v>
      </c>
      <c r="N6243" s="15">
        <f t="shared" si="294"/>
        <v>0.14957839096993847</v>
      </c>
      <c r="O6243" s="165">
        <f t="shared" si="295"/>
        <v>0.14957839096993847</v>
      </c>
      <c r="P6243" s="18"/>
      <c r="Q6243" s="18"/>
      <c r="R6243" s="18"/>
      <c r="S6243" s="18"/>
      <c r="T6243" s="18"/>
      <c r="U6243" s="18"/>
      <c r="V6243" s="18"/>
      <c r="W6243" s="18"/>
      <c r="X6243" s="18"/>
    </row>
    <row r="6244" spans="13:24">
      <c r="M6244" s="558">
        <f t="shared" si="296"/>
        <v>6242</v>
      </c>
      <c r="N6244" s="15">
        <f t="shared" si="294"/>
        <v>0.14952679810011782</v>
      </c>
      <c r="O6244" s="165">
        <f t="shared" si="295"/>
        <v>0.14952679810011782</v>
      </c>
      <c r="P6244" s="18"/>
      <c r="Q6244" s="18"/>
      <c r="R6244" s="18"/>
      <c r="S6244" s="18"/>
      <c r="T6244" s="18"/>
      <c r="U6244" s="18"/>
      <c r="V6244" s="18"/>
      <c r="W6244" s="18"/>
      <c r="X6244" s="18"/>
    </row>
    <row r="6245" spans="13:24">
      <c r="M6245" s="558">
        <f t="shared" si="296"/>
        <v>6243</v>
      </c>
      <c r="N6245" s="15">
        <f t="shared" si="294"/>
        <v>0.14947520551015286</v>
      </c>
      <c r="O6245" s="165">
        <f t="shared" si="295"/>
        <v>0.14947520551015286</v>
      </c>
      <c r="P6245" s="18"/>
      <c r="Q6245" s="18"/>
      <c r="R6245" s="18"/>
      <c r="S6245" s="18"/>
      <c r="T6245" s="18"/>
      <c r="U6245" s="18"/>
      <c r="V6245" s="18"/>
      <c r="W6245" s="18"/>
      <c r="X6245" s="18"/>
    </row>
    <row r="6246" spans="13:24">
      <c r="M6246" s="558">
        <f t="shared" si="296"/>
        <v>6244</v>
      </c>
      <c r="N6246" s="15">
        <f t="shared" si="294"/>
        <v>0.1494236131996923</v>
      </c>
      <c r="O6246" s="165">
        <f t="shared" si="295"/>
        <v>0.1494236131996923</v>
      </c>
      <c r="P6246" s="18"/>
      <c r="Q6246" s="18"/>
      <c r="R6246" s="18"/>
      <c r="S6246" s="18"/>
      <c r="T6246" s="18"/>
      <c r="U6246" s="18"/>
      <c r="V6246" s="18"/>
      <c r="W6246" s="18"/>
      <c r="X6246" s="18"/>
    </row>
    <row r="6247" spans="13:24">
      <c r="M6247" s="558">
        <f t="shared" si="296"/>
        <v>6245</v>
      </c>
      <c r="N6247" s="15">
        <f t="shared" si="294"/>
        <v>0.14937202116838544</v>
      </c>
      <c r="O6247" s="165">
        <f t="shared" si="295"/>
        <v>0.14937202116838544</v>
      </c>
      <c r="P6247" s="18"/>
      <c r="Q6247" s="18"/>
      <c r="R6247" s="18"/>
      <c r="S6247" s="18"/>
      <c r="T6247" s="18"/>
      <c r="U6247" s="18"/>
      <c r="V6247" s="18"/>
      <c r="W6247" s="18"/>
      <c r="X6247" s="18"/>
    </row>
    <row r="6248" spans="13:24">
      <c r="M6248" s="558">
        <f t="shared" si="296"/>
        <v>6246</v>
      </c>
      <c r="N6248" s="15">
        <f t="shared" si="294"/>
        <v>0.14932042941588194</v>
      </c>
      <c r="O6248" s="165">
        <f t="shared" si="295"/>
        <v>0.14932042941588194</v>
      </c>
      <c r="P6248" s="18"/>
      <c r="Q6248" s="18"/>
      <c r="R6248" s="18"/>
      <c r="S6248" s="18"/>
      <c r="T6248" s="18"/>
      <c r="U6248" s="18"/>
      <c r="V6248" s="18"/>
      <c r="W6248" s="18"/>
      <c r="X6248" s="18"/>
    </row>
    <row r="6249" spans="13:24">
      <c r="M6249" s="558">
        <f t="shared" si="296"/>
        <v>6247</v>
      </c>
      <c r="N6249" s="15">
        <f t="shared" si="294"/>
        <v>0.14926883794183193</v>
      </c>
      <c r="O6249" s="165">
        <f t="shared" si="295"/>
        <v>0.14926883794183193</v>
      </c>
      <c r="P6249" s="18"/>
      <c r="Q6249" s="18"/>
      <c r="R6249" s="18"/>
      <c r="S6249" s="18"/>
      <c r="T6249" s="18"/>
      <c r="U6249" s="18"/>
      <c r="V6249" s="18"/>
      <c r="W6249" s="18"/>
      <c r="X6249" s="18"/>
    </row>
    <row r="6250" spans="13:24">
      <c r="M6250" s="558">
        <f t="shared" si="296"/>
        <v>6248</v>
      </c>
      <c r="N6250" s="15">
        <f t="shared" si="294"/>
        <v>0.14921724674588596</v>
      </c>
      <c r="O6250" s="165">
        <f t="shared" si="295"/>
        <v>0.14921724674588596</v>
      </c>
      <c r="P6250" s="18"/>
      <c r="Q6250" s="18"/>
      <c r="R6250" s="18"/>
      <c r="S6250" s="18"/>
      <c r="T6250" s="18"/>
      <c r="U6250" s="18"/>
      <c r="V6250" s="18"/>
      <c r="W6250" s="18"/>
      <c r="X6250" s="18"/>
    </row>
    <row r="6251" spans="13:24">
      <c r="M6251" s="558">
        <f t="shared" si="296"/>
        <v>6249</v>
      </c>
      <c r="N6251" s="15">
        <f t="shared" si="294"/>
        <v>0.14916565582769509</v>
      </c>
      <c r="O6251" s="165">
        <f t="shared" si="295"/>
        <v>0.14916565582769509</v>
      </c>
      <c r="P6251" s="18"/>
      <c r="Q6251" s="18"/>
      <c r="R6251" s="18"/>
      <c r="S6251" s="18"/>
      <c r="T6251" s="18"/>
      <c r="U6251" s="18"/>
      <c r="V6251" s="18"/>
      <c r="W6251" s="18"/>
      <c r="X6251" s="18"/>
    </row>
    <row r="6252" spans="13:24">
      <c r="M6252" s="558">
        <f t="shared" si="296"/>
        <v>6250</v>
      </c>
      <c r="N6252" s="15">
        <f t="shared" si="294"/>
        <v>0.14911406518691067</v>
      </c>
      <c r="O6252" s="165">
        <f t="shared" si="295"/>
        <v>0.14911406518691067</v>
      </c>
      <c r="P6252" s="18"/>
      <c r="Q6252" s="18"/>
      <c r="R6252" s="18"/>
      <c r="S6252" s="18"/>
      <c r="T6252" s="18"/>
      <c r="U6252" s="18"/>
      <c r="V6252" s="18"/>
      <c r="W6252" s="18"/>
      <c r="X6252" s="18"/>
    </row>
    <row r="6253" spans="13:24">
      <c r="M6253" s="558">
        <f t="shared" si="296"/>
        <v>6251</v>
      </c>
      <c r="N6253" s="15">
        <f t="shared" si="294"/>
        <v>0.14906247482318463</v>
      </c>
      <c r="O6253" s="165">
        <f t="shared" si="295"/>
        <v>0.14906247482318463</v>
      </c>
      <c r="P6253" s="18"/>
      <c r="Q6253" s="18"/>
      <c r="R6253" s="18"/>
      <c r="S6253" s="18"/>
      <c r="T6253" s="18"/>
      <c r="U6253" s="18"/>
      <c r="V6253" s="18"/>
      <c r="W6253" s="18"/>
      <c r="X6253" s="18"/>
    </row>
    <row r="6254" spans="13:24">
      <c r="M6254" s="558">
        <f t="shared" si="296"/>
        <v>6252</v>
      </c>
      <c r="N6254" s="15">
        <f t="shared" si="294"/>
        <v>0.14901088473616927</v>
      </c>
      <c r="O6254" s="165">
        <f t="shared" si="295"/>
        <v>0.14901088473616927</v>
      </c>
      <c r="P6254" s="18"/>
      <c r="Q6254" s="18"/>
      <c r="R6254" s="18"/>
      <c r="S6254" s="18"/>
      <c r="T6254" s="18"/>
      <c r="U6254" s="18"/>
      <c r="V6254" s="18"/>
      <c r="W6254" s="18"/>
      <c r="X6254" s="18"/>
    </row>
    <row r="6255" spans="13:24">
      <c r="M6255" s="558">
        <f t="shared" si="296"/>
        <v>6253</v>
      </c>
      <c r="N6255" s="15">
        <f t="shared" si="294"/>
        <v>0.14895929492551738</v>
      </c>
      <c r="O6255" s="165">
        <f t="shared" si="295"/>
        <v>0.14895929492551738</v>
      </c>
      <c r="P6255" s="18"/>
      <c r="Q6255" s="18"/>
      <c r="R6255" s="18"/>
      <c r="S6255" s="18"/>
      <c r="T6255" s="18"/>
      <c r="U6255" s="18"/>
      <c r="V6255" s="18"/>
      <c r="W6255" s="18"/>
      <c r="X6255" s="18"/>
    </row>
    <row r="6256" spans="13:24">
      <c r="M6256" s="558">
        <f t="shared" si="296"/>
        <v>6254</v>
      </c>
      <c r="N6256" s="15">
        <f t="shared" si="294"/>
        <v>0.14890770539088208</v>
      </c>
      <c r="O6256" s="165">
        <f t="shared" si="295"/>
        <v>0.14890770539088208</v>
      </c>
      <c r="P6256" s="18"/>
      <c r="Q6256" s="18"/>
      <c r="R6256" s="18"/>
      <c r="S6256" s="18"/>
      <c r="T6256" s="18"/>
      <c r="U6256" s="18"/>
      <c r="V6256" s="18"/>
      <c r="W6256" s="18"/>
      <c r="X6256" s="18"/>
    </row>
    <row r="6257" spans="13:24">
      <c r="M6257" s="558">
        <f t="shared" si="296"/>
        <v>6255</v>
      </c>
      <c r="N6257" s="15">
        <f t="shared" si="294"/>
        <v>0.14885611613191702</v>
      </c>
      <c r="O6257" s="165">
        <f t="shared" si="295"/>
        <v>0.14885611613191702</v>
      </c>
      <c r="P6257" s="18"/>
      <c r="Q6257" s="18"/>
      <c r="R6257" s="18"/>
      <c r="S6257" s="18"/>
      <c r="T6257" s="18"/>
      <c r="U6257" s="18"/>
      <c r="V6257" s="18"/>
      <c r="W6257" s="18"/>
      <c r="X6257" s="18"/>
    </row>
    <row r="6258" spans="13:24">
      <c r="M6258" s="558">
        <f t="shared" si="296"/>
        <v>6256</v>
      </c>
      <c r="N6258" s="15">
        <f t="shared" si="294"/>
        <v>0.14880452714827627</v>
      </c>
      <c r="O6258" s="165">
        <f t="shared" si="295"/>
        <v>0.14880452714827627</v>
      </c>
      <c r="P6258" s="18"/>
      <c r="Q6258" s="18"/>
      <c r="R6258" s="18"/>
      <c r="S6258" s="18"/>
      <c r="T6258" s="18"/>
      <c r="U6258" s="18"/>
      <c r="V6258" s="18"/>
      <c r="W6258" s="18"/>
      <c r="X6258" s="18"/>
    </row>
    <row r="6259" spans="13:24">
      <c r="M6259" s="558">
        <f t="shared" si="296"/>
        <v>6257</v>
      </c>
      <c r="N6259" s="15">
        <f t="shared" si="294"/>
        <v>0.14875293843961432</v>
      </c>
      <c r="O6259" s="165">
        <f t="shared" si="295"/>
        <v>0.14875293843961432</v>
      </c>
      <c r="P6259" s="18"/>
      <c r="Q6259" s="18"/>
      <c r="R6259" s="18"/>
      <c r="S6259" s="18"/>
      <c r="T6259" s="18"/>
      <c r="U6259" s="18"/>
      <c r="V6259" s="18"/>
      <c r="W6259" s="18"/>
      <c r="X6259" s="18"/>
    </row>
    <row r="6260" spans="13:24">
      <c r="M6260" s="558">
        <f t="shared" si="296"/>
        <v>6258</v>
      </c>
      <c r="N6260" s="15">
        <f t="shared" si="294"/>
        <v>0.14870135000558607</v>
      </c>
      <c r="O6260" s="165">
        <f t="shared" si="295"/>
        <v>0.14870135000558607</v>
      </c>
      <c r="P6260" s="18"/>
      <c r="Q6260" s="18"/>
      <c r="R6260" s="18"/>
      <c r="S6260" s="18"/>
      <c r="T6260" s="18"/>
      <c r="U6260" s="18"/>
      <c r="V6260" s="18"/>
      <c r="W6260" s="18"/>
      <c r="X6260" s="18"/>
    </row>
    <row r="6261" spans="13:24">
      <c r="M6261" s="558">
        <f t="shared" si="296"/>
        <v>6259</v>
      </c>
      <c r="N6261" s="15">
        <f t="shared" si="294"/>
        <v>0.14864976184584688</v>
      </c>
      <c r="O6261" s="165">
        <f t="shared" si="295"/>
        <v>0.14864976184584688</v>
      </c>
      <c r="P6261" s="18"/>
      <c r="Q6261" s="18"/>
      <c r="R6261" s="18"/>
      <c r="S6261" s="18"/>
      <c r="T6261" s="18"/>
      <c r="U6261" s="18"/>
      <c r="V6261" s="18"/>
      <c r="W6261" s="18"/>
      <c r="X6261" s="18"/>
    </row>
    <row r="6262" spans="13:24">
      <c r="M6262" s="558">
        <f t="shared" si="296"/>
        <v>6260</v>
      </c>
      <c r="N6262" s="15">
        <f t="shared" si="294"/>
        <v>0.14859817396005259</v>
      </c>
      <c r="O6262" s="165">
        <f t="shared" si="295"/>
        <v>0.14859817396005259</v>
      </c>
      <c r="P6262" s="18"/>
      <c r="Q6262" s="18"/>
      <c r="R6262" s="18"/>
      <c r="S6262" s="18"/>
      <c r="T6262" s="18"/>
      <c r="U6262" s="18"/>
      <c r="V6262" s="18"/>
      <c r="W6262" s="18"/>
      <c r="X6262" s="18"/>
    </row>
    <row r="6263" spans="13:24">
      <c r="M6263" s="558">
        <f t="shared" si="296"/>
        <v>6261</v>
      </c>
      <c r="N6263" s="15">
        <f t="shared" si="294"/>
        <v>0.14854658634785933</v>
      </c>
      <c r="O6263" s="165">
        <f t="shared" si="295"/>
        <v>0.14854658634785933</v>
      </c>
      <c r="P6263" s="18"/>
      <c r="Q6263" s="18"/>
      <c r="R6263" s="18"/>
      <c r="S6263" s="18"/>
      <c r="T6263" s="18"/>
      <c r="U6263" s="18"/>
      <c r="V6263" s="18"/>
      <c r="W6263" s="18"/>
      <c r="X6263" s="18"/>
    </row>
    <row r="6264" spans="13:24">
      <c r="M6264" s="558">
        <f t="shared" si="296"/>
        <v>6262</v>
      </c>
      <c r="N6264" s="15">
        <f t="shared" si="294"/>
        <v>0.14849499900892385</v>
      </c>
      <c r="O6264" s="165">
        <f t="shared" si="295"/>
        <v>0.14849499900892385</v>
      </c>
      <c r="P6264" s="18"/>
      <c r="Q6264" s="18"/>
      <c r="R6264" s="18"/>
      <c r="S6264" s="18"/>
      <c r="T6264" s="18"/>
      <c r="U6264" s="18"/>
      <c r="V6264" s="18"/>
      <c r="W6264" s="18"/>
      <c r="X6264" s="18"/>
    </row>
    <row r="6265" spans="13:24">
      <c r="M6265" s="558">
        <f t="shared" si="296"/>
        <v>6263</v>
      </c>
      <c r="N6265" s="15">
        <f t="shared" si="294"/>
        <v>0.14844341194290317</v>
      </c>
      <c r="O6265" s="165">
        <f t="shared" si="295"/>
        <v>0.14844341194290317</v>
      </c>
      <c r="P6265" s="18"/>
      <c r="Q6265" s="18"/>
      <c r="R6265" s="18"/>
      <c r="S6265" s="18"/>
      <c r="T6265" s="18"/>
      <c r="U6265" s="18"/>
      <c r="V6265" s="18"/>
      <c r="W6265" s="18"/>
      <c r="X6265" s="18"/>
    </row>
    <row r="6266" spans="13:24">
      <c r="M6266" s="558">
        <f t="shared" si="296"/>
        <v>6264</v>
      </c>
      <c r="N6266" s="15">
        <f t="shared" si="294"/>
        <v>0.14839182514945481</v>
      </c>
      <c r="O6266" s="165">
        <f t="shared" si="295"/>
        <v>0.14839182514945481</v>
      </c>
      <c r="P6266" s="18"/>
      <c r="Q6266" s="18"/>
      <c r="R6266" s="18"/>
      <c r="S6266" s="18"/>
      <c r="T6266" s="18"/>
      <c r="U6266" s="18"/>
      <c r="V6266" s="18"/>
      <c r="W6266" s="18"/>
      <c r="X6266" s="18"/>
    </row>
    <row r="6267" spans="13:24">
      <c r="M6267" s="558">
        <f t="shared" si="296"/>
        <v>6265</v>
      </c>
      <c r="N6267" s="15">
        <f t="shared" si="294"/>
        <v>0.14834023862823673</v>
      </c>
      <c r="O6267" s="165">
        <f t="shared" si="295"/>
        <v>0.14834023862823673</v>
      </c>
      <c r="P6267" s="18"/>
      <c r="Q6267" s="18"/>
      <c r="R6267" s="18"/>
      <c r="S6267" s="18"/>
      <c r="T6267" s="18"/>
      <c r="U6267" s="18"/>
      <c r="V6267" s="18"/>
      <c r="W6267" s="18"/>
      <c r="X6267" s="18"/>
    </row>
    <row r="6268" spans="13:24">
      <c r="M6268" s="558">
        <f t="shared" si="296"/>
        <v>6266</v>
      </c>
      <c r="N6268" s="15">
        <f t="shared" si="294"/>
        <v>0.14828865237890732</v>
      </c>
      <c r="O6268" s="165">
        <f t="shared" si="295"/>
        <v>0.14828865237890732</v>
      </c>
      <c r="P6268" s="18"/>
      <c r="Q6268" s="18"/>
      <c r="R6268" s="18"/>
      <c r="S6268" s="18"/>
      <c r="T6268" s="18"/>
      <c r="U6268" s="18"/>
      <c r="V6268" s="18"/>
      <c r="W6268" s="18"/>
      <c r="X6268" s="18"/>
    </row>
    <row r="6269" spans="13:24">
      <c r="M6269" s="558">
        <f t="shared" si="296"/>
        <v>6267</v>
      </c>
      <c r="N6269" s="15">
        <f t="shared" si="294"/>
        <v>0.1482370664011253</v>
      </c>
      <c r="O6269" s="165">
        <f t="shared" si="295"/>
        <v>0.1482370664011253</v>
      </c>
      <c r="P6269" s="18"/>
      <c r="Q6269" s="18"/>
      <c r="R6269" s="18"/>
      <c r="S6269" s="18"/>
      <c r="T6269" s="18"/>
      <c r="U6269" s="18"/>
      <c r="V6269" s="18"/>
      <c r="W6269" s="18"/>
      <c r="X6269" s="18"/>
    </row>
    <row r="6270" spans="13:24">
      <c r="M6270" s="558">
        <f t="shared" si="296"/>
        <v>6268</v>
      </c>
      <c r="N6270" s="15">
        <f t="shared" si="294"/>
        <v>0.14818548069455001</v>
      </c>
      <c r="O6270" s="165">
        <f t="shared" si="295"/>
        <v>0.14818548069455001</v>
      </c>
      <c r="P6270" s="18"/>
      <c r="Q6270" s="18"/>
      <c r="R6270" s="18"/>
      <c r="S6270" s="18"/>
      <c r="T6270" s="18"/>
      <c r="U6270" s="18"/>
      <c r="V6270" s="18"/>
      <c r="W6270" s="18"/>
      <c r="X6270" s="18"/>
    </row>
    <row r="6271" spans="13:24">
      <c r="M6271" s="558">
        <f t="shared" si="296"/>
        <v>6269</v>
      </c>
      <c r="N6271" s="15">
        <f t="shared" si="294"/>
        <v>0.14813389525884105</v>
      </c>
      <c r="O6271" s="165">
        <f t="shared" si="295"/>
        <v>0.14813389525884105</v>
      </c>
      <c r="P6271" s="18"/>
      <c r="Q6271" s="18"/>
      <c r="R6271" s="18"/>
      <c r="S6271" s="18"/>
      <c r="T6271" s="18"/>
      <c r="U6271" s="18"/>
      <c r="V6271" s="18"/>
      <c r="W6271" s="18"/>
      <c r="X6271" s="18"/>
    </row>
    <row r="6272" spans="13:24">
      <c r="M6272" s="558">
        <f t="shared" si="296"/>
        <v>6270</v>
      </c>
      <c r="N6272" s="15">
        <f t="shared" si="294"/>
        <v>0.14808231009365846</v>
      </c>
      <c r="O6272" s="165">
        <f t="shared" si="295"/>
        <v>0.14808231009365846</v>
      </c>
      <c r="P6272" s="18"/>
      <c r="Q6272" s="18"/>
      <c r="R6272" s="18"/>
      <c r="S6272" s="18"/>
      <c r="T6272" s="18"/>
      <c r="U6272" s="18"/>
      <c r="V6272" s="18"/>
      <c r="W6272" s="18"/>
      <c r="X6272" s="18"/>
    </row>
    <row r="6273" spans="13:24">
      <c r="M6273" s="558">
        <f t="shared" si="296"/>
        <v>6271</v>
      </c>
      <c r="N6273" s="15">
        <f t="shared" si="294"/>
        <v>0.14803072519866287</v>
      </c>
      <c r="O6273" s="165">
        <f t="shared" si="295"/>
        <v>0.14803072519866287</v>
      </c>
      <c r="P6273" s="18"/>
      <c r="Q6273" s="18"/>
      <c r="R6273" s="18"/>
      <c r="S6273" s="18"/>
      <c r="T6273" s="18"/>
      <c r="U6273" s="18"/>
      <c r="V6273" s="18"/>
      <c r="W6273" s="18"/>
      <c r="X6273" s="18"/>
    </row>
    <row r="6274" spans="13:24">
      <c r="M6274" s="558">
        <f t="shared" si="296"/>
        <v>6272</v>
      </c>
      <c r="N6274" s="15">
        <f t="shared" si="294"/>
        <v>0.14797914057351511</v>
      </c>
      <c r="O6274" s="165">
        <f t="shared" si="295"/>
        <v>0.14797914057351511</v>
      </c>
      <c r="P6274" s="18"/>
      <c r="Q6274" s="18"/>
      <c r="R6274" s="18"/>
      <c r="S6274" s="18"/>
      <c r="T6274" s="18"/>
      <c r="U6274" s="18"/>
      <c r="V6274" s="18"/>
      <c r="W6274" s="18"/>
      <c r="X6274" s="18"/>
    </row>
    <row r="6275" spans="13:24">
      <c r="M6275" s="558">
        <f t="shared" si="296"/>
        <v>6273</v>
      </c>
      <c r="N6275" s="15">
        <f t="shared" si="294"/>
        <v>0.14792755621787659</v>
      </c>
      <c r="O6275" s="165">
        <f t="shared" si="295"/>
        <v>0.14792755621787659</v>
      </c>
      <c r="P6275" s="18"/>
      <c r="Q6275" s="18"/>
      <c r="R6275" s="18"/>
      <c r="S6275" s="18"/>
      <c r="T6275" s="18"/>
      <c r="U6275" s="18"/>
      <c r="V6275" s="18"/>
      <c r="W6275" s="18"/>
      <c r="X6275" s="18"/>
    </row>
    <row r="6276" spans="13:24">
      <c r="M6276" s="558">
        <f t="shared" si="296"/>
        <v>6274</v>
      </c>
      <c r="N6276" s="15">
        <f t="shared" ref="N6276:N6339" si="297">IF(M6276&lt;$B$31+1,$B$32+$B$33/$B$31*(8760-M6276)+$B$34*IF(M6276&lt;$B$36-$B$31/(2*$B$35),1,IF(M6276&lt;$B$36+$B$31/(2*$B$35),COS(PI()/2*(M6276-($B$36-$B$31/(2*$B$35)))*$B$35/$B$31)^2,0))+$B$37*EXP((8760-M6276)/8760*$B$38)/EXP($B$38)-(8760-$B$31)*$B$33/$B$31,0)</f>
        <v>0.1478759721314091</v>
      </c>
      <c r="O6276" s="165">
        <f t="shared" ref="O6276:O6339" si="298">MIN(N6276,C$24)</f>
        <v>0.1478759721314091</v>
      </c>
      <c r="P6276" s="18"/>
      <c r="Q6276" s="18"/>
      <c r="R6276" s="18"/>
      <c r="S6276" s="18"/>
      <c r="T6276" s="18"/>
      <c r="U6276" s="18"/>
      <c r="V6276" s="18"/>
      <c r="W6276" s="18"/>
      <c r="X6276" s="18"/>
    </row>
    <row r="6277" spans="13:24">
      <c r="M6277" s="558">
        <f t="shared" ref="M6277:M6340" si="299">M6276+1</f>
        <v>6275</v>
      </c>
      <c r="N6277" s="15">
        <f t="shared" si="297"/>
        <v>0.14782438831377484</v>
      </c>
      <c r="O6277" s="165">
        <f t="shared" si="298"/>
        <v>0.14782438831377484</v>
      </c>
      <c r="P6277" s="18"/>
      <c r="Q6277" s="18"/>
      <c r="R6277" s="18"/>
      <c r="S6277" s="18"/>
      <c r="T6277" s="18"/>
      <c r="U6277" s="18"/>
      <c r="V6277" s="18"/>
      <c r="W6277" s="18"/>
      <c r="X6277" s="18"/>
    </row>
    <row r="6278" spans="13:24">
      <c r="M6278" s="558">
        <f t="shared" si="299"/>
        <v>6276</v>
      </c>
      <c r="N6278" s="15">
        <f t="shared" si="297"/>
        <v>0.14777280476463642</v>
      </c>
      <c r="O6278" s="165">
        <f t="shared" si="298"/>
        <v>0.14777280476463642</v>
      </c>
      <c r="P6278" s="18"/>
      <c r="Q6278" s="18"/>
      <c r="R6278" s="18"/>
      <c r="S6278" s="18"/>
      <c r="T6278" s="18"/>
      <c r="U6278" s="18"/>
      <c r="V6278" s="18"/>
      <c r="W6278" s="18"/>
      <c r="X6278" s="18"/>
    </row>
    <row r="6279" spans="13:24">
      <c r="M6279" s="558">
        <f t="shared" si="299"/>
        <v>6277</v>
      </c>
      <c r="N6279" s="15">
        <f t="shared" si="297"/>
        <v>0.14772122148365696</v>
      </c>
      <c r="O6279" s="165">
        <f t="shared" si="298"/>
        <v>0.14772122148365696</v>
      </c>
      <c r="P6279" s="18"/>
      <c r="Q6279" s="18"/>
      <c r="R6279" s="18"/>
      <c r="S6279" s="18"/>
      <c r="T6279" s="18"/>
      <c r="U6279" s="18"/>
      <c r="V6279" s="18"/>
      <c r="W6279" s="18"/>
      <c r="X6279" s="18"/>
    </row>
    <row r="6280" spans="13:24">
      <c r="M6280" s="558">
        <f t="shared" si="299"/>
        <v>6278</v>
      </c>
      <c r="N6280" s="15">
        <f t="shared" si="297"/>
        <v>0.14766963847049988</v>
      </c>
      <c r="O6280" s="165">
        <f t="shared" si="298"/>
        <v>0.14766963847049988</v>
      </c>
      <c r="P6280" s="18"/>
      <c r="Q6280" s="18"/>
      <c r="R6280" s="18"/>
      <c r="S6280" s="18"/>
      <c r="T6280" s="18"/>
      <c r="U6280" s="18"/>
      <c r="V6280" s="18"/>
      <c r="W6280" s="18"/>
      <c r="X6280" s="18"/>
    </row>
    <row r="6281" spans="13:24">
      <c r="M6281" s="558">
        <f t="shared" si="299"/>
        <v>6279</v>
      </c>
      <c r="N6281" s="15">
        <f t="shared" si="297"/>
        <v>0.14761805572482914</v>
      </c>
      <c r="O6281" s="165">
        <f t="shared" si="298"/>
        <v>0.14761805572482914</v>
      </c>
      <c r="P6281" s="18"/>
      <c r="Q6281" s="18"/>
      <c r="R6281" s="18"/>
      <c r="S6281" s="18"/>
      <c r="T6281" s="18"/>
      <c r="U6281" s="18"/>
      <c r="V6281" s="18"/>
      <c r="W6281" s="18"/>
      <c r="X6281" s="18"/>
    </row>
    <row r="6282" spans="13:24">
      <c r="M6282" s="558">
        <f t="shared" si="299"/>
        <v>6280</v>
      </c>
      <c r="N6282" s="15">
        <f t="shared" si="297"/>
        <v>0.147566473246309</v>
      </c>
      <c r="O6282" s="165">
        <f t="shared" si="298"/>
        <v>0.147566473246309</v>
      </c>
      <c r="P6282" s="18"/>
      <c r="Q6282" s="18"/>
      <c r="R6282" s="18"/>
      <c r="S6282" s="18"/>
      <c r="T6282" s="18"/>
      <c r="U6282" s="18"/>
      <c r="V6282" s="18"/>
      <c r="W6282" s="18"/>
      <c r="X6282" s="18"/>
    </row>
    <row r="6283" spans="13:24">
      <c r="M6283" s="558">
        <f t="shared" si="299"/>
        <v>6281</v>
      </c>
      <c r="N6283" s="15">
        <f t="shared" si="297"/>
        <v>0.14751489103460427</v>
      </c>
      <c r="O6283" s="165">
        <f t="shared" si="298"/>
        <v>0.14751489103460427</v>
      </c>
      <c r="P6283" s="18"/>
      <c r="Q6283" s="18"/>
      <c r="R6283" s="18"/>
      <c r="S6283" s="18"/>
      <c r="T6283" s="18"/>
      <c r="U6283" s="18"/>
      <c r="V6283" s="18"/>
      <c r="W6283" s="18"/>
      <c r="X6283" s="18"/>
    </row>
    <row r="6284" spans="13:24">
      <c r="M6284" s="558">
        <f t="shared" si="299"/>
        <v>6282</v>
      </c>
      <c r="N6284" s="15">
        <f t="shared" si="297"/>
        <v>0.14746330908938007</v>
      </c>
      <c r="O6284" s="165">
        <f t="shared" si="298"/>
        <v>0.14746330908938007</v>
      </c>
      <c r="P6284" s="18"/>
      <c r="Q6284" s="18"/>
      <c r="R6284" s="18"/>
      <c r="S6284" s="18"/>
      <c r="T6284" s="18"/>
      <c r="U6284" s="18"/>
      <c r="V6284" s="18"/>
      <c r="W6284" s="18"/>
      <c r="X6284" s="18"/>
    </row>
    <row r="6285" spans="13:24">
      <c r="M6285" s="558">
        <f t="shared" si="299"/>
        <v>6283</v>
      </c>
      <c r="N6285" s="15">
        <f t="shared" si="297"/>
        <v>0.14741172741030206</v>
      </c>
      <c r="O6285" s="165">
        <f t="shared" si="298"/>
        <v>0.14741172741030206</v>
      </c>
      <c r="P6285" s="18"/>
      <c r="Q6285" s="18"/>
      <c r="R6285" s="18"/>
      <c r="S6285" s="18"/>
      <c r="T6285" s="18"/>
      <c r="U6285" s="18"/>
      <c r="V6285" s="18"/>
      <c r="W6285" s="18"/>
      <c r="X6285" s="18"/>
    </row>
    <row r="6286" spans="13:24">
      <c r="M6286" s="558">
        <f t="shared" si="299"/>
        <v>6284</v>
      </c>
      <c r="N6286" s="15">
        <f t="shared" si="297"/>
        <v>0.14736014599703615</v>
      </c>
      <c r="O6286" s="165">
        <f t="shared" si="298"/>
        <v>0.14736014599703615</v>
      </c>
      <c r="P6286" s="18"/>
      <c r="Q6286" s="18"/>
      <c r="R6286" s="18"/>
      <c r="S6286" s="18"/>
      <c r="T6286" s="18"/>
      <c r="U6286" s="18"/>
      <c r="V6286" s="18"/>
      <c r="W6286" s="18"/>
      <c r="X6286" s="18"/>
    </row>
    <row r="6287" spans="13:24">
      <c r="M6287" s="558">
        <f t="shared" si="299"/>
        <v>6285</v>
      </c>
      <c r="N6287" s="15">
        <f t="shared" si="297"/>
        <v>0.14730856484924884</v>
      </c>
      <c r="O6287" s="165">
        <f t="shared" si="298"/>
        <v>0.14730856484924884</v>
      </c>
      <c r="P6287" s="18"/>
      <c r="Q6287" s="18"/>
      <c r="R6287" s="18"/>
      <c r="S6287" s="18"/>
      <c r="T6287" s="18"/>
      <c r="U6287" s="18"/>
      <c r="V6287" s="18"/>
      <c r="W6287" s="18"/>
      <c r="X6287" s="18"/>
    </row>
    <row r="6288" spans="13:24">
      <c r="M6288" s="558">
        <f t="shared" si="299"/>
        <v>6286</v>
      </c>
      <c r="N6288" s="15">
        <f t="shared" si="297"/>
        <v>0.14725698396660697</v>
      </c>
      <c r="O6288" s="165">
        <f t="shared" si="298"/>
        <v>0.14725698396660697</v>
      </c>
      <c r="P6288" s="18"/>
      <c r="Q6288" s="18"/>
      <c r="R6288" s="18"/>
      <c r="S6288" s="18"/>
      <c r="T6288" s="18"/>
      <c r="U6288" s="18"/>
      <c r="V6288" s="18"/>
      <c r="W6288" s="18"/>
      <c r="X6288" s="18"/>
    </row>
    <row r="6289" spans="13:24">
      <c r="M6289" s="558">
        <f t="shared" si="299"/>
        <v>6287</v>
      </c>
      <c r="N6289" s="15">
        <f t="shared" si="297"/>
        <v>0.14720540334877774</v>
      </c>
      <c r="O6289" s="165">
        <f t="shared" si="298"/>
        <v>0.14720540334877774</v>
      </c>
      <c r="P6289" s="18"/>
      <c r="Q6289" s="18"/>
      <c r="R6289" s="18"/>
      <c r="S6289" s="18"/>
      <c r="T6289" s="18"/>
      <c r="U6289" s="18"/>
      <c r="V6289" s="18"/>
      <c r="W6289" s="18"/>
      <c r="X6289" s="18"/>
    </row>
    <row r="6290" spans="13:24">
      <c r="M6290" s="558">
        <f t="shared" si="299"/>
        <v>6288</v>
      </c>
      <c r="N6290" s="15">
        <f t="shared" si="297"/>
        <v>0.14715382299542892</v>
      </c>
      <c r="O6290" s="165">
        <f t="shared" si="298"/>
        <v>0.14715382299542892</v>
      </c>
      <c r="P6290" s="18"/>
      <c r="Q6290" s="18"/>
      <c r="R6290" s="18"/>
      <c r="S6290" s="18"/>
      <c r="T6290" s="18"/>
      <c r="U6290" s="18"/>
      <c r="V6290" s="18"/>
      <c r="W6290" s="18"/>
      <c r="X6290" s="18"/>
    </row>
    <row r="6291" spans="13:24">
      <c r="M6291" s="558">
        <f t="shared" si="299"/>
        <v>6289</v>
      </c>
      <c r="N6291" s="15">
        <f t="shared" si="297"/>
        <v>0.14710224290622856</v>
      </c>
      <c r="O6291" s="165">
        <f t="shared" si="298"/>
        <v>0.14710224290622856</v>
      </c>
      <c r="P6291" s="18"/>
      <c r="Q6291" s="18"/>
      <c r="R6291" s="18"/>
      <c r="S6291" s="18"/>
      <c r="T6291" s="18"/>
      <c r="U6291" s="18"/>
      <c r="V6291" s="18"/>
      <c r="W6291" s="18"/>
      <c r="X6291" s="18"/>
    </row>
    <row r="6292" spans="13:24">
      <c r="M6292" s="558">
        <f t="shared" si="299"/>
        <v>6290</v>
      </c>
      <c r="N6292" s="15">
        <f t="shared" si="297"/>
        <v>0.14705066308084516</v>
      </c>
      <c r="O6292" s="165">
        <f t="shared" si="298"/>
        <v>0.14705066308084516</v>
      </c>
      <c r="P6292" s="18"/>
      <c r="Q6292" s="18"/>
      <c r="R6292" s="18"/>
      <c r="S6292" s="18"/>
      <c r="T6292" s="18"/>
      <c r="U6292" s="18"/>
      <c r="V6292" s="18"/>
      <c r="W6292" s="18"/>
      <c r="X6292" s="18"/>
    </row>
    <row r="6293" spans="13:24">
      <c r="M6293" s="558">
        <f t="shared" si="299"/>
        <v>6291</v>
      </c>
      <c r="N6293" s="15">
        <f t="shared" si="297"/>
        <v>0.14699908351894769</v>
      </c>
      <c r="O6293" s="165">
        <f t="shared" si="298"/>
        <v>0.14699908351894769</v>
      </c>
      <c r="P6293" s="18"/>
      <c r="Q6293" s="18"/>
      <c r="R6293" s="18"/>
      <c r="S6293" s="18"/>
      <c r="T6293" s="18"/>
      <c r="U6293" s="18"/>
      <c r="V6293" s="18"/>
      <c r="W6293" s="18"/>
      <c r="X6293" s="18"/>
    </row>
    <row r="6294" spans="13:24">
      <c r="M6294" s="558">
        <f t="shared" si="299"/>
        <v>6292</v>
      </c>
      <c r="N6294" s="15">
        <f t="shared" si="297"/>
        <v>0.1469475042202055</v>
      </c>
      <c r="O6294" s="165">
        <f t="shared" si="298"/>
        <v>0.1469475042202055</v>
      </c>
      <c r="P6294" s="18"/>
      <c r="Q6294" s="18"/>
      <c r="R6294" s="18"/>
      <c r="S6294" s="18"/>
      <c r="T6294" s="18"/>
      <c r="U6294" s="18"/>
      <c r="V6294" s="18"/>
      <c r="W6294" s="18"/>
      <c r="X6294" s="18"/>
    </row>
    <row r="6295" spans="13:24">
      <c r="M6295" s="558">
        <f t="shared" si="299"/>
        <v>6293</v>
      </c>
      <c r="N6295" s="15">
        <f t="shared" si="297"/>
        <v>0.14689592518428829</v>
      </c>
      <c r="O6295" s="165">
        <f t="shared" si="298"/>
        <v>0.14689592518428829</v>
      </c>
      <c r="P6295" s="18"/>
      <c r="Q6295" s="18"/>
      <c r="R6295" s="18"/>
      <c r="S6295" s="18"/>
      <c r="T6295" s="18"/>
      <c r="U6295" s="18"/>
      <c r="V6295" s="18"/>
      <c r="W6295" s="18"/>
      <c r="X6295" s="18"/>
    </row>
    <row r="6296" spans="13:24">
      <c r="M6296" s="558">
        <f t="shared" si="299"/>
        <v>6294</v>
      </c>
      <c r="N6296" s="15">
        <f t="shared" si="297"/>
        <v>0.1468443464108663</v>
      </c>
      <c r="O6296" s="165">
        <f t="shared" si="298"/>
        <v>0.1468443464108663</v>
      </c>
      <c r="P6296" s="18"/>
      <c r="Q6296" s="18"/>
      <c r="R6296" s="18"/>
      <c r="S6296" s="18"/>
      <c r="T6296" s="18"/>
      <c r="U6296" s="18"/>
      <c r="V6296" s="18"/>
      <c r="W6296" s="18"/>
      <c r="X6296" s="18"/>
    </row>
    <row r="6297" spans="13:24">
      <c r="M6297" s="558">
        <f t="shared" si="299"/>
        <v>6295</v>
      </c>
      <c r="N6297" s="15">
        <f t="shared" si="297"/>
        <v>0.14679276789961007</v>
      </c>
      <c r="O6297" s="165">
        <f t="shared" si="298"/>
        <v>0.14679276789961007</v>
      </c>
      <c r="P6297" s="18"/>
      <c r="Q6297" s="18"/>
      <c r="R6297" s="18"/>
      <c r="S6297" s="18"/>
      <c r="T6297" s="18"/>
      <c r="U6297" s="18"/>
      <c r="V6297" s="18"/>
      <c r="W6297" s="18"/>
      <c r="X6297" s="18"/>
    </row>
    <row r="6298" spans="13:24">
      <c r="M6298" s="558">
        <f t="shared" si="299"/>
        <v>6296</v>
      </c>
      <c r="N6298" s="15">
        <f t="shared" si="297"/>
        <v>0.14674118965019065</v>
      </c>
      <c r="O6298" s="165">
        <f t="shared" si="298"/>
        <v>0.14674118965019065</v>
      </c>
      <c r="P6298" s="18"/>
      <c r="Q6298" s="18"/>
      <c r="R6298" s="18"/>
      <c r="S6298" s="18"/>
      <c r="T6298" s="18"/>
      <c r="U6298" s="18"/>
      <c r="V6298" s="18"/>
      <c r="W6298" s="18"/>
      <c r="X6298" s="18"/>
    </row>
    <row r="6299" spans="13:24">
      <c r="M6299" s="558">
        <f t="shared" si="299"/>
        <v>6297</v>
      </c>
      <c r="N6299" s="15">
        <f t="shared" si="297"/>
        <v>0.14668961166227942</v>
      </c>
      <c r="O6299" s="165">
        <f t="shared" si="298"/>
        <v>0.14668961166227942</v>
      </c>
      <c r="P6299" s="18"/>
      <c r="Q6299" s="18"/>
      <c r="R6299" s="18"/>
      <c r="S6299" s="18"/>
      <c r="T6299" s="18"/>
      <c r="U6299" s="18"/>
      <c r="V6299" s="18"/>
      <c r="W6299" s="18"/>
      <c r="X6299" s="18"/>
    </row>
    <row r="6300" spans="13:24">
      <c r="M6300" s="558">
        <f t="shared" si="299"/>
        <v>6298</v>
      </c>
      <c r="N6300" s="15">
        <f t="shared" si="297"/>
        <v>0.14663803393554825</v>
      </c>
      <c r="O6300" s="165">
        <f t="shared" si="298"/>
        <v>0.14663803393554825</v>
      </c>
      <c r="P6300" s="18"/>
      <c r="Q6300" s="18"/>
      <c r="R6300" s="18"/>
      <c r="S6300" s="18"/>
      <c r="T6300" s="18"/>
      <c r="U6300" s="18"/>
      <c r="V6300" s="18"/>
      <c r="W6300" s="18"/>
      <c r="X6300" s="18"/>
    </row>
    <row r="6301" spans="13:24">
      <c r="M6301" s="558">
        <f t="shared" si="299"/>
        <v>6299</v>
      </c>
      <c r="N6301" s="15">
        <f t="shared" si="297"/>
        <v>0.14658645646966931</v>
      </c>
      <c r="O6301" s="165">
        <f t="shared" si="298"/>
        <v>0.14658645646966931</v>
      </c>
      <c r="P6301" s="18"/>
      <c r="Q6301" s="18"/>
      <c r="R6301" s="18"/>
      <c r="S6301" s="18"/>
      <c r="T6301" s="18"/>
      <c r="U6301" s="18"/>
      <c r="V6301" s="18"/>
      <c r="W6301" s="18"/>
      <c r="X6301" s="18"/>
    </row>
    <row r="6302" spans="13:24">
      <c r="M6302" s="558">
        <f t="shared" si="299"/>
        <v>6300</v>
      </c>
      <c r="N6302" s="15">
        <f t="shared" si="297"/>
        <v>0.1465348792643153</v>
      </c>
      <c r="O6302" s="165">
        <f t="shared" si="298"/>
        <v>0.1465348792643153</v>
      </c>
      <c r="P6302" s="18"/>
      <c r="Q6302" s="18"/>
      <c r="R6302" s="18"/>
      <c r="S6302" s="18"/>
      <c r="T6302" s="18"/>
      <c r="U6302" s="18"/>
      <c r="V6302" s="18"/>
      <c r="W6302" s="18"/>
      <c r="X6302" s="18"/>
    </row>
    <row r="6303" spans="13:24">
      <c r="M6303" s="558">
        <f t="shared" si="299"/>
        <v>6301</v>
      </c>
      <c r="N6303" s="15">
        <f t="shared" si="297"/>
        <v>0.14648330231915932</v>
      </c>
      <c r="O6303" s="165">
        <f t="shared" si="298"/>
        <v>0.14648330231915932</v>
      </c>
      <c r="P6303" s="18"/>
      <c r="Q6303" s="18"/>
      <c r="R6303" s="18"/>
      <c r="S6303" s="18"/>
      <c r="T6303" s="18"/>
      <c r="U6303" s="18"/>
      <c r="V6303" s="18"/>
      <c r="W6303" s="18"/>
      <c r="X6303" s="18"/>
    </row>
    <row r="6304" spans="13:24">
      <c r="M6304" s="558">
        <f t="shared" si="299"/>
        <v>6302</v>
      </c>
      <c r="N6304" s="15">
        <f t="shared" si="297"/>
        <v>0.14643172563387474</v>
      </c>
      <c r="O6304" s="165">
        <f t="shared" si="298"/>
        <v>0.14643172563387474</v>
      </c>
      <c r="P6304" s="18"/>
      <c r="Q6304" s="18"/>
      <c r="R6304" s="18"/>
      <c r="S6304" s="18"/>
      <c r="T6304" s="18"/>
      <c r="U6304" s="18"/>
      <c r="V6304" s="18"/>
      <c r="W6304" s="18"/>
      <c r="X6304" s="18"/>
    </row>
    <row r="6305" spans="13:24">
      <c r="M6305" s="558">
        <f t="shared" si="299"/>
        <v>6303</v>
      </c>
      <c r="N6305" s="15">
        <f t="shared" si="297"/>
        <v>0.14638014920813555</v>
      </c>
      <c r="O6305" s="165">
        <f t="shared" si="298"/>
        <v>0.14638014920813555</v>
      </c>
      <c r="P6305" s="18"/>
      <c r="Q6305" s="18"/>
      <c r="R6305" s="18"/>
      <c r="S6305" s="18"/>
      <c r="T6305" s="18"/>
      <c r="U6305" s="18"/>
      <c r="V6305" s="18"/>
      <c r="W6305" s="18"/>
      <c r="X6305" s="18"/>
    </row>
    <row r="6306" spans="13:24">
      <c r="M6306" s="558">
        <f t="shared" si="299"/>
        <v>6304</v>
      </c>
      <c r="N6306" s="15">
        <f t="shared" si="297"/>
        <v>0.14632857304161595</v>
      </c>
      <c r="O6306" s="165">
        <f t="shared" si="298"/>
        <v>0.14632857304161595</v>
      </c>
      <c r="P6306" s="18"/>
      <c r="Q6306" s="18"/>
      <c r="R6306" s="18"/>
      <c r="S6306" s="18"/>
      <c r="T6306" s="18"/>
      <c r="U6306" s="18"/>
      <c r="V6306" s="18"/>
      <c r="W6306" s="18"/>
      <c r="X6306" s="18"/>
    </row>
    <row r="6307" spans="13:24">
      <c r="M6307" s="558">
        <f t="shared" si="299"/>
        <v>6305</v>
      </c>
      <c r="N6307" s="15">
        <f t="shared" si="297"/>
        <v>0.14627699713399073</v>
      </c>
      <c r="O6307" s="165">
        <f t="shared" si="298"/>
        <v>0.14627699713399073</v>
      </c>
      <c r="P6307" s="18"/>
      <c r="Q6307" s="18"/>
      <c r="R6307" s="18"/>
      <c r="S6307" s="18"/>
      <c r="T6307" s="18"/>
      <c r="U6307" s="18"/>
      <c r="V6307" s="18"/>
      <c r="W6307" s="18"/>
      <c r="X6307" s="18"/>
    </row>
    <row r="6308" spans="13:24">
      <c r="M6308" s="558">
        <f t="shared" si="299"/>
        <v>6306</v>
      </c>
      <c r="N6308" s="15">
        <f t="shared" si="297"/>
        <v>0.14622542148493492</v>
      </c>
      <c r="O6308" s="165">
        <f t="shared" si="298"/>
        <v>0.14622542148493492</v>
      </c>
      <c r="P6308" s="18"/>
      <c r="Q6308" s="18"/>
      <c r="R6308" s="18"/>
      <c r="S6308" s="18"/>
      <c r="T6308" s="18"/>
      <c r="U6308" s="18"/>
      <c r="V6308" s="18"/>
      <c r="W6308" s="18"/>
      <c r="X6308" s="18"/>
    </row>
    <row r="6309" spans="13:24">
      <c r="M6309" s="558">
        <f t="shared" si="299"/>
        <v>6307</v>
      </c>
      <c r="N6309" s="15">
        <f t="shared" si="297"/>
        <v>0.14617384609412407</v>
      </c>
      <c r="O6309" s="165">
        <f t="shared" si="298"/>
        <v>0.14617384609412407</v>
      </c>
      <c r="P6309" s="18"/>
      <c r="Q6309" s="18"/>
      <c r="R6309" s="18"/>
      <c r="S6309" s="18"/>
      <c r="T6309" s="18"/>
      <c r="U6309" s="18"/>
      <c r="V6309" s="18"/>
      <c r="W6309" s="18"/>
      <c r="X6309" s="18"/>
    </row>
    <row r="6310" spans="13:24">
      <c r="M6310" s="558">
        <f t="shared" si="299"/>
        <v>6308</v>
      </c>
      <c r="N6310" s="15">
        <f t="shared" si="297"/>
        <v>0.14612227096123409</v>
      </c>
      <c r="O6310" s="165">
        <f t="shared" si="298"/>
        <v>0.14612227096123409</v>
      </c>
      <c r="P6310" s="18"/>
      <c r="Q6310" s="18"/>
      <c r="R6310" s="18"/>
      <c r="S6310" s="18"/>
      <c r="T6310" s="18"/>
      <c r="U6310" s="18"/>
      <c r="V6310" s="18"/>
      <c r="W6310" s="18"/>
      <c r="X6310" s="18"/>
    </row>
    <row r="6311" spans="13:24">
      <c r="M6311" s="558">
        <f t="shared" si="299"/>
        <v>6309</v>
      </c>
      <c r="N6311" s="15">
        <f t="shared" si="297"/>
        <v>0.14607069608594134</v>
      </c>
      <c r="O6311" s="165">
        <f t="shared" si="298"/>
        <v>0.14607069608594134</v>
      </c>
      <c r="P6311" s="18"/>
      <c r="Q6311" s="18"/>
      <c r="R6311" s="18"/>
      <c r="S6311" s="18"/>
      <c r="T6311" s="18"/>
      <c r="U6311" s="18"/>
      <c r="V6311" s="18"/>
      <c r="W6311" s="18"/>
      <c r="X6311" s="18"/>
    </row>
    <row r="6312" spans="13:24">
      <c r="M6312" s="558">
        <f t="shared" si="299"/>
        <v>6310</v>
      </c>
      <c r="N6312" s="15">
        <f t="shared" si="297"/>
        <v>0.14601912146792254</v>
      </c>
      <c r="O6312" s="165">
        <f t="shared" si="298"/>
        <v>0.14601912146792254</v>
      </c>
      <c r="P6312" s="18"/>
      <c r="Q6312" s="18"/>
      <c r="R6312" s="18"/>
      <c r="S6312" s="18"/>
      <c r="T6312" s="18"/>
      <c r="U6312" s="18"/>
      <c r="V6312" s="18"/>
      <c r="W6312" s="18"/>
      <c r="X6312" s="18"/>
    </row>
    <row r="6313" spans="13:24">
      <c r="M6313" s="558">
        <f t="shared" si="299"/>
        <v>6311</v>
      </c>
      <c r="N6313" s="15">
        <f t="shared" si="297"/>
        <v>0.14596754710685481</v>
      </c>
      <c r="O6313" s="165">
        <f t="shared" si="298"/>
        <v>0.14596754710685481</v>
      </c>
      <c r="P6313" s="18"/>
      <c r="Q6313" s="18"/>
      <c r="R6313" s="18"/>
      <c r="S6313" s="18"/>
      <c r="T6313" s="18"/>
      <c r="U6313" s="18"/>
      <c r="V6313" s="18"/>
      <c r="W6313" s="18"/>
      <c r="X6313" s="18"/>
    </row>
    <row r="6314" spans="13:24">
      <c r="M6314" s="558">
        <f t="shared" si="299"/>
        <v>6312</v>
      </c>
      <c r="N6314" s="15">
        <f t="shared" si="297"/>
        <v>0.14591597300241571</v>
      </c>
      <c r="O6314" s="165">
        <f t="shared" si="298"/>
        <v>0.14591597300241571</v>
      </c>
      <c r="P6314" s="18"/>
      <c r="Q6314" s="18"/>
      <c r="R6314" s="18"/>
      <c r="S6314" s="18"/>
      <c r="T6314" s="18"/>
      <c r="U6314" s="18"/>
      <c r="V6314" s="18"/>
      <c r="W6314" s="18"/>
      <c r="X6314" s="18"/>
    </row>
    <row r="6315" spans="13:24">
      <c r="M6315" s="558">
        <f t="shared" si="299"/>
        <v>6313</v>
      </c>
      <c r="N6315" s="15">
        <f t="shared" si="297"/>
        <v>0.1458643991542832</v>
      </c>
      <c r="O6315" s="165">
        <f t="shared" si="298"/>
        <v>0.1458643991542832</v>
      </c>
      <c r="P6315" s="18"/>
      <c r="Q6315" s="18"/>
      <c r="R6315" s="18"/>
      <c r="S6315" s="18"/>
      <c r="T6315" s="18"/>
      <c r="U6315" s="18"/>
      <c r="V6315" s="18"/>
      <c r="W6315" s="18"/>
      <c r="X6315" s="18"/>
    </row>
    <row r="6316" spans="13:24">
      <c r="M6316" s="558">
        <f t="shared" si="299"/>
        <v>6314</v>
      </c>
      <c r="N6316" s="15">
        <f t="shared" si="297"/>
        <v>0.14581282556213565</v>
      </c>
      <c r="O6316" s="165">
        <f t="shared" si="298"/>
        <v>0.14581282556213565</v>
      </c>
      <c r="P6316" s="18"/>
      <c r="Q6316" s="18"/>
      <c r="R6316" s="18"/>
      <c r="S6316" s="18"/>
      <c r="T6316" s="18"/>
      <c r="U6316" s="18"/>
      <c r="V6316" s="18"/>
      <c r="W6316" s="18"/>
      <c r="X6316" s="18"/>
    </row>
    <row r="6317" spans="13:24">
      <c r="M6317" s="558">
        <f t="shared" si="299"/>
        <v>6315</v>
      </c>
      <c r="N6317" s="15">
        <f t="shared" si="297"/>
        <v>0.14576125222565176</v>
      </c>
      <c r="O6317" s="165">
        <f t="shared" si="298"/>
        <v>0.14576125222565176</v>
      </c>
      <c r="P6317" s="18"/>
      <c r="Q6317" s="18"/>
      <c r="R6317" s="18"/>
      <c r="S6317" s="18"/>
      <c r="T6317" s="18"/>
      <c r="U6317" s="18"/>
      <c r="V6317" s="18"/>
      <c r="W6317" s="18"/>
      <c r="X6317" s="18"/>
    </row>
    <row r="6318" spans="13:24">
      <c r="M6318" s="558">
        <f t="shared" si="299"/>
        <v>6316</v>
      </c>
      <c r="N6318" s="15">
        <f t="shared" si="297"/>
        <v>0.14570967914451077</v>
      </c>
      <c r="O6318" s="165">
        <f t="shared" si="298"/>
        <v>0.14570967914451077</v>
      </c>
      <c r="P6318" s="18"/>
      <c r="Q6318" s="18"/>
      <c r="R6318" s="18"/>
      <c r="S6318" s="18"/>
      <c r="T6318" s="18"/>
      <c r="U6318" s="18"/>
      <c r="V6318" s="18"/>
      <c r="W6318" s="18"/>
      <c r="X6318" s="18"/>
    </row>
    <row r="6319" spans="13:24">
      <c r="M6319" s="558">
        <f t="shared" si="299"/>
        <v>6317</v>
      </c>
      <c r="N6319" s="15">
        <f t="shared" si="297"/>
        <v>0.14565810631839221</v>
      </c>
      <c r="O6319" s="165">
        <f t="shared" si="298"/>
        <v>0.14565810631839221</v>
      </c>
      <c r="P6319" s="18"/>
      <c r="Q6319" s="18"/>
      <c r="R6319" s="18"/>
      <c r="S6319" s="18"/>
      <c r="T6319" s="18"/>
      <c r="U6319" s="18"/>
      <c r="V6319" s="18"/>
      <c r="W6319" s="18"/>
      <c r="X6319" s="18"/>
    </row>
    <row r="6320" spans="13:24">
      <c r="M6320" s="558">
        <f t="shared" si="299"/>
        <v>6318</v>
      </c>
      <c r="N6320" s="15">
        <f t="shared" si="297"/>
        <v>0.14560653374697605</v>
      </c>
      <c r="O6320" s="165">
        <f t="shared" si="298"/>
        <v>0.14560653374697605</v>
      </c>
      <c r="P6320" s="18"/>
      <c r="Q6320" s="18"/>
      <c r="R6320" s="18"/>
      <c r="S6320" s="18"/>
      <c r="T6320" s="18"/>
      <c r="U6320" s="18"/>
      <c r="V6320" s="18"/>
      <c r="W6320" s="18"/>
      <c r="X6320" s="18"/>
    </row>
    <row r="6321" spans="13:24">
      <c r="M6321" s="558">
        <f t="shared" si="299"/>
        <v>6319</v>
      </c>
      <c r="N6321" s="15">
        <f t="shared" si="297"/>
        <v>0.14555496142994265</v>
      </c>
      <c r="O6321" s="165">
        <f t="shared" si="298"/>
        <v>0.14555496142994265</v>
      </c>
      <c r="P6321" s="18"/>
      <c r="Q6321" s="18"/>
      <c r="R6321" s="18"/>
      <c r="S6321" s="18"/>
      <c r="T6321" s="18"/>
      <c r="U6321" s="18"/>
      <c r="V6321" s="18"/>
      <c r="W6321" s="18"/>
      <c r="X6321" s="18"/>
    </row>
    <row r="6322" spans="13:24">
      <c r="M6322" s="558">
        <f t="shared" si="299"/>
        <v>6320</v>
      </c>
      <c r="N6322" s="15">
        <f t="shared" si="297"/>
        <v>0.14550338936697277</v>
      </c>
      <c r="O6322" s="165">
        <f t="shared" si="298"/>
        <v>0.14550338936697277</v>
      </c>
      <c r="P6322" s="18"/>
      <c r="Q6322" s="18"/>
      <c r="R6322" s="18"/>
      <c r="S6322" s="18"/>
      <c r="T6322" s="18"/>
      <c r="U6322" s="18"/>
      <c r="V6322" s="18"/>
      <c r="W6322" s="18"/>
      <c r="X6322" s="18"/>
    </row>
    <row r="6323" spans="13:24">
      <c r="M6323" s="558">
        <f t="shared" si="299"/>
        <v>6321</v>
      </c>
      <c r="N6323" s="15">
        <f t="shared" si="297"/>
        <v>0.14545181755774761</v>
      </c>
      <c r="O6323" s="165">
        <f t="shared" si="298"/>
        <v>0.14545181755774761</v>
      </c>
      <c r="P6323" s="18"/>
      <c r="Q6323" s="18"/>
      <c r="R6323" s="18"/>
      <c r="S6323" s="18"/>
      <c r="T6323" s="18"/>
      <c r="U6323" s="18"/>
      <c r="V6323" s="18"/>
      <c r="W6323" s="18"/>
      <c r="X6323" s="18"/>
    </row>
    <row r="6324" spans="13:24">
      <c r="M6324" s="558">
        <f t="shared" si="299"/>
        <v>6322</v>
      </c>
      <c r="N6324" s="15">
        <f t="shared" si="297"/>
        <v>0.14540024600194873</v>
      </c>
      <c r="O6324" s="165">
        <f t="shared" si="298"/>
        <v>0.14540024600194873</v>
      </c>
      <c r="P6324" s="18"/>
      <c r="Q6324" s="18"/>
      <c r="R6324" s="18"/>
      <c r="S6324" s="18"/>
      <c r="T6324" s="18"/>
      <c r="U6324" s="18"/>
      <c r="V6324" s="18"/>
      <c r="W6324" s="18"/>
      <c r="X6324" s="18"/>
    </row>
    <row r="6325" spans="13:24">
      <c r="M6325" s="558">
        <f t="shared" si="299"/>
        <v>6323</v>
      </c>
      <c r="N6325" s="15">
        <f t="shared" si="297"/>
        <v>0.14534867469925808</v>
      </c>
      <c r="O6325" s="165">
        <f t="shared" si="298"/>
        <v>0.14534867469925808</v>
      </c>
      <c r="P6325" s="18"/>
      <c r="Q6325" s="18"/>
      <c r="R6325" s="18"/>
      <c r="S6325" s="18"/>
      <c r="T6325" s="18"/>
      <c r="U6325" s="18"/>
      <c r="V6325" s="18"/>
      <c r="W6325" s="18"/>
      <c r="X6325" s="18"/>
    </row>
    <row r="6326" spans="13:24">
      <c r="M6326" s="558">
        <f t="shared" si="299"/>
        <v>6324</v>
      </c>
      <c r="N6326" s="15">
        <f t="shared" si="297"/>
        <v>0.14529710364935808</v>
      </c>
      <c r="O6326" s="165">
        <f t="shared" si="298"/>
        <v>0.14529710364935808</v>
      </c>
      <c r="P6326" s="18"/>
      <c r="Q6326" s="18"/>
      <c r="R6326" s="18"/>
      <c r="S6326" s="18"/>
      <c r="T6326" s="18"/>
      <c r="U6326" s="18"/>
      <c r="V6326" s="18"/>
      <c r="W6326" s="18"/>
      <c r="X6326" s="18"/>
    </row>
    <row r="6327" spans="13:24">
      <c r="M6327" s="558">
        <f t="shared" si="299"/>
        <v>6325</v>
      </c>
      <c r="N6327" s="15">
        <f t="shared" si="297"/>
        <v>0.14524553285193142</v>
      </c>
      <c r="O6327" s="165">
        <f t="shared" si="298"/>
        <v>0.14524553285193142</v>
      </c>
      <c r="P6327" s="18"/>
      <c r="Q6327" s="18"/>
      <c r="R6327" s="18"/>
      <c r="S6327" s="18"/>
      <c r="T6327" s="18"/>
      <c r="U6327" s="18"/>
      <c r="V6327" s="18"/>
      <c r="W6327" s="18"/>
      <c r="X6327" s="18"/>
    </row>
    <row r="6328" spans="13:24">
      <c r="M6328" s="558">
        <f t="shared" si="299"/>
        <v>6326</v>
      </c>
      <c r="N6328" s="15">
        <f t="shared" si="297"/>
        <v>0.14519396230666137</v>
      </c>
      <c r="O6328" s="165">
        <f t="shared" si="298"/>
        <v>0.14519396230666137</v>
      </c>
      <c r="P6328" s="18"/>
      <c r="Q6328" s="18"/>
      <c r="R6328" s="18"/>
      <c r="S6328" s="18"/>
      <c r="T6328" s="18"/>
      <c r="U6328" s="18"/>
      <c r="V6328" s="18"/>
      <c r="W6328" s="18"/>
      <c r="X6328" s="18"/>
    </row>
    <row r="6329" spans="13:24">
      <c r="M6329" s="558">
        <f t="shared" si="299"/>
        <v>6327</v>
      </c>
      <c r="N6329" s="15">
        <f t="shared" si="297"/>
        <v>0.1451423920132314</v>
      </c>
      <c r="O6329" s="165">
        <f t="shared" si="298"/>
        <v>0.1451423920132314</v>
      </c>
      <c r="P6329" s="18"/>
      <c r="Q6329" s="18"/>
      <c r="R6329" s="18"/>
      <c r="S6329" s="18"/>
      <c r="T6329" s="18"/>
      <c r="U6329" s="18"/>
      <c r="V6329" s="18"/>
      <c r="W6329" s="18"/>
      <c r="X6329" s="18"/>
    </row>
    <row r="6330" spans="13:24">
      <c r="M6330" s="558">
        <f t="shared" si="299"/>
        <v>6328</v>
      </c>
      <c r="N6330" s="15">
        <f t="shared" si="297"/>
        <v>0.1450908219713255</v>
      </c>
      <c r="O6330" s="165">
        <f t="shared" si="298"/>
        <v>0.1450908219713255</v>
      </c>
      <c r="P6330" s="18"/>
      <c r="Q6330" s="18"/>
      <c r="R6330" s="18"/>
      <c r="S6330" s="18"/>
      <c r="T6330" s="18"/>
      <c r="U6330" s="18"/>
      <c r="V6330" s="18"/>
      <c r="W6330" s="18"/>
      <c r="X6330" s="18"/>
    </row>
    <row r="6331" spans="13:24">
      <c r="M6331" s="558">
        <f t="shared" si="299"/>
        <v>6329</v>
      </c>
      <c r="N6331" s="15">
        <f t="shared" si="297"/>
        <v>0.14503925218062805</v>
      </c>
      <c r="O6331" s="165">
        <f t="shared" si="298"/>
        <v>0.14503925218062805</v>
      </c>
      <c r="P6331" s="18"/>
      <c r="Q6331" s="18"/>
      <c r="R6331" s="18"/>
      <c r="S6331" s="18"/>
      <c r="T6331" s="18"/>
      <c r="U6331" s="18"/>
      <c r="V6331" s="18"/>
      <c r="W6331" s="18"/>
      <c r="X6331" s="18"/>
    </row>
    <row r="6332" spans="13:24">
      <c r="M6332" s="558">
        <f t="shared" si="299"/>
        <v>6330</v>
      </c>
      <c r="N6332" s="15">
        <f t="shared" si="297"/>
        <v>0.14498768264082379</v>
      </c>
      <c r="O6332" s="165">
        <f t="shared" si="298"/>
        <v>0.14498768264082379</v>
      </c>
      <c r="P6332" s="18"/>
      <c r="Q6332" s="18"/>
      <c r="R6332" s="18"/>
      <c r="S6332" s="18"/>
      <c r="T6332" s="18"/>
      <c r="U6332" s="18"/>
      <c r="V6332" s="18"/>
      <c r="W6332" s="18"/>
      <c r="X6332" s="18"/>
    </row>
    <row r="6333" spans="13:24">
      <c r="M6333" s="558">
        <f t="shared" si="299"/>
        <v>6331</v>
      </c>
      <c r="N6333" s="15">
        <f t="shared" si="297"/>
        <v>0.14493611335159784</v>
      </c>
      <c r="O6333" s="165">
        <f t="shared" si="298"/>
        <v>0.14493611335159784</v>
      </c>
      <c r="P6333" s="18"/>
      <c r="Q6333" s="18"/>
      <c r="R6333" s="18"/>
      <c r="S6333" s="18"/>
      <c r="T6333" s="18"/>
      <c r="U6333" s="18"/>
      <c r="V6333" s="18"/>
      <c r="W6333" s="18"/>
      <c r="X6333" s="18"/>
    </row>
    <row r="6334" spans="13:24">
      <c r="M6334" s="558">
        <f t="shared" si="299"/>
        <v>6332</v>
      </c>
      <c r="N6334" s="15">
        <f t="shared" si="297"/>
        <v>0.14488454431263581</v>
      </c>
      <c r="O6334" s="165">
        <f t="shared" si="298"/>
        <v>0.14488454431263581</v>
      </c>
      <c r="P6334" s="18"/>
      <c r="Q6334" s="18"/>
      <c r="R6334" s="18"/>
      <c r="S6334" s="18"/>
      <c r="T6334" s="18"/>
      <c r="U6334" s="18"/>
      <c r="V6334" s="18"/>
      <c r="W6334" s="18"/>
      <c r="X6334" s="18"/>
    </row>
    <row r="6335" spans="13:24">
      <c r="M6335" s="558">
        <f t="shared" si="299"/>
        <v>6333</v>
      </c>
      <c r="N6335" s="15">
        <f t="shared" si="297"/>
        <v>0.14483297552362356</v>
      </c>
      <c r="O6335" s="165">
        <f t="shared" si="298"/>
        <v>0.14483297552362356</v>
      </c>
      <c r="P6335" s="18"/>
      <c r="Q6335" s="18"/>
      <c r="R6335" s="18"/>
      <c r="S6335" s="18"/>
      <c r="T6335" s="18"/>
      <c r="U6335" s="18"/>
      <c r="V6335" s="18"/>
      <c r="W6335" s="18"/>
      <c r="X6335" s="18"/>
    </row>
    <row r="6336" spans="13:24">
      <c r="M6336" s="558">
        <f t="shared" si="299"/>
        <v>6334</v>
      </c>
      <c r="N6336" s="15">
        <f t="shared" si="297"/>
        <v>0.14478140698424749</v>
      </c>
      <c r="O6336" s="165">
        <f t="shared" si="298"/>
        <v>0.14478140698424749</v>
      </c>
      <c r="P6336" s="18"/>
      <c r="Q6336" s="18"/>
      <c r="R6336" s="18"/>
      <c r="S6336" s="18"/>
      <c r="T6336" s="18"/>
      <c r="U6336" s="18"/>
      <c r="V6336" s="18"/>
      <c r="W6336" s="18"/>
      <c r="X6336" s="18"/>
    </row>
    <row r="6337" spans="13:24">
      <c r="M6337" s="558">
        <f t="shared" si="299"/>
        <v>6335</v>
      </c>
      <c r="N6337" s="15">
        <f t="shared" si="297"/>
        <v>0.14472983869419428</v>
      </c>
      <c r="O6337" s="165">
        <f t="shared" si="298"/>
        <v>0.14472983869419428</v>
      </c>
      <c r="P6337" s="18"/>
      <c r="Q6337" s="18"/>
      <c r="R6337" s="18"/>
      <c r="S6337" s="18"/>
      <c r="T6337" s="18"/>
      <c r="U6337" s="18"/>
      <c r="V6337" s="18"/>
      <c r="W6337" s="18"/>
      <c r="X6337" s="18"/>
    </row>
    <row r="6338" spans="13:24">
      <c r="M6338" s="558">
        <f t="shared" si="299"/>
        <v>6336</v>
      </c>
      <c r="N6338" s="15">
        <f t="shared" si="297"/>
        <v>0.14467827065315109</v>
      </c>
      <c r="O6338" s="165">
        <f t="shared" si="298"/>
        <v>0.14467827065315109</v>
      </c>
      <c r="P6338" s="18"/>
      <c r="Q6338" s="18"/>
      <c r="R6338" s="18"/>
      <c r="S6338" s="18"/>
      <c r="T6338" s="18"/>
      <c r="U6338" s="18"/>
      <c r="V6338" s="18"/>
      <c r="W6338" s="18"/>
      <c r="X6338" s="18"/>
    </row>
    <row r="6339" spans="13:24">
      <c r="M6339" s="558">
        <f t="shared" si="299"/>
        <v>6337</v>
      </c>
      <c r="N6339" s="15">
        <f t="shared" si="297"/>
        <v>0.1446267028608054</v>
      </c>
      <c r="O6339" s="165">
        <f t="shared" si="298"/>
        <v>0.1446267028608054</v>
      </c>
      <c r="P6339" s="18"/>
      <c r="Q6339" s="18"/>
      <c r="R6339" s="18"/>
      <c r="S6339" s="18"/>
      <c r="T6339" s="18"/>
      <c r="U6339" s="18"/>
      <c r="V6339" s="18"/>
      <c r="W6339" s="18"/>
      <c r="X6339" s="18"/>
    </row>
    <row r="6340" spans="13:24">
      <c r="M6340" s="558">
        <f t="shared" si="299"/>
        <v>6338</v>
      </c>
      <c r="N6340" s="15">
        <f t="shared" ref="N6340:N6403" si="300">IF(M6340&lt;$B$31+1,$B$32+$B$33/$B$31*(8760-M6340)+$B$34*IF(M6340&lt;$B$36-$B$31/(2*$B$35),1,IF(M6340&lt;$B$36+$B$31/(2*$B$35),COS(PI()/2*(M6340-($B$36-$B$31/(2*$B$35)))*$B$35/$B$31)^2,0))+$B$37*EXP((8760-M6340)/8760*$B$38)/EXP($B$38)-(8760-$B$31)*$B$33/$B$31,0)</f>
        <v>0.1445751353168451</v>
      </c>
      <c r="O6340" s="165">
        <f t="shared" ref="O6340:O6403" si="301">MIN(N6340,C$24)</f>
        <v>0.1445751353168451</v>
      </c>
      <c r="P6340" s="18"/>
      <c r="Q6340" s="18"/>
      <c r="R6340" s="18"/>
      <c r="S6340" s="18"/>
      <c r="T6340" s="18"/>
      <c r="U6340" s="18"/>
      <c r="V6340" s="18"/>
      <c r="W6340" s="18"/>
      <c r="X6340" s="18"/>
    </row>
    <row r="6341" spans="13:24">
      <c r="M6341" s="558">
        <f t="shared" ref="M6341:M6404" si="302">M6340+1</f>
        <v>6339</v>
      </c>
      <c r="N6341" s="15">
        <f t="shared" si="300"/>
        <v>0.14452356802095856</v>
      </c>
      <c r="O6341" s="165">
        <f t="shared" si="301"/>
        <v>0.14452356802095856</v>
      </c>
      <c r="P6341" s="18"/>
      <c r="Q6341" s="18"/>
      <c r="R6341" s="18"/>
      <c r="S6341" s="18"/>
      <c r="T6341" s="18"/>
      <c r="U6341" s="18"/>
      <c r="V6341" s="18"/>
      <c r="W6341" s="18"/>
      <c r="X6341" s="18"/>
    </row>
    <row r="6342" spans="13:24">
      <c r="M6342" s="558">
        <f t="shared" si="302"/>
        <v>6340</v>
      </c>
      <c r="N6342" s="15">
        <f t="shared" si="300"/>
        <v>0.14447200097283439</v>
      </c>
      <c r="O6342" s="165">
        <f t="shared" si="301"/>
        <v>0.14447200097283439</v>
      </c>
      <c r="P6342" s="18"/>
      <c r="Q6342" s="18"/>
      <c r="R6342" s="18"/>
      <c r="S6342" s="18"/>
      <c r="T6342" s="18"/>
      <c r="U6342" s="18"/>
      <c r="V6342" s="18"/>
      <c r="W6342" s="18"/>
      <c r="X6342" s="18"/>
    </row>
    <row r="6343" spans="13:24">
      <c r="M6343" s="558">
        <f t="shared" si="302"/>
        <v>6341</v>
      </c>
      <c r="N6343" s="15">
        <f t="shared" si="300"/>
        <v>0.14442043417216172</v>
      </c>
      <c r="O6343" s="165">
        <f t="shared" si="301"/>
        <v>0.14442043417216172</v>
      </c>
      <c r="P6343" s="18"/>
      <c r="Q6343" s="18"/>
      <c r="R6343" s="18"/>
      <c r="S6343" s="18"/>
      <c r="T6343" s="18"/>
      <c r="U6343" s="18"/>
      <c r="V6343" s="18"/>
      <c r="W6343" s="18"/>
      <c r="X6343" s="18"/>
    </row>
    <row r="6344" spans="13:24">
      <c r="M6344" s="558">
        <f t="shared" si="302"/>
        <v>6342</v>
      </c>
      <c r="N6344" s="15">
        <f t="shared" si="300"/>
        <v>0.14436886761862996</v>
      </c>
      <c r="O6344" s="165">
        <f t="shared" si="301"/>
        <v>0.14436886761862996</v>
      </c>
      <c r="P6344" s="18"/>
      <c r="Q6344" s="18"/>
      <c r="R6344" s="18"/>
      <c r="S6344" s="18"/>
      <c r="T6344" s="18"/>
      <c r="U6344" s="18"/>
      <c r="V6344" s="18"/>
      <c r="W6344" s="18"/>
      <c r="X6344" s="18"/>
    </row>
    <row r="6345" spans="13:24">
      <c r="M6345" s="558">
        <f t="shared" si="302"/>
        <v>6343</v>
      </c>
      <c r="N6345" s="15">
        <f t="shared" si="300"/>
        <v>0.14431730131192905</v>
      </c>
      <c r="O6345" s="165">
        <f t="shared" si="301"/>
        <v>0.14431730131192905</v>
      </c>
      <c r="P6345" s="18"/>
      <c r="Q6345" s="18"/>
      <c r="R6345" s="18"/>
      <c r="S6345" s="18"/>
      <c r="T6345" s="18"/>
      <c r="U6345" s="18"/>
      <c r="V6345" s="18"/>
      <c r="W6345" s="18"/>
      <c r="X6345" s="18"/>
    </row>
    <row r="6346" spans="13:24">
      <c r="M6346" s="558">
        <f t="shared" si="302"/>
        <v>6344</v>
      </c>
      <c r="N6346" s="15">
        <f t="shared" si="300"/>
        <v>0.14426573525174916</v>
      </c>
      <c r="O6346" s="165">
        <f t="shared" si="301"/>
        <v>0.14426573525174916</v>
      </c>
      <c r="P6346" s="18"/>
      <c r="Q6346" s="18"/>
      <c r="R6346" s="18"/>
      <c r="S6346" s="18"/>
      <c r="T6346" s="18"/>
      <c r="U6346" s="18"/>
      <c r="V6346" s="18"/>
      <c r="W6346" s="18"/>
      <c r="X6346" s="18"/>
    </row>
    <row r="6347" spans="13:24">
      <c r="M6347" s="558">
        <f t="shared" si="302"/>
        <v>6345</v>
      </c>
      <c r="N6347" s="15">
        <f t="shared" si="300"/>
        <v>0.14421416943778098</v>
      </c>
      <c r="O6347" s="165">
        <f t="shared" si="301"/>
        <v>0.14421416943778098</v>
      </c>
      <c r="P6347" s="18"/>
      <c r="Q6347" s="18"/>
      <c r="R6347" s="18"/>
      <c r="S6347" s="18"/>
      <c r="T6347" s="18"/>
      <c r="U6347" s="18"/>
      <c r="V6347" s="18"/>
      <c r="W6347" s="18"/>
      <c r="X6347" s="18"/>
    </row>
    <row r="6348" spans="13:24">
      <c r="M6348" s="558">
        <f t="shared" si="302"/>
        <v>6346</v>
      </c>
      <c r="N6348" s="15">
        <f t="shared" si="300"/>
        <v>0.14416260386971547</v>
      </c>
      <c r="O6348" s="165">
        <f t="shared" si="301"/>
        <v>0.14416260386971547</v>
      </c>
      <c r="P6348" s="18"/>
      <c r="Q6348" s="18"/>
      <c r="R6348" s="18"/>
      <c r="S6348" s="18"/>
      <c r="T6348" s="18"/>
      <c r="U6348" s="18"/>
      <c r="V6348" s="18"/>
      <c r="W6348" s="18"/>
      <c r="X6348" s="18"/>
    </row>
    <row r="6349" spans="13:24">
      <c r="M6349" s="558">
        <f t="shared" si="302"/>
        <v>6347</v>
      </c>
      <c r="N6349" s="15">
        <f t="shared" si="300"/>
        <v>0.14411103854724414</v>
      </c>
      <c r="O6349" s="165">
        <f t="shared" si="301"/>
        <v>0.14411103854724414</v>
      </c>
      <c r="P6349" s="18"/>
      <c r="Q6349" s="18"/>
      <c r="R6349" s="18"/>
      <c r="S6349" s="18"/>
      <c r="T6349" s="18"/>
      <c r="U6349" s="18"/>
      <c r="V6349" s="18"/>
      <c r="W6349" s="18"/>
      <c r="X6349" s="18"/>
    </row>
    <row r="6350" spans="13:24">
      <c r="M6350" s="558">
        <f t="shared" si="302"/>
        <v>6348</v>
      </c>
      <c r="N6350" s="15">
        <f t="shared" si="300"/>
        <v>0.14405947347005868</v>
      </c>
      <c r="O6350" s="165">
        <f t="shared" si="301"/>
        <v>0.14405947347005868</v>
      </c>
      <c r="P6350" s="18"/>
      <c r="Q6350" s="18"/>
      <c r="R6350" s="18"/>
      <c r="S6350" s="18"/>
      <c r="T6350" s="18"/>
      <c r="U6350" s="18"/>
      <c r="V6350" s="18"/>
      <c r="W6350" s="18"/>
      <c r="X6350" s="18"/>
    </row>
    <row r="6351" spans="13:24">
      <c r="M6351" s="558">
        <f t="shared" si="302"/>
        <v>6349</v>
      </c>
      <c r="N6351" s="15">
        <f t="shared" si="300"/>
        <v>0.14400790863785137</v>
      </c>
      <c r="O6351" s="165">
        <f t="shared" si="301"/>
        <v>0.14400790863785137</v>
      </c>
      <c r="P6351" s="18"/>
      <c r="Q6351" s="18"/>
      <c r="R6351" s="18"/>
      <c r="S6351" s="18"/>
      <c r="T6351" s="18"/>
      <c r="U6351" s="18"/>
      <c r="V6351" s="18"/>
      <c r="W6351" s="18"/>
      <c r="X6351" s="18"/>
    </row>
    <row r="6352" spans="13:24">
      <c r="M6352" s="558">
        <f t="shared" si="302"/>
        <v>6350</v>
      </c>
      <c r="N6352" s="15">
        <f t="shared" si="300"/>
        <v>0.14395634405031471</v>
      </c>
      <c r="O6352" s="165">
        <f t="shared" si="301"/>
        <v>0.14395634405031471</v>
      </c>
      <c r="P6352" s="18"/>
      <c r="Q6352" s="18"/>
      <c r="R6352" s="18"/>
      <c r="S6352" s="18"/>
      <c r="T6352" s="18"/>
      <c r="U6352" s="18"/>
      <c r="V6352" s="18"/>
      <c r="W6352" s="18"/>
      <c r="X6352" s="18"/>
    </row>
    <row r="6353" spans="13:24">
      <c r="M6353" s="558">
        <f t="shared" si="302"/>
        <v>6351</v>
      </c>
      <c r="N6353" s="15">
        <f t="shared" si="300"/>
        <v>0.14390477970714172</v>
      </c>
      <c r="O6353" s="165">
        <f t="shared" si="301"/>
        <v>0.14390477970714172</v>
      </c>
      <c r="P6353" s="18"/>
      <c r="Q6353" s="18"/>
      <c r="R6353" s="18"/>
      <c r="S6353" s="18"/>
      <c r="T6353" s="18"/>
      <c r="U6353" s="18"/>
      <c r="V6353" s="18"/>
      <c r="W6353" s="18"/>
      <c r="X6353" s="18"/>
    </row>
    <row r="6354" spans="13:24">
      <c r="M6354" s="558">
        <f t="shared" si="302"/>
        <v>6352</v>
      </c>
      <c r="N6354" s="15">
        <f t="shared" si="300"/>
        <v>0.14385321560802566</v>
      </c>
      <c r="O6354" s="165">
        <f t="shared" si="301"/>
        <v>0.14385321560802566</v>
      </c>
      <c r="P6354" s="18"/>
      <c r="Q6354" s="18"/>
      <c r="R6354" s="18"/>
      <c r="S6354" s="18"/>
      <c r="T6354" s="18"/>
      <c r="U6354" s="18"/>
      <c r="V6354" s="18"/>
      <c r="W6354" s="18"/>
      <c r="X6354" s="18"/>
    </row>
    <row r="6355" spans="13:24">
      <c r="M6355" s="558">
        <f t="shared" si="302"/>
        <v>6353</v>
      </c>
      <c r="N6355" s="15">
        <f t="shared" si="300"/>
        <v>0.14380165175266033</v>
      </c>
      <c r="O6355" s="165">
        <f t="shared" si="301"/>
        <v>0.14380165175266033</v>
      </c>
      <c r="P6355" s="18"/>
      <c r="Q6355" s="18"/>
      <c r="R6355" s="18"/>
      <c r="S6355" s="18"/>
      <c r="T6355" s="18"/>
      <c r="U6355" s="18"/>
      <c r="V6355" s="18"/>
      <c r="W6355" s="18"/>
      <c r="X6355" s="18"/>
    </row>
    <row r="6356" spans="13:24">
      <c r="M6356" s="558">
        <f t="shared" si="302"/>
        <v>6354</v>
      </c>
      <c r="N6356" s="15">
        <f t="shared" si="300"/>
        <v>0.14375008814073983</v>
      </c>
      <c r="O6356" s="165">
        <f t="shared" si="301"/>
        <v>0.14375008814073983</v>
      </c>
      <c r="P6356" s="18"/>
      <c r="Q6356" s="18"/>
      <c r="R6356" s="18"/>
      <c r="S6356" s="18"/>
      <c r="T6356" s="18"/>
      <c r="U6356" s="18"/>
      <c r="V6356" s="18"/>
      <c r="W6356" s="18"/>
      <c r="X6356" s="18"/>
    </row>
    <row r="6357" spans="13:24">
      <c r="M6357" s="558">
        <f t="shared" si="302"/>
        <v>6355</v>
      </c>
      <c r="N6357" s="15">
        <f t="shared" si="300"/>
        <v>0.14369852477195866</v>
      </c>
      <c r="O6357" s="165">
        <f t="shared" si="301"/>
        <v>0.14369852477195866</v>
      </c>
      <c r="P6357" s="18"/>
      <c r="Q6357" s="18"/>
      <c r="R6357" s="18"/>
      <c r="S6357" s="18"/>
      <c r="T6357" s="18"/>
      <c r="U6357" s="18"/>
      <c r="V6357" s="18"/>
      <c r="W6357" s="18"/>
      <c r="X6357" s="18"/>
    </row>
    <row r="6358" spans="13:24">
      <c r="M6358" s="558">
        <f t="shared" si="302"/>
        <v>6356</v>
      </c>
      <c r="N6358" s="15">
        <f t="shared" si="300"/>
        <v>0.14364696164601168</v>
      </c>
      <c r="O6358" s="165">
        <f t="shared" si="301"/>
        <v>0.14364696164601168</v>
      </c>
      <c r="P6358" s="18"/>
      <c r="Q6358" s="18"/>
      <c r="R6358" s="18"/>
      <c r="S6358" s="18"/>
      <c r="T6358" s="18"/>
      <c r="U6358" s="18"/>
      <c r="V6358" s="18"/>
      <c r="W6358" s="18"/>
      <c r="X6358" s="18"/>
    </row>
    <row r="6359" spans="13:24">
      <c r="M6359" s="558">
        <f t="shared" si="302"/>
        <v>6357</v>
      </c>
      <c r="N6359" s="15">
        <f t="shared" si="300"/>
        <v>0.14359539876259414</v>
      </c>
      <c r="O6359" s="165">
        <f t="shared" si="301"/>
        <v>0.14359539876259414</v>
      </c>
      <c r="P6359" s="18"/>
      <c r="Q6359" s="18"/>
      <c r="R6359" s="18"/>
      <c r="S6359" s="18"/>
      <c r="T6359" s="18"/>
      <c r="U6359" s="18"/>
      <c r="V6359" s="18"/>
      <c r="W6359" s="18"/>
      <c r="X6359" s="18"/>
    </row>
    <row r="6360" spans="13:24">
      <c r="M6360" s="558">
        <f t="shared" si="302"/>
        <v>6358</v>
      </c>
      <c r="N6360" s="15">
        <f t="shared" si="300"/>
        <v>0.14354383612140176</v>
      </c>
      <c r="O6360" s="165">
        <f t="shared" si="301"/>
        <v>0.14354383612140176</v>
      </c>
      <c r="P6360" s="18"/>
      <c r="Q6360" s="18"/>
      <c r="R6360" s="18"/>
      <c r="S6360" s="18"/>
      <c r="T6360" s="18"/>
      <c r="U6360" s="18"/>
      <c r="V6360" s="18"/>
      <c r="W6360" s="18"/>
      <c r="X6360" s="18"/>
    </row>
    <row r="6361" spans="13:24">
      <c r="M6361" s="558">
        <f t="shared" si="302"/>
        <v>6359</v>
      </c>
      <c r="N6361" s="15">
        <f t="shared" si="300"/>
        <v>0.14349227372213047</v>
      </c>
      <c r="O6361" s="165">
        <f t="shared" si="301"/>
        <v>0.14349227372213047</v>
      </c>
      <c r="P6361" s="18"/>
      <c r="Q6361" s="18"/>
      <c r="R6361" s="18"/>
      <c r="S6361" s="18"/>
      <c r="T6361" s="18"/>
      <c r="U6361" s="18"/>
      <c r="V6361" s="18"/>
      <c r="W6361" s="18"/>
      <c r="X6361" s="18"/>
    </row>
    <row r="6362" spans="13:24">
      <c r="M6362" s="558">
        <f t="shared" si="302"/>
        <v>6360</v>
      </c>
      <c r="N6362" s="15">
        <f t="shared" si="300"/>
        <v>0.14344071156447674</v>
      </c>
      <c r="O6362" s="165">
        <f t="shared" si="301"/>
        <v>0.14344071156447674</v>
      </c>
      <c r="P6362" s="18"/>
      <c r="Q6362" s="18"/>
      <c r="R6362" s="18"/>
      <c r="S6362" s="18"/>
      <c r="T6362" s="18"/>
      <c r="U6362" s="18"/>
      <c r="V6362" s="18"/>
      <c r="W6362" s="18"/>
      <c r="X6362" s="18"/>
    </row>
    <row r="6363" spans="13:24">
      <c r="M6363" s="558">
        <f t="shared" si="302"/>
        <v>6361</v>
      </c>
      <c r="N6363" s="15">
        <f t="shared" si="300"/>
        <v>0.14338914964813732</v>
      </c>
      <c r="O6363" s="165">
        <f t="shared" si="301"/>
        <v>0.14338914964813732</v>
      </c>
      <c r="P6363" s="18"/>
      <c r="Q6363" s="18"/>
      <c r="R6363" s="18"/>
      <c r="S6363" s="18"/>
      <c r="T6363" s="18"/>
      <c r="U6363" s="18"/>
      <c r="V6363" s="18"/>
      <c r="W6363" s="18"/>
      <c r="X6363" s="18"/>
    </row>
    <row r="6364" spans="13:24">
      <c r="M6364" s="558">
        <f t="shared" si="302"/>
        <v>6362</v>
      </c>
      <c r="N6364" s="15">
        <f t="shared" si="300"/>
        <v>0.1433375879728094</v>
      </c>
      <c r="O6364" s="165">
        <f t="shared" si="301"/>
        <v>0.1433375879728094</v>
      </c>
      <c r="P6364" s="18"/>
      <c r="Q6364" s="18"/>
      <c r="R6364" s="18"/>
      <c r="S6364" s="18"/>
      <c r="T6364" s="18"/>
      <c r="U6364" s="18"/>
      <c r="V6364" s="18"/>
      <c r="W6364" s="18"/>
      <c r="X6364" s="18"/>
    </row>
    <row r="6365" spans="13:24">
      <c r="M6365" s="558">
        <f t="shared" si="302"/>
        <v>6363</v>
      </c>
      <c r="N6365" s="15">
        <f t="shared" si="300"/>
        <v>0.14328602653819053</v>
      </c>
      <c r="O6365" s="165">
        <f t="shared" si="301"/>
        <v>0.14328602653819053</v>
      </c>
      <c r="P6365" s="18"/>
      <c r="Q6365" s="18"/>
      <c r="R6365" s="18"/>
      <c r="S6365" s="18"/>
      <c r="T6365" s="18"/>
      <c r="U6365" s="18"/>
      <c r="V6365" s="18"/>
      <c r="W6365" s="18"/>
      <c r="X6365" s="18"/>
    </row>
    <row r="6366" spans="13:24">
      <c r="M6366" s="558">
        <f t="shared" si="302"/>
        <v>6364</v>
      </c>
      <c r="N6366" s="15">
        <f t="shared" si="300"/>
        <v>0.14323446534397866</v>
      </c>
      <c r="O6366" s="165">
        <f t="shared" si="301"/>
        <v>0.14323446534397866</v>
      </c>
      <c r="P6366" s="18"/>
      <c r="Q6366" s="18"/>
      <c r="R6366" s="18"/>
      <c r="S6366" s="18"/>
      <c r="T6366" s="18"/>
      <c r="U6366" s="18"/>
      <c r="V6366" s="18"/>
      <c r="W6366" s="18"/>
      <c r="X6366" s="18"/>
    </row>
    <row r="6367" spans="13:24">
      <c r="M6367" s="558">
        <f t="shared" si="302"/>
        <v>6365</v>
      </c>
      <c r="N6367" s="15">
        <f t="shared" si="300"/>
        <v>0.14318290438987205</v>
      </c>
      <c r="O6367" s="165">
        <f t="shared" si="301"/>
        <v>0.14318290438987205</v>
      </c>
      <c r="P6367" s="18"/>
      <c r="Q6367" s="18"/>
      <c r="R6367" s="18"/>
      <c r="S6367" s="18"/>
      <c r="T6367" s="18"/>
      <c r="U6367" s="18"/>
      <c r="V6367" s="18"/>
      <c r="W6367" s="18"/>
      <c r="X6367" s="18"/>
    </row>
    <row r="6368" spans="13:24">
      <c r="M6368" s="558">
        <f t="shared" si="302"/>
        <v>6366</v>
      </c>
      <c r="N6368" s="15">
        <f t="shared" si="300"/>
        <v>0.14313134367556946</v>
      </c>
      <c r="O6368" s="165">
        <f t="shared" si="301"/>
        <v>0.14313134367556946</v>
      </c>
      <c r="P6368" s="18"/>
      <c r="Q6368" s="18"/>
      <c r="R6368" s="18"/>
      <c r="S6368" s="18"/>
      <c r="T6368" s="18"/>
      <c r="U6368" s="18"/>
      <c r="V6368" s="18"/>
      <c r="W6368" s="18"/>
      <c r="X6368" s="18"/>
    </row>
    <row r="6369" spans="13:24">
      <c r="M6369" s="558">
        <f t="shared" si="302"/>
        <v>6367</v>
      </c>
      <c r="N6369" s="15">
        <f t="shared" si="300"/>
        <v>0.14307978320076986</v>
      </c>
      <c r="O6369" s="165">
        <f t="shared" si="301"/>
        <v>0.14307978320076986</v>
      </c>
      <c r="P6369" s="18"/>
      <c r="Q6369" s="18"/>
      <c r="R6369" s="18"/>
      <c r="S6369" s="18"/>
      <c r="T6369" s="18"/>
      <c r="U6369" s="18"/>
      <c r="V6369" s="18"/>
      <c r="W6369" s="18"/>
      <c r="X6369" s="18"/>
    </row>
    <row r="6370" spans="13:24">
      <c r="M6370" s="558">
        <f t="shared" si="302"/>
        <v>6368</v>
      </c>
      <c r="N6370" s="15">
        <f t="shared" si="300"/>
        <v>0.14302822296517279</v>
      </c>
      <c r="O6370" s="165">
        <f t="shared" si="301"/>
        <v>0.14302822296517279</v>
      </c>
      <c r="P6370" s="18"/>
      <c r="Q6370" s="18"/>
      <c r="R6370" s="18"/>
      <c r="S6370" s="18"/>
      <c r="T6370" s="18"/>
      <c r="U6370" s="18"/>
      <c r="V6370" s="18"/>
      <c r="W6370" s="18"/>
      <c r="X6370" s="18"/>
    </row>
    <row r="6371" spans="13:24">
      <c r="M6371" s="558">
        <f t="shared" si="302"/>
        <v>6369</v>
      </c>
      <c r="N6371" s="15">
        <f t="shared" si="300"/>
        <v>0.142976662968478</v>
      </c>
      <c r="O6371" s="165">
        <f t="shared" si="301"/>
        <v>0.142976662968478</v>
      </c>
      <c r="P6371" s="18"/>
      <c r="Q6371" s="18"/>
      <c r="R6371" s="18"/>
      <c r="S6371" s="18"/>
      <c r="T6371" s="18"/>
      <c r="U6371" s="18"/>
      <c r="V6371" s="18"/>
      <c r="W6371" s="18"/>
      <c r="X6371" s="18"/>
    </row>
    <row r="6372" spans="13:24">
      <c r="M6372" s="558">
        <f t="shared" si="302"/>
        <v>6370</v>
      </c>
      <c r="N6372" s="15">
        <f t="shared" si="300"/>
        <v>0.14292510321038568</v>
      </c>
      <c r="O6372" s="165">
        <f t="shared" si="301"/>
        <v>0.14292510321038568</v>
      </c>
      <c r="P6372" s="18"/>
      <c r="Q6372" s="18"/>
      <c r="R6372" s="18"/>
      <c r="S6372" s="18"/>
      <c r="T6372" s="18"/>
      <c r="U6372" s="18"/>
      <c r="V6372" s="18"/>
      <c r="W6372" s="18"/>
      <c r="X6372" s="18"/>
    </row>
    <row r="6373" spans="13:24">
      <c r="M6373" s="558">
        <f t="shared" si="302"/>
        <v>6371</v>
      </c>
      <c r="N6373" s="15">
        <f t="shared" si="300"/>
        <v>0.14287354369059649</v>
      </c>
      <c r="O6373" s="165">
        <f t="shared" si="301"/>
        <v>0.14287354369059649</v>
      </c>
      <c r="P6373" s="18"/>
      <c r="Q6373" s="18"/>
      <c r="R6373" s="18"/>
      <c r="S6373" s="18"/>
      <c r="T6373" s="18"/>
      <c r="U6373" s="18"/>
      <c r="V6373" s="18"/>
      <c r="W6373" s="18"/>
      <c r="X6373" s="18"/>
    </row>
    <row r="6374" spans="13:24">
      <c r="M6374" s="558">
        <f t="shared" si="302"/>
        <v>6372</v>
      </c>
      <c r="N6374" s="15">
        <f t="shared" si="300"/>
        <v>0.14282198440881128</v>
      </c>
      <c r="O6374" s="165">
        <f t="shared" si="301"/>
        <v>0.14282198440881128</v>
      </c>
      <c r="P6374" s="18"/>
      <c r="Q6374" s="18"/>
      <c r="R6374" s="18"/>
      <c r="S6374" s="18"/>
      <c r="T6374" s="18"/>
      <c r="U6374" s="18"/>
      <c r="V6374" s="18"/>
      <c r="W6374" s="18"/>
      <c r="X6374" s="18"/>
    </row>
    <row r="6375" spans="13:24">
      <c r="M6375" s="558">
        <f t="shared" si="302"/>
        <v>6373</v>
      </c>
      <c r="N6375" s="15">
        <f t="shared" si="300"/>
        <v>0.14277042536473145</v>
      </c>
      <c r="O6375" s="165">
        <f t="shared" si="301"/>
        <v>0.14277042536473145</v>
      </c>
      <c r="P6375" s="18"/>
      <c r="Q6375" s="18"/>
      <c r="R6375" s="18"/>
      <c r="S6375" s="18"/>
      <c r="T6375" s="18"/>
      <c r="U6375" s="18"/>
      <c r="V6375" s="18"/>
      <c r="W6375" s="18"/>
      <c r="X6375" s="18"/>
    </row>
    <row r="6376" spans="13:24">
      <c r="M6376" s="558">
        <f t="shared" si="302"/>
        <v>6374</v>
      </c>
      <c r="N6376" s="15">
        <f t="shared" si="300"/>
        <v>0.14271886655805863</v>
      </c>
      <c r="O6376" s="165">
        <f t="shared" si="301"/>
        <v>0.14271886655805863</v>
      </c>
      <c r="P6376" s="18"/>
      <c r="Q6376" s="18"/>
      <c r="R6376" s="18"/>
      <c r="S6376" s="18"/>
      <c r="T6376" s="18"/>
      <c r="U6376" s="18"/>
      <c r="V6376" s="18"/>
      <c r="W6376" s="18"/>
      <c r="X6376" s="18"/>
    </row>
    <row r="6377" spans="13:24">
      <c r="M6377" s="558">
        <f t="shared" si="302"/>
        <v>6375</v>
      </c>
      <c r="N6377" s="15">
        <f t="shared" si="300"/>
        <v>0.14266730798849497</v>
      </c>
      <c r="O6377" s="165">
        <f t="shared" si="301"/>
        <v>0.14266730798849497</v>
      </c>
      <c r="P6377" s="18"/>
      <c r="Q6377" s="18"/>
      <c r="R6377" s="18"/>
      <c r="S6377" s="18"/>
      <c r="T6377" s="18"/>
      <c r="U6377" s="18"/>
      <c r="V6377" s="18"/>
      <c r="W6377" s="18"/>
      <c r="X6377" s="18"/>
    </row>
    <row r="6378" spans="13:24">
      <c r="M6378" s="558">
        <f t="shared" si="302"/>
        <v>6376</v>
      </c>
      <c r="N6378" s="15">
        <f t="shared" si="300"/>
        <v>0.14261574965574284</v>
      </c>
      <c r="O6378" s="165">
        <f t="shared" si="301"/>
        <v>0.14261574965574284</v>
      </c>
      <c r="P6378" s="18"/>
      <c r="Q6378" s="18"/>
      <c r="R6378" s="18"/>
      <c r="S6378" s="18"/>
      <c r="T6378" s="18"/>
      <c r="U6378" s="18"/>
      <c r="V6378" s="18"/>
      <c r="W6378" s="18"/>
      <c r="X6378" s="18"/>
    </row>
    <row r="6379" spans="13:24">
      <c r="M6379" s="558">
        <f t="shared" si="302"/>
        <v>6377</v>
      </c>
      <c r="N6379" s="15">
        <f t="shared" si="300"/>
        <v>0.14256419155950512</v>
      </c>
      <c r="O6379" s="165">
        <f t="shared" si="301"/>
        <v>0.14256419155950512</v>
      </c>
      <c r="P6379" s="18"/>
      <c r="Q6379" s="18"/>
      <c r="R6379" s="18"/>
      <c r="S6379" s="18"/>
      <c r="T6379" s="18"/>
      <c r="U6379" s="18"/>
      <c r="V6379" s="18"/>
      <c r="W6379" s="18"/>
      <c r="X6379" s="18"/>
    </row>
    <row r="6380" spans="13:24">
      <c r="M6380" s="558">
        <f t="shared" si="302"/>
        <v>6378</v>
      </c>
      <c r="N6380" s="15">
        <f t="shared" si="300"/>
        <v>0.14251263369948494</v>
      </c>
      <c r="O6380" s="165">
        <f t="shared" si="301"/>
        <v>0.14251263369948494</v>
      </c>
      <c r="P6380" s="18"/>
      <c r="Q6380" s="18"/>
      <c r="R6380" s="18"/>
      <c r="S6380" s="18"/>
      <c r="T6380" s="18"/>
      <c r="U6380" s="18"/>
      <c r="V6380" s="18"/>
      <c r="W6380" s="18"/>
      <c r="X6380" s="18"/>
    </row>
    <row r="6381" spans="13:24">
      <c r="M6381" s="558">
        <f t="shared" si="302"/>
        <v>6379</v>
      </c>
      <c r="N6381" s="15">
        <f t="shared" si="300"/>
        <v>0.14246107607538594</v>
      </c>
      <c r="O6381" s="165">
        <f t="shared" si="301"/>
        <v>0.14246107607538594</v>
      </c>
      <c r="P6381" s="18"/>
      <c r="Q6381" s="18"/>
      <c r="R6381" s="18"/>
      <c r="S6381" s="18"/>
      <c r="T6381" s="18"/>
      <c r="U6381" s="18"/>
      <c r="V6381" s="18"/>
      <c r="W6381" s="18"/>
      <c r="X6381" s="18"/>
    </row>
    <row r="6382" spans="13:24">
      <c r="M6382" s="558">
        <f t="shared" si="302"/>
        <v>6380</v>
      </c>
      <c r="N6382" s="15">
        <f t="shared" si="300"/>
        <v>0.14240951868691201</v>
      </c>
      <c r="O6382" s="165">
        <f t="shared" si="301"/>
        <v>0.14240951868691201</v>
      </c>
      <c r="P6382" s="18"/>
      <c r="Q6382" s="18"/>
      <c r="R6382" s="18"/>
      <c r="S6382" s="18"/>
      <c r="T6382" s="18"/>
      <c r="U6382" s="18"/>
      <c r="V6382" s="18"/>
      <c r="W6382" s="18"/>
      <c r="X6382" s="18"/>
    </row>
    <row r="6383" spans="13:24">
      <c r="M6383" s="558">
        <f t="shared" si="302"/>
        <v>6381</v>
      </c>
      <c r="N6383" s="15">
        <f t="shared" si="300"/>
        <v>0.14235796153376751</v>
      </c>
      <c r="O6383" s="165">
        <f t="shared" si="301"/>
        <v>0.14235796153376751</v>
      </c>
      <c r="P6383" s="18"/>
      <c r="Q6383" s="18"/>
      <c r="R6383" s="18"/>
      <c r="S6383" s="18"/>
      <c r="T6383" s="18"/>
      <c r="U6383" s="18"/>
      <c r="V6383" s="18"/>
      <c r="W6383" s="18"/>
      <c r="X6383" s="18"/>
    </row>
    <row r="6384" spans="13:24">
      <c r="M6384" s="558">
        <f t="shared" si="302"/>
        <v>6382</v>
      </c>
      <c r="N6384" s="15">
        <f t="shared" si="300"/>
        <v>0.14230640461565702</v>
      </c>
      <c r="O6384" s="165">
        <f t="shared" si="301"/>
        <v>0.14230640461565702</v>
      </c>
      <c r="P6384" s="18"/>
      <c r="Q6384" s="18"/>
      <c r="R6384" s="18"/>
      <c r="S6384" s="18"/>
      <c r="T6384" s="18"/>
      <c r="U6384" s="18"/>
      <c r="V6384" s="18"/>
      <c r="W6384" s="18"/>
      <c r="X6384" s="18"/>
    </row>
    <row r="6385" spans="13:24">
      <c r="M6385" s="558">
        <f t="shared" si="302"/>
        <v>6383</v>
      </c>
      <c r="N6385" s="15">
        <f t="shared" si="300"/>
        <v>0.14225484793228571</v>
      </c>
      <c r="O6385" s="165">
        <f t="shared" si="301"/>
        <v>0.14225484793228571</v>
      </c>
      <c r="P6385" s="18"/>
      <c r="Q6385" s="18"/>
      <c r="R6385" s="18"/>
      <c r="S6385" s="18"/>
      <c r="T6385" s="18"/>
      <c r="U6385" s="18"/>
      <c r="V6385" s="18"/>
      <c r="W6385" s="18"/>
      <c r="X6385" s="18"/>
    </row>
    <row r="6386" spans="13:24">
      <c r="M6386" s="558">
        <f t="shared" si="302"/>
        <v>6384</v>
      </c>
      <c r="N6386" s="15">
        <f t="shared" si="300"/>
        <v>0.14220329148335892</v>
      </c>
      <c r="O6386" s="165">
        <f t="shared" si="301"/>
        <v>0.14220329148335892</v>
      </c>
      <c r="P6386" s="18"/>
      <c r="Q6386" s="18"/>
      <c r="R6386" s="18"/>
      <c r="S6386" s="18"/>
      <c r="T6386" s="18"/>
      <c r="U6386" s="18"/>
      <c r="V6386" s="18"/>
      <c r="W6386" s="18"/>
      <c r="X6386" s="18"/>
    </row>
    <row r="6387" spans="13:24">
      <c r="M6387" s="558">
        <f t="shared" si="302"/>
        <v>6385</v>
      </c>
      <c r="N6387" s="15">
        <f t="shared" si="300"/>
        <v>0.14215173526858244</v>
      </c>
      <c r="O6387" s="165">
        <f t="shared" si="301"/>
        <v>0.14215173526858244</v>
      </c>
      <c r="P6387" s="18"/>
      <c r="Q6387" s="18"/>
      <c r="R6387" s="18"/>
      <c r="S6387" s="18"/>
      <c r="T6387" s="18"/>
      <c r="U6387" s="18"/>
      <c r="V6387" s="18"/>
      <c r="W6387" s="18"/>
      <c r="X6387" s="18"/>
    </row>
    <row r="6388" spans="13:24">
      <c r="M6388" s="558">
        <f t="shared" si="302"/>
        <v>6386</v>
      </c>
      <c r="N6388" s="15">
        <f t="shared" si="300"/>
        <v>0.1421001792876625</v>
      </c>
      <c r="O6388" s="165">
        <f t="shared" si="301"/>
        <v>0.1421001792876625</v>
      </c>
      <c r="P6388" s="18"/>
      <c r="Q6388" s="18"/>
      <c r="R6388" s="18"/>
      <c r="S6388" s="18"/>
      <c r="T6388" s="18"/>
      <c r="U6388" s="18"/>
      <c r="V6388" s="18"/>
      <c r="W6388" s="18"/>
      <c r="X6388" s="18"/>
    </row>
    <row r="6389" spans="13:24">
      <c r="M6389" s="558">
        <f t="shared" si="302"/>
        <v>6387</v>
      </c>
      <c r="N6389" s="15">
        <f t="shared" si="300"/>
        <v>0.14204862354030556</v>
      </c>
      <c r="O6389" s="165">
        <f t="shared" si="301"/>
        <v>0.14204862354030556</v>
      </c>
      <c r="P6389" s="18"/>
      <c r="Q6389" s="18"/>
      <c r="R6389" s="18"/>
      <c r="S6389" s="18"/>
      <c r="T6389" s="18"/>
      <c r="U6389" s="18"/>
      <c r="V6389" s="18"/>
      <c r="W6389" s="18"/>
      <c r="X6389" s="18"/>
    </row>
    <row r="6390" spans="13:24">
      <c r="M6390" s="558">
        <f t="shared" si="302"/>
        <v>6388</v>
      </c>
      <c r="N6390" s="15">
        <f t="shared" si="300"/>
        <v>0.14199706802621856</v>
      </c>
      <c r="O6390" s="165">
        <f t="shared" si="301"/>
        <v>0.14199706802621856</v>
      </c>
      <c r="P6390" s="18"/>
      <c r="Q6390" s="18"/>
      <c r="R6390" s="18"/>
      <c r="S6390" s="18"/>
      <c r="T6390" s="18"/>
      <c r="U6390" s="18"/>
      <c r="V6390" s="18"/>
      <c r="W6390" s="18"/>
      <c r="X6390" s="18"/>
    </row>
    <row r="6391" spans="13:24">
      <c r="M6391" s="558">
        <f t="shared" si="302"/>
        <v>6389</v>
      </c>
      <c r="N6391" s="15">
        <f t="shared" si="300"/>
        <v>0.14194551274510872</v>
      </c>
      <c r="O6391" s="165">
        <f t="shared" si="301"/>
        <v>0.14194551274510872</v>
      </c>
      <c r="P6391" s="18"/>
      <c r="Q6391" s="18"/>
      <c r="R6391" s="18"/>
      <c r="S6391" s="18"/>
      <c r="T6391" s="18"/>
      <c r="U6391" s="18"/>
      <c r="V6391" s="18"/>
      <c r="W6391" s="18"/>
      <c r="X6391" s="18"/>
    </row>
    <row r="6392" spans="13:24">
      <c r="M6392" s="558">
        <f t="shared" si="302"/>
        <v>6390</v>
      </c>
      <c r="N6392" s="15">
        <f t="shared" si="300"/>
        <v>0.14189395769668375</v>
      </c>
      <c r="O6392" s="165">
        <f t="shared" si="301"/>
        <v>0.14189395769668375</v>
      </c>
      <c r="P6392" s="18"/>
      <c r="Q6392" s="18"/>
      <c r="R6392" s="18"/>
      <c r="S6392" s="18"/>
      <c r="T6392" s="18"/>
      <c r="U6392" s="18"/>
      <c r="V6392" s="18"/>
      <c r="W6392" s="18"/>
      <c r="X6392" s="18"/>
    </row>
    <row r="6393" spans="13:24">
      <c r="M6393" s="558">
        <f t="shared" si="302"/>
        <v>6391</v>
      </c>
      <c r="N6393" s="15">
        <f t="shared" si="300"/>
        <v>0.14184240288065156</v>
      </c>
      <c r="O6393" s="165">
        <f t="shared" si="301"/>
        <v>0.14184240288065156</v>
      </c>
      <c r="P6393" s="18"/>
      <c r="Q6393" s="18"/>
      <c r="R6393" s="18"/>
      <c r="S6393" s="18"/>
      <c r="T6393" s="18"/>
      <c r="U6393" s="18"/>
      <c r="V6393" s="18"/>
      <c r="W6393" s="18"/>
      <c r="X6393" s="18"/>
    </row>
    <row r="6394" spans="13:24">
      <c r="M6394" s="558">
        <f t="shared" si="302"/>
        <v>6392</v>
      </c>
      <c r="N6394" s="15">
        <f t="shared" si="300"/>
        <v>0.14179084829672056</v>
      </c>
      <c r="O6394" s="165">
        <f t="shared" si="301"/>
        <v>0.14179084829672056</v>
      </c>
      <c r="P6394" s="18"/>
      <c r="Q6394" s="18"/>
      <c r="R6394" s="18"/>
      <c r="S6394" s="18"/>
      <c r="T6394" s="18"/>
      <c r="U6394" s="18"/>
      <c r="V6394" s="18"/>
      <c r="W6394" s="18"/>
      <c r="X6394" s="18"/>
    </row>
    <row r="6395" spans="13:24">
      <c r="M6395" s="558">
        <f t="shared" si="302"/>
        <v>6393</v>
      </c>
      <c r="N6395" s="15">
        <f t="shared" si="300"/>
        <v>0.14173929394459947</v>
      </c>
      <c r="O6395" s="165">
        <f t="shared" si="301"/>
        <v>0.14173929394459947</v>
      </c>
      <c r="P6395" s="18"/>
      <c r="Q6395" s="18"/>
      <c r="R6395" s="18"/>
      <c r="S6395" s="18"/>
      <c r="T6395" s="18"/>
      <c r="U6395" s="18"/>
      <c r="V6395" s="18"/>
      <c r="W6395" s="18"/>
      <c r="X6395" s="18"/>
    </row>
    <row r="6396" spans="13:24">
      <c r="M6396" s="558">
        <f t="shared" si="302"/>
        <v>6394</v>
      </c>
      <c r="N6396" s="15">
        <f t="shared" si="300"/>
        <v>0.14168773982399743</v>
      </c>
      <c r="O6396" s="165">
        <f t="shared" si="301"/>
        <v>0.14168773982399743</v>
      </c>
      <c r="P6396" s="18"/>
      <c r="Q6396" s="18"/>
      <c r="R6396" s="18"/>
      <c r="S6396" s="18"/>
      <c r="T6396" s="18"/>
      <c r="U6396" s="18"/>
      <c r="V6396" s="18"/>
      <c r="W6396" s="18"/>
      <c r="X6396" s="18"/>
    </row>
    <row r="6397" spans="13:24">
      <c r="M6397" s="558">
        <f t="shared" si="302"/>
        <v>6395</v>
      </c>
      <c r="N6397" s="15">
        <f t="shared" si="300"/>
        <v>0.14163618593462382</v>
      </c>
      <c r="O6397" s="165">
        <f t="shared" si="301"/>
        <v>0.14163618593462382</v>
      </c>
      <c r="P6397" s="18"/>
      <c r="Q6397" s="18"/>
      <c r="R6397" s="18"/>
      <c r="S6397" s="18"/>
      <c r="T6397" s="18"/>
      <c r="U6397" s="18"/>
      <c r="V6397" s="18"/>
      <c r="W6397" s="18"/>
      <c r="X6397" s="18"/>
    </row>
    <row r="6398" spans="13:24">
      <c r="M6398" s="558">
        <f t="shared" si="302"/>
        <v>6396</v>
      </c>
      <c r="N6398" s="15">
        <f t="shared" si="300"/>
        <v>0.14158463227618856</v>
      </c>
      <c r="O6398" s="165">
        <f t="shared" si="301"/>
        <v>0.14158463227618856</v>
      </c>
      <c r="P6398" s="18"/>
      <c r="Q6398" s="18"/>
      <c r="R6398" s="18"/>
      <c r="S6398" s="18"/>
      <c r="T6398" s="18"/>
      <c r="U6398" s="18"/>
      <c r="V6398" s="18"/>
      <c r="W6398" s="18"/>
      <c r="X6398" s="18"/>
    </row>
    <row r="6399" spans="13:24">
      <c r="M6399" s="558">
        <f t="shared" si="302"/>
        <v>6397</v>
      </c>
      <c r="N6399" s="15">
        <f t="shared" si="300"/>
        <v>0.14153307884840174</v>
      </c>
      <c r="O6399" s="165">
        <f t="shared" si="301"/>
        <v>0.14153307884840174</v>
      </c>
      <c r="P6399" s="18"/>
      <c r="Q6399" s="18"/>
      <c r="R6399" s="18"/>
      <c r="S6399" s="18"/>
      <c r="T6399" s="18"/>
      <c r="U6399" s="18"/>
      <c r="V6399" s="18"/>
      <c r="W6399" s="18"/>
      <c r="X6399" s="18"/>
    </row>
    <row r="6400" spans="13:24">
      <c r="M6400" s="558">
        <f t="shared" si="302"/>
        <v>6398</v>
      </c>
      <c r="N6400" s="15">
        <f t="shared" si="300"/>
        <v>0.14148152565097402</v>
      </c>
      <c r="O6400" s="165">
        <f t="shared" si="301"/>
        <v>0.14148152565097402</v>
      </c>
      <c r="P6400" s="18"/>
      <c r="Q6400" s="18"/>
      <c r="R6400" s="18"/>
      <c r="S6400" s="18"/>
      <c r="T6400" s="18"/>
      <c r="U6400" s="18"/>
      <c r="V6400" s="18"/>
      <c r="W6400" s="18"/>
      <c r="X6400" s="18"/>
    </row>
    <row r="6401" spans="13:24">
      <c r="M6401" s="558">
        <f t="shared" si="302"/>
        <v>6399</v>
      </c>
      <c r="N6401" s="15">
        <f t="shared" si="300"/>
        <v>0.14142997268361623</v>
      </c>
      <c r="O6401" s="165">
        <f t="shared" si="301"/>
        <v>0.14142997268361623</v>
      </c>
      <c r="P6401" s="18"/>
      <c r="Q6401" s="18"/>
      <c r="R6401" s="18"/>
      <c r="S6401" s="18"/>
      <c r="T6401" s="18"/>
      <c r="U6401" s="18"/>
      <c r="V6401" s="18"/>
      <c r="W6401" s="18"/>
      <c r="X6401" s="18"/>
    </row>
    <row r="6402" spans="13:24">
      <c r="M6402" s="558">
        <f t="shared" si="302"/>
        <v>6400</v>
      </c>
      <c r="N6402" s="15">
        <f t="shared" si="300"/>
        <v>0.14137841994603967</v>
      </c>
      <c r="O6402" s="165">
        <f t="shared" si="301"/>
        <v>0.14137841994603967</v>
      </c>
      <c r="P6402" s="18"/>
      <c r="Q6402" s="18"/>
      <c r="R6402" s="18"/>
      <c r="S6402" s="18"/>
      <c r="T6402" s="18"/>
      <c r="U6402" s="18"/>
      <c r="V6402" s="18"/>
      <c r="W6402" s="18"/>
      <c r="X6402" s="18"/>
    </row>
    <row r="6403" spans="13:24">
      <c r="M6403" s="558">
        <f t="shared" si="302"/>
        <v>6401</v>
      </c>
      <c r="N6403" s="15">
        <f t="shared" si="300"/>
        <v>0.14132686743795606</v>
      </c>
      <c r="O6403" s="165">
        <f t="shared" si="301"/>
        <v>0.14132686743795606</v>
      </c>
      <c r="P6403" s="18"/>
      <c r="Q6403" s="18"/>
      <c r="R6403" s="18"/>
      <c r="S6403" s="18"/>
      <c r="T6403" s="18"/>
      <c r="U6403" s="18"/>
      <c r="V6403" s="18"/>
      <c r="W6403" s="18"/>
      <c r="X6403" s="18"/>
    </row>
    <row r="6404" spans="13:24">
      <c r="M6404" s="558">
        <f t="shared" si="302"/>
        <v>6402</v>
      </c>
      <c r="N6404" s="15">
        <f t="shared" ref="N6404:N6467" si="303">IF(M6404&lt;$B$31+1,$B$32+$B$33/$B$31*(8760-M6404)+$B$34*IF(M6404&lt;$B$36-$B$31/(2*$B$35),1,IF(M6404&lt;$B$36+$B$31/(2*$B$35),COS(PI()/2*(M6404-($B$36-$B$31/(2*$B$35)))*$B$35/$B$31)^2,0))+$B$37*EXP((8760-M6404)/8760*$B$38)/EXP($B$38)-(8760-$B$31)*$B$33/$B$31,0)</f>
        <v>0.14127531515907729</v>
      </c>
      <c r="O6404" s="165">
        <f t="shared" ref="O6404:O6467" si="304">MIN(N6404,C$24)</f>
        <v>0.14127531515907729</v>
      </c>
      <c r="P6404" s="18"/>
      <c r="Q6404" s="18"/>
      <c r="R6404" s="18"/>
      <c r="S6404" s="18"/>
      <c r="T6404" s="18"/>
      <c r="U6404" s="18"/>
      <c r="V6404" s="18"/>
      <c r="W6404" s="18"/>
      <c r="X6404" s="18"/>
    </row>
    <row r="6405" spans="13:24">
      <c r="M6405" s="558">
        <f t="shared" ref="M6405:M6468" si="305">M6404+1</f>
        <v>6403</v>
      </c>
      <c r="N6405" s="15">
        <f t="shared" si="303"/>
        <v>0.14122376310911583</v>
      </c>
      <c r="O6405" s="165">
        <f t="shared" si="304"/>
        <v>0.14122376310911583</v>
      </c>
      <c r="P6405" s="18"/>
      <c r="Q6405" s="18"/>
      <c r="R6405" s="18"/>
      <c r="S6405" s="18"/>
      <c r="T6405" s="18"/>
      <c r="U6405" s="18"/>
      <c r="V6405" s="18"/>
      <c r="W6405" s="18"/>
      <c r="X6405" s="18"/>
    </row>
    <row r="6406" spans="13:24">
      <c r="M6406" s="558">
        <f t="shared" si="305"/>
        <v>6404</v>
      </c>
      <c r="N6406" s="15">
        <f t="shared" si="303"/>
        <v>0.14117221128778432</v>
      </c>
      <c r="O6406" s="165">
        <f t="shared" si="304"/>
        <v>0.14117221128778432</v>
      </c>
      <c r="P6406" s="18"/>
      <c r="Q6406" s="18"/>
      <c r="R6406" s="18"/>
      <c r="S6406" s="18"/>
      <c r="T6406" s="18"/>
      <c r="U6406" s="18"/>
      <c r="V6406" s="18"/>
      <c r="W6406" s="18"/>
      <c r="X6406" s="18"/>
    </row>
    <row r="6407" spans="13:24">
      <c r="M6407" s="558">
        <f t="shared" si="305"/>
        <v>6405</v>
      </c>
      <c r="N6407" s="15">
        <f t="shared" si="303"/>
        <v>0.1411206596947959</v>
      </c>
      <c r="O6407" s="165">
        <f t="shared" si="304"/>
        <v>0.1411206596947959</v>
      </c>
      <c r="P6407" s="18"/>
      <c r="Q6407" s="18"/>
      <c r="R6407" s="18"/>
      <c r="S6407" s="18"/>
      <c r="T6407" s="18"/>
      <c r="U6407" s="18"/>
      <c r="V6407" s="18"/>
      <c r="W6407" s="18"/>
      <c r="X6407" s="18"/>
    </row>
    <row r="6408" spans="13:24">
      <c r="M6408" s="558">
        <f t="shared" si="305"/>
        <v>6406</v>
      </c>
      <c r="N6408" s="15">
        <f t="shared" si="303"/>
        <v>0.141069108329864</v>
      </c>
      <c r="O6408" s="165">
        <f t="shared" si="304"/>
        <v>0.141069108329864</v>
      </c>
      <c r="P6408" s="18"/>
      <c r="Q6408" s="18"/>
      <c r="R6408" s="18"/>
      <c r="S6408" s="18"/>
      <c r="T6408" s="18"/>
      <c r="U6408" s="18"/>
      <c r="V6408" s="18"/>
      <c r="W6408" s="18"/>
      <c r="X6408" s="18"/>
    </row>
    <row r="6409" spans="13:24">
      <c r="M6409" s="558">
        <f t="shared" si="305"/>
        <v>6407</v>
      </c>
      <c r="N6409" s="15">
        <f t="shared" si="303"/>
        <v>0.14101755719270245</v>
      </c>
      <c r="O6409" s="165">
        <f t="shared" si="304"/>
        <v>0.14101755719270245</v>
      </c>
      <c r="P6409" s="18"/>
      <c r="Q6409" s="18"/>
      <c r="R6409" s="18"/>
      <c r="S6409" s="18"/>
      <c r="T6409" s="18"/>
      <c r="U6409" s="18"/>
      <c r="V6409" s="18"/>
      <c r="W6409" s="18"/>
      <c r="X6409" s="18"/>
    </row>
    <row r="6410" spans="13:24">
      <c r="M6410" s="558">
        <f t="shared" si="305"/>
        <v>6408</v>
      </c>
      <c r="N6410" s="15">
        <f t="shared" si="303"/>
        <v>0.14096600628302536</v>
      </c>
      <c r="O6410" s="165">
        <f t="shared" si="304"/>
        <v>0.14096600628302536</v>
      </c>
      <c r="P6410" s="18"/>
      <c r="Q6410" s="18"/>
      <c r="R6410" s="18"/>
      <c r="S6410" s="18"/>
      <c r="T6410" s="18"/>
      <c r="U6410" s="18"/>
      <c r="V6410" s="18"/>
      <c r="W6410" s="18"/>
      <c r="X6410" s="18"/>
    </row>
    <row r="6411" spans="13:24">
      <c r="M6411" s="558">
        <f t="shared" si="305"/>
        <v>6409</v>
      </c>
      <c r="N6411" s="15">
        <f t="shared" si="303"/>
        <v>0.14091445560054733</v>
      </c>
      <c r="O6411" s="165">
        <f t="shared" si="304"/>
        <v>0.14091445560054733</v>
      </c>
      <c r="P6411" s="18"/>
      <c r="Q6411" s="18"/>
      <c r="R6411" s="18"/>
      <c r="S6411" s="18"/>
      <c r="T6411" s="18"/>
      <c r="U6411" s="18"/>
      <c r="V6411" s="18"/>
      <c r="W6411" s="18"/>
      <c r="X6411" s="18"/>
    </row>
    <row r="6412" spans="13:24">
      <c r="M6412" s="558">
        <f t="shared" si="305"/>
        <v>6410</v>
      </c>
      <c r="N6412" s="15">
        <f t="shared" si="303"/>
        <v>0.14086290514498317</v>
      </c>
      <c r="O6412" s="165">
        <f t="shared" si="304"/>
        <v>0.14086290514498317</v>
      </c>
      <c r="P6412" s="18"/>
      <c r="Q6412" s="18"/>
      <c r="R6412" s="18"/>
      <c r="S6412" s="18"/>
      <c r="T6412" s="18"/>
      <c r="U6412" s="18"/>
      <c r="V6412" s="18"/>
      <c r="W6412" s="18"/>
      <c r="X6412" s="18"/>
    </row>
    <row r="6413" spans="13:24">
      <c r="M6413" s="558">
        <f t="shared" si="305"/>
        <v>6411</v>
      </c>
      <c r="N6413" s="15">
        <f t="shared" si="303"/>
        <v>0.14081135491604821</v>
      </c>
      <c r="O6413" s="165">
        <f t="shared" si="304"/>
        <v>0.14081135491604821</v>
      </c>
      <c r="P6413" s="18"/>
      <c r="Q6413" s="18"/>
      <c r="R6413" s="18"/>
      <c r="S6413" s="18"/>
      <c r="T6413" s="18"/>
      <c r="U6413" s="18"/>
      <c r="V6413" s="18"/>
      <c r="W6413" s="18"/>
      <c r="X6413" s="18"/>
    </row>
    <row r="6414" spans="13:24">
      <c r="M6414" s="558">
        <f t="shared" si="305"/>
        <v>6412</v>
      </c>
      <c r="N6414" s="15">
        <f t="shared" si="303"/>
        <v>0.14075980491345794</v>
      </c>
      <c r="O6414" s="165">
        <f t="shared" si="304"/>
        <v>0.14075980491345794</v>
      </c>
      <c r="P6414" s="18"/>
      <c r="Q6414" s="18"/>
      <c r="R6414" s="18"/>
      <c r="S6414" s="18"/>
      <c r="T6414" s="18"/>
      <c r="U6414" s="18"/>
      <c r="V6414" s="18"/>
      <c r="W6414" s="18"/>
      <c r="X6414" s="18"/>
    </row>
    <row r="6415" spans="13:24">
      <c r="M6415" s="558">
        <f t="shared" si="305"/>
        <v>6413</v>
      </c>
      <c r="N6415" s="15">
        <f t="shared" si="303"/>
        <v>0.14070825513692842</v>
      </c>
      <c r="O6415" s="165">
        <f t="shared" si="304"/>
        <v>0.14070825513692842</v>
      </c>
      <c r="P6415" s="18"/>
      <c r="Q6415" s="18"/>
      <c r="R6415" s="18"/>
      <c r="S6415" s="18"/>
      <c r="T6415" s="18"/>
      <c r="U6415" s="18"/>
      <c r="V6415" s="18"/>
      <c r="W6415" s="18"/>
      <c r="X6415" s="18"/>
    </row>
    <row r="6416" spans="13:24">
      <c r="M6416" s="558">
        <f t="shared" si="305"/>
        <v>6414</v>
      </c>
      <c r="N6416" s="15">
        <f t="shared" si="303"/>
        <v>0.14065670558617588</v>
      </c>
      <c r="O6416" s="165">
        <f t="shared" si="304"/>
        <v>0.14065670558617588</v>
      </c>
      <c r="P6416" s="18"/>
      <c r="Q6416" s="18"/>
      <c r="R6416" s="18"/>
      <c r="S6416" s="18"/>
      <c r="T6416" s="18"/>
      <c r="U6416" s="18"/>
      <c r="V6416" s="18"/>
      <c r="W6416" s="18"/>
      <c r="X6416" s="18"/>
    </row>
    <row r="6417" spans="13:24">
      <c r="M6417" s="558">
        <f t="shared" si="305"/>
        <v>6415</v>
      </c>
      <c r="N6417" s="15">
        <f t="shared" si="303"/>
        <v>0.14060515626091702</v>
      </c>
      <c r="O6417" s="165">
        <f t="shared" si="304"/>
        <v>0.14060515626091702</v>
      </c>
      <c r="P6417" s="18"/>
      <c r="Q6417" s="18"/>
      <c r="R6417" s="18"/>
      <c r="S6417" s="18"/>
      <c r="T6417" s="18"/>
      <c r="U6417" s="18"/>
      <c r="V6417" s="18"/>
      <c r="W6417" s="18"/>
      <c r="X6417" s="18"/>
    </row>
    <row r="6418" spans="13:24">
      <c r="M6418" s="558">
        <f t="shared" si="305"/>
        <v>6416</v>
      </c>
      <c r="N6418" s="15">
        <f t="shared" si="303"/>
        <v>0.1405536071608689</v>
      </c>
      <c r="O6418" s="165">
        <f t="shared" si="304"/>
        <v>0.1405536071608689</v>
      </c>
      <c r="P6418" s="18"/>
      <c r="Q6418" s="18"/>
      <c r="R6418" s="18"/>
      <c r="S6418" s="18"/>
      <c r="T6418" s="18"/>
      <c r="U6418" s="18"/>
      <c r="V6418" s="18"/>
      <c r="W6418" s="18"/>
      <c r="X6418" s="18"/>
    </row>
    <row r="6419" spans="13:24">
      <c r="M6419" s="558">
        <f t="shared" si="305"/>
        <v>6417</v>
      </c>
      <c r="N6419" s="15">
        <f t="shared" si="303"/>
        <v>0.14050205828574883</v>
      </c>
      <c r="O6419" s="165">
        <f t="shared" si="304"/>
        <v>0.14050205828574883</v>
      </c>
      <c r="P6419" s="18"/>
      <c r="Q6419" s="18"/>
      <c r="R6419" s="18"/>
      <c r="S6419" s="18"/>
      <c r="T6419" s="18"/>
      <c r="U6419" s="18"/>
      <c r="V6419" s="18"/>
      <c r="W6419" s="18"/>
      <c r="X6419" s="18"/>
    </row>
    <row r="6420" spans="13:24">
      <c r="M6420" s="558">
        <f t="shared" si="305"/>
        <v>6418</v>
      </c>
      <c r="N6420" s="15">
        <f t="shared" si="303"/>
        <v>0.14045050963527458</v>
      </c>
      <c r="O6420" s="165">
        <f t="shared" si="304"/>
        <v>0.14045050963527458</v>
      </c>
      <c r="P6420" s="18"/>
      <c r="Q6420" s="18"/>
      <c r="R6420" s="18"/>
      <c r="S6420" s="18"/>
      <c r="T6420" s="18"/>
      <c r="U6420" s="18"/>
      <c r="V6420" s="18"/>
      <c r="W6420" s="18"/>
      <c r="X6420" s="18"/>
    </row>
    <row r="6421" spans="13:24">
      <c r="M6421" s="558">
        <f t="shared" si="305"/>
        <v>6419</v>
      </c>
      <c r="N6421" s="15">
        <f t="shared" si="303"/>
        <v>0.14039896120916423</v>
      </c>
      <c r="O6421" s="165">
        <f t="shared" si="304"/>
        <v>0.14039896120916423</v>
      </c>
      <c r="P6421" s="18"/>
      <c r="Q6421" s="18"/>
      <c r="R6421" s="18"/>
      <c r="S6421" s="18"/>
      <c r="T6421" s="18"/>
      <c r="U6421" s="18"/>
      <c r="V6421" s="18"/>
      <c r="W6421" s="18"/>
      <c r="X6421" s="18"/>
    </row>
    <row r="6422" spans="13:24">
      <c r="M6422" s="558">
        <f t="shared" si="305"/>
        <v>6420</v>
      </c>
      <c r="N6422" s="15">
        <f t="shared" si="303"/>
        <v>0.14034741300713627</v>
      </c>
      <c r="O6422" s="165">
        <f t="shared" si="304"/>
        <v>0.14034741300713627</v>
      </c>
      <c r="P6422" s="18"/>
      <c r="Q6422" s="18"/>
      <c r="R6422" s="18"/>
      <c r="S6422" s="18"/>
      <c r="T6422" s="18"/>
      <c r="U6422" s="18"/>
      <c r="V6422" s="18"/>
      <c r="W6422" s="18"/>
      <c r="X6422" s="18"/>
    </row>
    <row r="6423" spans="13:24">
      <c r="M6423" s="558">
        <f t="shared" si="305"/>
        <v>6421</v>
      </c>
      <c r="N6423" s="15">
        <f t="shared" si="303"/>
        <v>0.14029586502890939</v>
      </c>
      <c r="O6423" s="165">
        <f t="shared" si="304"/>
        <v>0.14029586502890939</v>
      </c>
      <c r="P6423" s="18"/>
      <c r="Q6423" s="18"/>
      <c r="R6423" s="18"/>
      <c r="S6423" s="18"/>
      <c r="T6423" s="18"/>
      <c r="U6423" s="18"/>
      <c r="V6423" s="18"/>
      <c r="W6423" s="18"/>
      <c r="X6423" s="18"/>
    </row>
    <row r="6424" spans="13:24">
      <c r="M6424" s="558">
        <f t="shared" si="305"/>
        <v>6422</v>
      </c>
      <c r="N6424" s="15">
        <f t="shared" si="303"/>
        <v>0.14024431727420286</v>
      </c>
      <c r="O6424" s="165">
        <f t="shared" si="304"/>
        <v>0.14024431727420286</v>
      </c>
      <c r="P6424" s="18"/>
      <c r="Q6424" s="18"/>
      <c r="R6424" s="18"/>
      <c r="S6424" s="18"/>
      <c r="T6424" s="18"/>
      <c r="U6424" s="18"/>
      <c r="V6424" s="18"/>
      <c r="W6424" s="18"/>
      <c r="X6424" s="18"/>
    </row>
    <row r="6425" spans="13:24">
      <c r="M6425" s="558">
        <f t="shared" si="305"/>
        <v>6423</v>
      </c>
      <c r="N6425" s="15">
        <f t="shared" si="303"/>
        <v>0.14019276974273606</v>
      </c>
      <c r="O6425" s="165">
        <f t="shared" si="304"/>
        <v>0.14019276974273606</v>
      </c>
      <c r="P6425" s="18"/>
      <c r="Q6425" s="18"/>
      <c r="R6425" s="18"/>
      <c r="S6425" s="18"/>
      <c r="T6425" s="18"/>
      <c r="U6425" s="18"/>
      <c r="V6425" s="18"/>
      <c r="W6425" s="18"/>
      <c r="X6425" s="18"/>
    </row>
    <row r="6426" spans="13:24">
      <c r="M6426" s="558">
        <f t="shared" si="305"/>
        <v>6424</v>
      </c>
      <c r="N6426" s="15">
        <f t="shared" si="303"/>
        <v>0.14014122243422894</v>
      </c>
      <c r="O6426" s="165">
        <f t="shared" si="304"/>
        <v>0.14014122243422894</v>
      </c>
      <c r="P6426" s="18"/>
      <c r="Q6426" s="18"/>
      <c r="R6426" s="18"/>
      <c r="S6426" s="18"/>
      <c r="T6426" s="18"/>
      <c r="U6426" s="18"/>
      <c r="V6426" s="18"/>
      <c r="W6426" s="18"/>
      <c r="X6426" s="18"/>
    </row>
    <row r="6427" spans="13:24">
      <c r="M6427" s="558">
        <f t="shared" si="305"/>
        <v>6425</v>
      </c>
      <c r="N6427" s="15">
        <f t="shared" si="303"/>
        <v>0.14008967534840164</v>
      </c>
      <c r="O6427" s="165">
        <f t="shared" si="304"/>
        <v>0.14008967534840164</v>
      </c>
      <c r="P6427" s="18"/>
      <c r="Q6427" s="18"/>
      <c r="R6427" s="18"/>
      <c r="S6427" s="18"/>
      <c r="T6427" s="18"/>
      <c r="U6427" s="18"/>
      <c r="V6427" s="18"/>
      <c r="W6427" s="18"/>
      <c r="X6427" s="18"/>
    </row>
    <row r="6428" spans="13:24">
      <c r="M6428" s="558">
        <f t="shared" si="305"/>
        <v>6426</v>
      </c>
      <c r="N6428" s="15">
        <f t="shared" si="303"/>
        <v>0.14003812848497477</v>
      </c>
      <c r="O6428" s="165">
        <f t="shared" si="304"/>
        <v>0.14003812848497477</v>
      </c>
      <c r="P6428" s="18"/>
      <c r="Q6428" s="18"/>
      <c r="R6428" s="18"/>
      <c r="S6428" s="18"/>
      <c r="T6428" s="18"/>
      <c r="U6428" s="18"/>
      <c r="V6428" s="18"/>
      <c r="W6428" s="18"/>
      <c r="X6428" s="18"/>
    </row>
    <row r="6429" spans="13:24">
      <c r="M6429" s="558">
        <f t="shared" si="305"/>
        <v>6427</v>
      </c>
      <c r="N6429" s="15">
        <f t="shared" si="303"/>
        <v>0.13998658184366919</v>
      </c>
      <c r="O6429" s="165">
        <f t="shared" si="304"/>
        <v>0.13998658184366919</v>
      </c>
      <c r="P6429" s="18"/>
      <c r="Q6429" s="18"/>
      <c r="R6429" s="18"/>
      <c r="S6429" s="18"/>
      <c r="T6429" s="18"/>
      <c r="U6429" s="18"/>
      <c r="V6429" s="18"/>
      <c r="W6429" s="18"/>
      <c r="X6429" s="18"/>
    </row>
    <row r="6430" spans="13:24">
      <c r="M6430" s="558">
        <f t="shared" si="305"/>
        <v>6428</v>
      </c>
      <c r="N6430" s="15">
        <f t="shared" si="303"/>
        <v>0.13993503542420616</v>
      </c>
      <c r="O6430" s="165">
        <f t="shared" si="304"/>
        <v>0.13993503542420616</v>
      </c>
      <c r="P6430" s="18"/>
      <c r="Q6430" s="18"/>
      <c r="R6430" s="18"/>
      <c r="S6430" s="18"/>
      <c r="T6430" s="18"/>
      <c r="U6430" s="18"/>
      <c r="V6430" s="18"/>
      <c r="W6430" s="18"/>
      <c r="X6430" s="18"/>
    </row>
    <row r="6431" spans="13:24">
      <c r="M6431" s="558">
        <f t="shared" si="305"/>
        <v>6429</v>
      </c>
      <c r="N6431" s="15">
        <f t="shared" si="303"/>
        <v>0.13988348922630728</v>
      </c>
      <c r="O6431" s="165">
        <f t="shared" si="304"/>
        <v>0.13988348922630728</v>
      </c>
      <c r="P6431" s="18"/>
      <c r="Q6431" s="18"/>
      <c r="R6431" s="18"/>
      <c r="S6431" s="18"/>
      <c r="T6431" s="18"/>
      <c r="U6431" s="18"/>
      <c r="V6431" s="18"/>
      <c r="W6431" s="18"/>
      <c r="X6431" s="18"/>
    </row>
    <row r="6432" spans="13:24">
      <c r="M6432" s="558">
        <f t="shared" si="305"/>
        <v>6430</v>
      </c>
      <c r="N6432" s="15">
        <f t="shared" si="303"/>
        <v>0.13983194324969453</v>
      </c>
      <c r="O6432" s="165">
        <f t="shared" si="304"/>
        <v>0.13983194324969453</v>
      </c>
      <c r="P6432" s="18"/>
      <c r="Q6432" s="18"/>
      <c r="R6432" s="18"/>
      <c r="S6432" s="18"/>
      <c r="T6432" s="18"/>
      <c r="U6432" s="18"/>
      <c r="V6432" s="18"/>
      <c r="W6432" s="18"/>
      <c r="X6432" s="18"/>
    </row>
    <row r="6433" spans="13:24">
      <c r="M6433" s="558">
        <f t="shared" si="305"/>
        <v>6431</v>
      </c>
      <c r="N6433" s="15">
        <f t="shared" si="303"/>
        <v>0.13978039749409024</v>
      </c>
      <c r="O6433" s="165">
        <f t="shared" si="304"/>
        <v>0.13978039749409024</v>
      </c>
      <c r="P6433" s="18"/>
      <c r="Q6433" s="18"/>
      <c r="R6433" s="18"/>
      <c r="S6433" s="18"/>
      <c r="T6433" s="18"/>
      <c r="U6433" s="18"/>
      <c r="V6433" s="18"/>
      <c r="W6433" s="18"/>
      <c r="X6433" s="18"/>
    </row>
    <row r="6434" spans="13:24">
      <c r="M6434" s="558">
        <f t="shared" si="305"/>
        <v>6432</v>
      </c>
      <c r="N6434" s="15">
        <f t="shared" si="303"/>
        <v>0.13972885195921697</v>
      </c>
      <c r="O6434" s="165">
        <f t="shared" si="304"/>
        <v>0.13972885195921697</v>
      </c>
      <c r="P6434" s="18"/>
      <c r="Q6434" s="18"/>
      <c r="R6434" s="18"/>
      <c r="S6434" s="18"/>
      <c r="T6434" s="18"/>
      <c r="U6434" s="18"/>
      <c r="V6434" s="18"/>
      <c r="W6434" s="18"/>
      <c r="X6434" s="18"/>
    </row>
    <row r="6435" spans="13:24">
      <c r="M6435" s="558">
        <f t="shared" si="305"/>
        <v>6433</v>
      </c>
      <c r="N6435" s="15">
        <f t="shared" si="303"/>
        <v>0.13967730664479783</v>
      </c>
      <c r="O6435" s="165">
        <f t="shared" si="304"/>
        <v>0.13967730664479783</v>
      </c>
      <c r="P6435" s="18"/>
      <c r="Q6435" s="18"/>
      <c r="R6435" s="18"/>
      <c r="S6435" s="18"/>
      <c r="T6435" s="18"/>
      <c r="U6435" s="18"/>
      <c r="V6435" s="18"/>
      <c r="W6435" s="18"/>
      <c r="X6435" s="18"/>
    </row>
    <row r="6436" spans="13:24">
      <c r="M6436" s="558">
        <f t="shared" si="305"/>
        <v>6434</v>
      </c>
      <c r="N6436" s="15">
        <f t="shared" si="303"/>
        <v>0.13962576155055606</v>
      </c>
      <c r="O6436" s="165">
        <f t="shared" si="304"/>
        <v>0.13962576155055606</v>
      </c>
      <c r="P6436" s="18"/>
      <c r="Q6436" s="18"/>
      <c r="R6436" s="18"/>
      <c r="S6436" s="18"/>
      <c r="T6436" s="18"/>
      <c r="U6436" s="18"/>
      <c r="V6436" s="18"/>
      <c r="W6436" s="18"/>
      <c r="X6436" s="18"/>
    </row>
    <row r="6437" spans="13:24">
      <c r="M6437" s="558">
        <f t="shared" si="305"/>
        <v>6435</v>
      </c>
      <c r="N6437" s="15">
        <f t="shared" si="303"/>
        <v>0.13957421667621545</v>
      </c>
      <c r="O6437" s="165">
        <f t="shared" si="304"/>
        <v>0.13957421667621545</v>
      </c>
      <c r="P6437" s="18"/>
      <c r="Q6437" s="18"/>
      <c r="R6437" s="18"/>
      <c r="S6437" s="18"/>
      <c r="T6437" s="18"/>
      <c r="U6437" s="18"/>
      <c r="V6437" s="18"/>
      <c r="W6437" s="18"/>
      <c r="X6437" s="18"/>
    </row>
    <row r="6438" spans="13:24">
      <c r="M6438" s="558">
        <f t="shared" si="305"/>
        <v>6436</v>
      </c>
      <c r="N6438" s="15">
        <f t="shared" si="303"/>
        <v>0.13952267202149998</v>
      </c>
      <c r="O6438" s="165">
        <f t="shared" si="304"/>
        <v>0.13952267202149998</v>
      </c>
      <c r="P6438" s="18"/>
      <c r="Q6438" s="18"/>
      <c r="R6438" s="18"/>
      <c r="S6438" s="18"/>
      <c r="T6438" s="18"/>
      <c r="U6438" s="18"/>
      <c r="V6438" s="18"/>
      <c r="W6438" s="18"/>
      <c r="X6438" s="18"/>
    </row>
    <row r="6439" spans="13:24">
      <c r="M6439" s="558">
        <f t="shared" si="305"/>
        <v>6437</v>
      </c>
      <c r="N6439" s="15">
        <f t="shared" si="303"/>
        <v>0.13947112758613409</v>
      </c>
      <c r="O6439" s="165">
        <f t="shared" si="304"/>
        <v>0.13947112758613409</v>
      </c>
      <c r="P6439" s="18"/>
      <c r="Q6439" s="18"/>
      <c r="R6439" s="18"/>
      <c r="S6439" s="18"/>
      <c r="T6439" s="18"/>
      <c r="U6439" s="18"/>
      <c r="V6439" s="18"/>
      <c r="W6439" s="18"/>
      <c r="X6439" s="18"/>
    </row>
    <row r="6440" spans="13:24">
      <c r="M6440" s="558">
        <f t="shared" si="305"/>
        <v>6438</v>
      </c>
      <c r="N6440" s="15">
        <f t="shared" si="303"/>
        <v>0.13941958336984242</v>
      </c>
      <c r="O6440" s="165">
        <f t="shared" si="304"/>
        <v>0.13941958336984242</v>
      </c>
      <c r="P6440" s="18"/>
      <c r="Q6440" s="18"/>
      <c r="R6440" s="18"/>
      <c r="S6440" s="18"/>
      <c r="T6440" s="18"/>
      <c r="U6440" s="18"/>
      <c r="V6440" s="18"/>
      <c r="W6440" s="18"/>
      <c r="X6440" s="18"/>
    </row>
    <row r="6441" spans="13:24">
      <c r="M6441" s="558">
        <f t="shared" si="305"/>
        <v>6439</v>
      </c>
      <c r="N6441" s="15">
        <f t="shared" si="303"/>
        <v>0.13936803937235018</v>
      </c>
      <c r="O6441" s="165">
        <f t="shared" si="304"/>
        <v>0.13936803937235018</v>
      </c>
      <c r="P6441" s="18"/>
      <c r="Q6441" s="18"/>
      <c r="R6441" s="18"/>
      <c r="S6441" s="18"/>
      <c r="T6441" s="18"/>
      <c r="U6441" s="18"/>
      <c r="V6441" s="18"/>
      <c r="W6441" s="18"/>
      <c r="X6441" s="18"/>
    </row>
    <row r="6442" spans="13:24">
      <c r="M6442" s="558">
        <f t="shared" si="305"/>
        <v>6440</v>
      </c>
      <c r="N6442" s="15">
        <f t="shared" si="303"/>
        <v>0.13931649559338266</v>
      </c>
      <c r="O6442" s="165">
        <f t="shared" si="304"/>
        <v>0.13931649559338266</v>
      </c>
      <c r="P6442" s="18"/>
      <c r="Q6442" s="18"/>
      <c r="R6442" s="18"/>
      <c r="S6442" s="18"/>
      <c r="T6442" s="18"/>
      <c r="U6442" s="18"/>
      <c r="V6442" s="18"/>
      <c r="W6442" s="18"/>
      <c r="X6442" s="18"/>
    </row>
    <row r="6443" spans="13:24">
      <c r="M6443" s="558">
        <f t="shared" si="305"/>
        <v>6441</v>
      </c>
      <c r="N6443" s="15">
        <f t="shared" si="303"/>
        <v>0.13926495203266576</v>
      </c>
      <c r="O6443" s="165">
        <f t="shared" si="304"/>
        <v>0.13926495203266576</v>
      </c>
      <c r="P6443" s="18"/>
      <c r="Q6443" s="18"/>
      <c r="R6443" s="18"/>
      <c r="S6443" s="18"/>
      <c r="T6443" s="18"/>
      <c r="U6443" s="18"/>
      <c r="V6443" s="18"/>
      <c r="W6443" s="18"/>
      <c r="X6443" s="18"/>
    </row>
    <row r="6444" spans="13:24">
      <c r="M6444" s="558">
        <f t="shared" si="305"/>
        <v>6442</v>
      </c>
      <c r="N6444" s="15">
        <f t="shared" si="303"/>
        <v>0.13921340868992549</v>
      </c>
      <c r="O6444" s="165">
        <f t="shared" si="304"/>
        <v>0.13921340868992549</v>
      </c>
      <c r="P6444" s="18"/>
      <c r="Q6444" s="18"/>
      <c r="R6444" s="18"/>
      <c r="S6444" s="18"/>
      <c r="T6444" s="18"/>
      <c r="U6444" s="18"/>
      <c r="V6444" s="18"/>
      <c r="W6444" s="18"/>
      <c r="X6444" s="18"/>
    </row>
    <row r="6445" spans="13:24">
      <c r="M6445" s="558">
        <f t="shared" si="305"/>
        <v>6443</v>
      </c>
      <c r="N6445" s="15">
        <f t="shared" si="303"/>
        <v>0.13916186556488835</v>
      </c>
      <c r="O6445" s="165">
        <f t="shared" si="304"/>
        <v>0.13916186556488835</v>
      </c>
      <c r="P6445" s="18"/>
      <c r="Q6445" s="18"/>
      <c r="R6445" s="18"/>
      <c r="S6445" s="18"/>
      <c r="T6445" s="18"/>
      <c r="U6445" s="18"/>
      <c r="V6445" s="18"/>
      <c r="W6445" s="18"/>
      <c r="X6445" s="18"/>
    </row>
    <row r="6446" spans="13:24">
      <c r="M6446" s="558">
        <f t="shared" si="305"/>
        <v>6444</v>
      </c>
      <c r="N6446" s="15">
        <f t="shared" si="303"/>
        <v>0.13911032265728113</v>
      </c>
      <c r="O6446" s="165">
        <f t="shared" si="304"/>
        <v>0.13911032265728113</v>
      </c>
      <c r="P6446" s="18"/>
      <c r="Q6446" s="18"/>
      <c r="R6446" s="18"/>
      <c r="S6446" s="18"/>
      <c r="T6446" s="18"/>
      <c r="U6446" s="18"/>
      <c r="V6446" s="18"/>
      <c r="W6446" s="18"/>
      <c r="X6446" s="18"/>
    </row>
    <row r="6447" spans="13:24">
      <c r="M6447" s="558">
        <f t="shared" si="305"/>
        <v>6445</v>
      </c>
      <c r="N6447" s="15">
        <f t="shared" si="303"/>
        <v>0.13905877996683097</v>
      </c>
      <c r="O6447" s="165">
        <f t="shared" si="304"/>
        <v>0.13905877996683097</v>
      </c>
      <c r="P6447" s="18"/>
      <c r="Q6447" s="18"/>
      <c r="R6447" s="18"/>
      <c r="S6447" s="18"/>
      <c r="T6447" s="18"/>
      <c r="U6447" s="18"/>
      <c r="V6447" s="18"/>
      <c r="W6447" s="18"/>
      <c r="X6447" s="18"/>
    </row>
    <row r="6448" spans="13:24">
      <c r="M6448" s="558">
        <f t="shared" si="305"/>
        <v>6446</v>
      </c>
      <c r="N6448" s="15">
        <f t="shared" si="303"/>
        <v>0.13900723749326541</v>
      </c>
      <c r="O6448" s="165">
        <f t="shared" si="304"/>
        <v>0.13900723749326541</v>
      </c>
      <c r="P6448" s="18"/>
      <c r="Q6448" s="18"/>
      <c r="R6448" s="18"/>
      <c r="S6448" s="18"/>
      <c r="T6448" s="18"/>
      <c r="U6448" s="18"/>
      <c r="V6448" s="18"/>
      <c r="W6448" s="18"/>
      <c r="X6448" s="18"/>
    </row>
    <row r="6449" spans="13:24">
      <c r="M6449" s="558">
        <f t="shared" si="305"/>
        <v>6447</v>
      </c>
      <c r="N6449" s="15">
        <f t="shared" si="303"/>
        <v>0.13895569523631218</v>
      </c>
      <c r="O6449" s="165">
        <f t="shared" si="304"/>
        <v>0.13895569523631218</v>
      </c>
      <c r="P6449" s="18"/>
      <c r="Q6449" s="18"/>
      <c r="R6449" s="18"/>
      <c r="S6449" s="18"/>
      <c r="T6449" s="18"/>
      <c r="U6449" s="18"/>
      <c r="V6449" s="18"/>
      <c r="W6449" s="18"/>
      <c r="X6449" s="18"/>
    </row>
    <row r="6450" spans="13:24">
      <c r="M6450" s="558">
        <f t="shared" si="305"/>
        <v>6448</v>
      </c>
      <c r="N6450" s="15">
        <f t="shared" si="303"/>
        <v>0.13890415319569951</v>
      </c>
      <c r="O6450" s="165">
        <f t="shared" si="304"/>
        <v>0.13890415319569951</v>
      </c>
      <c r="P6450" s="18"/>
      <c r="Q6450" s="18"/>
      <c r="R6450" s="18"/>
      <c r="S6450" s="18"/>
      <c r="T6450" s="18"/>
      <c r="U6450" s="18"/>
      <c r="V6450" s="18"/>
      <c r="W6450" s="18"/>
      <c r="X6450" s="18"/>
    </row>
    <row r="6451" spans="13:24">
      <c r="M6451" s="558">
        <f t="shared" si="305"/>
        <v>6449</v>
      </c>
      <c r="N6451" s="15">
        <f t="shared" si="303"/>
        <v>0.1388526113711559</v>
      </c>
      <c r="O6451" s="165">
        <f t="shared" si="304"/>
        <v>0.1388526113711559</v>
      </c>
      <c r="P6451" s="18"/>
      <c r="Q6451" s="18"/>
      <c r="R6451" s="18"/>
      <c r="S6451" s="18"/>
      <c r="T6451" s="18"/>
      <c r="U6451" s="18"/>
      <c r="V6451" s="18"/>
      <c r="W6451" s="18"/>
      <c r="X6451" s="18"/>
    </row>
    <row r="6452" spans="13:24">
      <c r="M6452" s="558">
        <f t="shared" si="305"/>
        <v>6450</v>
      </c>
      <c r="N6452" s="15">
        <f t="shared" si="303"/>
        <v>0.13880106976241025</v>
      </c>
      <c r="O6452" s="165">
        <f t="shared" si="304"/>
        <v>0.13880106976241025</v>
      </c>
      <c r="P6452" s="18"/>
      <c r="Q6452" s="18"/>
      <c r="R6452" s="18"/>
      <c r="S6452" s="18"/>
      <c r="T6452" s="18"/>
      <c r="U6452" s="18"/>
      <c r="V6452" s="18"/>
      <c r="W6452" s="18"/>
      <c r="X6452" s="18"/>
    </row>
    <row r="6453" spans="13:24">
      <c r="M6453" s="558">
        <f t="shared" si="305"/>
        <v>6451</v>
      </c>
      <c r="N6453" s="15">
        <f t="shared" si="303"/>
        <v>0.13874952836919163</v>
      </c>
      <c r="O6453" s="165">
        <f t="shared" si="304"/>
        <v>0.13874952836919163</v>
      </c>
      <c r="P6453" s="18"/>
      <c r="Q6453" s="18"/>
      <c r="R6453" s="18"/>
      <c r="S6453" s="18"/>
      <c r="T6453" s="18"/>
      <c r="U6453" s="18"/>
      <c r="V6453" s="18"/>
      <c r="W6453" s="18"/>
      <c r="X6453" s="18"/>
    </row>
    <row r="6454" spans="13:24">
      <c r="M6454" s="558">
        <f t="shared" si="305"/>
        <v>6452</v>
      </c>
      <c r="N6454" s="15">
        <f t="shared" si="303"/>
        <v>0.13869798719122969</v>
      </c>
      <c r="O6454" s="165">
        <f t="shared" si="304"/>
        <v>0.13869798719122969</v>
      </c>
      <c r="P6454" s="18"/>
      <c r="Q6454" s="18"/>
      <c r="R6454" s="18"/>
      <c r="S6454" s="18"/>
      <c r="T6454" s="18"/>
      <c r="U6454" s="18"/>
      <c r="V6454" s="18"/>
      <c r="W6454" s="18"/>
      <c r="X6454" s="18"/>
    </row>
    <row r="6455" spans="13:24">
      <c r="M6455" s="558">
        <f t="shared" si="305"/>
        <v>6453</v>
      </c>
      <c r="N6455" s="15">
        <f t="shared" si="303"/>
        <v>0.1386464462282542</v>
      </c>
      <c r="O6455" s="165">
        <f t="shared" si="304"/>
        <v>0.1386464462282542</v>
      </c>
      <c r="P6455" s="18"/>
      <c r="Q6455" s="18"/>
      <c r="R6455" s="18"/>
      <c r="S6455" s="18"/>
      <c r="T6455" s="18"/>
      <c r="U6455" s="18"/>
      <c r="V6455" s="18"/>
      <c r="W6455" s="18"/>
      <c r="X6455" s="18"/>
    </row>
    <row r="6456" spans="13:24">
      <c r="M6456" s="558">
        <f t="shared" si="305"/>
        <v>6454</v>
      </c>
      <c r="N6456" s="15">
        <f t="shared" si="303"/>
        <v>0.13859490547999548</v>
      </c>
      <c r="O6456" s="165">
        <f t="shared" si="304"/>
        <v>0.13859490547999548</v>
      </c>
      <c r="P6456" s="18"/>
      <c r="Q6456" s="18"/>
      <c r="R6456" s="18"/>
      <c r="S6456" s="18"/>
      <c r="T6456" s="18"/>
      <c r="U6456" s="18"/>
      <c r="V6456" s="18"/>
      <c r="W6456" s="18"/>
      <c r="X6456" s="18"/>
    </row>
    <row r="6457" spans="13:24">
      <c r="M6457" s="558">
        <f t="shared" si="305"/>
        <v>6455</v>
      </c>
      <c r="N6457" s="15">
        <f t="shared" si="303"/>
        <v>0.13854336494618397</v>
      </c>
      <c r="O6457" s="165">
        <f t="shared" si="304"/>
        <v>0.13854336494618397</v>
      </c>
      <c r="P6457" s="18"/>
      <c r="Q6457" s="18"/>
      <c r="R6457" s="18"/>
      <c r="S6457" s="18"/>
      <c r="T6457" s="18"/>
      <c r="U6457" s="18"/>
      <c r="V6457" s="18"/>
      <c r="W6457" s="18"/>
      <c r="X6457" s="18"/>
    </row>
    <row r="6458" spans="13:24">
      <c r="M6458" s="558">
        <f t="shared" si="305"/>
        <v>6456</v>
      </c>
      <c r="N6458" s="15">
        <f t="shared" si="303"/>
        <v>0.13849182462655066</v>
      </c>
      <c r="O6458" s="165">
        <f t="shared" si="304"/>
        <v>0.13849182462655066</v>
      </c>
      <c r="P6458" s="18"/>
      <c r="Q6458" s="18"/>
      <c r="R6458" s="18"/>
      <c r="S6458" s="18"/>
      <c r="T6458" s="18"/>
      <c r="U6458" s="18"/>
      <c r="V6458" s="18"/>
      <c r="W6458" s="18"/>
      <c r="X6458" s="18"/>
    </row>
    <row r="6459" spans="13:24">
      <c r="M6459" s="558">
        <f t="shared" si="305"/>
        <v>6457</v>
      </c>
      <c r="N6459" s="15">
        <f t="shared" si="303"/>
        <v>0.13844028452082666</v>
      </c>
      <c r="O6459" s="165">
        <f t="shared" si="304"/>
        <v>0.13844028452082666</v>
      </c>
      <c r="P6459" s="18"/>
      <c r="Q6459" s="18"/>
      <c r="R6459" s="18"/>
      <c r="S6459" s="18"/>
      <c r="T6459" s="18"/>
      <c r="U6459" s="18"/>
      <c r="V6459" s="18"/>
      <c r="W6459" s="18"/>
      <c r="X6459" s="18"/>
    </row>
    <row r="6460" spans="13:24">
      <c r="M6460" s="558">
        <f t="shared" si="305"/>
        <v>6458</v>
      </c>
      <c r="N6460" s="15">
        <f t="shared" si="303"/>
        <v>0.13838874462874365</v>
      </c>
      <c r="O6460" s="165">
        <f t="shared" si="304"/>
        <v>0.13838874462874365</v>
      </c>
      <c r="P6460" s="18"/>
      <c r="Q6460" s="18"/>
      <c r="R6460" s="18"/>
      <c r="S6460" s="18"/>
      <c r="T6460" s="18"/>
      <c r="U6460" s="18"/>
      <c r="V6460" s="18"/>
      <c r="W6460" s="18"/>
      <c r="X6460" s="18"/>
    </row>
    <row r="6461" spans="13:24">
      <c r="M6461" s="558">
        <f t="shared" si="305"/>
        <v>6459</v>
      </c>
      <c r="N6461" s="15">
        <f t="shared" si="303"/>
        <v>0.1383372049500334</v>
      </c>
      <c r="O6461" s="165">
        <f t="shared" si="304"/>
        <v>0.1383372049500334</v>
      </c>
      <c r="P6461" s="18"/>
      <c r="Q6461" s="18"/>
      <c r="R6461" s="18"/>
      <c r="S6461" s="18"/>
      <c r="T6461" s="18"/>
      <c r="U6461" s="18"/>
      <c r="V6461" s="18"/>
      <c r="W6461" s="18"/>
      <c r="X6461" s="18"/>
    </row>
    <row r="6462" spans="13:24">
      <c r="M6462" s="558">
        <f t="shared" si="305"/>
        <v>6460</v>
      </c>
      <c r="N6462" s="15">
        <f t="shared" si="303"/>
        <v>0.13828566548442825</v>
      </c>
      <c r="O6462" s="165">
        <f t="shared" si="304"/>
        <v>0.13828566548442825</v>
      </c>
      <c r="P6462" s="18"/>
      <c r="Q6462" s="18"/>
      <c r="R6462" s="18"/>
      <c r="S6462" s="18"/>
      <c r="T6462" s="18"/>
      <c r="U6462" s="18"/>
      <c r="V6462" s="18"/>
      <c r="W6462" s="18"/>
      <c r="X6462" s="18"/>
    </row>
    <row r="6463" spans="13:24">
      <c r="M6463" s="558">
        <f t="shared" si="305"/>
        <v>6461</v>
      </c>
      <c r="N6463" s="15">
        <f t="shared" si="303"/>
        <v>0.13823412623166073</v>
      </c>
      <c r="O6463" s="165">
        <f t="shared" si="304"/>
        <v>0.13823412623166073</v>
      </c>
      <c r="P6463" s="18"/>
      <c r="Q6463" s="18"/>
      <c r="R6463" s="18"/>
      <c r="S6463" s="18"/>
      <c r="T6463" s="18"/>
      <c r="U6463" s="18"/>
      <c r="V6463" s="18"/>
      <c r="W6463" s="18"/>
      <c r="X6463" s="18"/>
    </row>
    <row r="6464" spans="13:24">
      <c r="M6464" s="558">
        <f t="shared" si="305"/>
        <v>6462</v>
      </c>
      <c r="N6464" s="15">
        <f t="shared" si="303"/>
        <v>0.13818258719146373</v>
      </c>
      <c r="O6464" s="165">
        <f t="shared" si="304"/>
        <v>0.13818258719146373</v>
      </c>
      <c r="P6464" s="18"/>
      <c r="Q6464" s="18"/>
      <c r="R6464" s="18"/>
      <c r="S6464" s="18"/>
      <c r="T6464" s="18"/>
      <c r="U6464" s="18"/>
      <c r="V6464" s="18"/>
      <c r="W6464" s="18"/>
      <c r="X6464" s="18"/>
    </row>
    <row r="6465" spans="13:24">
      <c r="M6465" s="558">
        <f t="shared" si="305"/>
        <v>6463</v>
      </c>
      <c r="N6465" s="15">
        <f t="shared" si="303"/>
        <v>0.13813104836357054</v>
      </c>
      <c r="O6465" s="165">
        <f t="shared" si="304"/>
        <v>0.13813104836357054</v>
      </c>
      <c r="P6465" s="18"/>
      <c r="Q6465" s="18"/>
      <c r="R6465" s="18"/>
      <c r="S6465" s="18"/>
      <c r="T6465" s="18"/>
      <c r="U6465" s="18"/>
      <c r="V6465" s="18"/>
      <c r="W6465" s="18"/>
      <c r="X6465" s="18"/>
    </row>
    <row r="6466" spans="13:24">
      <c r="M6466" s="558">
        <f t="shared" si="305"/>
        <v>6464</v>
      </c>
      <c r="N6466" s="15">
        <f t="shared" si="303"/>
        <v>0.13807950974771466</v>
      </c>
      <c r="O6466" s="165">
        <f t="shared" si="304"/>
        <v>0.13807950974771466</v>
      </c>
      <c r="P6466" s="18"/>
      <c r="Q6466" s="18"/>
      <c r="R6466" s="18"/>
      <c r="S6466" s="18"/>
      <c r="T6466" s="18"/>
      <c r="U6466" s="18"/>
      <c r="V6466" s="18"/>
      <c r="W6466" s="18"/>
      <c r="X6466" s="18"/>
    </row>
    <row r="6467" spans="13:24">
      <c r="M6467" s="558">
        <f t="shared" si="305"/>
        <v>6465</v>
      </c>
      <c r="N6467" s="15">
        <f t="shared" si="303"/>
        <v>0.1380279713436301</v>
      </c>
      <c r="O6467" s="165">
        <f t="shared" si="304"/>
        <v>0.1380279713436301</v>
      </c>
      <c r="P6467" s="18"/>
      <c r="Q6467" s="18"/>
      <c r="R6467" s="18"/>
      <c r="S6467" s="18"/>
      <c r="T6467" s="18"/>
      <c r="U6467" s="18"/>
      <c r="V6467" s="18"/>
      <c r="W6467" s="18"/>
      <c r="X6467" s="18"/>
    </row>
    <row r="6468" spans="13:24">
      <c r="M6468" s="558">
        <f t="shared" si="305"/>
        <v>6466</v>
      </c>
      <c r="N6468" s="15">
        <f t="shared" ref="N6468:N6531" si="306">IF(M6468&lt;$B$31+1,$B$32+$B$33/$B$31*(8760-M6468)+$B$34*IF(M6468&lt;$B$36-$B$31/(2*$B$35),1,IF(M6468&lt;$B$36+$B$31/(2*$B$35),COS(PI()/2*(M6468-($B$36-$B$31/(2*$B$35)))*$B$35/$B$31)^2,0))+$B$37*EXP((8760-M6468)/8760*$B$38)/EXP($B$38)-(8760-$B$31)*$B$33/$B$31,0)</f>
        <v>0.13797643315105101</v>
      </c>
      <c r="O6468" s="165">
        <f t="shared" ref="O6468:O6531" si="307">MIN(N6468,C$24)</f>
        <v>0.13797643315105101</v>
      </c>
      <c r="P6468" s="18"/>
      <c r="Q6468" s="18"/>
      <c r="R6468" s="18"/>
      <c r="S6468" s="18"/>
      <c r="T6468" s="18"/>
      <c r="U6468" s="18"/>
      <c r="V6468" s="18"/>
      <c r="W6468" s="18"/>
      <c r="X6468" s="18"/>
    </row>
    <row r="6469" spans="13:24">
      <c r="M6469" s="558">
        <f t="shared" ref="M6469:M6532" si="308">M6468+1</f>
        <v>6467</v>
      </c>
      <c r="N6469" s="15">
        <f t="shared" si="306"/>
        <v>0.13792489516971201</v>
      </c>
      <c r="O6469" s="165">
        <f t="shared" si="307"/>
        <v>0.13792489516971201</v>
      </c>
      <c r="P6469" s="18"/>
      <c r="Q6469" s="18"/>
      <c r="R6469" s="18"/>
      <c r="S6469" s="18"/>
      <c r="T6469" s="18"/>
      <c r="U6469" s="18"/>
      <c r="V6469" s="18"/>
      <c r="W6469" s="18"/>
      <c r="X6469" s="18"/>
    </row>
    <row r="6470" spans="13:24">
      <c r="M6470" s="558">
        <f t="shared" si="308"/>
        <v>6468</v>
      </c>
      <c r="N6470" s="15">
        <f t="shared" si="306"/>
        <v>0.137873357399348</v>
      </c>
      <c r="O6470" s="165">
        <f t="shared" si="307"/>
        <v>0.137873357399348</v>
      </c>
      <c r="P6470" s="18"/>
      <c r="Q6470" s="18"/>
      <c r="R6470" s="18"/>
      <c r="S6470" s="18"/>
      <c r="T6470" s="18"/>
      <c r="U6470" s="18"/>
      <c r="V6470" s="18"/>
      <c r="W6470" s="18"/>
      <c r="X6470" s="18"/>
    </row>
    <row r="6471" spans="13:24">
      <c r="M6471" s="558">
        <f t="shared" si="308"/>
        <v>6469</v>
      </c>
      <c r="N6471" s="15">
        <f t="shared" si="306"/>
        <v>0.13782181983969427</v>
      </c>
      <c r="O6471" s="165">
        <f t="shared" si="307"/>
        <v>0.13782181983969427</v>
      </c>
      <c r="P6471" s="18"/>
      <c r="Q6471" s="18"/>
      <c r="R6471" s="18"/>
      <c r="S6471" s="18"/>
      <c r="T6471" s="18"/>
      <c r="U6471" s="18"/>
      <c r="V6471" s="18"/>
      <c r="W6471" s="18"/>
      <c r="X6471" s="18"/>
    </row>
    <row r="6472" spans="13:24">
      <c r="M6472" s="558">
        <f t="shared" si="308"/>
        <v>6470</v>
      </c>
      <c r="N6472" s="15">
        <f t="shared" si="306"/>
        <v>0.13777028249048631</v>
      </c>
      <c r="O6472" s="165">
        <f t="shared" si="307"/>
        <v>0.13777028249048631</v>
      </c>
      <c r="P6472" s="18"/>
      <c r="Q6472" s="18"/>
      <c r="R6472" s="18"/>
      <c r="S6472" s="18"/>
      <c r="T6472" s="18"/>
      <c r="U6472" s="18"/>
      <c r="V6472" s="18"/>
      <c r="W6472" s="18"/>
      <c r="X6472" s="18"/>
    </row>
    <row r="6473" spans="13:24">
      <c r="M6473" s="558">
        <f t="shared" si="308"/>
        <v>6471</v>
      </c>
      <c r="N6473" s="15">
        <f t="shared" si="306"/>
        <v>0.13771874535146011</v>
      </c>
      <c r="O6473" s="165">
        <f t="shared" si="307"/>
        <v>0.13771874535146011</v>
      </c>
      <c r="P6473" s="18"/>
      <c r="Q6473" s="18"/>
      <c r="R6473" s="18"/>
      <c r="S6473" s="18"/>
      <c r="T6473" s="18"/>
      <c r="U6473" s="18"/>
      <c r="V6473" s="18"/>
      <c r="W6473" s="18"/>
      <c r="X6473" s="18"/>
    </row>
    <row r="6474" spans="13:24">
      <c r="M6474" s="558">
        <f t="shared" si="308"/>
        <v>6472</v>
      </c>
      <c r="N6474" s="15">
        <f t="shared" si="306"/>
        <v>0.13766720842235183</v>
      </c>
      <c r="O6474" s="165">
        <f t="shared" si="307"/>
        <v>0.13766720842235183</v>
      </c>
      <c r="P6474" s="18"/>
      <c r="Q6474" s="18"/>
      <c r="R6474" s="18"/>
      <c r="S6474" s="18"/>
      <c r="T6474" s="18"/>
      <c r="U6474" s="18"/>
      <c r="V6474" s="18"/>
      <c r="W6474" s="18"/>
      <c r="X6474" s="18"/>
    </row>
    <row r="6475" spans="13:24">
      <c r="M6475" s="558">
        <f t="shared" si="308"/>
        <v>6473</v>
      </c>
      <c r="N6475" s="15">
        <f t="shared" si="306"/>
        <v>0.13761567170289812</v>
      </c>
      <c r="O6475" s="165">
        <f t="shared" si="307"/>
        <v>0.13761567170289812</v>
      </c>
      <c r="P6475" s="18"/>
      <c r="Q6475" s="18"/>
      <c r="R6475" s="18"/>
      <c r="S6475" s="18"/>
      <c r="T6475" s="18"/>
      <c r="U6475" s="18"/>
      <c r="V6475" s="18"/>
      <c r="W6475" s="18"/>
      <c r="X6475" s="18"/>
    </row>
    <row r="6476" spans="13:24">
      <c r="M6476" s="558">
        <f t="shared" si="308"/>
        <v>6474</v>
      </c>
      <c r="N6476" s="15">
        <f t="shared" si="306"/>
        <v>0.13756413519283583</v>
      </c>
      <c r="O6476" s="165">
        <f t="shared" si="307"/>
        <v>0.13756413519283583</v>
      </c>
      <c r="P6476" s="18"/>
      <c r="Q6476" s="18"/>
      <c r="R6476" s="18"/>
      <c r="S6476" s="18"/>
      <c r="T6476" s="18"/>
      <c r="U6476" s="18"/>
      <c r="V6476" s="18"/>
      <c r="W6476" s="18"/>
      <c r="X6476" s="18"/>
    </row>
    <row r="6477" spans="13:24">
      <c r="M6477" s="558">
        <f t="shared" si="308"/>
        <v>6475</v>
      </c>
      <c r="N6477" s="15">
        <f t="shared" si="306"/>
        <v>0.1375125988919022</v>
      </c>
      <c r="O6477" s="165">
        <f t="shared" si="307"/>
        <v>0.1375125988919022</v>
      </c>
      <c r="P6477" s="18"/>
      <c r="Q6477" s="18"/>
      <c r="R6477" s="18"/>
      <c r="S6477" s="18"/>
      <c r="T6477" s="18"/>
      <c r="U6477" s="18"/>
      <c r="V6477" s="18"/>
      <c r="W6477" s="18"/>
      <c r="X6477" s="18"/>
    </row>
    <row r="6478" spans="13:24">
      <c r="M6478" s="558">
        <f t="shared" si="308"/>
        <v>6476</v>
      </c>
      <c r="N6478" s="15">
        <f t="shared" si="306"/>
        <v>0.1374610627998348</v>
      </c>
      <c r="O6478" s="165">
        <f t="shared" si="307"/>
        <v>0.1374610627998348</v>
      </c>
      <c r="P6478" s="18"/>
      <c r="Q6478" s="18"/>
      <c r="R6478" s="18"/>
      <c r="S6478" s="18"/>
      <c r="T6478" s="18"/>
      <c r="U6478" s="18"/>
      <c r="V6478" s="18"/>
      <c r="W6478" s="18"/>
      <c r="X6478" s="18"/>
    </row>
    <row r="6479" spans="13:24">
      <c r="M6479" s="558">
        <f t="shared" si="308"/>
        <v>6477</v>
      </c>
      <c r="N6479" s="15">
        <f t="shared" si="306"/>
        <v>0.13740952691637148</v>
      </c>
      <c r="O6479" s="165">
        <f t="shared" si="307"/>
        <v>0.13740952691637148</v>
      </c>
      <c r="P6479" s="18"/>
      <c r="Q6479" s="18"/>
      <c r="R6479" s="18"/>
      <c r="S6479" s="18"/>
      <c r="T6479" s="18"/>
      <c r="U6479" s="18"/>
      <c r="V6479" s="18"/>
      <c r="W6479" s="18"/>
      <c r="X6479" s="18"/>
    </row>
    <row r="6480" spans="13:24">
      <c r="M6480" s="558">
        <f t="shared" si="308"/>
        <v>6478</v>
      </c>
      <c r="N6480" s="15">
        <f t="shared" si="306"/>
        <v>0.13735799124125056</v>
      </c>
      <c r="O6480" s="165">
        <f t="shared" si="307"/>
        <v>0.13735799124125056</v>
      </c>
      <c r="P6480" s="18"/>
      <c r="Q6480" s="18"/>
      <c r="R6480" s="18"/>
      <c r="S6480" s="18"/>
      <c r="T6480" s="18"/>
      <c r="U6480" s="18"/>
      <c r="V6480" s="18"/>
      <c r="W6480" s="18"/>
      <c r="X6480" s="18"/>
    </row>
    <row r="6481" spans="13:24">
      <c r="M6481" s="558">
        <f t="shared" si="308"/>
        <v>6479</v>
      </c>
      <c r="N6481" s="15">
        <f t="shared" si="306"/>
        <v>0.13730645577421044</v>
      </c>
      <c r="O6481" s="165">
        <f t="shared" si="307"/>
        <v>0.13730645577421044</v>
      </c>
      <c r="P6481" s="18"/>
      <c r="Q6481" s="18"/>
      <c r="R6481" s="18"/>
      <c r="S6481" s="18"/>
      <c r="T6481" s="18"/>
      <c r="U6481" s="18"/>
      <c r="V6481" s="18"/>
      <c r="W6481" s="18"/>
      <c r="X6481" s="18"/>
    </row>
    <row r="6482" spans="13:24">
      <c r="M6482" s="558">
        <f t="shared" si="308"/>
        <v>6480</v>
      </c>
      <c r="N6482" s="15">
        <f t="shared" si="306"/>
        <v>0.13725492051499014</v>
      </c>
      <c r="O6482" s="165">
        <f t="shared" si="307"/>
        <v>0.13725492051499014</v>
      </c>
      <c r="P6482" s="18"/>
      <c r="Q6482" s="18"/>
      <c r="R6482" s="18"/>
      <c r="S6482" s="18"/>
      <c r="T6482" s="18"/>
      <c r="U6482" s="18"/>
      <c r="V6482" s="18"/>
      <c r="W6482" s="18"/>
      <c r="X6482" s="18"/>
    </row>
    <row r="6483" spans="13:24">
      <c r="M6483" s="558">
        <f t="shared" si="308"/>
        <v>6481</v>
      </c>
      <c r="N6483" s="15">
        <f t="shared" si="306"/>
        <v>0.13720338546332875</v>
      </c>
      <c r="O6483" s="165">
        <f t="shared" si="307"/>
        <v>0.13720338546332875</v>
      </c>
      <c r="P6483" s="18"/>
      <c r="Q6483" s="18"/>
      <c r="R6483" s="18"/>
      <c r="S6483" s="18"/>
      <c r="T6483" s="18"/>
      <c r="U6483" s="18"/>
      <c r="V6483" s="18"/>
      <c r="W6483" s="18"/>
      <c r="X6483" s="18"/>
    </row>
    <row r="6484" spans="13:24">
      <c r="M6484" s="558">
        <f t="shared" si="308"/>
        <v>6482</v>
      </c>
      <c r="N6484" s="15">
        <f t="shared" si="306"/>
        <v>0.13715185061896587</v>
      </c>
      <c r="O6484" s="165">
        <f t="shared" si="307"/>
        <v>0.13715185061896587</v>
      </c>
      <c r="P6484" s="18"/>
      <c r="Q6484" s="18"/>
      <c r="R6484" s="18"/>
      <c r="S6484" s="18"/>
      <c r="T6484" s="18"/>
      <c r="U6484" s="18"/>
      <c r="V6484" s="18"/>
      <c r="W6484" s="18"/>
      <c r="X6484" s="18"/>
    </row>
    <row r="6485" spans="13:24">
      <c r="M6485" s="558">
        <f t="shared" si="308"/>
        <v>6483</v>
      </c>
      <c r="N6485" s="15">
        <f t="shared" si="306"/>
        <v>0.13710031598164132</v>
      </c>
      <c r="O6485" s="165">
        <f t="shared" si="307"/>
        <v>0.13710031598164132</v>
      </c>
      <c r="P6485" s="18"/>
      <c r="Q6485" s="18"/>
      <c r="R6485" s="18"/>
      <c r="S6485" s="18"/>
      <c r="T6485" s="18"/>
      <c r="U6485" s="18"/>
      <c r="V6485" s="18"/>
      <c r="W6485" s="18"/>
      <c r="X6485" s="18"/>
    </row>
    <row r="6486" spans="13:24">
      <c r="M6486" s="558">
        <f t="shared" si="308"/>
        <v>6484</v>
      </c>
      <c r="N6486" s="15">
        <f t="shared" si="306"/>
        <v>0.13704878155109532</v>
      </c>
      <c r="O6486" s="165">
        <f t="shared" si="307"/>
        <v>0.13704878155109532</v>
      </c>
      <c r="P6486" s="18"/>
      <c r="Q6486" s="18"/>
      <c r="R6486" s="18"/>
      <c r="S6486" s="18"/>
      <c r="T6486" s="18"/>
      <c r="U6486" s="18"/>
      <c r="V6486" s="18"/>
      <c r="W6486" s="18"/>
      <c r="X6486" s="18"/>
    </row>
    <row r="6487" spans="13:24">
      <c r="M6487" s="558">
        <f t="shared" si="308"/>
        <v>6485</v>
      </c>
      <c r="N6487" s="15">
        <f t="shared" si="306"/>
        <v>0.13699724732706833</v>
      </c>
      <c r="O6487" s="165">
        <f t="shared" si="307"/>
        <v>0.13699724732706833</v>
      </c>
      <c r="P6487" s="18"/>
      <c r="Q6487" s="18"/>
      <c r="R6487" s="18"/>
      <c r="S6487" s="18"/>
      <c r="T6487" s="18"/>
      <c r="U6487" s="18"/>
      <c r="V6487" s="18"/>
      <c r="W6487" s="18"/>
      <c r="X6487" s="18"/>
    </row>
    <row r="6488" spans="13:24">
      <c r="M6488" s="558">
        <f t="shared" si="308"/>
        <v>6486</v>
      </c>
      <c r="N6488" s="15">
        <f t="shared" si="306"/>
        <v>0.13694571330930125</v>
      </c>
      <c r="O6488" s="165">
        <f t="shared" si="307"/>
        <v>0.13694571330930125</v>
      </c>
      <c r="P6488" s="18"/>
      <c r="Q6488" s="18"/>
      <c r="R6488" s="18"/>
      <c r="S6488" s="18"/>
      <c r="T6488" s="18"/>
      <c r="U6488" s="18"/>
      <c r="V6488" s="18"/>
      <c r="W6488" s="18"/>
      <c r="X6488" s="18"/>
    </row>
    <row r="6489" spans="13:24">
      <c r="M6489" s="558">
        <f t="shared" si="308"/>
        <v>6487</v>
      </c>
      <c r="N6489" s="15">
        <f t="shared" si="306"/>
        <v>0.13689417949753516</v>
      </c>
      <c r="O6489" s="165">
        <f t="shared" si="307"/>
        <v>0.13689417949753516</v>
      </c>
      <c r="P6489" s="18"/>
      <c r="Q6489" s="18"/>
      <c r="R6489" s="18"/>
      <c r="S6489" s="18"/>
      <c r="T6489" s="18"/>
      <c r="U6489" s="18"/>
      <c r="V6489" s="18"/>
      <c r="W6489" s="18"/>
      <c r="X6489" s="18"/>
    </row>
    <row r="6490" spans="13:24">
      <c r="M6490" s="558">
        <f t="shared" si="308"/>
        <v>6488</v>
      </c>
      <c r="N6490" s="15">
        <f t="shared" si="306"/>
        <v>0.13684264589151163</v>
      </c>
      <c r="O6490" s="165">
        <f t="shared" si="307"/>
        <v>0.13684264589151163</v>
      </c>
      <c r="P6490" s="18"/>
      <c r="Q6490" s="18"/>
      <c r="R6490" s="18"/>
      <c r="S6490" s="18"/>
      <c r="T6490" s="18"/>
      <c r="U6490" s="18"/>
      <c r="V6490" s="18"/>
      <c r="W6490" s="18"/>
      <c r="X6490" s="18"/>
    </row>
    <row r="6491" spans="13:24">
      <c r="M6491" s="558">
        <f t="shared" si="308"/>
        <v>6489</v>
      </c>
      <c r="N6491" s="15">
        <f t="shared" si="306"/>
        <v>0.13679111249097237</v>
      </c>
      <c r="O6491" s="165">
        <f t="shared" si="307"/>
        <v>0.13679111249097237</v>
      </c>
      <c r="P6491" s="18"/>
      <c r="Q6491" s="18"/>
      <c r="R6491" s="18"/>
      <c r="S6491" s="18"/>
      <c r="T6491" s="18"/>
      <c r="U6491" s="18"/>
      <c r="V6491" s="18"/>
      <c r="W6491" s="18"/>
      <c r="X6491" s="18"/>
    </row>
    <row r="6492" spans="13:24">
      <c r="M6492" s="558">
        <f t="shared" si="308"/>
        <v>6490</v>
      </c>
      <c r="N6492" s="15">
        <f t="shared" si="306"/>
        <v>0.13673957929565964</v>
      </c>
      <c r="O6492" s="165">
        <f t="shared" si="307"/>
        <v>0.13673957929565964</v>
      </c>
      <c r="P6492" s="18"/>
      <c r="Q6492" s="18"/>
      <c r="R6492" s="18"/>
      <c r="S6492" s="18"/>
      <c r="T6492" s="18"/>
      <c r="U6492" s="18"/>
      <c r="V6492" s="18"/>
      <c r="W6492" s="18"/>
      <c r="X6492" s="18"/>
    </row>
    <row r="6493" spans="13:24">
      <c r="M6493" s="558">
        <f t="shared" si="308"/>
        <v>6491</v>
      </c>
      <c r="N6493" s="15">
        <f t="shared" si="306"/>
        <v>0.13668804630531575</v>
      </c>
      <c r="O6493" s="165">
        <f t="shared" si="307"/>
        <v>0.13668804630531575</v>
      </c>
      <c r="P6493" s="18"/>
      <c r="Q6493" s="18"/>
      <c r="R6493" s="18"/>
      <c r="S6493" s="18"/>
      <c r="T6493" s="18"/>
      <c r="U6493" s="18"/>
      <c r="V6493" s="18"/>
      <c r="W6493" s="18"/>
      <c r="X6493" s="18"/>
    </row>
    <row r="6494" spans="13:24">
      <c r="M6494" s="558">
        <f t="shared" si="308"/>
        <v>6492</v>
      </c>
      <c r="N6494" s="15">
        <f t="shared" si="306"/>
        <v>0.13663651351968359</v>
      </c>
      <c r="O6494" s="165">
        <f t="shared" si="307"/>
        <v>0.13663651351968359</v>
      </c>
      <c r="P6494" s="18"/>
      <c r="Q6494" s="18"/>
      <c r="R6494" s="18"/>
      <c r="S6494" s="18"/>
      <c r="T6494" s="18"/>
      <c r="U6494" s="18"/>
      <c r="V6494" s="18"/>
      <c r="W6494" s="18"/>
      <c r="X6494" s="18"/>
    </row>
    <row r="6495" spans="13:24">
      <c r="M6495" s="558">
        <f t="shared" si="308"/>
        <v>6493</v>
      </c>
      <c r="N6495" s="15">
        <f t="shared" si="306"/>
        <v>0.13658498093850627</v>
      </c>
      <c r="O6495" s="165">
        <f t="shared" si="307"/>
        <v>0.13658498093850627</v>
      </c>
      <c r="P6495" s="18"/>
      <c r="Q6495" s="18"/>
      <c r="R6495" s="18"/>
      <c r="S6495" s="18"/>
      <c r="T6495" s="18"/>
      <c r="U6495" s="18"/>
      <c r="V6495" s="18"/>
      <c r="W6495" s="18"/>
      <c r="X6495" s="18"/>
    </row>
    <row r="6496" spans="13:24">
      <c r="M6496" s="558">
        <f t="shared" si="308"/>
        <v>6494</v>
      </c>
      <c r="N6496" s="15">
        <f t="shared" si="306"/>
        <v>0.13653344856152713</v>
      </c>
      <c r="O6496" s="165">
        <f t="shared" si="307"/>
        <v>0.13653344856152713</v>
      </c>
      <c r="P6496" s="18"/>
      <c r="Q6496" s="18"/>
      <c r="R6496" s="18"/>
      <c r="S6496" s="18"/>
      <c r="T6496" s="18"/>
      <c r="U6496" s="18"/>
      <c r="V6496" s="18"/>
      <c r="W6496" s="18"/>
      <c r="X6496" s="18"/>
    </row>
    <row r="6497" spans="13:24">
      <c r="M6497" s="558">
        <f t="shared" si="308"/>
        <v>6495</v>
      </c>
      <c r="N6497" s="15">
        <f t="shared" si="306"/>
        <v>0.13648191638849</v>
      </c>
      <c r="O6497" s="165">
        <f t="shared" si="307"/>
        <v>0.13648191638849</v>
      </c>
      <c r="P6497" s="18"/>
      <c r="Q6497" s="18"/>
      <c r="R6497" s="18"/>
      <c r="S6497" s="18"/>
      <c r="T6497" s="18"/>
      <c r="U6497" s="18"/>
      <c r="V6497" s="18"/>
      <c r="W6497" s="18"/>
      <c r="X6497" s="18"/>
    </row>
    <row r="6498" spans="13:24">
      <c r="M6498" s="558">
        <f t="shared" si="308"/>
        <v>6496</v>
      </c>
      <c r="N6498" s="15">
        <f t="shared" si="306"/>
        <v>0.13643038441913888</v>
      </c>
      <c r="O6498" s="165">
        <f t="shared" si="307"/>
        <v>0.13643038441913888</v>
      </c>
      <c r="P6498" s="18"/>
      <c r="Q6498" s="18"/>
      <c r="R6498" s="18"/>
      <c r="S6498" s="18"/>
      <c r="T6498" s="18"/>
      <c r="U6498" s="18"/>
      <c r="V6498" s="18"/>
      <c r="W6498" s="18"/>
      <c r="X6498" s="18"/>
    </row>
    <row r="6499" spans="13:24">
      <c r="M6499" s="558">
        <f t="shared" si="308"/>
        <v>6497</v>
      </c>
      <c r="N6499" s="15">
        <f t="shared" si="306"/>
        <v>0.13637885265321822</v>
      </c>
      <c r="O6499" s="165">
        <f t="shared" si="307"/>
        <v>0.13637885265321822</v>
      </c>
      <c r="P6499" s="18"/>
      <c r="Q6499" s="18"/>
      <c r="R6499" s="18"/>
      <c r="S6499" s="18"/>
      <c r="T6499" s="18"/>
      <c r="U6499" s="18"/>
      <c r="V6499" s="18"/>
      <c r="W6499" s="18"/>
      <c r="X6499" s="18"/>
    </row>
    <row r="6500" spans="13:24">
      <c r="M6500" s="558">
        <f t="shared" si="308"/>
        <v>6498</v>
      </c>
      <c r="N6500" s="15">
        <f t="shared" si="306"/>
        <v>0.13632732109047271</v>
      </c>
      <c r="O6500" s="165">
        <f t="shared" si="307"/>
        <v>0.13632732109047271</v>
      </c>
      <c r="P6500" s="18"/>
      <c r="Q6500" s="18"/>
      <c r="R6500" s="18"/>
      <c r="S6500" s="18"/>
      <c r="T6500" s="18"/>
      <c r="U6500" s="18"/>
      <c r="V6500" s="18"/>
      <c r="W6500" s="18"/>
      <c r="X6500" s="18"/>
    </row>
    <row r="6501" spans="13:24">
      <c r="M6501" s="558">
        <f t="shared" si="308"/>
        <v>6499</v>
      </c>
      <c r="N6501" s="15">
        <f t="shared" si="306"/>
        <v>0.13627578973064738</v>
      </c>
      <c r="O6501" s="165">
        <f t="shared" si="307"/>
        <v>0.13627578973064738</v>
      </c>
      <c r="P6501" s="18"/>
      <c r="Q6501" s="18"/>
      <c r="R6501" s="18"/>
      <c r="S6501" s="18"/>
      <c r="T6501" s="18"/>
      <c r="U6501" s="18"/>
      <c r="V6501" s="18"/>
      <c r="W6501" s="18"/>
      <c r="X6501" s="18"/>
    </row>
    <row r="6502" spans="13:24">
      <c r="M6502" s="558">
        <f t="shared" si="308"/>
        <v>6500</v>
      </c>
      <c r="N6502" s="15">
        <f t="shared" si="306"/>
        <v>0.13622425857348755</v>
      </c>
      <c r="O6502" s="165">
        <f t="shared" si="307"/>
        <v>0.13622425857348755</v>
      </c>
      <c r="P6502" s="18"/>
      <c r="Q6502" s="18"/>
      <c r="R6502" s="18"/>
      <c r="S6502" s="18"/>
      <c r="T6502" s="18"/>
      <c r="U6502" s="18"/>
      <c r="V6502" s="18"/>
      <c r="W6502" s="18"/>
      <c r="X6502" s="18"/>
    </row>
    <row r="6503" spans="13:24">
      <c r="M6503" s="558">
        <f t="shared" si="308"/>
        <v>6501</v>
      </c>
      <c r="N6503" s="15">
        <f t="shared" si="306"/>
        <v>0.13617272761873894</v>
      </c>
      <c r="O6503" s="165">
        <f t="shared" si="307"/>
        <v>0.13617272761873894</v>
      </c>
      <c r="P6503" s="18"/>
      <c r="Q6503" s="18"/>
      <c r="R6503" s="18"/>
      <c r="S6503" s="18"/>
      <c r="T6503" s="18"/>
      <c r="U6503" s="18"/>
      <c r="V6503" s="18"/>
      <c r="W6503" s="18"/>
      <c r="X6503" s="18"/>
    </row>
    <row r="6504" spans="13:24">
      <c r="M6504" s="558">
        <f t="shared" si="308"/>
        <v>6502</v>
      </c>
      <c r="N6504" s="15">
        <f t="shared" si="306"/>
        <v>0.13612119686614751</v>
      </c>
      <c r="O6504" s="165">
        <f t="shared" si="307"/>
        <v>0.13612119686614751</v>
      </c>
      <c r="P6504" s="18"/>
      <c r="Q6504" s="18"/>
      <c r="R6504" s="18"/>
      <c r="S6504" s="18"/>
      <c r="T6504" s="18"/>
      <c r="U6504" s="18"/>
      <c r="V6504" s="18"/>
      <c r="W6504" s="18"/>
      <c r="X6504" s="18"/>
    </row>
    <row r="6505" spans="13:24">
      <c r="M6505" s="558">
        <f t="shared" si="308"/>
        <v>6503</v>
      </c>
      <c r="N6505" s="15">
        <f t="shared" si="306"/>
        <v>0.13606966631545961</v>
      </c>
      <c r="O6505" s="165">
        <f t="shared" si="307"/>
        <v>0.13606966631545961</v>
      </c>
      <c r="P6505" s="18"/>
      <c r="Q6505" s="18"/>
      <c r="R6505" s="18"/>
      <c r="S6505" s="18"/>
      <c r="T6505" s="18"/>
      <c r="U6505" s="18"/>
      <c r="V6505" s="18"/>
      <c r="W6505" s="18"/>
      <c r="X6505" s="18"/>
    </row>
    <row r="6506" spans="13:24">
      <c r="M6506" s="558">
        <f t="shared" si="308"/>
        <v>6504</v>
      </c>
      <c r="N6506" s="15">
        <f t="shared" si="306"/>
        <v>0.13601813596642182</v>
      </c>
      <c r="O6506" s="165">
        <f t="shared" si="307"/>
        <v>0.13601813596642182</v>
      </c>
      <c r="P6506" s="18"/>
      <c r="Q6506" s="18"/>
      <c r="R6506" s="18"/>
      <c r="S6506" s="18"/>
      <c r="T6506" s="18"/>
      <c r="U6506" s="18"/>
      <c r="V6506" s="18"/>
      <c r="W6506" s="18"/>
      <c r="X6506" s="18"/>
    </row>
    <row r="6507" spans="13:24">
      <c r="M6507" s="558">
        <f t="shared" si="308"/>
        <v>6505</v>
      </c>
      <c r="N6507" s="15">
        <f t="shared" si="306"/>
        <v>0.13596660581878109</v>
      </c>
      <c r="O6507" s="165">
        <f t="shared" si="307"/>
        <v>0.13596660581878109</v>
      </c>
      <c r="P6507" s="18"/>
      <c r="Q6507" s="18"/>
      <c r="R6507" s="18"/>
      <c r="S6507" s="18"/>
      <c r="T6507" s="18"/>
      <c r="U6507" s="18"/>
      <c r="V6507" s="18"/>
      <c r="W6507" s="18"/>
      <c r="X6507" s="18"/>
    </row>
    <row r="6508" spans="13:24">
      <c r="M6508" s="558">
        <f t="shared" si="308"/>
        <v>6506</v>
      </c>
      <c r="N6508" s="15">
        <f t="shared" si="306"/>
        <v>0.13591507587228469</v>
      </c>
      <c r="O6508" s="165">
        <f t="shared" si="307"/>
        <v>0.13591507587228469</v>
      </c>
      <c r="P6508" s="18"/>
      <c r="Q6508" s="18"/>
      <c r="R6508" s="18"/>
      <c r="S6508" s="18"/>
      <c r="T6508" s="18"/>
      <c r="U6508" s="18"/>
      <c r="V6508" s="18"/>
      <c r="W6508" s="18"/>
      <c r="X6508" s="18"/>
    </row>
    <row r="6509" spans="13:24">
      <c r="M6509" s="558">
        <f t="shared" si="308"/>
        <v>6507</v>
      </c>
      <c r="N6509" s="15">
        <f t="shared" si="306"/>
        <v>0.1358635461266802</v>
      </c>
      <c r="O6509" s="165">
        <f t="shared" si="307"/>
        <v>0.1358635461266802</v>
      </c>
      <c r="P6509" s="18"/>
      <c r="Q6509" s="18"/>
      <c r="R6509" s="18"/>
      <c r="S6509" s="18"/>
      <c r="T6509" s="18"/>
      <c r="U6509" s="18"/>
      <c r="V6509" s="18"/>
      <c r="W6509" s="18"/>
      <c r="X6509" s="18"/>
    </row>
    <row r="6510" spans="13:24">
      <c r="M6510" s="558">
        <f t="shared" si="308"/>
        <v>6508</v>
      </c>
      <c r="N6510" s="15">
        <f t="shared" si="306"/>
        <v>0.13581201658171554</v>
      </c>
      <c r="O6510" s="165">
        <f t="shared" si="307"/>
        <v>0.13581201658171554</v>
      </c>
      <c r="P6510" s="18"/>
      <c r="Q6510" s="18"/>
      <c r="R6510" s="18"/>
      <c r="S6510" s="18"/>
      <c r="T6510" s="18"/>
      <c r="U6510" s="18"/>
      <c r="V6510" s="18"/>
      <c r="W6510" s="18"/>
      <c r="X6510" s="18"/>
    </row>
    <row r="6511" spans="13:24">
      <c r="M6511" s="558">
        <f t="shared" si="308"/>
        <v>6509</v>
      </c>
      <c r="N6511" s="15">
        <f t="shared" si="306"/>
        <v>0.1357604872371389</v>
      </c>
      <c r="O6511" s="165">
        <f t="shared" si="307"/>
        <v>0.1357604872371389</v>
      </c>
      <c r="P6511" s="18"/>
      <c r="Q6511" s="18"/>
      <c r="R6511" s="18"/>
      <c r="S6511" s="18"/>
      <c r="T6511" s="18"/>
      <c r="U6511" s="18"/>
      <c r="V6511" s="18"/>
      <c r="W6511" s="18"/>
      <c r="X6511" s="18"/>
    </row>
    <row r="6512" spans="13:24">
      <c r="M6512" s="558">
        <f t="shared" si="308"/>
        <v>6510</v>
      </c>
      <c r="N6512" s="15">
        <f t="shared" si="306"/>
        <v>0.13570895809269884</v>
      </c>
      <c r="O6512" s="165">
        <f t="shared" si="307"/>
        <v>0.13570895809269884</v>
      </c>
      <c r="P6512" s="18"/>
      <c r="Q6512" s="18"/>
      <c r="R6512" s="18"/>
      <c r="S6512" s="18"/>
      <c r="T6512" s="18"/>
      <c r="U6512" s="18"/>
      <c r="V6512" s="18"/>
      <c r="W6512" s="18"/>
      <c r="X6512" s="18"/>
    </row>
    <row r="6513" spans="13:24">
      <c r="M6513" s="558">
        <f t="shared" si="308"/>
        <v>6511</v>
      </c>
      <c r="N6513" s="15">
        <f t="shared" si="306"/>
        <v>0.13565742914814413</v>
      </c>
      <c r="O6513" s="165">
        <f t="shared" si="307"/>
        <v>0.13565742914814413</v>
      </c>
      <c r="P6513" s="18"/>
      <c r="Q6513" s="18"/>
      <c r="R6513" s="18"/>
      <c r="S6513" s="18"/>
      <c r="T6513" s="18"/>
      <c r="U6513" s="18"/>
      <c r="V6513" s="18"/>
      <c r="W6513" s="18"/>
      <c r="X6513" s="18"/>
    </row>
    <row r="6514" spans="13:24">
      <c r="M6514" s="558">
        <f t="shared" si="308"/>
        <v>6512</v>
      </c>
      <c r="N6514" s="15">
        <f t="shared" si="306"/>
        <v>0.13560590040322401</v>
      </c>
      <c r="O6514" s="165">
        <f t="shared" si="307"/>
        <v>0.13560590040322401</v>
      </c>
      <c r="P6514" s="18"/>
      <c r="Q6514" s="18"/>
      <c r="R6514" s="18"/>
      <c r="S6514" s="18"/>
      <c r="T6514" s="18"/>
      <c r="U6514" s="18"/>
      <c r="V6514" s="18"/>
      <c r="W6514" s="18"/>
      <c r="X6514" s="18"/>
    </row>
    <row r="6515" spans="13:24">
      <c r="M6515" s="558">
        <f t="shared" si="308"/>
        <v>6513</v>
      </c>
      <c r="N6515" s="15">
        <f t="shared" si="306"/>
        <v>0.1355543718576879</v>
      </c>
      <c r="O6515" s="165">
        <f t="shared" si="307"/>
        <v>0.1355543718576879</v>
      </c>
      <c r="P6515" s="18"/>
      <c r="Q6515" s="18"/>
      <c r="R6515" s="18"/>
      <c r="S6515" s="18"/>
      <c r="T6515" s="18"/>
      <c r="U6515" s="18"/>
      <c r="V6515" s="18"/>
      <c r="W6515" s="18"/>
      <c r="X6515" s="18"/>
    </row>
    <row r="6516" spans="13:24">
      <c r="M6516" s="558">
        <f t="shared" si="308"/>
        <v>6514</v>
      </c>
      <c r="N6516" s="15">
        <f t="shared" si="306"/>
        <v>0.13550284351128564</v>
      </c>
      <c r="O6516" s="165">
        <f t="shared" si="307"/>
        <v>0.13550284351128564</v>
      </c>
      <c r="P6516" s="18"/>
      <c r="Q6516" s="18"/>
      <c r="R6516" s="18"/>
      <c r="S6516" s="18"/>
      <c r="T6516" s="18"/>
      <c r="U6516" s="18"/>
      <c r="V6516" s="18"/>
      <c r="W6516" s="18"/>
      <c r="X6516" s="18"/>
    </row>
    <row r="6517" spans="13:24">
      <c r="M6517" s="558">
        <f t="shared" si="308"/>
        <v>6515</v>
      </c>
      <c r="N6517" s="15">
        <f t="shared" si="306"/>
        <v>0.13545131536376728</v>
      </c>
      <c r="O6517" s="165">
        <f t="shared" si="307"/>
        <v>0.13545131536376728</v>
      </c>
      <c r="P6517" s="18"/>
      <c r="Q6517" s="18"/>
      <c r="R6517" s="18"/>
      <c r="S6517" s="18"/>
      <c r="T6517" s="18"/>
      <c r="U6517" s="18"/>
      <c r="V6517" s="18"/>
      <c r="W6517" s="18"/>
      <c r="X6517" s="18"/>
    </row>
    <row r="6518" spans="13:24">
      <c r="M6518" s="558">
        <f t="shared" si="308"/>
        <v>6516</v>
      </c>
      <c r="N6518" s="15">
        <f t="shared" si="306"/>
        <v>0.13539978741488329</v>
      </c>
      <c r="O6518" s="165">
        <f t="shared" si="307"/>
        <v>0.13539978741488329</v>
      </c>
      <c r="P6518" s="18"/>
      <c r="Q6518" s="18"/>
      <c r="R6518" s="18"/>
      <c r="S6518" s="18"/>
      <c r="T6518" s="18"/>
      <c r="U6518" s="18"/>
      <c r="V6518" s="18"/>
      <c r="W6518" s="18"/>
      <c r="X6518" s="18"/>
    </row>
    <row r="6519" spans="13:24">
      <c r="M6519" s="558">
        <f t="shared" si="308"/>
        <v>6517</v>
      </c>
      <c r="N6519" s="15">
        <f t="shared" si="306"/>
        <v>0.13534825966438435</v>
      </c>
      <c r="O6519" s="165">
        <f t="shared" si="307"/>
        <v>0.13534825966438435</v>
      </c>
      <c r="P6519" s="18"/>
      <c r="Q6519" s="18"/>
      <c r="R6519" s="18"/>
      <c r="S6519" s="18"/>
      <c r="T6519" s="18"/>
      <c r="U6519" s="18"/>
      <c r="V6519" s="18"/>
      <c r="W6519" s="18"/>
      <c r="X6519" s="18"/>
    </row>
    <row r="6520" spans="13:24">
      <c r="M6520" s="558">
        <f t="shared" si="308"/>
        <v>6518</v>
      </c>
      <c r="N6520" s="15">
        <f t="shared" si="306"/>
        <v>0.13529673211202153</v>
      </c>
      <c r="O6520" s="165">
        <f t="shared" si="307"/>
        <v>0.13529673211202153</v>
      </c>
      <c r="P6520" s="18"/>
      <c r="Q6520" s="18"/>
      <c r="R6520" s="18"/>
      <c r="S6520" s="18"/>
      <c r="T6520" s="18"/>
      <c r="U6520" s="18"/>
      <c r="V6520" s="18"/>
      <c r="W6520" s="18"/>
      <c r="X6520" s="18"/>
    </row>
    <row r="6521" spans="13:24">
      <c r="M6521" s="558">
        <f t="shared" si="308"/>
        <v>6519</v>
      </c>
      <c r="N6521" s="15">
        <f t="shared" si="306"/>
        <v>0.13524520475754617</v>
      </c>
      <c r="O6521" s="165">
        <f t="shared" si="307"/>
        <v>0.13524520475754617</v>
      </c>
      <c r="P6521" s="18"/>
      <c r="Q6521" s="18"/>
      <c r="R6521" s="18"/>
      <c r="S6521" s="18"/>
      <c r="T6521" s="18"/>
      <c r="U6521" s="18"/>
      <c r="V6521" s="18"/>
      <c r="W6521" s="18"/>
      <c r="X6521" s="18"/>
    </row>
    <row r="6522" spans="13:24">
      <c r="M6522" s="558">
        <f t="shared" si="308"/>
        <v>6520</v>
      </c>
      <c r="N6522" s="15">
        <f t="shared" si="306"/>
        <v>0.13519367760070997</v>
      </c>
      <c r="O6522" s="165">
        <f t="shared" si="307"/>
        <v>0.13519367760070997</v>
      </c>
      <c r="P6522" s="18"/>
      <c r="Q6522" s="18"/>
      <c r="R6522" s="18"/>
      <c r="S6522" s="18"/>
      <c r="T6522" s="18"/>
      <c r="U6522" s="18"/>
      <c r="V6522" s="18"/>
      <c r="W6522" s="18"/>
      <c r="X6522" s="18"/>
    </row>
    <row r="6523" spans="13:24">
      <c r="M6523" s="558">
        <f t="shared" si="308"/>
        <v>6521</v>
      </c>
      <c r="N6523" s="15">
        <f t="shared" si="306"/>
        <v>0.13514215064126486</v>
      </c>
      <c r="O6523" s="165">
        <f t="shared" si="307"/>
        <v>0.13514215064126486</v>
      </c>
      <c r="P6523" s="18"/>
      <c r="Q6523" s="18"/>
      <c r="R6523" s="18"/>
      <c r="S6523" s="18"/>
      <c r="T6523" s="18"/>
      <c r="U6523" s="18"/>
      <c r="V6523" s="18"/>
      <c r="W6523" s="18"/>
      <c r="X6523" s="18"/>
    </row>
    <row r="6524" spans="13:24">
      <c r="M6524" s="558">
        <f t="shared" si="308"/>
        <v>6522</v>
      </c>
      <c r="N6524" s="15">
        <f t="shared" si="306"/>
        <v>0.13509062387896315</v>
      </c>
      <c r="O6524" s="165">
        <f t="shared" si="307"/>
        <v>0.13509062387896315</v>
      </c>
      <c r="P6524" s="18"/>
      <c r="Q6524" s="18"/>
      <c r="R6524" s="18"/>
      <c r="S6524" s="18"/>
      <c r="T6524" s="18"/>
      <c r="U6524" s="18"/>
      <c r="V6524" s="18"/>
      <c r="W6524" s="18"/>
      <c r="X6524" s="18"/>
    </row>
    <row r="6525" spans="13:24">
      <c r="M6525" s="558">
        <f t="shared" si="308"/>
        <v>6523</v>
      </c>
      <c r="N6525" s="15">
        <f t="shared" si="306"/>
        <v>0.13503909731355748</v>
      </c>
      <c r="O6525" s="165">
        <f t="shared" si="307"/>
        <v>0.13503909731355748</v>
      </c>
      <c r="P6525" s="18"/>
      <c r="Q6525" s="18"/>
      <c r="R6525" s="18"/>
      <c r="S6525" s="18"/>
      <c r="T6525" s="18"/>
      <c r="U6525" s="18"/>
      <c r="V6525" s="18"/>
      <c r="W6525" s="18"/>
      <c r="X6525" s="18"/>
    </row>
    <row r="6526" spans="13:24">
      <c r="M6526" s="558">
        <f t="shared" si="308"/>
        <v>6524</v>
      </c>
      <c r="N6526" s="15">
        <f t="shared" si="306"/>
        <v>0.13498757094480071</v>
      </c>
      <c r="O6526" s="165">
        <f t="shared" si="307"/>
        <v>0.13498757094480071</v>
      </c>
      <c r="P6526" s="18"/>
      <c r="Q6526" s="18"/>
      <c r="R6526" s="18"/>
      <c r="S6526" s="18"/>
      <c r="T6526" s="18"/>
      <c r="U6526" s="18"/>
      <c r="V6526" s="18"/>
      <c r="W6526" s="18"/>
      <c r="X6526" s="18"/>
    </row>
    <row r="6527" spans="13:24">
      <c r="M6527" s="558">
        <f t="shared" si="308"/>
        <v>6525</v>
      </c>
      <c r="N6527" s="15">
        <f t="shared" si="306"/>
        <v>0.13493604477244608</v>
      </c>
      <c r="O6527" s="165">
        <f t="shared" si="307"/>
        <v>0.13493604477244608</v>
      </c>
      <c r="P6527" s="18"/>
      <c r="Q6527" s="18"/>
      <c r="R6527" s="18"/>
      <c r="S6527" s="18"/>
      <c r="T6527" s="18"/>
      <c r="U6527" s="18"/>
      <c r="V6527" s="18"/>
      <c r="W6527" s="18"/>
      <c r="X6527" s="18"/>
    </row>
    <row r="6528" spans="13:24">
      <c r="M6528" s="558">
        <f t="shared" si="308"/>
        <v>6526</v>
      </c>
      <c r="N6528" s="15">
        <f t="shared" si="306"/>
        <v>0.1348845187962471</v>
      </c>
      <c r="O6528" s="165">
        <f t="shared" si="307"/>
        <v>0.1348845187962471</v>
      </c>
      <c r="P6528" s="18"/>
      <c r="Q6528" s="18"/>
      <c r="R6528" s="18"/>
      <c r="S6528" s="18"/>
      <c r="T6528" s="18"/>
      <c r="U6528" s="18"/>
      <c r="V6528" s="18"/>
      <c r="W6528" s="18"/>
      <c r="X6528" s="18"/>
    </row>
    <row r="6529" spans="13:24">
      <c r="M6529" s="558">
        <f t="shared" si="308"/>
        <v>6527</v>
      </c>
      <c r="N6529" s="15">
        <f t="shared" si="306"/>
        <v>0.13483299301595766</v>
      </c>
      <c r="O6529" s="165">
        <f t="shared" si="307"/>
        <v>0.13483299301595766</v>
      </c>
      <c r="P6529" s="18"/>
      <c r="Q6529" s="18"/>
      <c r="R6529" s="18"/>
      <c r="S6529" s="18"/>
      <c r="T6529" s="18"/>
      <c r="U6529" s="18"/>
      <c r="V6529" s="18"/>
      <c r="W6529" s="18"/>
      <c r="X6529" s="18"/>
    </row>
    <row r="6530" spans="13:24">
      <c r="M6530" s="558">
        <f t="shared" si="308"/>
        <v>6528</v>
      </c>
      <c r="N6530" s="15">
        <f t="shared" si="306"/>
        <v>0.13478146743133188</v>
      </c>
      <c r="O6530" s="165">
        <f t="shared" si="307"/>
        <v>0.13478146743133188</v>
      </c>
      <c r="P6530" s="18"/>
      <c r="Q6530" s="18"/>
      <c r="R6530" s="18"/>
      <c r="S6530" s="18"/>
      <c r="T6530" s="18"/>
      <c r="U6530" s="18"/>
      <c r="V6530" s="18"/>
      <c r="W6530" s="18"/>
      <c r="X6530" s="18"/>
    </row>
    <row r="6531" spans="13:24">
      <c r="M6531" s="558">
        <f t="shared" si="308"/>
        <v>6529</v>
      </c>
      <c r="N6531" s="15">
        <f t="shared" si="306"/>
        <v>0.13472994204212421</v>
      </c>
      <c r="O6531" s="165">
        <f t="shared" si="307"/>
        <v>0.13472994204212421</v>
      </c>
      <c r="P6531" s="18"/>
      <c r="Q6531" s="18"/>
      <c r="R6531" s="18"/>
      <c r="S6531" s="18"/>
      <c r="T6531" s="18"/>
      <c r="U6531" s="18"/>
      <c r="V6531" s="18"/>
      <c r="W6531" s="18"/>
      <c r="X6531" s="18"/>
    </row>
    <row r="6532" spans="13:24">
      <c r="M6532" s="558">
        <f t="shared" si="308"/>
        <v>6530</v>
      </c>
      <c r="N6532" s="15">
        <f t="shared" ref="N6532:N6595" si="309">IF(M6532&lt;$B$31+1,$B$32+$B$33/$B$31*(8760-M6532)+$B$34*IF(M6532&lt;$B$36-$B$31/(2*$B$35),1,IF(M6532&lt;$B$36+$B$31/(2*$B$35),COS(PI()/2*(M6532-($B$36-$B$31/(2*$B$35)))*$B$35/$B$31)^2,0))+$B$37*EXP((8760-M6532)/8760*$B$38)/EXP($B$38)-(8760-$B$31)*$B$33/$B$31,0)</f>
        <v>0.1346784168480894</v>
      </c>
      <c r="O6532" s="165">
        <f t="shared" ref="O6532:O6595" si="310">MIN(N6532,C$24)</f>
        <v>0.1346784168480894</v>
      </c>
      <c r="P6532" s="18"/>
      <c r="Q6532" s="18"/>
      <c r="R6532" s="18"/>
      <c r="S6532" s="18"/>
      <c r="T6532" s="18"/>
      <c r="U6532" s="18"/>
      <c r="V6532" s="18"/>
      <c r="W6532" s="18"/>
      <c r="X6532" s="18"/>
    </row>
    <row r="6533" spans="13:24">
      <c r="M6533" s="558">
        <f t="shared" ref="M6533:M6596" si="311">M6532+1</f>
        <v>6531</v>
      </c>
      <c r="N6533" s="15">
        <f t="shared" si="309"/>
        <v>0.13462689184898258</v>
      </c>
      <c r="O6533" s="165">
        <f t="shared" si="310"/>
        <v>0.13462689184898258</v>
      </c>
      <c r="P6533" s="18"/>
      <c r="Q6533" s="18"/>
      <c r="R6533" s="18"/>
      <c r="S6533" s="18"/>
      <c r="T6533" s="18"/>
      <c r="U6533" s="18"/>
      <c r="V6533" s="18"/>
      <c r="W6533" s="18"/>
      <c r="X6533" s="18"/>
    </row>
    <row r="6534" spans="13:24">
      <c r="M6534" s="558">
        <f t="shared" si="311"/>
        <v>6532</v>
      </c>
      <c r="N6534" s="15">
        <f t="shared" si="309"/>
        <v>0.13457536704455908</v>
      </c>
      <c r="O6534" s="165">
        <f t="shared" si="310"/>
        <v>0.13457536704455908</v>
      </c>
      <c r="P6534" s="18"/>
      <c r="Q6534" s="18"/>
      <c r="R6534" s="18"/>
      <c r="S6534" s="18"/>
      <c r="T6534" s="18"/>
      <c r="U6534" s="18"/>
      <c r="V6534" s="18"/>
      <c r="W6534" s="18"/>
      <c r="X6534" s="18"/>
    </row>
    <row r="6535" spans="13:24">
      <c r="M6535" s="558">
        <f t="shared" si="311"/>
        <v>6533</v>
      </c>
      <c r="N6535" s="15">
        <f t="shared" si="309"/>
        <v>0.1345238424345746</v>
      </c>
      <c r="O6535" s="165">
        <f t="shared" si="310"/>
        <v>0.1345238424345746</v>
      </c>
      <c r="P6535" s="18"/>
      <c r="Q6535" s="18"/>
      <c r="R6535" s="18"/>
      <c r="S6535" s="18"/>
      <c r="T6535" s="18"/>
      <c r="U6535" s="18"/>
      <c r="V6535" s="18"/>
      <c r="W6535" s="18"/>
      <c r="X6535" s="18"/>
    </row>
    <row r="6536" spans="13:24">
      <c r="M6536" s="558">
        <f t="shared" si="311"/>
        <v>6534</v>
      </c>
      <c r="N6536" s="15">
        <f t="shared" si="309"/>
        <v>0.13447231801878515</v>
      </c>
      <c r="O6536" s="165">
        <f t="shared" si="310"/>
        <v>0.13447231801878515</v>
      </c>
      <c r="P6536" s="18"/>
      <c r="Q6536" s="18"/>
      <c r="R6536" s="18"/>
      <c r="S6536" s="18"/>
      <c r="T6536" s="18"/>
      <c r="U6536" s="18"/>
      <c r="V6536" s="18"/>
      <c r="W6536" s="18"/>
      <c r="X6536" s="18"/>
    </row>
    <row r="6537" spans="13:24">
      <c r="M6537" s="558">
        <f t="shared" si="311"/>
        <v>6535</v>
      </c>
      <c r="N6537" s="15">
        <f t="shared" si="309"/>
        <v>0.13442079379694705</v>
      </c>
      <c r="O6537" s="165">
        <f t="shared" si="310"/>
        <v>0.13442079379694705</v>
      </c>
      <c r="P6537" s="18"/>
      <c r="Q6537" s="18"/>
      <c r="R6537" s="18"/>
      <c r="S6537" s="18"/>
      <c r="T6537" s="18"/>
      <c r="U6537" s="18"/>
      <c r="V6537" s="18"/>
      <c r="W6537" s="18"/>
      <c r="X6537" s="18"/>
    </row>
    <row r="6538" spans="13:24">
      <c r="M6538" s="558">
        <f t="shared" si="311"/>
        <v>6536</v>
      </c>
      <c r="N6538" s="15">
        <f t="shared" si="309"/>
        <v>0.13436926976881683</v>
      </c>
      <c r="O6538" s="165">
        <f t="shared" si="310"/>
        <v>0.13436926976881683</v>
      </c>
      <c r="P6538" s="18"/>
      <c r="Q6538" s="18"/>
      <c r="R6538" s="18"/>
      <c r="S6538" s="18"/>
      <c r="T6538" s="18"/>
      <c r="U6538" s="18"/>
      <c r="V6538" s="18"/>
      <c r="W6538" s="18"/>
      <c r="X6538" s="18"/>
    </row>
    <row r="6539" spans="13:24">
      <c r="M6539" s="558">
        <f t="shared" si="311"/>
        <v>6537</v>
      </c>
      <c r="N6539" s="15">
        <f t="shared" si="309"/>
        <v>0.13431774593415144</v>
      </c>
      <c r="O6539" s="165">
        <f t="shared" si="310"/>
        <v>0.13431774593415144</v>
      </c>
      <c r="P6539" s="18"/>
      <c r="Q6539" s="18"/>
      <c r="R6539" s="18"/>
      <c r="S6539" s="18"/>
      <c r="T6539" s="18"/>
      <c r="U6539" s="18"/>
      <c r="V6539" s="18"/>
      <c r="W6539" s="18"/>
      <c r="X6539" s="18"/>
    </row>
    <row r="6540" spans="13:24">
      <c r="M6540" s="558">
        <f t="shared" si="311"/>
        <v>6538</v>
      </c>
      <c r="N6540" s="15">
        <f t="shared" si="309"/>
        <v>0.13426622229270815</v>
      </c>
      <c r="O6540" s="165">
        <f t="shared" si="310"/>
        <v>0.13426622229270815</v>
      </c>
      <c r="P6540" s="18"/>
      <c r="Q6540" s="18"/>
      <c r="R6540" s="18"/>
      <c r="S6540" s="18"/>
      <c r="T6540" s="18"/>
      <c r="U6540" s="18"/>
      <c r="V6540" s="18"/>
      <c r="W6540" s="18"/>
      <c r="X6540" s="18"/>
    </row>
    <row r="6541" spans="13:24">
      <c r="M6541" s="558">
        <f t="shared" si="311"/>
        <v>6539</v>
      </c>
      <c r="N6541" s="15">
        <f t="shared" si="309"/>
        <v>0.13421469884424442</v>
      </c>
      <c r="O6541" s="165">
        <f t="shared" si="310"/>
        <v>0.13421469884424442</v>
      </c>
      <c r="P6541" s="18"/>
      <c r="Q6541" s="18"/>
      <c r="R6541" s="18"/>
      <c r="S6541" s="18"/>
      <c r="T6541" s="18"/>
      <c r="U6541" s="18"/>
      <c r="V6541" s="18"/>
      <c r="W6541" s="18"/>
      <c r="X6541" s="18"/>
    </row>
    <row r="6542" spans="13:24">
      <c r="M6542" s="558">
        <f t="shared" si="311"/>
        <v>6540</v>
      </c>
      <c r="N6542" s="15">
        <f t="shared" si="309"/>
        <v>0.13416317558851812</v>
      </c>
      <c r="O6542" s="165">
        <f t="shared" si="310"/>
        <v>0.13416317558851812</v>
      </c>
      <c r="P6542" s="18"/>
      <c r="Q6542" s="18"/>
      <c r="R6542" s="18"/>
      <c r="S6542" s="18"/>
      <c r="T6542" s="18"/>
      <c r="U6542" s="18"/>
      <c r="V6542" s="18"/>
      <c r="W6542" s="18"/>
      <c r="X6542" s="18"/>
    </row>
    <row r="6543" spans="13:24">
      <c r="M6543" s="558">
        <f t="shared" si="311"/>
        <v>6541</v>
      </c>
      <c r="N6543" s="15">
        <f t="shared" si="309"/>
        <v>0.13411165252528734</v>
      </c>
      <c r="O6543" s="165">
        <f t="shared" si="310"/>
        <v>0.13411165252528734</v>
      </c>
      <c r="P6543" s="18"/>
      <c r="Q6543" s="18"/>
      <c r="R6543" s="18"/>
      <c r="S6543" s="18"/>
      <c r="T6543" s="18"/>
      <c r="U6543" s="18"/>
      <c r="V6543" s="18"/>
      <c r="W6543" s="18"/>
      <c r="X6543" s="18"/>
    </row>
    <row r="6544" spans="13:24">
      <c r="M6544" s="558">
        <f t="shared" si="311"/>
        <v>6542</v>
      </c>
      <c r="N6544" s="15">
        <f t="shared" si="309"/>
        <v>0.13406012965431055</v>
      </c>
      <c r="O6544" s="165">
        <f t="shared" si="310"/>
        <v>0.13406012965431055</v>
      </c>
      <c r="P6544" s="18"/>
      <c r="Q6544" s="18"/>
      <c r="R6544" s="18"/>
      <c r="S6544" s="18"/>
      <c r="T6544" s="18"/>
      <c r="U6544" s="18"/>
      <c r="V6544" s="18"/>
      <c r="W6544" s="18"/>
      <c r="X6544" s="18"/>
    </row>
    <row r="6545" spans="13:24">
      <c r="M6545" s="558">
        <f t="shared" si="311"/>
        <v>6543</v>
      </c>
      <c r="N6545" s="15">
        <f t="shared" si="309"/>
        <v>0.13400860697534642</v>
      </c>
      <c r="O6545" s="165">
        <f t="shared" si="310"/>
        <v>0.13400860697534642</v>
      </c>
      <c r="P6545" s="18"/>
      <c r="Q6545" s="18"/>
      <c r="R6545" s="18"/>
      <c r="S6545" s="18"/>
      <c r="T6545" s="18"/>
      <c r="U6545" s="18"/>
      <c r="V6545" s="18"/>
      <c r="W6545" s="18"/>
      <c r="X6545" s="18"/>
    </row>
    <row r="6546" spans="13:24">
      <c r="M6546" s="558">
        <f t="shared" si="311"/>
        <v>6544</v>
      </c>
      <c r="N6546" s="15">
        <f t="shared" si="309"/>
        <v>0.13395708448815408</v>
      </c>
      <c r="O6546" s="165">
        <f t="shared" si="310"/>
        <v>0.13395708448815408</v>
      </c>
      <c r="P6546" s="18"/>
      <c r="Q6546" s="18"/>
      <c r="R6546" s="18"/>
      <c r="S6546" s="18"/>
      <c r="T6546" s="18"/>
      <c r="U6546" s="18"/>
      <c r="V6546" s="18"/>
      <c r="W6546" s="18"/>
      <c r="X6546" s="18"/>
    </row>
    <row r="6547" spans="13:24">
      <c r="M6547" s="558">
        <f t="shared" si="311"/>
        <v>6545</v>
      </c>
      <c r="N6547" s="15">
        <f t="shared" si="309"/>
        <v>0.13390556219249278</v>
      </c>
      <c r="O6547" s="165">
        <f t="shared" si="310"/>
        <v>0.13390556219249278</v>
      </c>
      <c r="P6547" s="18"/>
      <c r="Q6547" s="18"/>
      <c r="R6547" s="18"/>
      <c r="S6547" s="18"/>
      <c r="T6547" s="18"/>
      <c r="U6547" s="18"/>
      <c r="V6547" s="18"/>
      <c r="W6547" s="18"/>
      <c r="X6547" s="18"/>
    </row>
    <row r="6548" spans="13:24">
      <c r="M6548" s="558">
        <f t="shared" si="311"/>
        <v>6546</v>
      </c>
      <c r="N6548" s="15">
        <f t="shared" si="309"/>
        <v>0.13385404008812227</v>
      </c>
      <c r="O6548" s="165">
        <f t="shared" si="310"/>
        <v>0.13385404008812227</v>
      </c>
      <c r="P6548" s="18"/>
      <c r="Q6548" s="18"/>
      <c r="R6548" s="18"/>
      <c r="S6548" s="18"/>
      <c r="T6548" s="18"/>
      <c r="U6548" s="18"/>
      <c r="V6548" s="18"/>
      <c r="W6548" s="18"/>
      <c r="X6548" s="18"/>
    </row>
    <row r="6549" spans="13:24">
      <c r="M6549" s="558">
        <f t="shared" si="311"/>
        <v>6547</v>
      </c>
      <c r="N6549" s="15">
        <f t="shared" si="309"/>
        <v>0.13380251817480238</v>
      </c>
      <c r="O6549" s="165">
        <f t="shared" si="310"/>
        <v>0.13380251817480238</v>
      </c>
      <c r="P6549" s="18"/>
      <c r="Q6549" s="18"/>
      <c r="R6549" s="18"/>
      <c r="S6549" s="18"/>
      <c r="T6549" s="18"/>
      <c r="U6549" s="18"/>
      <c r="V6549" s="18"/>
      <c r="W6549" s="18"/>
      <c r="X6549" s="18"/>
    </row>
    <row r="6550" spans="13:24">
      <c r="M6550" s="558">
        <f t="shared" si="311"/>
        <v>6548</v>
      </c>
      <c r="N6550" s="15">
        <f t="shared" si="309"/>
        <v>0.13375099645229346</v>
      </c>
      <c r="O6550" s="165">
        <f t="shared" si="310"/>
        <v>0.13375099645229346</v>
      </c>
      <c r="P6550" s="18"/>
      <c r="Q6550" s="18"/>
      <c r="R6550" s="18"/>
      <c r="S6550" s="18"/>
      <c r="T6550" s="18"/>
      <c r="U6550" s="18"/>
      <c r="V6550" s="18"/>
      <c r="W6550" s="18"/>
      <c r="X6550" s="18"/>
    </row>
    <row r="6551" spans="13:24">
      <c r="M6551" s="558">
        <f t="shared" si="311"/>
        <v>6549</v>
      </c>
      <c r="N6551" s="15">
        <f t="shared" si="309"/>
        <v>0.13369947492035597</v>
      </c>
      <c r="O6551" s="165">
        <f t="shared" si="310"/>
        <v>0.13369947492035597</v>
      </c>
      <c r="P6551" s="18"/>
      <c r="Q6551" s="18"/>
      <c r="R6551" s="18"/>
      <c r="S6551" s="18"/>
      <c r="T6551" s="18"/>
      <c r="U6551" s="18"/>
      <c r="V6551" s="18"/>
      <c r="W6551" s="18"/>
      <c r="X6551" s="18"/>
    </row>
    <row r="6552" spans="13:24">
      <c r="M6552" s="558">
        <f t="shared" si="311"/>
        <v>6550</v>
      </c>
      <c r="N6552" s="15">
        <f t="shared" si="309"/>
        <v>0.13364795357875084</v>
      </c>
      <c r="O6552" s="165">
        <f t="shared" si="310"/>
        <v>0.13364795357875084</v>
      </c>
      <c r="P6552" s="18"/>
      <c r="Q6552" s="18"/>
      <c r="R6552" s="18"/>
      <c r="S6552" s="18"/>
      <c r="T6552" s="18"/>
      <c r="U6552" s="18"/>
      <c r="V6552" s="18"/>
      <c r="W6552" s="18"/>
      <c r="X6552" s="18"/>
    </row>
    <row r="6553" spans="13:24">
      <c r="M6553" s="558">
        <f t="shared" si="311"/>
        <v>6551</v>
      </c>
      <c r="N6553" s="15">
        <f t="shared" si="309"/>
        <v>0.13359643242723912</v>
      </c>
      <c r="O6553" s="165">
        <f t="shared" si="310"/>
        <v>0.13359643242723912</v>
      </c>
      <c r="P6553" s="18"/>
      <c r="Q6553" s="18"/>
      <c r="R6553" s="18"/>
      <c r="S6553" s="18"/>
      <c r="T6553" s="18"/>
      <c r="U6553" s="18"/>
      <c r="V6553" s="18"/>
      <c r="W6553" s="18"/>
      <c r="X6553" s="18"/>
    </row>
    <row r="6554" spans="13:24">
      <c r="M6554" s="558">
        <f t="shared" si="311"/>
        <v>6552</v>
      </c>
      <c r="N6554" s="15">
        <f t="shared" si="309"/>
        <v>0.13354491146558234</v>
      </c>
      <c r="O6554" s="165">
        <f t="shared" si="310"/>
        <v>0.13354491146558234</v>
      </c>
      <c r="P6554" s="18"/>
      <c r="Q6554" s="18"/>
      <c r="R6554" s="18"/>
      <c r="S6554" s="18"/>
      <c r="T6554" s="18"/>
      <c r="U6554" s="18"/>
      <c r="V6554" s="18"/>
      <c r="W6554" s="18"/>
      <c r="X6554" s="18"/>
    </row>
    <row r="6555" spans="13:24">
      <c r="M6555" s="558">
        <f t="shared" si="311"/>
        <v>6553</v>
      </c>
      <c r="N6555" s="15">
        <f t="shared" si="309"/>
        <v>0.13349339069354227</v>
      </c>
      <c r="O6555" s="165">
        <f t="shared" si="310"/>
        <v>0.13349339069354227</v>
      </c>
      <c r="P6555" s="18"/>
      <c r="Q6555" s="18"/>
      <c r="R6555" s="18"/>
      <c r="S6555" s="18"/>
      <c r="T6555" s="18"/>
      <c r="U6555" s="18"/>
      <c r="V6555" s="18"/>
      <c r="W6555" s="18"/>
      <c r="X6555" s="18"/>
    </row>
    <row r="6556" spans="13:24">
      <c r="M6556" s="558">
        <f t="shared" si="311"/>
        <v>6554</v>
      </c>
      <c r="N6556" s="15">
        <f t="shared" si="309"/>
        <v>0.13344187011088085</v>
      </c>
      <c r="O6556" s="165">
        <f t="shared" si="310"/>
        <v>0.13344187011088085</v>
      </c>
      <c r="P6556" s="18"/>
      <c r="Q6556" s="18"/>
      <c r="R6556" s="18"/>
      <c r="S6556" s="18"/>
      <c r="T6556" s="18"/>
      <c r="U6556" s="18"/>
      <c r="V6556" s="18"/>
      <c r="W6556" s="18"/>
      <c r="X6556" s="18"/>
    </row>
    <row r="6557" spans="13:24">
      <c r="M6557" s="558">
        <f t="shared" si="311"/>
        <v>6555</v>
      </c>
      <c r="N6557" s="15">
        <f t="shared" si="309"/>
        <v>0.13339034971736052</v>
      </c>
      <c r="O6557" s="165">
        <f t="shared" si="310"/>
        <v>0.13339034971736052</v>
      </c>
      <c r="P6557" s="18"/>
      <c r="Q6557" s="18"/>
      <c r="R6557" s="18"/>
      <c r="S6557" s="18"/>
      <c r="T6557" s="18"/>
      <c r="U6557" s="18"/>
      <c r="V6557" s="18"/>
      <c r="W6557" s="18"/>
      <c r="X6557" s="18"/>
    </row>
    <row r="6558" spans="13:24">
      <c r="M6558" s="558">
        <f t="shared" si="311"/>
        <v>6556</v>
      </c>
      <c r="N6558" s="15">
        <f t="shared" si="309"/>
        <v>0.13333882951274384</v>
      </c>
      <c r="O6558" s="165">
        <f t="shared" si="310"/>
        <v>0.13333882951274384</v>
      </c>
      <c r="P6558" s="18"/>
      <c r="Q6558" s="18"/>
      <c r="R6558" s="18"/>
      <c r="S6558" s="18"/>
      <c r="T6558" s="18"/>
      <c r="U6558" s="18"/>
      <c r="V6558" s="18"/>
      <c r="W6558" s="18"/>
      <c r="X6558" s="18"/>
    </row>
    <row r="6559" spans="13:24">
      <c r="M6559" s="558">
        <f t="shared" si="311"/>
        <v>6557</v>
      </c>
      <c r="N6559" s="15">
        <f t="shared" si="309"/>
        <v>0.13328730949679385</v>
      </c>
      <c r="O6559" s="165">
        <f t="shared" si="310"/>
        <v>0.13328730949679385</v>
      </c>
      <c r="P6559" s="18"/>
      <c r="Q6559" s="18"/>
      <c r="R6559" s="18"/>
      <c r="S6559" s="18"/>
      <c r="T6559" s="18"/>
      <c r="U6559" s="18"/>
      <c r="V6559" s="18"/>
      <c r="W6559" s="18"/>
      <c r="X6559" s="18"/>
    </row>
    <row r="6560" spans="13:24">
      <c r="M6560" s="558">
        <f t="shared" si="311"/>
        <v>6558</v>
      </c>
      <c r="N6560" s="15">
        <f t="shared" si="309"/>
        <v>0.13323578966927371</v>
      </c>
      <c r="O6560" s="165">
        <f t="shared" si="310"/>
        <v>0.13323578966927371</v>
      </c>
      <c r="P6560" s="18"/>
      <c r="Q6560" s="18"/>
      <c r="R6560" s="18"/>
      <c r="S6560" s="18"/>
      <c r="T6560" s="18"/>
      <c r="U6560" s="18"/>
      <c r="V6560" s="18"/>
      <c r="W6560" s="18"/>
      <c r="X6560" s="18"/>
    </row>
    <row r="6561" spans="13:24">
      <c r="M6561" s="558">
        <f t="shared" si="311"/>
        <v>6559</v>
      </c>
      <c r="N6561" s="15">
        <f t="shared" si="309"/>
        <v>0.13318427002994701</v>
      </c>
      <c r="O6561" s="165">
        <f t="shared" si="310"/>
        <v>0.13318427002994701</v>
      </c>
      <c r="P6561" s="18"/>
      <c r="Q6561" s="18"/>
      <c r="R6561" s="18"/>
      <c r="S6561" s="18"/>
      <c r="T6561" s="18"/>
      <c r="U6561" s="18"/>
      <c r="V6561" s="18"/>
      <c r="W6561" s="18"/>
      <c r="X6561" s="18"/>
    </row>
    <row r="6562" spans="13:24">
      <c r="M6562" s="558">
        <f t="shared" si="311"/>
        <v>6560</v>
      </c>
      <c r="N6562" s="15">
        <f t="shared" si="309"/>
        <v>0.13313275057857751</v>
      </c>
      <c r="O6562" s="165">
        <f t="shared" si="310"/>
        <v>0.13313275057857751</v>
      </c>
      <c r="P6562" s="18"/>
      <c r="Q6562" s="18"/>
      <c r="R6562" s="18"/>
      <c r="S6562" s="18"/>
      <c r="T6562" s="18"/>
      <c r="U6562" s="18"/>
      <c r="V6562" s="18"/>
      <c r="W6562" s="18"/>
      <c r="X6562" s="18"/>
    </row>
    <row r="6563" spans="13:24">
      <c r="M6563" s="558">
        <f t="shared" si="311"/>
        <v>6561</v>
      </c>
      <c r="N6563" s="15">
        <f t="shared" si="309"/>
        <v>0.13308123131492944</v>
      </c>
      <c r="O6563" s="165">
        <f t="shared" si="310"/>
        <v>0.13308123131492944</v>
      </c>
      <c r="P6563" s="18"/>
      <c r="Q6563" s="18"/>
      <c r="R6563" s="18"/>
      <c r="S6563" s="18"/>
      <c r="T6563" s="18"/>
      <c r="U6563" s="18"/>
      <c r="V6563" s="18"/>
      <c r="W6563" s="18"/>
      <c r="X6563" s="18"/>
    </row>
    <row r="6564" spans="13:24">
      <c r="M6564" s="558">
        <f t="shared" si="311"/>
        <v>6562</v>
      </c>
      <c r="N6564" s="15">
        <f t="shared" si="309"/>
        <v>0.13302971223876711</v>
      </c>
      <c r="O6564" s="165">
        <f t="shared" si="310"/>
        <v>0.13302971223876711</v>
      </c>
      <c r="P6564" s="18"/>
      <c r="Q6564" s="18"/>
      <c r="R6564" s="18"/>
      <c r="S6564" s="18"/>
      <c r="T6564" s="18"/>
      <c r="U6564" s="18"/>
      <c r="V6564" s="18"/>
      <c r="W6564" s="18"/>
      <c r="X6564" s="18"/>
    </row>
    <row r="6565" spans="13:24">
      <c r="M6565" s="558">
        <f t="shared" si="311"/>
        <v>6563</v>
      </c>
      <c r="N6565" s="15">
        <f t="shared" si="309"/>
        <v>0.13297819334985533</v>
      </c>
      <c r="O6565" s="165">
        <f t="shared" si="310"/>
        <v>0.13297819334985533</v>
      </c>
      <c r="P6565" s="18"/>
      <c r="Q6565" s="18"/>
      <c r="R6565" s="18"/>
      <c r="S6565" s="18"/>
      <c r="T6565" s="18"/>
      <c r="U6565" s="18"/>
      <c r="V6565" s="18"/>
      <c r="W6565" s="18"/>
      <c r="X6565" s="18"/>
    </row>
    <row r="6566" spans="13:24">
      <c r="M6566" s="558">
        <f t="shared" si="311"/>
        <v>6564</v>
      </c>
      <c r="N6566" s="15">
        <f t="shared" si="309"/>
        <v>0.13292667464795907</v>
      </c>
      <c r="O6566" s="165">
        <f t="shared" si="310"/>
        <v>0.13292667464795907</v>
      </c>
      <c r="P6566" s="18"/>
      <c r="Q6566" s="18"/>
      <c r="R6566" s="18"/>
      <c r="S6566" s="18"/>
      <c r="T6566" s="18"/>
      <c r="U6566" s="18"/>
      <c r="V6566" s="18"/>
      <c r="W6566" s="18"/>
      <c r="X6566" s="18"/>
    </row>
    <row r="6567" spans="13:24">
      <c r="M6567" s="558">
        <f t="shared" si="311"/>
        <v>6565</v>
      </c>
      <c r="N6567" s="15">
        <f t="shared" si="309"/>
        <v>0.13287515613284367</v>
      </c>
      <c r="O6567" s="165">
        <f t="shared" si="310"/>
        <v>0.13287515613284367</v>
      </c>
      <c r="P6567" s="18"/>
      <c r="Q6567" s="18"/>
      <c r="R6567" s="18"/>
      <c r="S6567" s="18"/>
      <c r="T6567" s="18"/>
      <c r="U6567" s="18"/>
      <c r="V6567" s="18"/>
      <c r="W6567" s="18"/>
      <c r="X6567" s="18"/>
    </row>
    <row r="6568" spans="13:24">
      <c r="M6568" s="558">
        <f t="shared" si="311"/>
        <v>6566</v>
      </c>
      <c r="N6568" s="15">
        <f t="shared" si="309"/>
        <v>0.1328236378042747</v>
      </c>
      <c r="O6568" s="165">
        <f t="shared" si="310"/>
        <v>0.1328236378042747</v>
      </c>
      <c r="P6568" s="18"/>
      <c r="Q6568" s="18"/>
      <c r="R6568" s="18"/>
      <c r="S6568" s="18"/>
      <c r="T6568" s="18"/>
      <c r="U6568" s="18"/>
      <c r="V6568" s="18"/>
      <c r="W6568" s="18"/>
      <c r="X6568" s="18"/>
    </row>
    <row r="6569" spans="13:24">
      <c r="M6569" s="558">
        <f t="shared" si="311"/>
        <v>6567</v>
      </c>
      <c r="N6569" s="15">
        <f t="shared" si="309"/>
        <v>0.13277211966201807</v>
      </c>
      <c r="O6569" s="165">
        <f t="shared" si="310"/>
        <v>0.13277211966201807</v>
      </c>
      <c r="P6569" s="18"/>
      <c r="Q6569" s="18"/>
      <c r="R6569" s="18"/>
      <c r="S6569" s="18"/>
      <c r="T6569" s="18"/>
      <c r="U6569" s="18"/>
      <c r="V6569" s="18"/>
      <c r="W6569" s="18"/>
      <c r="X6569" s="18"/>
    </row>
    <row r="6570" spans="13:24">
      <c r="M6570" s="558">
        <f t="shared" si="311"/>
        <v>6568</v>
      </c>
      <c r="N6570" s="15">
        <f t="shared" si="309"/>
        <v>0.13272060170584002</v>
      </c>
      <c r="O6570" s="165">
        <f t="shared" si="310"/>
        <v>0.13272060170584002</v>
      </c>
      <c r="P6570" s="18"/>
      <c r="Q6570" s="18"/>
      <c r="R6570" s="18"/>
      <c r="S6570" s="18"/>
      <c r="T6570" s="18"/>
      <c r="U6570" s="18"/>
      <c r="V6570" s="18"/>
      <c r="W6570" s="18"/>
      <c r="X6570" s="18"/>
    </row>
    <row r="6571" spans="13:24">
      <c r="M6571" s="558">
        <f t="shared" si="311"/>
        <v>6569</v>
      </c>
      <c r="N6571" s="15">
        <f t="shared" si="309"/>
        <v>0.13266908393550697</v>
      </c>
      <c r="O6571" s="165">
        <f t="shared" si="310"/>
        <v>0.13266908393550697</v>
      </c>
      <c r="P6571" s="18"/>
      <c r="Q6571" s="18"/>
      <c r="R6571" s="18"/>
      <c r="S6571" s="18"/>
      <c r="T6571" s="18"/>
      <c r="U6571" s="18"/>
      <c r="V6571" s="18"/>
      <c r="W6571" s="18"/>
      <c r="X6571" s="18"/>
    </row>
    <row r="6572" spans="13:24">
      <c r="M6572" s="558">
        <f t="shared" si="311"/>
        <v>6570</v>
      </c>
      <c r="N6572" s="15">
        <f t="shared" si="309"/>
        <v>0.13261756635078575</v>
      </c>
      <c r="O6572" s="165">
        <f t="shared" si="310"/>
        <v>0.13261756635078575</v>
      </c>
      <c r="P6572" s="18"/>
      <c r="Q6572" s="18"/>
      <c r="R6572" s="18"/>
      <c r="S6572" s="18"/>
      <c r="T6572" s="18"/>
      <c r="U6572" s="18"/>
      <c r="V6572" s="18"/>
      <c r="W6572" s="18"/>
      <c r="X6572" s="18"/>
    </row>
    <row r="6573" spans="13:24">
      <c r="M6573" s="558">
        <f t="shared" si="311"/>
        <v>6571</v>
      </c>
      <c r="N6573" s="15">
        <f t="shared" si="309"/>
        <v>0.13256604895144339</v>
      </c>
      <c r="O6573" s="165">
        <f t="shared" si="310"/>
        <v>0.13256604895144339</v>
      </c>
      <c r="P6573" s="18"/>
      <c r="Q6573" s="18"/>
      <c r="R6573" s="18"/>
      <c r="S6573" s="18"/>
      <c r="T6573" s="18"/>
      <c r="U6573" s="18"/>
      <c r="V6573" s="18"/>
      <c r="W6573" s="18"/>
      <c r="X6573" s="18"/>
    </row>
    <row r="6574" spans="13:24">
      <c r="M6574" s="558">
        <f t="shared" si="311"/>
        <v>6572</v>
      </c>
      <c r="N6574" s="15">
        <f t="shared" si="309"/>
        <v>0.13251453173724731</v>
      </c>
      <c r="O6574" s="165">
        <f t="shared" si="310"/>
        <v>0.13251453173724731</v>
      </c>
      <c r="P6574" s="18"/>
      <c r="Q6574" s="18"/>
      <c r="R6574" s="18"/>
      <c r="S6574" s="18"/>
      <c r="T6574" s="18"/>
      <c r="U6574" s="18"/>
      <c r="V6574" s="18"/>
      <c r="W6574" s="18"/>
      <c r="X6574" s="18"/>
    </row>
    <row r="6575" spans="13:24">
      <c r="M6575" s="558">
        <f t="shared" si="311"/>
        <v>6573</v>
      </c>
      <c r="N6575" s="15">
        <f t="shared" si="309"/>
        <v>0.13246301470796507</v>
      </c>
      <c r="O6575" s="165">
        <f t="shared" si="310"/>
        <v>0.13246301470796507</v>
      </c>
      <c r="P6575" s="18"/>
      <c r="Q6575" s="18"/>
      <c r="R6575" s="18"/>
      <c r="S6575" s="18"/>
      <c r="T6575" s="18"/>
      <c r="U6575" s="18"/>
      <c r="V6575" s="18"/>
      <c r="W6575" s="18"/>
      <c r="X6575" s="18"/>
    </row>
    <row r="6576" spans="13:24">
      <c r="M6576" s="558">
        <f t="shared" si="311"/>
        <v>6574</v>
      </c>
      <c r="N6576" s="15">
        <f t="shared" si="309"/>
        <v>0.13241149786336473</v>
      </c>
      <c r="O6576" s="165">
        <f t="shared" si="310"/>
        <v>0.13241149786336473</v>
      </c>
      <c r="P6576" s="18"/>
      <c r="Q6576" s="18"/>
      <c r="R6576" s="18"/>
      <c r="S6576" s="18"/>
      <c r="T6576" s="18"/>
      <c r="U6576" s="18"/>
      <c r="V6576" s="18"/>
      <c r="W6576" s="18"/>
      <c r="X6576" s="18"/>
    </row>
    <row r="6577" spans="13:24">
      <c r="M6577" s="558">
        <f t="shared" si="311"/>
        <v>6575</v>
      </c>
      <c r="N6577" s="15">
        <f t="shared" si="309"/>
        <v>0.13235998120321443</v>
      </c>
      <c r="O6577" s="165">
        <f t="shared" si="310"/>
        <v>0.13235998120321443</v>
      </c>
      <c r="P6577" s="18"/>
      <c r="Q6577" s="18"/>
      <c r="R6577" s="18"/>
      <c r="S6577" s="18"/>
      <c r="T6577" s="18"/>
      <c r="U6577" s="18"/>
      <c r="V6577" s="18"/>
      <c r="W6577" s="18"/>
      <c r="X6577" s="18"/>
    </row>
    <row r="6578" spans="13:24">
      <c r="M6578" s="558">
        <f t="shared" si="311"/>
        <v>6576</v>
      </c>
      <c r="N6578" s="15">
        <f t="shared" si="309"/>
        <v>0.1323084647272828</v>
      </c>
      <c r="O6578" s="165">
        <f t="shared" si="310"/>
        <v>0.1323084647272828</v>
      </c>
      <c r="P6578" s="18"/>
      <c r="Q6578" s="18"/>
      <c r="R6578" s="18"/>
      <c r="S6578" s="18"/>
      <c r="T6578" s="18"/>
      <c r="U6578" s="18"/>
      <c r="V6578" s="18"/>
      <c r="W6578" s="18"/>
      <c r="X6578" s="18"/>
    </row>
    <row r="6579" spans="13:24">
      <c r="M6579" s="558">
        <f t="shared" si="311"/>
        <v>6577</v>
      </c>
      <c r="N6579" s="15">
        <f t="shared" si="309"/>
        <v>0.13225694843533858</v>
      </c>
      <c r="O6579" s="165">
        <f t="shared" si="310"/>
        <v>0.13225694843533858</v>
      </c>
      <c r="P6579" s="18"/>
      <c r="Q6579" s="18"/>
      <c r="R6579" s="18"/>
      <c r="S6579" s="18"/>
      <c r="T6579" s="18"/>
      <c r="U6579" s="18"/>
      <c r="V6579" s="18"/>
      <c r="W6579" s="18"/>
      <c r="X6579" s="18"/>
    </row>
    <row r="6580" spans="13:24">
      <c r="M6580" s="558">
        <f t="shared" si="311"/>
        <v>6578</v>
      </c>
      <c r="N6580" s="15">
        <f t="shared" si="309"/>
        <v>0.13220543232715093</v>
      </c>
      <c r="O6580" s="165">
        <f t="shared" si="310"/>
        <v>0.13220543232715093</v>
      </c>
      <c r="P6580" s="18"/>
      <c r="Q6580" s="18"/>
      <c r="R6580" s="18"/>
      <c r="S6580" s="18"/>
      <c r="T6580" s="18"/>
      <c r="U6580" s="18"/>
      <c r="V6580" s="18"/>
      <c r="W6580" s="18"/>
      <c r="X6580" s="18"/>
    </row>
    <row r="6581" spans="13:24">
      <c r="M6581" s="558">
        <f t="shared" si="311"/>
        <v>6579</v>
      </c>
      <c r="N6581" s="15">
        <f t="shared" si="309"/>
        <v>0.13215391640248919</v>
      </c>
      <c r="O6581" s="165">
        <f t="shared" si="310"/>
        <v>0.13215391640248919</v>
      </c>
      <c r="P6581" s="18"/>
      <c r="Q6581" s="18"/>
      <c r="R6581" s="18"/>
      <c r="S6581" s="18"/>
      <c r="T6581" s="18"/>
      <c r="U6581" s="18"/>
      <c r="V6581" s="18"/>
      <c r="W6581" s="18"/>
      <c r="X6581" s="18"/>
    </row>
    <row r="6582" spans="13:24">
      <c r="M6582" s="558">
        <f t="shared" si="311"/>
        <v>6580</v>
      </c>
      <c r="N6582" s="15">
        <f t="shared" si="309"/>
        <v>0.13210240066112311</v>
      </c>
      <c r="O6582" s="165">
        <f t="shared" si="310"/>
        <v>0.13210240066112311</v>
      </c>
      <c r="P6582" s="18"/>
      <c r="Q6582" s="18"/>
      <c r="R6582" s="18"/>
      <c r="S6582" s="18"/>
      <c r="T6582" s="18"/>
      <c r="U6582" s="18"/>
      <c r="V6582" s="18"/>
      <c r="W6582" s="18"/>
      <c r="X6582" s="18"/>
    </row>
    <row r="6583" spans="13:24">
      <c r="M6583" s="558">
        <f t="shared" si="311"/>
        <v>6581</v>
      </c>
      <c r="N6583" s="15">
        <f t="shared" si="309"/>
        <v>0.13205088510282265</v>
      </c>
      <c r="O6583" s="165">
        <f t="shared" si="310"/>
        <v>0.13205088510282265</v>
      </c>
      <c r="P6583" s="18"/>
      <c r="Q6583" s="18"/>
      <c r="R6583" s="18"/>
      <c r="S6583" s="18"/>
      <c r="T6583" s="18"/>
      <c r="U6583" s="18"/>
      <c r="V6583" s="18"/>
      <c r="W6583" s="18"/>
      <c r="X6583" s="18"/>
    </row>
    <row r="6584" spans="13:24">
      <c r="M6584" s="558">
        <f t="shared" si="311"/>
        <v>6582</v>
      </c>
      <c r="N6584" s="15">
        <f t="shared" si="309"/>
        <v>0.13199936972735807</v>
      </c>
      <c r="O6584" s="165">
        <f t="shared" si="310"/>
        <v>0.13199936972735807</v>
      </c>
      <c r="P6584" s="18"/>
      <c r="Q6584" s="18"/>
      <c r="R6584" s="18"/>
      <c r="S6584" s="18"/>
      <c r="T6584" s="18"/>
      <c r="U6584" s="18"/>
      <c r="V6584" s="18"/>
      <c r="W6584" s="18"/>
      <c r="X6584" s="18"/>
    </row>
    <row r="6585" spans="13:24">
      <c r="M6585" s="558">
        <f t="shared" si="311"/>
        <v>6583</v>
      </c>
      <c r="N6585" s="15">
        <f t="shared" si="309"/>
        <v>0.13194785453449992</v>
      </c>
      <c r="O6585" s="165">
        <f t="shared" si="310"/>
        <v>0.13194785453449992</v>
      </c>
      <c r="P6585" s="18"/>
      <c r="Q6585" s="18"/>
      <c r="R6585" s="18"/>
      <c r="S6585" s="18"/>
      <c r="T6585" s="18"/>
      <c r="U6585" s="18"/>
      <c r="V6585" s="18"/>
      <c r="W6585" s="18"/>
      <c r="X6585" s="18"/>
    </row>
    <row r="6586" spans="13:24">
      <c r="M6586" s="558">
        <f t="shared" si="311"/>
        <v>6584</v>
      </c>
      <c r="N6586" s="15">
        <f t="shared" si="309"/>
        <v>0.13189633952401905</v>
      </c>
      <c r="O6586" s="165">
        <f t="shared" si="310"/>
        <v>0.13189633952401905</v>
      </c>
      <c r="P6586" s="18"/>
      <c r="Q6586" s="18"/>
      <c r="R6586" s="18"/>
      <c r="S6586" s="18"/>
      <c r="T6586" s="18"/>
      <c r="U6586" s="18"/>
      <c r="V6586" s="18"/>
      <c r="W6586" s="18"/>
      <c r="X6586" s="18"/>
    </row>
    <row r="6587" spans="13:24">
      <c r="M6587" s="558">
        <f t="shared" si="311"/>
        <v>6585</v>
      </c>
      <c r="N6587" s="15">
        <f t="shared" si="309"/>
        <v>0.13184482469568662</v>
      </c>
      <c r="O6587" s="165">
        <f t="shared" si="310"/>
        <v>0.13184482469568662</v>
      </c>
      <c r="P6587" s="18"/>
      <c r="Q6587" s="18"/>
      <c r="R6587" s="18"/>
      <c r="S6587" s="18"/>
      <c r="T6587" s="18"/>
      <c r="U6587" s="18"/>
      <c r="V6587" s="18"/>
      <c r="W6587" s="18"/>
      <c r="X6587" s="18"/>
    </row>
    <row r="6588" spans="13:24">
      <c r="M6588" s="558">
        <f t="shared" si="311"/>
        <v>6586</v>
      </c>
      <c r="N6588" s="15">
        <f t="shared" si="309"/>
        <v>0.131793310049274</v>
      </c>
      <c r="O6588" s="165">
        <f t="shared" si="310"/>
        <v>0.131793310049274</v>
      </c>
      <c r="P6588" s="18"/>
      <c r="Q6588" s="18"/>
      <c r="R6588" s="18"/>
      <c r="S6588" s="18"/>
      <c r="T6588" s="18"/>
      <c r="U6588" s="18"/>
      <c r="V6588" s="18"/>
      <c r="W6588" s="18"/>
      <c r="X6588" s="18"/>
    </row>
    <row r="6589" spans="13:24">
      <c r="M6589" s="558">
        <f t="shared" si="311"/>
        <v>6587</v>
      </c>
      <c r="N6589" s="15">
        <f t="shared" si="309"/>
        <v>0.13174179558455293</v>
      </c>
      <c r="O6589" s="165">
        <f t="shared" si="310"/>
        <v>0.13174179558455293</v>
      </c>
      <c r="P6589" s="18"/>
      <c r="Q6589" s="18"/>
      <c r="R6589" s="18"/>
      <c r="S6589" s="18"/>
      <c r="T6589" s="18"/>
      <c r="U6589" s="18"/>
      <c r="V6589" s="18"/>
      <c r="W6589" s="18"/>
      <c r="X6589" s="18"/>
    </row>
    <row r="6590" spans="13:24">
      <c r="M6590" s="558">
        <f t="shared" si="311"/>
        <v>6588</v>
      </c>
      <c r="N6590" s="15">
        <f t="shared" si="309"/>
        <v>0.13169028130129537</v>
      </c>
      <c r="O6590" s="165">
        <f t="shared" si="310"/>
        <v>0.13169028130129537</v>
      </c>
      <c r="P6590" s="18"/>
      <c r="Q6590" s="18"/>
      <c r="R6590" s="18"/>
      <c r="S6590" s="18"/>
      <c r="T6590" s="18"/>
      <c r="U6590" s="18"/>
      <c r="V6590" s="18"/>
      <c r="W6590" s="18"/>
      <c r="X6590" s="18"/>
    </row>
    <row r="6591" spans="13:24">
      <c r="M6591" s="558">
        <f t="shared" si="311"/>
        <v>6589</v>
      </c>
      <c r="N6591" s="15">
        <f t="shared" si="309"/>
        <v>0.13163876719927367</v>
      </c>
      <c r="O6591" s="165">
        <f t="shared" si="310"/>
        <v>0.13163876719927367</v>
      </c>
      <c r="P6591" s="18"/>
      <c r="Q6591" s="18"/>
      <c r="R6591" s="18"/>
      <c r="S6591" s="18"/>
      <c r="T6591" s="18"/>
      <c r="U6591" s="18"/>
      <c r="V6591" s="18"/>
      <c r="W6591" s="18"/>
      <c r="X6591" s="18"/>
    </row>
    <row r="6592" spans="13:24">
      <c r="M6592" s="558">
        <f t="shared" si="311"/>
        <v>6590</v>
      </c>
      <c r="N6592" s="15">
        <f t="shared" si="309"/>
        <v>0.13158725327826029</v>
      </c>
      <c r="O6592" s="165">
        <f t="shared" si="310"/>
        <v>0.13158725327826029</v>
      </c>
      <c r="P6592" s="18"/>
      <c r="Q6592" s="18"/>
      <c r="R6592" s="18"/>
      <c r="S6592" s="18"/>
      <c r="T6592" s="18"/>
      <c r="U6592" s="18"/>
      <c r="V6592" s="18"/>
      <c r="W6592" s="18"/>
      <c r="X6592" s="18"/>
    </row>
    <row r="6593" spans="13:24">
      <c r="M6593" s="558">
        <f t="shared" si="311"/>
        <v>6591</v>
      </c>
      <c r="N6593" s="15">
        <f t="shared" si="309"/>
        <v>0.13153573953802816</v>
      </c>
      <c r="O6593" s="165">
        <f t="shared" si="310"/>
        <v>0.13153573953802816</v>
      </c>
      <c r="P6593" s="18"/>
      <c r="Q6593" s="18"/>
      <c r="R6593" s="18"/>
      <c r="S6593" s="18"/>
      <c r="T6593" s="18"/>
      <c r="U6593" s="18"/>
      <c r="V6593" s="18"/>
      <c r="W6593" s="18"/>
      <c r="X6593" s="18"/>
    </row>
    <row r="6594" spans="13:24">
      <c r="M6594" s="558">
        <f t="shared" si="311"/>
        <v>6592</v>
      </c>
      <c r="N6594" s="15">
        <f t="shared" si="309"/>
        <v>0.13148422597835036</v>
      </c>
      <c r="O6594" s="165">
        <f t="shared" si="310"/>
        <v>0.13148422597835036</v>
      </c>
      <c r="P6594" s="18"/>
      <c r="Q6594" s="18"/>
      <c r="R6594" s="18"/>
      <c r="S6594" s="18"/>
      <c r="T6594" s="18"/>
      <c r="U6594" s="18"/>
      <c r="V6594" s="18"/>
      <c r="W6594" s="18"/>
      <c r="X6594" s="18"/>
    </row>
    <row r="6595" spans="13:24">
      <c r="M6595" s="558">
        <f t="shared" si="311"/>
        <v>6593</v>
      </c>
      <c r="N6595" s="15">
        <f t="shared" si="309"/>
        <v>0.13143271259900036</v>
      </c>
      <c r="O6595" s="165">
        <f t="shared" si="310"/>
        <v>0.13143271259900036</v>
      </c>
      <c r="P6595" s="18"/>
      <c r="Q6595" s="18"/>
      <c r="R6595" s="18"/>
      <c r="S6595" s="18"/>
      <c r="T6595" s="18"/>
      <c r="U6595" s="18"/>
      <c r="V6595" s="18"/>
      <c r="W6595" s="18"/>
      <c r="X6595" s="18"/>
    </row>
    <row r="6596" spans="13:24">
      <c r="M6596" s="558">
        <f t="shared" si="311"/>
        <v>6594</v>
      </c>
      <c r="N6596" s="15">
        <f t="shared" ref="N6596:N6659" si="312">IF(M6596&lt;$B$31+1,$B$32+$B$33/$B$31*(8760-M6596)+$B$34*IF(M6596&lt;$B$36-$B$31/(2*$B$35),1,IF(M6596&lt;$B$36+$B$31/(2*$B$35),COS(PI()/2*(M6596-($B$36-$B$31/(2*$B$35)))*$B$35/$B$31)^2,0))+$B$37*EXP((8760-M6596)/8760*$B$38)/EXP($B$38)-(8760-$B$31)*$B$33/$B$31,0)</f>
        <v>0.13138119939975182</v>
      </c>
      <c r="O6596" s="165">
        <f t="shared" ref="O6596:O6659" si="313">MIN(N6596,C$24)</f>
        <v>0.13138119939975182</v>
      </c>
      <c r="P6596" s="18"/>
      <c r="Q6596" s="18"/>
      <c r="R6596" s="18"/>
      <c r="S6596" s="18"/>
      <c r="T6596" s="18"/>
      <c r="U6596" s="18"/>
      <c r="V6596" s="18"/>
      <c r="W6596" s="18"/>
      <c r="X6596" s="18"/>
    </row>
    <row r="6597" spans="13:24">
      <c r="M6597" s="558">
        <f t="shared" ref="M6597:M6660" si="314">M6596+1</f>
        <v>6595</v>
      </c>
      <c r="N6597" s="15">
        <f t="shared" si="312"/>
        <v>0.13132968638037876</v>
      </c>
      <c r="O6597" s="165">
        <f t="shared" si="313"/>
        <v>0.13132968638037876</v>
      </c>
      <c r="P6597" s="18"/>
      <c r="Q6597" s="18"/>
      <c r="R6597" s="18"/>
      <c r="S6597" s="18"/>
      <c r="T6597" s="18"/>
      <c r="U6597" s="18"/>
      <c r="V6597" s="18"/>
      <c r="W6597" s="18"/>
      <c r="X6597" s="18"/>
    </row>
    <row r="6598" spans="13:24">
      <c r="M6598" s="558">
        <f t="shared" si="314"/>
        <v>6596</v>
      </c>
      <c r="N6598" s="15">
        <f t="shared" si="312"/>
        <v>0.13127817354065541</v>
      </c>
      <c r="O6598" s="165">
        <f t="shared" si="313"/>
        <v>0.13127817354065541</v>
      </c>
      <c r="P6598" s="18"/>
      <c r="Q6598" s="18"/>
      <c r="R6598" s="18"/>
      <c r="S6598" s="18"/>
      <c r="T6598" s="18"/>
      <c r="U6598" s="18"/>
      <c r="V6598" s="18"/>
      <c r="W6598" s="18"/>
      <c r="X6598" s="18"/>
    </row>
    <row r="6599" spans="13:24">
      <c r="M6599" s="558">
        <f t="shared" si="314"/>
        <v>6597</v>
      </c>
      <c r="N6599" s="15">
        <f t="shared" si="312"/>
        <v>0.13122666088035637</v>
      </c>
      <c r="O6599" s="165">
        <f t="shared" si="313"/>
        <v>0.13122666088035637</v>
      </c>
      <c r="P6599" s="18"/>
      <c r="Q6599" s="18"/>
      <c r="R6599" s="18"/>
      <c r="S6599" s="18"/>
      <c r="T6599" s="18"/>
      <c r="U6599" s="18"/>
      <c r="V6599" s="18"/>
      <c r="W6599" s="18"/>
      <c r="X6599" s="18"/>
    </row>
    <row r="6600" spans="13:24">
      <c r="M6600" s="558">
        <f t="shared" si="314"/>
        <v>6598</v>
      </c>
      <c r="N6600" s="15">
        <f t="shared" si="312"/>
        <v>0.13117514839925642</v>
      </c>
      <c r="O6600" s="165">
        <f t="shared" si="313"/>
        <v>0.13117514839925642</v>
      </c>
      <c r="P6600" s="18"/>
      <c r="Q6600" s="18"/>
      <c r="R6600" s="18"/>
      <c r="S6600" s="18"/>
      <c r="T6600" s="18"/>
      <c r="U6600" s="18"/>
      <c r="V6600" s="18"/>
      <c r="W6600" s="18"/>
      <c r="X6600" s="18"/>
    </row>
    <row r="6601" spans="13:24">
      <c r="M6601" s="558">
        <f t="shared" si="314"/>
        <v>6599</v>
      </c>
      <c r="N6601" s="15">
        <f t="shared" si="312"/>
        <v>0.13112363609713074</v>
      </c>
      <c r="O6601" s="165">
        <f t="shared" si="313"/>
        <v>0.13112363609713074</v>
      </c>
      <c r="P6601" s="18"/>
      <c r="Q6601" s="18"/>
      <c r="R6601" s="18"/>
      <c r="S6601" s="18"/>
      <c r="T6601" s="18"/>
      <c r="U6601" s="18"/>
      <c r="V6601" s="18"/>
      <c r="W6601" s="18"/>
      <c r="X6601" s="18"/>
    </row>
    <row r="6602" spans="13:24">
      <c r="M6602" s="558">
        <f t="shared" si="314"/>
        <v>6600</v>
      </c>
      <c r="N6602" s="15">
        <f t="shared" si="312"/>
        <v>0.1310721239737547</v>
      </c>
      <c r="O6602" s="165">
        <f t="shared" si="313"/>
        <v>0.1310721239737547</v>
      </c>
      <c r="P6602" s="18"/>
      <c r="Q6602" s="18"/>
      <c r="R6602" s="18"/>
      <c r="S6602" s="18"/>
      <c r="T6602" s="18"/>
      <c r="U6602" s="18"/>
      <c r="V6602" s="18"/>
      <c r="W6602" s="18"/>
      <c r="X6602" s="18"/>
    </row>
    <row r="6603" spans="13:24">
      <c r="M6603" s="558">
        <f t="shared" si="314"/>
        <v>6601</v>
      </c>
      <c r="N6603" s="15">
        <f t="shared" si="312"/>
        <v>0.131020612028904</v>
      </c>
      <c r="O6603" s="165">
        <f t="shared" si="313"/>
        <v>0.131020612028904</v>
      </c>
      <c r="P6603" s="18"/>
      <c r="Q6603" s="18"/>
      <c r="R6603" s="18"/>
      <c r="S6603" s="18"/>
      <c r="T6603" s="18"/>
      <c r="U6603" s="18"/>
      <c r="V6603" s="18"/>
      <c r="W6603" s="18"/>
      <c r="X6603" s="18"/>
    </row>
    <row r="6604" spans="13:24">
      <c r="M6604" s="558">
        <f t="shared" si="314"/>
        <v>6602</v>
      </c>
      <c r="N6604" s="15">
        <f t="shared" si="312"/>
        <v>0.13096910026235459</v>
      </c>
      <c r="O6604" s="165">
        <f t="shared" si="313"/>
        <v>0.13096910026235459</v>
      </c>
      <c r="P6604" s="18"/>
      <c r="Q6604" s="18"/>
      <c r="R6604" s="18"/>
      <c r="S6604" s="18"/>
      <c r="T6604" s="18"/>
      <c r="U6604" s="18"/>
      <c r="V6604" s="18"/>
      <c r="W6604" s="18"/>
      <c r="X6604" s="18"/>
    </row>
    <row r="6605" spans="13:24">
      <c r="M6605" s="558">
        <f t="shared" si="314"/>
        <v>6603</v>
      </c>
      <c r="N6605" s="15">
        <f t="shared" si="312"/>
        <v>0.13091758867388273</v>
      </c>
      <c r="O6605" s="165">
        <f t="shared" si="313"/>
        <v>0.13091758867388273</v>
      </c>
      <c r="P6605" s="18"/>
      <c r="Q6605" s="18"/>
      <c r="R6605" s="18"/>
      <c r="S6605" s="18"/>
      <c r="T6605" s="18"/>
      <c r="U6605" s="18"/>
      <c r="V6605" s="18"/>
      <c r="W6605" s="18"/>
      <c r="X6605" s="18"/>
    </row>
    <row r="6606" spans="13:24">
      <c r="M6606" s="558">
        <f t="shared" si="314"/>
        <v>6604</v>
      </c>
      <c r="N6606" s="15">
        <f t="shared" si="312"/>
        <v>0.13086607726326493</v>
      </c>
      <c r="O6606" s="165">
        <f t="shared" si="313"/>
        <v>0.13086607726326493</v>
      </c>
      <c r="P6606" s="18"/>
      <c r="Q6606" s="18"/>
      <c r="R6606" s="18"/>
      <c r="S6606" s="18"/>
      <c r="T6606" s="18"/>
      <c r="U6606" s="18"/>
      <c r="V6606" s="18"/>
      <c r="W6606" s="18"/>
      <c r="X6606" s="18"/>
    </row>
    <row r="6607" spans="13:24">
      <c r="M6607" s="558">
        <f t="shared" si="314"/>
        <v>6605</v>
      </c>
      <c r="N6607" s="15">
        <f t="shared" si="312"/>
        <v>0.130814566030278</v>
      </c>
      <c r="O6607" s="165">
        <f t="shared" si="313"/>
        <v>0.130814566030278</v>
      </c>
      <c r="P6607" s="18"/>
      <c r="Q6607" s="18"/>
      <c r="R6607" s="18"/>
      <c r="S6607" s="18"/>
      <c r="T6607" s="18"/>
      <c r="U6607" s="18"/>
      <c r="V6607" s="18"/>
      <c r="W6607" s="18"/>
      <c r="X6607" s="18"/>
    </row>
    <row r="6608" spans="13:24">
      <c r="M6608" s="558">
        <f t="shared" si="314"/>
        <v>6606</v>
      </c>
      <c r="N6608" s="15">
        <f t="shared" si="312"/>
        <v>0.13076305497469903</v>
      </c>
      <c r="O6608" s="165">
        <f t="shared" si="313"/>
        <v>0.13076305497469903</v>
      </c>
      <c r="P6608" s="18"/>
      <c r="Q6608" s="18"/>
      <c r="R6608" s="18"/>
      <c r="S6608" s="18"/>
      <c r="T6608" s="18"/>
      <c r="U6608" s="18"/>
      <c r="V6608" s="18"/>
      <c r="W6608" s="18"/>
      <c r="X6608" s="18"/>
    </row>
    <row r="6609" spans="13:24">
      <c r="M6609" s="558">
        <f t="shared" si="314"/>
        <v>6607</v>
      </c>
      <c r="N6609" s="15">
        <f t="shared" si="312"/>
        <v>0.13071154409630539</v>
      </c>
      <c r="O6609" s="165">
        <f t="shared" si="313"/>
        <v>0.13071154409630539</v>
      </c>
      <c r="P6609" s="18"/>
      <c r="Q6609" s="18"/>
      <c r="R6609" s="18"/>
      <c r="S6609" s="18"/>
      <c r="T6609" s="18"/>
      <c r="U6609" s="18"/>
      <c r="V6609" s="18"/>
      <c r="W6609" s="18"/>
      <c r="X6609" s="18"/>
    </row>
    <row r="6610" spans="13:24">
      <c r="M6610" s="558">
        <f t="shared" si="314"/>
        <v>6608</v>
      </c>
      <c r="N6610" s="15">
        <f t="shared" si="312"/>
        <v>0.13066003339487475</v>
      </c>
      <c r="O6610" s="165">
        <f t="shared" si="313"/>
        <v>0.13066003339487475</v>
      </c>
      <c r="P6610" s="18"/>
      <c r="Q6610" s="18"/>
      <c r="R6610" s="18"/>
      <c r="S6610" s="18"/>
      <c r="T6610" s="18"/>
      <c r="U6610" s="18"/>
      <c r="V6610" s="18"/>
      <c r="W6610" s="18"/>
      <c r="X6610" s="18"/>
    </row>
    <row r="6611" spans="13:24">
      <c r="M6611" s="558">
        <f t="shared" si="314"/>
        <v>6609</v>
      </c>
      <c r="N6611" s="15">
        <f t="shared" si="312"/>
        <v>0.13060852287018501</v>
      </c>
      <c r="O6611" s="165">
        <f t="shared" si="313"/>
        <v>0.13060852287018501</v>
      </c>
      <c r="P6611" s="18"/>
      <c r="Q6611" s="18"/>
      <c r="R6611" s="18"/>
      <c r="S6611" s="18"/>
      <c r="T6611" s="18"/>
      <c r="U6611" s="18"/>
      <c r="V6611" s="18"/>
      <c r="W6611" s="18"/>
      <c r="X6611" s="18"/>
    </row>
    <row r="6612" spans="13:24">
      <c r="M6612" s="558">
        <f t="shared" si="314"/>
        <v>6610</v>
      </c>
      <c r="N6612" s="15">
        <f t="shared" si="312"/>
        <v>0.13055701252201438</v>
      </c>
      <c r="O6612" s="165">
        <f t="shared" si="313"/>
        <v>0.13055701252201438</v>
      </c>
      <c r="P6612" s="18"/>
      <c r="Q6612" s="18"/>
      <c r="R6612" s="18"/>
      <c r="S6612" s="18"/>
      <c r="T6612" s="18"/>
      <c r="U6612" s="18"/>
      <c r="V6612" s="18"/>
      <c r="W6612" s="18"/>
      <c r="X6612" s="18"/>
    </row>
    <row r="6613" spans="13:24">
      <c r="M6613" s="558">
        <f t="shared" si="314"/>
        <v>6611</v>
      </c>
      <c r="N6613" s="15">
        <f t="shared" si="312"/>
        <v>0.1305055023501413</v>
      </c>
      <c r="O6613" s="165">
        <f t="shared" si="313"/>
        <v>0.1305055023501413</v>
      </c>
      <c r="P6613" s="18"/>
      <c r="Q6613" s="18"/>
      <c r="R6613" s="18"/>
      <c r="S6613" s="18"/>
      <c r="T6613" s="18"/>
      <c r="U6613" s="18"/>
      <c r="V6613" s="18"/>
      <c r="W6613" s="18"/>
      <c r="X6613" s="18"/>
    </row>
    <row r="6614" spans="13:24">
      <c r="M6614" s="558">
        <f t="shared" si="314"/>
        <v>6612</v>
      </c>
      <c r="N6614" s="15">
        <f t="shared" si="312"/>
        <v>0.13045399235434463</v>
      </c>
      <c r="O6614" s="165">
        <f t="shared" si="313"/>
        <v>0.13045399235434463</v>
      </c>
      <c r="P6614" s="18"/>
      <c r="Q6614" s="18"/>
      <c r="R6614" s="18"/>
      <c r="S6614" s="18"/>
      <c r="T6614" s="18"/>
      <c r="U6614" s="18"/>
      <c r="V6614" s="18"/>
      <c r="W6614" s="18"/>
      <c r="X6614" s="18"/>
    </row>
    <row r="6615" spans="13:24">
      <c r="M6615" s="558">
        <f t="shared" si="314"/>
        <v>6613</v>
      </c>
      <c r="N6615" s="15">
        <f t="shared" si="312"/>
        <v>0.13040248253440329</v>
      </c>
      <c r="O6615" s="165">
        <f t="shared" si="313"/>
        <v>0.13040248253440329</v>
      </c>
      <c r="P6615" s="18"/>
      <c r="Q6615" s="18"/>
      <c r="R6615" s="18"/>
      <c r="S6615" s="18"/>
      <c r="T6615" s="18"/>
      <c r="U6615" s="18"/>
      <c r="V6615" s="18"/>
      <c r="W6615" s="18"/>
      <c r="X6615" s="18"/>
    </row>
    <row r="6616" spans="13:24">
      <c r="M6616" s="558">
        <f t="shared" si="314"/>
        <v>6614</v>
      </c>
      <c r="N6616" s="15">
        <f t="shared" si="312"/>
        <v>0.13035097289009667</v>
      </c>
      <c r="O6616" s="165">
        <f t="shared" si="313"/>
        <v>0.13035097289009667</v>
      </c>
      <c r="P6616" s="18"/>
      <c r="Q6616" s="18"/>
      <c r="R6616" s="18"/>
      <c r="S6616" s="18"/>
      <c r="T6616" s="18"/>
      <c r="U6616" s="18"/>
      <c r="V6616" s="18"/>
      <c r="W6616" s="18"/>
      <c r="X6616" s="18"/>
    </row>
    <row r="6617" spans="13:24">
      <c r="M6617" s="558">
        <f t="shared" si="314"/>
        <v>6615</v>
      </c>
      <c r="N6617" s="15">
        <f t="shared" si="312"/>
        <v>0.13029946342120435</v>
      </c>
      <c r="O6617" s="165">
        <f t="shared" si="313"/>
        <v>0.13029946342120435</v>
      </c>
      <c r="P6617" s="18"/>
      <c r="Q6617" s="18"/>
      <c r="R6617" s="18"/>
      <c r="S6617" s="18"/>
      <c r="T6617" s="18"/>
      <c r="U6617" s="18"/>
      <c r="V6617" s="18"/>
      <c r="W6617" s="18"/>
      <c r="X6617" s="18"/>
    </row>
    <row r="6618" spans="13:24">
      <c r="M6618" s="558">
        <f t="shared" si="314"/>
        <v>6616</v>
      </c>
      <c r="N6618" s="15">
        <f t="shared" si="312"/>
        <v>0.1302479541275062</v>
      </c>
      <c r="O6618" s="165">
        <f t="shared" si="313"/>
        <v>0.1302479541275062</v>
      </c>
      <c r="P6618" s="18"/>
      <c r="Q6618" s="18"/>
      <c r="R6618" s="18"/>
      <c r="S6618" s="18"/>
      <c r="T6618" s="18"/>
      <c r="U6618" s="18"/>
      <c r="V6618" s="18"/>
      <c r="W6618" s="18"/>
      <c r="X6618" s="18"/>
    </row>
    <row r="6619" spans="13:24">
      <c r="M6619" s="558">
        <f t="shared" si="314"/>
        <v>6617</v>
      </c>
      <c r="N6619" s="15">
        <f t="shared" si="312"/>
        <v>0.13019644500878239</v>
      </c>
      <c r="O6619" s="165">
        <f t="shared" si="313"/>
        <v>0.13019644500878239</v>
      </c>
      <c r="P6619" s="18"/>
      <c r="Q6619" s="18"/>
      <c r="R6619" s="18"/>
      <c r="S6619" s="18"/>
      <c r="T6619" s="18"/>
      <c r="U6619" s="18"/>
      <c r="V6619" s="18"/>
      <c r="W6619" s="18"/>
      <c r="X6619" s="18"/>
    </row>
    <row r="6620" spans="13:24">
      <c r="M6620" s="558">
        <f t="shared" si="314"/>
        <v>6618</v>
      </c>
      <c r="N6620" s="15">
        <f t="shared" si="312"/>
        <v>0.13014493606481325</v>
      </c>
      <c r="O6620" s="165">
        <f t="shared" si="313"/>
        <v>0.13014493606481325</v>
      </c>
      <c r="P6620" s="18"/>
      <c r="Q6620" s="18"/>
      <c r="R6620" s="18"/>
      <c r="S6620" s="18"/>
      <c r="T6620" s="18"/>
      <c r="U6620" s="18"/>
      <c r="V6620" s="18"/>
      <c r="W6620" s="18"/>
      <c r="X6620" s="18"/>
    </row>
    <row r="6621" spans="13:24">
      <c r="M6621" s="558">
        <f t="shared" si="314"/>
        <v>6619</v>
      </c>
      <c r="N6621" s="15">
        <f t="shared" si="312"/>
        <v>0.13009342729537962</v>
      </c>
      <c r="O6621" s="165">
        <f t="shared" si="313"/>
        <v>0.13009342729537962</v>
      </c>
      <c r="P6621" s="18"/>
      <c r="Q6621" s="18"/>
      <c r="R6621" s="18"/>
      <c r="S6621" s="18"/>
      <c r="T6621" s="18"/>
      <c r="U6621" s="18"/>
      <c r="V6621" s="18"/>
      <c r="W6621" s="18"/>
      <c r="X6621" s="18"/>
    </row>
    <row r="6622" spans="13:24">
      <c r="M6622" s="558">
        <f t="shared" si="314"/>
        <v>6620</v>
      </c>
      <c r="N6622" s="15">
        <f t="shared" si="312"/>
        <v>0.13004191870026233</v>
      </c>
      <c r="O6622" s="165">
        <f t="shared" si="313"/>
        <v>0.13004191870026233</v>
      </c>
      <c r="P6622" s="18"/>
      <c r="Q6622" s="18"/>
      <c r="R6622" s="18"/>
      <c r="S6622" s="18"/>
      <c r="T6622" s="18"/>
      <c r="U6622" s="18"/>
      <c r="V6622" s="18"/>
      <c r="W6622" s="18"/>
      <c r="X6622" s="18"/>
    </row>
    <row r="6623" spans="13:24">
      <c r="M6623" s="558">
        <f t="shared" si="314"/>
        <v>6621</v>
      </c>
      <c r="N6623" s="15">
        <f t="shared" si="312"/>
        <v>0.12999041027924271</v>
      </c>
      <c r="O6623" s="165">
        <f t="shared" si="313"/>
        <v>0.12999041027924271</v>
      </c>
      <c r="P6623" s="18"/>
      <c r="Q6623" s="18"/>
      <c r="R6623" s="18"/>
      <c r="S6623" s="18"/>
      <c r="T6623" s="18"/>
      <c r="U6623" s="18"/>
      <c r="V6623" s="18"/>
      <c r="W6623" s="18"/>
      <c r="X6623" s="18"/>
    </row>
    <row r="6624" spans="13:24">
      <c r="M6624" s="558">
        <f t="shared" si="314"/>
        <v>6622</v>
      </c>
      <c r="N6624" s="15">
        <f t="shared" si="312"/>
        <v>0.12993890203210226</v>
      </c>
      <c r="O6624" s="165">
        <f t="shared" si="313"/>
        <v>0.12993890203210226</v>
      </c>
      <c r="P6624" s="18"/>
      <c r="Q6624" s="18"/>
      <c r="R6624" s="18"/>
      <c r="S6624" s="18"/>
      <c r="T6624" s="18"/>
      <c r="U6624" s="18"/>
      <c r="V6624" s="18"/>
      <c r="W6624" s="18"/>
      <c r="X6624" s="18"/>
    </row>
    <row r="6625" spans="13:24">
      <c r="M6625" s="558">
        <f t="shared" si="314"/>
        <v>6623</v>
      </c>
      <c r="N6625" s="15">
        <f t="shared" si="312"/>
        <v>0.12988739395862278</v>
      </c>
      <c r="O6625" s="165">
        <f t="shared" si="313"/>
        <v>0.12988739395862278</v>
      </c>
      <c r="P6625" s="18"/>
      <c r="Q6625" s="18"/>
      <c r="R6625" s="18"/>
      <c r="S6625" s="18"/>
      <c r="T6625" s="18"/>
      <c r="U6625" s="18"/>
      <c r="V6625" s="18"/>
      <c r="W6625" s="18"/>
      <c r="X6625" s="18"/>
    </row>
    <row r="6626" spans="13:24">
      <c r="M6626" s="558">
        <f t="shared" si="314"/>
        <v>6624</v>
      </c>
      <c r="N6626" s="15">
        <f t="shared" si="312"/>
        <v>0.12983588605858631</v>
      </c>
      <c r="O6626" s="165">
        <f t="shared" si="313"/>
        <v>0.12983588605858631</v>
      </c>
      <c r="P6626" s="18"/>
      <c r="Q6626" s="18"/>
      <c r="R6626" s="18"/>
      <c r="S6626" s="18"/>
      <c r="T6626" s="18"/>
      <c r="U6626" s="18"/>
      <c r="V6626" s="18"/>
      <c r="W6626" s="18"/>
      <c r="X6626" s="18"/>
    </row>
    <row r="6627" spans="13:24">
      <c r="M6627" s="558">
        <f t="shared" si="314"/>
        <v>6625</v>
      </c>
      <c r="N6627" s="15">
        <f t="shared" si="312"/>
        <v>0.12978437833177525</v>
      </c>
      <c r="O6627" s="165">
        <f t="shared" si="313"/>
        <v>0.12978437833177525</v>
      </c>
      <c r="P6627" s="18"/>
      <c r="Q6627" s="18"/>
      <c r="R6627" s="18"/>
      <c r="S6627" s="18"/>
      <c r="T6627" s="18"/>
      <c r="U6627" s="18"/>
      <c r="V6627" s="18"/>
      <c r="W6627" s="18"/>
      <c r="X6627" s="18"/>
    </row>
    <row r="6628" spans="13:24">
      <c r="M6628" s="558">
        <f t="shared" si="314"/>
        <v>6626</v>
      </c>
      <c r="N6628" s="15">
        <f t="shared" si="312"/>
        <v>0.12973287077797216</v>
      </c>
      <c r="O6628" s="165">
        <f t="shared" si="313"/>
        <v>0.12973287077797216</v>
      </c>
      <c r="P6628" s="18"/>
      <c r="Q6628" s="18"/>
      <c r="R6628" s="18"/>
      <c r="S6628" s="18"/>
      <c r="T6628" s="18"/>
      <c r="U6628" s="18"/>
      <c r="V6628" s="18"/>
      <c r="W6628" s="18"/>
      <c r="X6628" s="18"/>
    </row>
    <row r="6629" spans="13:24">
      <c r="M6629" s="558">
        <f t="shared" si="314"/>
        <v>6627</v>
      </c>
      <c r="N6629" s="15">
        <f t="shared" si="312"/>
        <v>0.12968136339695999</v>
      </c>
      <c r="O6629" s="165">
        <f t="shared" si="313"/>
        <v>0.12968136339695999</v>
      </c>
      <c r="P6629" s="18"/>
      <c r="Q6629" s="18"/>
      <c r="R6629" s="18"/>
      <c r="S6629" s="18"/>
      <c r="T6629" s="18"/>
      <c r="U6629" s="18"/>
      <c r="V6629" s="18"/>
      <c r="W6629" s="18"/>
      <c r="X6629" s="18"/>
    </row>
    <row r="6630" spans="13:24">
      <c r="M6630" s="558">
        <f t="shared" si="314"/>
        <v>6628</v>
      </c>
      <c r="N6630" s="15">
        <f t="shared" si="312"/>
        <v>0.12962985618852182</v>
      </c>
      <c r="O6630" s="165">
        <f t="shared" si="313"/>
        <v>0.12962985618852182</v>
      </c>
      <c r="P6630" s="18"/>
      <c r="Q6630" s="18"/>
      <c r="R6630" s="18"/>
      <c r="S6630" s="18"/>
      <c r="T6630" s="18"/>
      <c r="U6630" s="18"/>
      <c r="V6630" s="18"/>
      <c r="W6630" s="18"/>
      <c r="X6630" s="18"/>
    </row>
    <row r="6631" spans="13:24">
      <c r="M6631" s="558">
        <f t="shared" si="314"/>
        <v>6629</v>
      </c>
      <c r="N6631" s="15">
        <f t="shared" si="312"/>
        <v>0.12957834915244112</v>
      </c>
      <c r="O6631" s="165">
        <f t="shared" si="313"/>
        <v>0.12957834915244112</v>
      </c>
      <c r="P6631" s="18"/>
      <c r="Q6631" s="18"/>
      <c r="R6631" s="18"/>
      <c r="S6631" s="18"/>
      <c r="T6631" s="18"/>
      <c r="U6631" s="18"/>
      <c r="V6631" s="18"/>
      <c r="W6631" s="18"/>
      <c r="X6631" s="18"/>
    </row>
    <row r="6632" spans="13:24">
      <c r="M6632" s="558">
        <f t="shared" si="314"/>
        <v>6630</v>
      </c>
      <c r="N6632" s="15">
        <f t="shared" si="312"/>
        <v>0.12952684228850164</v>
      </c>
      <c r="O6632" s="165">
        <f t="shared" si="313"/>
        <v>0.12952684228850164</v>
      </c>
      <c r="P6632" s="18"/>
      <c r="Q6632" s="18"/>
      <c r="R6632" s="18"/>
      <c r="S6632" s="18"/>
      <c r="T6632" s="18"/>
      <c r="U6632" s="18"/>
      <c r="V6632" s="18"/>
      <c r="W6632" s="18"/>
      <c r="X6632" s="18"/>
    </row>
    <row r="6633" spans="13:24">
      <c r="M6633" s="558">
        <f t="shared" si="314"/>
        <v>6631</v>
      </c>
      <c r="N6633" s="15">
        <f t="shared" si="312"/>
        <v>0.1294753355964873</v>
      </c>
      <c r="O6633" s="165">
        <f t="shared" si="313"/>
        <v>0.1294753355964873</v>
      </c>
      <c r="P6633" s="18"/>
      <c r="Q6633" s="18"/>
      <c r="R6633" s="18"/>
      <c r="S6633" s="18"/>
      <c r="T6633" s="18"/>
      <c r="U6633" s="18"/>
      <c r="V6633" s="18"/>
      <c r="W6633" s="18"/>
      <c r="X6633" s="18"/>
    </row>
    <row r="6634" spans="13:24">
      <c r="M6634" s="558">
        <f t="shared" si="314"/>
        <v>6632</v>
      </c>
      <c r="N6634" s="15">
        <f t="shared" si="312"/>
        <v>0.12942382907618238</v>
      </c>
      <c r="O6634" s="165">
        <f t="shared" si="313"/>
        <v>0.12942382907618238</v>
      </c>
      <c r="P6634" s="18"/>
      <c r="Q6634" s="18"/>
      <c r="R6634" s="18"/>
      <c r="S6634" s="18"/>
      <c r="T6634" s="18"/>
      <c r="U6634" s="18"/>
      <c r="V6634" s="18"/>
      <c r="W6634" s="18"/>
      <c r="X6634" s="18"/>
    </row>
    <row r="6635" spans="13:24">
      <c r="M6635" s="558">
        <f t="shared" si="314"/>
        <v>6633</v>
      </c>
      <c r="N6635" s="15">
        <f t="shared" si="312"/>
        <v>0.12937232272737137</v>
      </c>
      <c r="O6635" s="165">
        <f t="shared" si="313"/>
        <v>0.12937232272737137</v>
      </c>
      <c r="P6635" s="18"/>
      <c r="Q6635" s="18"/>
      <c r="R6635" s="18"/>
      <c r="S6635" s="18"/>
      <c r="T6635" s="18"/>
      <c r="U6635" s="18"/>
      <c r="V6635" s="18"/>
      <c r="W6635" s="18"/>
      <c r="X6635" s="18"/>
    </row>
    <row r="6636" spans="13:24">
      <c r="M6636" s="558">
        <f t="shared" si="314"/>
        <v>6634</v>
      </c>
      <c r="N6636" s="15">
        <f t="shared" si="312"/>
        <v>0.1293208165498391</v>
      </c>
      <c r="O6636" s="165">
        <f t="shared" si="313"/>
        <v>0.1293208165498391</v>
      </c>
      <c r="P6636" s="18"/>
      <c r="Q6636" s="18"/>
      <c r="R6636" s="18"/>
      <c r="S6636" s="18"/>
      <c r="T6636" s="18"/>
      <c r="U6636" s="18"/>
      <c r="V6636" s="18"/>
      <c r="W6636" s="18"/>
      <c r="X6636" s="18"/>
    </row>
    <row r="6637" spans="13:24">
      <c r="M6637" s="558">
        <f t="shared" si="314"/>
        <v>6635</v>
      </c>
      <c r="N6637" s="15">
        <f t="shared" si="312"/>
        <v>0.12926931054337057</v>
      </c>
      <c r="O6637" s="165">
        <f t="shared" si="313"/>
        <v>0.12926931054337057</v>
      </c>
      <c r="P6637" s="18"/>
      <c r="Q6637" s="18"/>
      <c r="R6637" s="18"/>
      <c r="S6637" s="18"/>
      <c r="T6637" s="18"/>
      <c r="U6637" s="18"/>
      <c r="V6637" s="18"/>
      <c r="W6637" s="18"/>
      <c r="X6637" s="18"/>
    </row>
    <row r="6638" spans="13:24">
      <c r="M6638" s="558">
        <f t="shared" si="314"/>
        <v>6636</v>
      </c>
      <c r="N6638" s="15">
        <f t="shared" si="312"/>
        <v>0.12921780470775118</v>
      </c>
      <c r="O6638" s="165">
        <f t="shared" si="313"/>
        <v>0.12921780470775118</v>
      </c>
      <c r="P6638" s="18"/>
      <c r="Q6638" s="18"/>
      <c r="R6638" s="18"/>
      <c r="S6638" s="18"/>
      <c r="T6638" s="18"/>
      <c r="U6638" s="18"/>
      <c r="V6638" s="18"/>
      <c r="W6638" s="18"/>
      <c r="X6638" s="18"/>
    </row>
    <row r="6639" spans="13:24">
      <c r="M6639" s="558">
        <f t="shared" si="314"/>
        <v>6637</v>
      </c>
      <c r="N6639" s="15">
        <f t="shared" si="312"/>
        <v>0.12916629904276647</v>
      </c>
      <c r="O6639" s="165">
        <f t="shared" si="313"/>
        <v>0.12916629904276647</v>
      </c>
      <c r="P6639" s="18"/>
      <c r="Q6639" s="18"/>
      <c r="R6639" s="18"/>
      <c r="S6639" s="18"/>
      <c r="T6639" s="18"/>
      <c r="U6639" s="18"/>
      <c r="V6639" s="18"/>
      <c r="W6639" s="18"/>
      <c r="X6639" s="18"/>
    </row>
    <row r="6640" spans="13:24">
      <c r="M6640" s="558">
        <f t="shared" si="314"/>
        <v>6638</v>
      </c>
      <c r="N6640" s="15">
        <f t="shared" si="312"/>
        <v>0.12911479354820235</v>
      </c>
      <c r="O6640" s="165">
        <f t="shared" si="313"/>
        <v>0.12911479354820235</v>
      </c>
      <c r="P6640" s="18"/>
      <c r="Q6640" s="18"/>
      <c r="R6640" s="18"/>
      <c r="S6640" s="18"/>
      <c r="T6640" s="18"/>
      <c r="U6640" s="18"/>
      <c r="V6640" s="18"/>
      <c r="W6640" s="18"/>
      <c r="X6640" s="18"/>
    </row>
    <row r="6641" spans="13:24">
      <c r="M6641" s="558">
        <f t="shared" si="314"/>
        <v>6639</v>
      </c>
      <c r="N6641" s="15">
        <f t="shared" si="312"/>
        <v>0.12906328822384489</v>
      </c>
      <c r="O6641" s="165">
        <f t="shared" si="313"/>
        <v>0.12906328822384489</v>
      </c>
      <c r="P6641" s="18"/>
      <c r="Q6641" s="18"/>
      <c r="R6641" s="18"/>
      <c r="S6641" s="18"/>
      <c r="T6641" s="18"/>
      <c r="U6641" s="18"/>
      <c r="V6641" s="18"/>
      <c r="W6641" s="18"/>
      <c r="X6641" s="18"/>
    </row>
    <row r="6642" spans="13:24">
      <c r="M6642" s="558">
        <f t="shared" si="314"/>
        <v>6640</v>
      </c>
      <c r="N6642" s="15">
        <f t="shared" si="312"/>
        <v>0.12901178306948058</v>
      </c>
      <c r="O6642" s="165">
        <f t="shared" si="313"/>
        <v>0.12901178306948058</v>
      </c>
      <c r="P6642" s="18"/>
      <c r="Q6642" s="18"/>
      <c r="R6642" s="18"/>
      <c r="S6642" s="18"/>
      <c r="T6642" s="18"/>
      <c r="U6642" s="18"/>
      <c r="V6642" s="18"/>
      <c r="W6642" s="18"/>
      <c r="X6642" s="18"/>
    </row>
    <row r="6643" spans="13:24">
      <c r="M6643" s="558">
        <f t="shared" si="314"/>
        <v>6641</v>
      </c>
      <c r="N6643" s="15">
        <f t="shared" si="312"/>
        <v>0.12896027808489602</v>
      </c>
      <c r="O6643" s="165">
        <f t="shared" si="313"/>
        <v>0.12896027808489602</v>
      </c>
      <c r="P6643" s="18"/>
      <c r="Q6643" s="18"/>
      <c r="R6643" s="18"/>
      <c r="S6643" s="18"/>
      <c r="T6643" s="18"/>
      <c r="U6643" s="18"/>
      <c r="V6643" s="18"/>
      <c r="W6643" s="18"/>
      <c r="X6643" s="18"/>
    </row>
    <row r="6644" spans="13:24">
      <c r="M6644" s="558">
        <f t="shared" si="314"/>
        <v>6642</v>
      </c>
      <c r="N6644" s="15">
        <f t="shared" si="312"/>
        <v>0.12890877326987818</v>
      </c>
      <c r="O6644" s="165">
        <f t="shared" si="313"/>
        <v>0.12890877326987818</v>
      </c>
      <c r="P6644" s="18"/>
      <c r="Q6644" s="18"/>
      <c r="R6644" s="18"/>
      <c r="S6644" s="18"/>
      <c r="T6644" s="18"/>
      <c r="U6644" s="18"/>
      <c r="V6644" s="18"/>
      <c r="W6644" s="18"/>
      <c r="X6644" s="18"/>
    </row>
    <row r="6645" spans="13:24">
      <c r="M6645" s="558">
        <f t="shared" si="314"/>
        <v>6643</v>
      </c>
      <c r="N6645" s="15">
        <f t="shared" si="312"/>
        <v>0.12885726862421429</v>
      </c>
      <c r="O6645" s="165">
        <f t="shared" si="313"/>
        <v>0.12885726862421429</v>
      </c>
      <c r="P6645" s="18"/>
      <c r="Q6645" s="18"/>
      <c r="R6645" s="18"/>
      <c r="S6645" s="18"/>
      <c r="T6645" s="18"/>
      <c r="U6645" s="18"/>
      <c r="V6645" s="18"/>
      <c r="W6645" s="18"/>
      <c r="X6645" s="18"/>
    </row>
    <row r="6646" spans="13:24">
      <c r="M6646" s="558">
        <f t="shared" si="314"/>
        <v>6644</v>
      </c>
      <c r="N6646" s="15">
        <f t="shared" si="312"/>
        <v>0.12880576414769176</v>
      </c>
      <c r="O6646" s="165">
        <f t="shared" si="313"/>
        <v>0.12880576414769176</v>
      </c>
      <c r="P6646" s="18"/>
      <c r="Q6646" s="18"/>
      <c r="R6646" s="18"/>
      <c r="S6646" s="18"/>
      <c r="T6646" s="18"/>
      <c r="U6646" s="18"/>
      <c r="V6646" s="18"/>
      <c r="W6646" s="18"/>
      <c r="X6646" s="18"/>
    </row>
    <row r="6647" spans="13:24">
      <c r="M6647" s="558">
        <f t="shared" si="314"/>
        <v>6645</v>
      </c>
      <c r="N6647" s="15">
        <f t="shared" si="312"/>
        <v>0.12875425984009842</v>
      </c>
      <c r="O6647" s="165">
        <f t="shared" si="313"/>
        <v>0.12875425984009842</v>
      </c>
      <c r="P6647" s="18"/>
      <c r="Q6647" s="18"/>
      <c r="R6647" s="18"/>
      <c r="S6647" s="18"/>
      <c r="T6647" s="18"/>
      <c r="U6647" s="18"/>
      <c r="V6647" s="18"/>
      <c r="W6647" s="18"/>
      <c r="X6647" s="18"/>
    </row>
    <row r="6648" spans="13:24">
      <c r="M6648" s="558">
        <f t="shared" si="314"/>
        <v>6646</v>
      </c>
      <c r="N6648" s="15">
        <f t="shared" si="312"/>
        <v>0.12870275570122219</v>
      </c>
      <c r="O6648" s="165">
        <f t="shared" si="313"/>
        <v>0.12870275570122219</v>
      </c>
      <c r="P6648" s="18"/>
      <c r="Q6648" s="18"/>
      <c r="R6648" s="18"/>
      <c r="S6648" s="18"/>
      <c r="T6648" s="18"/>
      <c r="U6648" s="18"/>
      <c r="V6648" s="18"/>
      <c r="W6648" s="18"/>
      <c r="X6648" s="18"/>
    </row>
    <row r="6649" spans="13:24">
      <c r="M6649" s="558">
        <f t="shared" si="314"/>
        <v>6647</v>
      </c>
      <c r="N6649" s="15">
        <f t="shared" si="312"/>
        <v>0.12865125173085143</v>
      </c>
      <c r="O6649" s="165">
        <f t="shared" si="313"/>
        <v>0.12865125173085143</v>
      </c>
      <c r="P6649" s="18"/>
      <c r="Q6649" s="18"/>
      <c r="R6649" s="18"/>
      <c r="S6649" s="18"/>
      <c r="T6649" s="18"/>
      <c r="U6649" s="18"/>
      <c r="V6649" s="18"/>
      <c r="W6649" s="18"/>
      <c r="X6649" s="18"/>
    </row>
    <row r="6650" spans="13:24">
      <c r="M6650" s="558">
        <f t="shared" si="314"/>
        <v>6648</v>
      </c>
      <c r="N6650" s="15">
        <f t="shared" si="312"/>
        <v>0.1285997479287746</v>
      </c>
      <c r="O6650" s="165">
        <f t="shared" si="313"/>
        <v>0.1285997479287746</v>
      </c>
      <c r="P6650" s="18"/>
      <c r="Q6650" s="18"/>
      <c r="R6650" s="18"/>
      <c r="S6650" s="18"/>
      <c r="T6650" s="18"/>
      <c r="U6650" s="18"/>
      <c r="V6650" s="18"/>
      <c r="W6650" s="18"/>
      <c r="X6650" s="18"/>
    </row>
    <row r="6651" spans="13:24">
      <c r="M6651" s="558">
        <f t="shared" si="314"/>
        <v>6649</v>
      </c>
      <c r="N6651" s="15">
        <f t="shared" si="312"/>
        <v>0.12854824429478057</v>
      </c>
      <c r="O6651" s="165">
        <f t="shared" si="313"/>
        <v>0.12854824429478057</v>
      </c>
      <c r="P6651" s="18"/>
      <c r="Q6651" s="18"/>
      <c r="R6651" s="18"/>
      <c r="S6651" s="18"/>
      <c r="T6651" s="18"/>
      <c r="U6651" s="18"/>
      <c r="V6651" s="18"/>
      <c r="W6651" s="18"/>
      <c r="X6651" s="18"/>
    </row>
    <row r="6652" spans="13:24">
      <c r="M6652" s="558">
        <f t="shared" si="314"/>
        <v>6650</v>
      </c>
      <c r="N6652" s="15">
        <f t="shared" si="312"/>
        <v>0.12849674082865833</v>
      </c>
      <c r="O6652" s="165">
        <f t="shared" si="313"/>
        <v>0.12849674082865833</v>
      </c>
      <c r="P6652" s="18"/>
      <c r="Q6652" s="18"/>
      <c r="R6652" s="18"/>
      <c r="S6652" s="18"/>
      <c r="T6652" s="18"/>
      <c r="U6652" s="18"/>
      <c r="V6652" s="18"/>
      <c r="W6652" s="18"/>
      <c r="X6652" s="18"/>
    </row>
    <row r="6653" spans="13:24">
      <c r="M6653" s="558">
        <f t="shared" si="314"/>
        <v>6651</v>
      </c>
      <c r="N6653" s="15">
        <f t="shared" si="312"/>
        <v>0.12844523753019729</v>
      </c>
      <c r="O6653" s="165">
        <f t="shared" si="313"/>
        <v>0.12844523753019729</v>
      </c>
      <c r="P6653" s="18"/>
      <c r="Q6653" s="18"/>
      <c r="R6653" s="18"/>
      <c r="S6653" s="18"/>
      <c r="T6653" s="18"/>
      <c r="U6653" s="18"/>
      <c r="V6653" s="18"/>
      <c r="W6653" s="18"/>
      <c r="X6653" s="18"/>
    </row>
    <row r="6654" spans="13:24">
      <c r="M6654" s="558">
        <f t="shared" si="314"/>
        <v>6652</v>
      </c>
      <c r="N6654" s="15">
        <f t="shared" si="312"/>
        <v>0.12839373439918703</v>
      </c>
      <c r="O6654" s="165">
        <f t="shared" si="313"/>
        <v>0.12839373439918703</v>
      </c>
      <c r="P6654" s="18"/>
      <c r="Q6654" s="18"/>
      <c r="R6654" s="18"/>
      <c r="S6654" s="18"/>
      <c r="T6654" s="18"/>
      <c r="U6654" s="18"/>
      <c r="V6654" s="18"/>
      <c r="W6654" s="18"/>
      <c r="X6654" s="18"/>
    </row>
    <row r="6655" spans="13:24">
      <c r="M6655" s="558">
        <f t="shared" si="314"/>
        <v>6653</v>
      </c>
      <c r="N6655" s="15">
        <f t="shared" si="312"/>
        <v>0.1283422314354174</v>
      </c>
      <c r="O6655" s="165">
        <f t="shared" si="313"/>
        <v>0.1283422314354174</v>
      </c>
      <c r="P6655" s="18"/>
      <c r="Q6655" s="18"/>
      <c r="R6655" s="18"/>
      <c r="S6655" s="18"/>
      <c r="T6655" s="18"/>
      <c r="U6655" s="18"/>
      <c r="V6655" s="18"/>
      <c r="W6655" s="18"/>
      <c r="X6655" s="18"/>
    </row>
    <row r="6656" spans="13:24">
      <c r="M6656" s="558">
        <f t="shared" si="314"/>
        <v>6654</v>
      </c>
      <c r="N6656" s="15">
        <f t="shared" si="312"/>
        <v>0.12829072863867849</v>
      </c>
      <c r="O6656" s="165">
        <f t="shared" si="313"/>
        <v>0.12829072863867849</v>
      </c>
      <c r="P6656" s="18"/>
      <c r="Q6656" s="18"/>
      <c r="R6656" s="18"/>
      <c r="S6656" s="18"/>
      <c r="T6656" s="18"/>
      <c r="U6656" s="18"/>
      <c r="V6656" s="18"/>
      <c r="W6656" s="18"/>
      <c r="X6656" s="18"/>
    </row>
    <row r="6657" spans="13:24">
      <c r="M6657" s="558">
        <f t="shared" si="314"/>
        <v>6655</v>
      </c>
      <c r="N6657" s="15">
        <f t="shared" si="312"/>
        <v>0.12823922600876078</v>
      </c>
      <c r="O6657" s="165">
        <f t="shared" si="313"/>
        <v>0.12823922600876078</v>
      </c>
      <c r="P6657" s="18"/>
      <c r="Q6657" s="18"/>
      <c r="R6657" s="18"/>
      <c r="S6657" s="18"/>
      <c r="T6657" s="18"/>
      <c r="U6657" s="18"/>
      <c r="V6657" s="18"/>
      <c r="W6657" s="18"/>
      <c r="X6657" s="18"/>
    </row>
    <row r="6658" spans="13:24">
      <c r="M6658" s="558">
        <f t="shared" si="314"/>
        <v>6656</v>
      </c>
      <c r="N6658" s="15">
        <f t="shared" si="312"/>
        <v>0.12818772354545482</v>
      </c>
      <c r="O6658" s="165">
        <f t="shared" si="313"/>
        <v>0.12818772354545482</v>
      </c>
      <c r="P6658" s="18"/>
      <c r="Q6658" s="18"/>
      <c r="R6658" s="18"/>
      <c r="S6658" s="18"/>
      <c r="T6658" s="18"/>
      <c r="U6658" s="18"/>
      <c r="V6658" s="18"/>
      <c r="W6658" s="18"/>
      <c r="X6658" s="18"/>
    </row>
    <row r="6659" spans="13:24">
      <c r="M6659" s="558">
        <f t="shared" si="314"/>
        <v>6657</v>
      </c>
      <c r="N6659" s="15">
        <f t="shared" si="312"/>
        <v>0.12813622124855165</v>
      </c>
      <c r="O6659" s="165">
        <f t="shared" si="313"/>
        <v>0.12813622124855165</v>
      </c>
      <c r="P6659" s="18"/>
      <c r="Q6659" s="18"/>
      <c r="R6659" s="18"/>
      <c r="S6659" s="18"/>
      <c r="T6659" s="18"/>
      <c r="U6659" s="18"/>
      <c r="V6659" s="18"/>
      <c r="W6659" s="18"/>
      <c r="X6659" s="18"/>
    </row>
    <row r="6660" spans="13:24">
      <c r="M6660" s="558">
        <f t="shared" si="314"/>
        <v>6658</v>
      </c>
      <c r="N6660" s="15">
        <f t="shared" ref="N6660:N6723" si="315">IF(M6660&lt;$B$31+1,$B$32+$B$33/$B$31*(8760-M6660)+$B$34*IF(M6660&lt;$B$36-$B$31/(2*$B$35),1,IF(M6660&lt;$B$36+$B$31/(2*$B$35),COS(PI()/2*(M6660-($B$36-$B$31/(2*$B$35)))*$B$35/$B$31)^2,0))+$B$37*EXP((8760-M6660)/8760*$B$38)/EXP($B$38)-(8760-$B$31)*$B$33/$B$31,0)</f>
        <v>0.12808471911784231</v>
      </c>
      <c r="O6660" s="165">
        <f t="shared" ref="O6660:O6723" si="316">MIN(N6660,C$24)</f>
        <v>0.12808471911784231</v>
      </c>
      <c r="P6660" s="18"/>
      <c r="Q6660" s="18"/>
      <c r="R6660" s="18"/>
      <c r="S6660" s="18"/>
      <c r="T6660" s="18"/>
      <c r="U6660" s="18"/>
      <c r="V6660" s="18"/>
      <c r="W6660" s="18"/>
      <c r="X6660" s="18"/>
    </row>
    <row r="6661" spans="13:24">
      <c r="M6661" s="558">
        <f t="shared" ref="M6661:M6724" si="317">M6660+1</f>
        <v>6659</v>
      </c>
      <c r="N6661" s="15">
        <f t="shared" si="315"/>
        <v>0.12803321715311833</v>
      </c>
      <c r="O6661" s="165">
        <f t="shared" si="316"/>
        <v>0.12803321715311833</v>
      </c>
      <c r="P6661" s="18"/>
      <c r="Q6661" s="18"/>
      <c r="R6661" s="18"/>
      <c r="S6661" s="18"/>
      <c r="T6661" s="18"/>
      <c r="U6661" s="18"/>
      <c r="V6661" s="18"/>
      <c r="W6661" s="18"/>
      <c r="X6661" s="18"/>
    </row>
    <row r="6662" spans="13:24">
      <c r="M6662" s="558">
        <f t="shared" si="317"/>
        <v>6660</v>
      </c>
      <c r="N6662" s="15">
        <f t="shared" si="315"/>
        <v>0.12798171535417138</v>
      </c>
      <c r="O6662" s="165">
        <f t="shared" si="316"/>
        <v>0.12798171535417138</v>
      </c>
      <c r="P6662" s="18"/>
      <c r="Q6662" s="18"/>
      <c r="R6662" s="18"/>
      <c r="S6662" s="18"/>
      <c r="T6662" s="18"/>
      <c r="U6662" s="18"/>
      <c r="V6662" s="18"/>
      <c r="W6662" s="18"/>
      <c r="X6662" s="18"/>
    </row>
    <row r="6663" spans="13:24">
      <c r="M6663" s="558">
        <f t="shared" si="317"/>
        <v>6661</v>
      </c>
      <c r="N6663" s="15">
        <f t="shared" si="315"/>
        <v>0.12793021372079344</v>
      </c>
      <c r="O6663" s="165">
        <f t="shared" si="316"/>
        <v>0.12793021372079344</v>
      </c>
      <c r="P6663" s="18"/>
      <c r="Q6663" s="18"/>
      <c r="R6663" s="18"/>
      <c r="S6663" s="18"/>
      <c r="T6663" s="18"/>
      <c r="U6663" s="18"/>
      <c r="V6663" s="18"/>
      <c r="W6663" s="18"/>
      <c r="X6663" s="18"/>
    </row>
    <row r="6664" spans="13:24">
      <c r="M6664" s="558">
        <f t="shared" si="317"/>
        <v>6662</v>
      </c>
      <c r="N6664" s="15">
        <f t="shared" si="315"/>
        <v>0.12787871225277672</v>
      </c>
      <c r="O6664" s="165">
        <f t="shared" si="316"/>
        <v>0.12787871225277672</v>
      </c>
      <c r="P6664" s="18"/>
      <c r="Q6664" s="18"/>
      <c r="R6664" s="18"/>
      <c r="S6664" s="18"/>
      <c r="T6664" s="18"/>
      <c r="U6664" s="18"/>
      <c r="V6664" s="18"/>
      <c r="W6664" s="18"/>
      <c r="X6664" s="18"/>
    </row>
    <row r="6665" spans="13:24">
      <c r="M6665" s="558">
        <f t="shared" si="317"/>
        <v>6663</v>
      </c>
      <c r="N6665" s="15">
        <f t="shared" si="315"/>
        <v>0.12782721094991373</v>
      </c>
      <c r="O6665" s="165">
        <f t="shared" si="316"/>
        <v>0.12782721094991373</v>
      </c>
      <c r="P6665" s="18"/>
      <c r="Q6665" s="18"/>
      <c r="R6665" s="18"/>
      <c r="S6665" s="18"/>
      <c r="T6665" s="18"/>
      <c r="U6665" s="18"/>
      <c r="V6665" s="18"/>
      <c r="W6665" s="18"/>
      <c r="X6665" s="18"/>
    </row>
    <row r="6666" spans="13:24">
      <c r="M6666" s="558">
        <f t="shared" si="317"/>
        <v>6664</v>
      </c>
      <c r="N6666" s="15">
        <f t="shared" si="315"/>
        <v>0.12777570981199718</v>
      </c>
      <c r="O6666" s="165">
        <f t="shared" si="316"/>
        <v>0.12777570981199718</v>
      </c>
      <c r="P6666" s="18"/>
      <c r="Q6666" s="18"/>
      <c r="R6666" s="18"/>
      <c r="S6666" s="18"/>
      <c r="T6666" s="18"/>
      <c r="U6666" s="18"/>
      <c r="V6666" s="18"/>
      <c r="W6666" s="18"/>
      <c r="X6666" s="18"/>
    </row>
    <row r="6667" spans="13:24">
      <c r="M6667" s="558">
        <f t="shared" si="317"/>
        <v>6665</v>
      </c>
      <c r="N6667" s="15">
        <f t="shared" si="315"/>
        <v>0.12772420883882007</v>
      </c>
      <c r="O6667" s="165">
        <f t="shared" si="316"/>
        <v>0.12772420883882007</v>
      </c>
      <c r="P6667" s="18"/>
      <c r="Q6667" s="18"/>
      <c r="R6667" s="18"/>
      <c r="S6667" s="18"/>
      <c r="T6667" s="18"/>
      <c r="U6667" s="18"/>
      <c r="V6667" s="18"/>
      <c r="W6667" s="18"/>
      <c r="X6667" s="18"/>
    </row>
    <row r="6668" spans="13:24">
      <c r="M6668" s="558">
        <f t="shared" si="317"/>
        <v>6666</v>
      </c>
      <c r="N6668" s="15">
        <f t="shared" si="315"/>
        <v>0.12767270803017572</v>
      </c>
      <c r="O6668" s="165">
        <f t="shared" si="316"/>
        <v>0.12767270803017572</v>
      </c>
      <c r="P6668" s="18"/>
      <c r="Q6668" s="18"/>
      <c r="R6668" s="18"/>
      <c r="S6668" s="18"/>
      <c r="T6668" s="18"/>
      <c r="U6668" s="18"/>
      <c r="V6668" s="18"/>
      <c r="W6668" s="18"/>
      <c r="X6668" s="18"/>
    </row>
    <row r="6669" spans="13:24">
      <c r="M6669" s="558">
        <f t="shared" si="317"/>
        <v>6667</v>
      </c>
      <c r="N6669" s="15">
        <f t="shared" si="315"/>
        <v>0.12762120738585758</v>
      </c>
      <c r="O6669" s="165">
        <f t="shared" si="316"/>
        <v>0.12762120738585758</v>
      </c>
      <c r="P6669" s="18"/>
      <c r="Q6669" s="18"/>
      <c r="R6669" s="18"/>
      <c r="S6669" s="18"/>
      <c r="T6669" s="18"/>
      <c r="U6669" s="18"/>
      <c r="V6669" s="18"/>
      <c r="W6669" s="18"/>
      <c r="X6669" s="18"/>
    </row>
    <row r="6670" spans="13:24">
      <c r="M6670" s="558">
        <f t="shared" si="317"/>
        <v>6668</v>
      </c>
      <c r="N6670" s="15">
        <f t="shared" si="315"/>
        <v>0.12756970690565952</v>
      </c>
      <c r="O6670" s="165">
        <f t="shared" si="316"/>
        <v>0.12756970690565952</v>
      </c>
      <c r="P6670" s="18"/>
      <c r="Q6670" s="18"/>
      <c r="R6670" s="18"/>
      <c r="S6670" s="18"/>
      <c r="T6670" s="18"/>
      <c r="U6670" s="18"/>
      <c r="V6670" s="18"/>
      <c r="W6670" s="18"/>
      <c r="X6670" s="18"/>
    </row>
    <row r="6671" spans="13:24">
      <c r="M6671" s="558">
        <f t="shared" si="317"/>
        <v>6669</v>
      </c>
      <c r="N6671" s="15">
        <f t="shared" si="315"/>
        <v>0.12751820658937552</v>
      </c>
      <c r="O6671" s="165">
        <f t="shared" si="316"/>
        <v>0.12751820658937552</v>
      </c>
      <c r="P6671" s="18"/>
      <c r="Q6671" s="18"/>
      <c r="R6671" s="18"/>
      <c r="S6671" s="18"/>
      <c r="T6671" s="18"/>
      <c r="U6671" s="18"/>
      <c r="V6671" s="18"/>
      <c r="W6671" s="18"/>
      <c r="X6671" s="18"/>
    </row>
    <row r="6672" spans="13:24">
      <c r="M6672" s="558">
        <f t="shared" si="317"/>
        <v>6670</v>
      </c>
      <c r="N6672" s="15">
        <f t="shared" si="315"/>
        <v>0.12746670643679991</v>
      </c>
      <c r="O6672" s="165">
        <f t="shared" si="316"/>
        <v>0.12746670643679991</v>
      </c>
      <c r="P6672" s="18"/>
      <c r="Q6672" s="18"/>
      <c r="R6672" s="18"/>
      <c r="S6672" s="18"/>
      <c r="T6672" s="18"/>
      <c r="U6672" s="18"/>
      <c r="V6672" s="18"/>
      <c r="W6672" s="18"/>
      <c r="X6672" s="18"/>
    </row>
    <row r="6673" spans="13:24">
      <c r="M6673" s="558">
        <f t="shared" si="317"/>
        <v>6671</v>
      </c>
      <c r="N6673" s="15">
        <f t="shared" si="315"/>
        <v>0.12741520644772719</v>
      </c>
      <c r="O6673" s="165">
        <f t="shared" si="316"/>
        <v>0.12741520644772719</v>
      </c>
      <c r="P6673" s="18"/>
      <c r="Q6673" s="18"/>
      <c r="R6673" s="18"/>
      <c r="S6673" s="18"/>
      <c r="T6673" s="18"/>
      <c r="U6673" s="18"/>
      <c r="V6673" s="18"/>
      <c r="W6673" s="18"/>
      <c r="X6673" s="18"/>
    </row>
    <row r="6674" spans="13:24">
      <c r="M6674" s="558">
        <f t="shared" si="317"/>
        <v>6672</v>
      </c>
      <c r="N6674" s="15">
        <f t="shared" si="315"/>
        <v>0.12736370662195229</v>
      </c>
      <c r="O6674" s="165">
        <f t="shared" si="316"/>
        <v>0.12736370662195229</v>
      </c>
      <c r="P6674" s="18"/>
      <c r="Q6674" s="18"/>
      <c r="R6674" s="18"/>
      <c r="S6674" s="18"/>
      <c r="T6674" s="18"/>
      <c r="U6674" s="18"/>
      <c r="V6674" s="18"/>
      <c r="W6674" s="18"/>
      <c r="X6674" s="18"/>
    </row>
    <row r="6675" spans="13:24">
      <c r="M6675" s="558">
        <f t="shared" si="317"/>
        <v>6673</v>
      </c>
      <c r="N6675" s="15">
        <f t="shared" si="315"/>
        <v>0.12731220695927015</v>
      </c>
      <c r="O6675" s="165">
        <f t="shared" si="316"/>
        <v>0.12731220695927015</v>
      </c>
      <c r="P6675" s="18"/>
      <c r="Q6675" s="18"/>
      <c r="R6675" s="18"/>
      <c r="S6675" s="18"/>
      <c r="T6675" s="18"/>
      <c r="U6675" s="18"/>
      <c r="V6675" s="18"/>
      <c r="W6675" s="18"/>
      <c r="X6675" s="18"/>
    </row>
    <row r="6676" spans="13:24">
      <c r="M6676" s="558">
        <f t="shared" si="317"/>
        <v>6674</v>
      </c>
      <c r="N6676" s="15">
        <f t="shared" si="315"/>
        <v>0.12726070745947621</v>
      </c>
      <c r="O6676" s="165">
        <f t="shared" si="316"/>
        <v>0.12726070745947621</v>
      </c>
      <c r="P6676" s="18"/>
      <c r="Q6676" s="18"/>
      <c r="R6676" s="18"/>
      <c r="S6676" s="18"/>
      <c r="T6676" s="18"/>
      <c r="U6676" s="18"/>
      <c r="V6676" s="18"/>
      <c r="W6676" s="18"/>
      <c r="X6676" s="18"/>
    </row>
    <row r="6677" spans="13:24">
      <c r="M6677" s="558">
        <f t="shared" si="317"/>
        <v>6675</v>
      </c>
      <c r="N6677" s="15">
        <f t="shared" si="315"/>
        <v>0.12720920812236602</v>
      </c>
      <c r="O6677" s="165">
        <f t="shared" si="316"/>
        <v>0.12720920812236602</v>
      </c>
      <c r="P6677" s="18"/>
      <c r="Q6677" s="18"/>
      <c r="R6677" s="18"/>
      <c r="S6677" s="18"/>
      <c r="T6677" s="18"/>
      <c r="U6677" s="18"/>
      <c r="V6677" s="18"/>
      <c r="W6677" s="18"/>
      <c r="X6677" s="18"/>
    </row>
    <row r="6678" spans="13:24">
      <c r="M6678" s="558">
        <f t="shared" si="317"/>
        <v>6676</v>
      </c>
      <c r="N6678" s="15">
        <f t="shared" si="315"/>
        <v>0.1271577089477354</v>
      </c>
      <c r="O6678" s="165">
        <f t="shared" si="316"/>
        <v>0.1271577089477354</v>
      </c>
      <c r="P6678" s="18"/>
      <c r="Q6678" s="18"/>
      <c r="R6678" s="18"/>
      <c r="S6678" s="18"/>
      <c r="T6678" s="18"/>
      <c r="U6678" s="18"/>
      <c r="V6678" s="18"/>
      <c r="W6678" s="18"/>
      <c r="X6678" s="18"/>
    </row>
    <row r="6679" spans="13:24">
      <c r="M6679" s="558">
        <f t="shared" si="317"/>
        <v>6677</v>
      </c>
      <c r="N6679" s="15">
        <f t="shared" si="315"/>
        <v>0.12710620993538049</v>
      </c>
      <c r="O6679" s="165">
        <f t="shared" si="316"/>
        <v>0.12710620993538049</v>
      </c>
      <c r="P6679" s="18"/>
      <c r="Q6679" s="18"/>
      <c r="R6679" s="18"/>
      <c r="S6679" s="18"/>
      <c r="T6679" s="18"/>
      <c r="U6679" s="18"/>
      <c r="V6679" s="18"/>
      <c r="W6679" s="18"/>
      <c r="X6679" s="18"/>
    </row>
    <row r="6680" spans="13:24">
      <c r="M6680" s="558">
        <f t="shared" si="317"/>
        <v>6678</v>
      </c>
      <c r="N6680" s="15">
        <f t="shared" si="315"/>
        <v>0.12705471108509764</v>
      </c>
      <c r="O6680" s="165">
        <f t="shared" si="316"/>
        <v>0.12705471108509764</v>
      </c>
      <c r="P6680" s="18"/>
      <c r="Q6680" s="18"/>
      <c r="R6680" s="18"/>
      <c r="S6680" s="18"/>
      <c r="T6680" s="18"/>
      <c r="U6680" s="18"/>
      <c r="V6680" s="18"/>
      <c r="W6680" s="18"/>
      <c r="X6680" s="18"/>
    </row>
    <row r="6681" spans="13:24">
      <c r="M6681" s="558">
        <f t="shared" si="317"/>
        <v>6679</v>
      </c>
      <c r="N6681" s="15">
        <f t="shared" si="315"/>
        <v>0.12700321239668344</v>
      </c>
      <c r="O6681" s="165">
        <f t="shared" si="316"/>
        <v>0.12700321239668344</v>
      </c>
      <c r="P6681" s="18"/>
      <c r="Q6681" s="18"/>
      <c r="R6681" s="18"/>
      <c r="S6681" s="18"/>
      <c r="T6681" s="18"/>
      <c r="U6681" s="18"/>
      <c r="V6681" s="18"/>
      <c r="W6681" s="18"/>
      <c r="X6681" s="18"/>
    </row>
    <row r="6682" spans="13:24">
      <c r="M6682" s="558">
        <f t="shared" si="317"/>
        <v>6680</v>
      </c>
      <c r="N6682" s="15">
        <f t="shared" si="315"/>
        <v>0.12695171386993476</v>
      </c>
      <c r="O6682" s="165">
        <f t="shared" si="316"/>
        <v>0.12695171386993476</v>
      </c>
      <c r="P6682" s="18"/>
      <c r="Q6682" s="18"/>
      <c r="R6682" s="18"/>
      <c r="S6682" s="18"/>
      <c r="T6682" s="18"/>
      <c r="U6682" s="18"/>
      <c r="V6682" s="18"/>
      <c r="W6682" s="18"/>
      <c r="X6682" s="18"/>
    </row>
    <row r="6683" spans="13:24">
      <c r="M6683" s="558">
        <f t="shared" si="317"/>
        <v>6681</v>
      </c>
      <c r="N6683" s="15">
        <f t="shared" si="315"/>
        <v>0.12690021550464878</v>
      </c>
      <c r="O6683" s="165">
        <f t="shared" si="316"/>
        <v>0.12690021550464878</v>
      </c>
      <c r="P6683" s="18"/>
      <c r="Q6683" s="18"/>
      <c r="R6683" s="18"/>
      <c r="S6683" s="18"/>
      <c r="T6683" s="18"/>
      <c r="U6683" s="18"/>
      <c r="V6683" s="18"/>
      <c r="W6683" s="18"/>
      <c r="X6683" s="18"/>
    </row>
    <row r="6684" spans="13:24">
      <c r="M6684" s="558">
        <f t="shared" si="317"/>
        <v>6682</v>
      </c>
      <c r="N6684" s="15">
        <f t="shared" si="315"/>
        <v>0.12684871730062278</v>
      </c>
      <c r="O6684" s="165">
        <f t="shared" si="316"/>
        <v>0.12684871730062278</v>
      </c>
      <c r="P6684" s="18"/>
      <c r="Q6684" s="18"/>
      <c r="R6684" s="18"/>
      <c r="S6684" s="18"/>
      <c r="T6684" s="18"/>
      <c r="U6684" s="18"/>
      <c r="V6684" s="18"/>
      <c r="W6684" s="18"/>
      <c r="X6684" s="18"/>
    </row>
    <row r="6685" spans="13:24">
      <c r="M6685" s="558">
        <f t="shared" si="317"/>
        <v>6683</v>
      </c>
      <c r="N6685" s="15">
        <f t="shared" si="315"/>
        <v>0.12679721925765447</v>
      </c>
      <c r="O6685" s="165">
        <f t="shared" si="316"/>
        <v>0.12679721925765447</v>
      </c>
      <c r="P6685" s="18"/>
      <c r="Q6685" s="18"/>
      <c r="R6685" s="18"/>
      <c r="S6685" s="18"/>
      <c r="T6685" s="18"/>
      <c r="U6685" s="18"/>
      <c r="V6685" s="18"/>
      <c r="W6685" s="18"/>
      <c r="X6685" s="18"/>
    </row>
    <row r="6686" spans="13:24">
      <c r="M6686" s="558">
        <f t="shared" si="317"/>
        <v>6684</v>
      </c>
      <c r="N6686" s="15">
        <f t="shared" si="315"/>
        <v>0.12674572137554171</v>
      </c>
      <c r="O6686" s="165">
        <f t="shared" si="316"/>
        <v>0.12674572137554171</v>
      </c>
      <c r="P6686" s="18"/>
      <c r="Q6686" s="18"/>
      <c r="R6686" s="18"/>
      <c r="S6686" s="18"/>
      <c r="T6686" s="18"/>
      <c r="U6686" s="18"/>
      <c r="V6686" s="18"/>
      <c r="W6686" s="18"/>
      <c r="X6686" s="18"/>
    </row>
    <row r="6687" spans="13:24">
      <c r="M6687" s="558">
        <f t="shared" si="317"/>
        <v>6685</v>
      </c>
      <c r="N6687" s="15">
        <f t="shared" si="315"/>
        <v>0.12669422365408264</v>
      </c>
      <c r="O6687" s="165">
        <f t="shared" si="316"/>
        <v>0.12669422365408264</v>
      </c>
      <c r="P6687" s="18"/>
      <c r="Q6687" s="18"/>
      <c r="R6687" s="18"/>
      <c r="S6687" s="18"/>
      <c r="T6687" s="18"/>
      <c r="U6687" s="18"/>
      <c r="V6687" s="18"/>
      <c r="W6687" s="18"/>
      <c r="X6687" s="18"/>
    </row>
    <row r="6688" spans="13:24">
      <c r="M6688" s="558">
        <f t="shared" si="317"/>
        <v>6686</v>
      </c>
      <c r="N6688" s="15">
        <f t="shared" si="315"/>
        <v>0.12664272609307564</v>
      </c>
      <c r="O6688" s="165">
        <f t="shared" si="316"/>
        <v>0.12664272609307564</v>
      </c>
      <c r="P6688" s="18"/>
      <c r="Q6688" s="18"/>
      <c r="R6688" s="18"/>
      <c r="S6688" s="18"/>
      <c r="T6688" s="18"/>
      <c r="U6688" s="18"/>
      <c r="V6688" s="18"/>
      <c r="W6688" s="18"/>
      <c r="X6688" s="18"/>
    </row>
    <row r="6689" spans="13:24">
      <c r="M6689" s="558">
        <f t="shared" si="317"/>
        <v>6687</v>
      </c>
      <c r="N6689" s="15">
        <f t="shared" si="315"/>
        <v>0.12659122869231937</v>
      </c>
      <c r="O6689" s="165">
        <f t="shared" si="316"/>
        <v>0.12659122869231937</v>
      </c>
      <c r="P6689" s="18"/>
      <c r="Q6689" s="18"/>
      <c r="R6689" s="18"/>
      <c r="S6689" s="18"/>
      <c r="T6689" s="18"/>
      <c r="U6689" s="18"/>
      <c r="V6689" s="18"/>
      <c r="W6689" s="18"/>
      <c r="X6689" s="18"/>
    </row>
    <row r="6690" spans="13:24">
      <c r="M6690" s="558">
        <f t="shared" si="317"/>
        <v>6688</v>
      </c>
      <c r="N6690" s="15">
        <f t="shared" si="315"/>
        <v>0.12653973145161271</v>
      </c>
      <c r="O6690" s="165">
        <f t="shared" si="316"/>
        <v>0.12653973145161271</v>
      </c>
      <c r="P6690" s="18"/>
      <c r="Q6690" s="18"/>
      <c r="R6690" s="18"/>
      <c r="S6690" s="18"/>
      <c r="T6690" s="18"/>
      <c r="U6690" s="18"/>
      <c r="V6690" s="18"/>
      <c r="W6690" s="18"/>
      <c r="X6690" s="18"/>
    </row>
    <row r="6691" spans="13:24">
      <c r="M6691" s="558">
        <f t="shared" si="317"/>
        <v>6689</v>
      </c>
      <c r="N6691" s="15">
        <f t="shared" si="315"/>
        <v>0.12648823437075488</v>
      </c>
      <c r="O6691" s="165">
        <f t="shared" si="316"/>
        <v>0.12648823437075488</v>
      </c>
      <c r="P6691" s="18"/>
      <c r="Q6691" s="18"/>
      <c r="R6691" s="18"/>
      <c r="S6691" s="18"/>
      <c r="T6691" s="18"/>
      <c r="U6691" s="18"/>
      <c r="V6691" s="18"/>
      <c r="W6691" s="18"/>
      <c r="X6691" s="18"/>
    </row>
    <row r="6692" spans="13:24">
      <c r="M6692" s="558">
        <f t="shared" si="317"/>
        <v>6690</v>
      </c>
      <c r="N6692" s="15">
        <f t="shared" si="315"/>
        <v>0.12643673744954514</v>
      </c>
      <c r="O6692" s="165">
        <f t="shared" si="316"/>
        <v>0.12643673744954514</v>
      </c>
      <c r="P6692" s="18"/>
      <c r="Q6692" s="18"/>
      <c r="R6692" s="18"/>
      <c r="S6692" s="18"/>
      <c r="T6692" s="18"/>
      <c r="U6692" s="18"/>
      <c r="V6692" s="18"/>
      <c r="W6692" s="18"/>
      <c r="X6692" s="18"/>
    </row>
    <row r="6693" spans="13:24">
      <c r="M6693" s="558">
        <f t="shared" si="317"/>
        <v>6691</v>
      </c>
      <c r="N6693" s="15">
        <f t="shared" si="315"/>
        <v>0.12638524068778328</v>
      </c>
      <c r="O6693" s="165">
        <f t="shared" si="316"/>
        <v>0.12638524068778328</v>
      </c>
      <c r="P6693" s="18"/>
      <c r="Q6693" s="18"/>
      <c r="R6693" s="18"/>
      <c r="S6693" s="18"/>
      <c r="T6693" s="18"/>
      <c r="U6693" s="18"/>
      <c r="V6693" s="18"/>
      <c r="W6693" s="18"/>
      <c r="X6693" s="18"/>
    </row>
    <row r="6694" spans="13:24">
      <c r="M6694" s="558">
        <f t="shared" si="317"/>
        <v>6692</v>
      </c>
      <c r="N6694" s="15">
        <f t="shared" si="315"/>
        <v>0.12633374408526918</v>
      </c>
      <c r="O6694" s="165">
        <f t="shared" si="316"/>
        <v>0.12633374408526918</v>
      </c>
      <c r="P6694" s="18"/>
      <c r="Q6694" s="18"/>
      <c r="R6694" s="18"/>
      <c r="S6694" s="18"/>
      <c r="T6694" s="18"/>
      <c r="U6694" s="18"/>
      <c r="V6694" s="18"/>
      <c r="W6694" s="18"/>
      <c r="X6694" s="18"/>
    </row>
    <row r="6695" spans="13:24">
      <c r="M6695" s="558">
        <f t="shared" si="317"/>
        <v>6693</v>
      </c>
      <c r="N6695" s="15">
        <f t="shared" si="315"/>
        <v>0.12628224764180293</v>
      </c>
      <c r="O6695" s="165">
        <f t="shared" si="316"/>
        <v>0.12628224764180293</v>
      </c>
      <c r="P6695" s="18"/>
      <c r="Q6695" s="18"/>
      <c r="R6695" s="18"/>
      <c r="S6695" s="18"/>
      <c r="T6695" s="18"/>
      <c r="U6695" s="18"/>
      <c r="V6695" s="18"/>
      <c r="W6695" s="18"/>
      <c r="X6695" s="18"/>
    </row>
    <row r="6696" spans="13:24">
      <c r="M6696" s="558">
        <f t="shared" si="317"/>
        <v>6694</v>
      </c>
      <c r="N6696" s="15">
        <f t="shared" si="315"/>
        <v>0.12623075135718503</v>
      </c>
      <c r="O6696" s="165">
        <f t="shared" si="316"/>
        <v>0.12623075135718503</v>
      </c>
      <c r="P6696" s="18"/>
      <c r="Q6696" s="18"/>
      <c r="R6696" s="18"/>
      <c r="S6696" s="18"/>
      <c r="T6696" s="18"/>
      <c r="U6696" s="18"/>
      <c r="V6696" s="18"/>
      <c r="W6696" s="18"/>
      <c r="X6696" s="18"/>
    </row>
    <row r="6697" spans="13:24">
      <c r="M6697" s="558">
        <f t="shared" si="317"/>
        <v>6695</v>
      </c>
      <c r="N6697" s="15">
        <f t="shared" si="315"/>
        <v>0.12617925523121604</v>
      </c>
      <c r="O6697" s="165">
        <f t="shared" si="316"/>
        <v>0.12617925523121604</v>
      </c>
      <c r="P6697" s="18"/>
      <c r="Q6697" s="18"/>
      <c r="R6697" s="18"/>
      <c r="S6697" s="18"/>
      <c r="T6697" s="18"/>
      <c r="U6697" s="18"/>
      <c r="V6697" s="18"/>
      <c r="W6697" s="18"/>
      <c r="X6697" s="18"/>
    </row>
    <row r="6698" spans="13:24">
      <c r="M6698" s="558">
        <f t="shared" si="317"/>
        <v>6696</v>
      </c>
      <c r="N6698" s="15">
        <f t="shared" si="315"/>
        <v>0.12612775926369696</v>
      </c>
      <c r="O6698" s="165">
        <f t="shared" si="316"/>
        <v>0.12612775926369696</v>
      </c>
      <c r="P6698" s="18"/>
      <c r="Q6698" s="18"/>
      <c r="R6698" s="18"/>
      <c r="S6698" s="18"/>
      <c r="T6698" s="18"/>
      <c r="U6698" s="18"/>
      <c r="V6698" s="18"/>
      <c r="W6698" s="18"/>
      <c r="X6698" s="18"/>
    </row>
    <row r="6699" spans="13:24">
      <c r="M6699" s="558">
        <f t="shared" si="317"/>
        <v>6697</v>
      </c>
      <c r="N6699" s="15">
        <f t="shared" si="315"/>
        <v>0.12607626345442888</v>
      </c>
      <c r="O6699" s="165">
        <f t="shared" si="316"/>
        <v>0.12607626345442888</v>
      </c>
      <c r="P6699" s="18"/>
      <c r="Q6699" s="18"/>
      <c r="R6699" s="18"/>
      <c r="S6699" s="18"/>
      <c r="T6699" s="18"/>
      <c r="U6699" s="18"/>
      <c r="V6699" s="18"/>
      <c r="W6699" s="18"/>
      <c r="X6699" s="18"/>
    </row>
    <row r="6700" spans="13:24">
      <c r="M6700" s="558">
        <f t="shared" si="317"/>
        <v>6698</v>
      </c>
      <c r="N6700" s="15">
        <f t="shared" si="315"/>
        <v>0.12602476780321326</v>
      </c>
      <c r="O6700" s="165">
        <f t="shared" si="316"/>
        <v>0.12602476780321326</v>
      </c>
      <c r="P6700" s="18"/>
      <c r="Q6700" s="18"/>
      <c r="R6700" s="18"/>
      <c r="S6700" s="18"/>
      <c r="T6700" s="18"/>
      <c r="U6700" s="18"/>
      <c r="V6700" s="18"/>
      <c r="W6700" s="18"/>
      <c r="X6700" s="18"/>
    </row>
    <row r="6701" spans="13:24">
      <c r="M6701" s="558">
        <f t="shared" si="317"/>
        <v>6699</v>
      </c>
      <c r="N6701" s="15">
        <f t="shared" si="315"/>
        <v>0.12597327230985172</v>
      </c>
      <c r="O6701" s="165">
        <f t="shared" si="316"/>
        <v>0.12597327230985172</v>
      </c>
      <c r="P6701" s="18"/>
      <c r="Q6701" s="18"/>
      <c r="R6701" s="18"/>
      <c r="S6701" s="18"/>
      <c r="T6701" s="18"/>
      <c r="U6701" s="18"/>
      <c r="V6701" s="18"/>
      <c r="W6701" s="18"/>
      <c r="X6701" s="18"/>
    </row>
    <row r="6702" spans="13:24">
      <c r="M6702" s="558">
        <f t="shared" si="317"/>
        <v>6700</v>
      </c>
      <c r="N6702" s="15">
        <f t="shared" si="315"/>
        <v>0.12592177697414619</v>
      </c>
      <c r="O6702" s="165">
        <f t="shared" si="316"/>
        <v>0.12592177697414619</v>
      </c>
      <c r="P6702" s="18"/>
      <c r="Q6702" s="18"/>
      <c r="R6702" s="18"/>
      <c r="S6702" s="18"/>
      <c r="T6702" s="18"/>
      <c r="U6702" s="18"/>
      <c r="V6702" s="18"/>
      <c r="W6702" s="18"/>
      <c r="X6702" s="18"/>
    </row>
    <row r="6703" spans="13:24">
      <c r="M6703" s="558">
        <f t="shared" si="317"/>
        <v>6701</v>
      </c>
      <c r="N6703" s="15">
        <f t="shared" si="315"/>
        <v>0.12587028179589876</v>
      </c>
      <c r="O6703" s="165">
        <f t="shared" si="316"/>
        <v>0.12587028179589876</v>
      </c>
      <c r="P6703" s="18"/>
      <c r="Q6703" s="18"/>
      <c r="R6703" s="18"/>
      <c r="S6703" s="18"/>
      <c r="T6703" s="18"/>
      <c r="U6703" s="18"/>
      <c r="V6703" s="18"/>
      <c r="W6703" s="18"/>
      <c r="X6703" s="18"/>
    </row>
    <row r="6704" spans="13:24">
      <c r="M6704" s="558">
        <f t="shared" si="317"/>
        <v>6702</v>
      </c>
      <c r="N6704" s="15">
        <f t="shared" si="315"/>
        <v>0.12581878677491196</v>
      </c>
      <c r="O6704" s="165">
        <f t="shared" si="316"/>
        <v>0.12581878677491196</v>
      </c>
      <c r="P6704" s="18"/>
      <c r="Q6704" s="18"/>
      <c r="R6704" s="18"/>
      <c r="S6704" s="18"/>
      <c r="T6704" s="18"/>
      <c r="U6704" s="18"/>
      <c r="V6704" s="18"/>
      <c r="W6704" s="18"/>
      <c r="X6704" s="18"/>
    </row>
    <row r="6705" spans="13:24">
      <c r="M6705" s="558">
        <f t="shared" si="317"/>
        <v>6703</v>
      </c>
      <c r="N6705" s="15">
        <f t="shared" si="315"/>
        <v>0.12576729191098832</v>
      </c>
      <c r="O6705" s="165">
        <f t="shared" si="316"/>
        <v>0.12576729191098832</v>
      </c>
      <c r="P6705" s="18"/>
      <c r="Q6705" s="18"/>
      <c r="R6705" s="18"/>
      <c r="S6705" s="18"/>
      <c r="T6705" s="18"/>
      <c r="U6705" s="18"/>
      <c r="V6705" s="18"/>
      <c r="W6705" s="18"/>
      <c r="X6705" s="18"/>
    </row>
    <row r="6706" spans="13:24">
      <c r="M6706" s="558">
        <f t="shared" si="317"/>
        <v>6704</v>
      </c>
      <c r="N6706" s="15">
        <f t="shared" si="315"/>
        <v>0.12571579720393078</v>
      </c>
      <c r="O6706" s="165">
        <f t="shared" si="316"/>
        <v>0.12571579720393078</v>
      </c>
      <c r="P6706" s="18"/>
      <c r="Q6706" s="18"/>
      <c r="R6706" s="18"/>
      <c r="S6706" s="18"/>
      <c r="T6706" s="18"/>
      <c r="U6706" s="18"/>
      <c r="V6706" s="18"/>
      <c r="W6706" s="18"/>
      <c r="X6706" s="18"/>
    </row>
    <row r="6707" spans="13:24">
      <c r="M6707" s="558">
        <f t="shared" si="317"/>
        <v>6705</v>
      </c>
      <c r="N6707" s="15">
        <f t="shared" si="315"/>
        <v>0.1256643026535425</v>
      </c>
      <c r="O6707" s="165">
        <f t="shared" si="316"/>
        <v>0.1256643026535425</v>
      </c>
      <c r="P6707" s="18"/>
      <c r="Q6707" s="18"/>
      <c r="R6707" s="18"/>
      <c r="S6707" s="18"/>
      <c r="T6707" s="18"/>
      <c r="U6707" s="18"/>
      <c r="V6707" s="18"/>
      <c r="W6707" s="18"/>
      <c r="X6707" s="18"/>
    </row>
    <row r="6708" spans="13:24">
      <c r="M6708" s="558">
        <f t="shared" si="317"/>
        <v>6706</v>
      </c>
      <c r="N6708" s="15">
        <f t="shared" si="315"/>
        <v>0.12561280825962684</v>
      </c>
      <c r="O6708" s="165">
        <f t="shared" si="316"/>
        <v>0.12561280825962684</v>
      </c>
      <c r="P6708" s="18"/>
      <c r="Q6708" s="18"/>
      <c r="R6708" s="18"/>
      <c r="S6708" s="18"/>
      <c r="T6708" s="18"/>
      <c r="U6708" s="18"/>
      <c r="V6708" s="18"/>
      <c r="W6708" s="18"/>
      <c r="X6708" s="18"/>
    </row>
    <row r="6709" spans="13:24">
      <c r="M6709" s="558">
        <f t="shared" si="317"/>
        <v>6707</v>
      </c>
      <c r="N6709" s="15">
        <f t="shared" si="315"/>
        <v>0.1255613140219875</v>
      </c>
      <c r="O6709" s="165">
        <f t="shared" si="316"/>
        <v>0.1255613140219875</v>
      </c>
      <c r="P6709" s="18"/>
      <c r="Q6709" s="18"/>
      <c r="R6709" s="18"/>
      <c r="S6709" s="18"/>
      <c r="T6709" s="18"/>
      <c r="U6709" s="18"/>
      <c r="V6709" s="18"/>
      <c r="W6709" s="18"/>
      <c r="X6709" s="18"/>
    </row>
    <row r="6710" spans="13:24">
      <c r="M6710" s="558">
        <f t="shared" si="317"/>
        <v>6708</v>
      </c>
      <c r="N6710" s="15">
        <f t="shared" si="315"/>
        <v>0.12550981994042829</v>
      </c>
      <c r="O6710" s="165">
        <f t="shared" si="316"/>
        <v>0.12550981994042829</v>
      </c>
      <c r="P6710" s="18"/>
      <c r="Q6710" s="18"/>
      <c r="R6710" s="18"/>
      <c r="S6710" s="18"/>
      <c r="T6710" s="18"/>
      <c r="U6710" s="18"/>
      <c r="V6710" s="18"/>
      <c r="W6710" s="18"/>
      <c r="X6710" s="18"/>
    </row>
    <row r="6711" spans="13:24">
      <c r="M6711" s="558">
        <f t="shared" si="317"/>
        <v>6709</v>
      </c>
      <c r="N6711" s="15">
        <f t="shared" si="315"/>
        <v>0.1254583260147534</v>
      </c>
      <c r="O6711" s="165">
        <f t="shared" si="316"/>
        <v>0.1254583260147534</v>
      </c>
      <c r="P6711" s="18"/>
      <c r="Q6711" s="18"/>
      <c r="R6711" s="18"/>
      <c r="S6711" s="18"/>
      <c r="T6711" s="18"/>
      <c r="U6711" s="18"/>
      <c r="V6711" s="18"/>
      <c r="W6711" s="18"/>
      <c r="X6711" s="18"/>
    </row>
    <row r="6712" spans="13:24">
      <c r="M6712" s="558">
        <f t="shared" si="317"/>
        <v>6710</v>
      </c>
      <c r="N6712" s="15">
        <f t="shared" si="315"/>
        <v>0.12540683224476717</v>
      </c>
      <c r="O6712" s="165">
        <f t="shared" si="316"/>
        <v>0.12540683224476717</v>
      </c>
      <c r="P6712" s="18"/>
      <c r="Q6712" s="18"/>
      <c r="R6712" s="18"/>
      <c r="S6712" s="18"/>
      <c r="T6712" s="18"/>
      <c r="U6712" s="18"/>
      <c r="V6712" s="18"/>
      <c r="W6712" s="18"/>
      <c r="X6712" s="18"/>
    </row>
    <row r="6713" spans="13:24">
      <c r="M6713" s="558">
        <f t="shared" si="317"/>
        <v>6711</v>
      </c>
      <c r="N6713" s="15">
        <f t="shared" si="315"/>
        <v>0.12535533863027429</v>
      </c>
      <c r="O6713" s="165">
        <f t="shared" si="316"/>
        <v>0.12535533863027429</v>
      </c>
      <c r="P6713" s="18"/>
      <c r="Q6713" s="18"/>
      <c r="R6713" s="18"/>
      <c r="S6713" s="18"/>
      <c r="T6713" s="18"/>
      <c r="U6713" s="18"/>
      <c r="V6713" s="18"/>
      <c r="W6713" s="18"/>
      <c r="X6713" s="18"/>
    </row>
    <row r="6714" spans="13:24">
      <c r="M6714" s="558">
        <f t="shared" si="317"/>
        <v>6712</v>
      </c>
      <c r="N6714" s="15">
        <f t="shared" si="315"/>
        <v>0.12530384517107951</v>
      </c>
      <c r="O6714" s="165">
        <f t="shared" si="316"/>
        <v>0.12530384517107951</v>
      </c>
      <c r="P6714" s="18"/>
      <c r="Q6714" s="18"/>
      <c r="R6714" s="18"/>
      <c r="S6714" s="18"/>
      <c r="T6714" s="18"/>
      <c r="U6714" s="18"/>
      <c r="V6714" s="18"/>
      <c r="W6714" s="18"/>
      <c r="X6714" s="18"/>
    </row>
    <row r="6715" spans="13:24">
      <c r="M6715" s="558">
        <f t="shared" si="317"/>
        <v>6713</v>
      </c>
      <c r="N6715" s="15">
        <f t="shared" si="315"/>
        <v>0.12525235186698808</v>
      </c>
      <c r="O6715" s="165">
        <f t="shared" si="316"/>
        <v>0.12525235186698808</v>
      </c>
      <c r="P6715" s="18"/>
      <c r="Q6715" s="18"/>
      <c r="R6715" s="18"/>
      <c r="S6715" s="18"/>
      <c r="T6715" s="18"/>
      <c r="U6715" s="18"/>
      <c r="V6715" s="18"/>
      <c r="W6715" s="18"/>
      <c r="X6715" s="18"/>
    </row>
    <row r="6716" spans="13:24">
      <c r="M6716" s="558">
        <f t="shared" si="317"/>
        <v>6714</v>
      </c>
      <c r="N6716" s="15">
        <f t="shared" si="315"/>
        <v>0.12520085871780523</v>
      </c>
      <c r="O6716" s="165">
        <f t="shared" si="316"/>
        <v>0.12520085871780523</v>
      </c>
      <c r="P6716" s="18"/>
      <c r="Q6716" s="18"/>
      <c r="R6716" s="18"/>
      <c r="S6716" s="18"/>
      <c r="T6716" s="18"/>
      <c r="U6716" s="18"/>
      <c r="V6716" s="18"/>
      <c r="W6716" s="18"/>
      <c r="X6716" s="18"/>
    </row>
    <row r="6717" spans="13:24">
      <c r="M6717" s="558">
        <f t="shared" si="317"/>
        <v>6715</v>
      </c>
      <c r="N6717" s="15">
        <f t="shared" si="315"/>
        <v>0.12514936572333665</v>
      </c>
      <c r="O6717" s="165">
        <f t="shared" si="316"/>
        <v>0.12514936572333665</v>
      </c>
      <c r="P6717" s="18"/>
      <c r="Q6717" s="18"/>
      <c r="R6717" s="18"/>
      <c r="S6717" s="18"/>
      <c r="T6717" s="18"/>
      <c r="U6717" s="18"/>
      <c r="V6717" s="18"/>
      <c r="W6717" s="18"/>
      <c r="X6717" s="18"/>
    </row>
    <row r="6718" spans="13:24">
      <c r="M6718" s="558">
        <f t="shared" si="317"/>
        <v>6716</v>
      </c>
      <c r="N6718" s="15">
        <f t="shared" si="315"/>
        <v>0.12509787288338814</v>
      </c>
      <c r="O6718" s="165">
        <f t="shared" si="316"/>
        <v>0.12509787288338814</v>
      </c>
      <c r="P6718" s="18"/>
      <c r="Q6718" s="18"/>
      <c r="R6718" s="18"/>
      <c r="S6718" s="18"/>
      <c r="T6718" s="18"/>
      <c r="U6718" s="18"/>
      <c r="V6718" s="18"/>
      <c r="W6718" s="18"/>
      <c r="X6718" s="18"/>
    </row>
    <row r="6719" spans="13:24">
      <c r="M6719" s="558">
        <f t="shared" si="317"/>
        <v>6717</v>
      </c>
      <c r="N6719" s="15">
        <f t="shared" si="315"/>
        <v>0.12504638019776584</v>
      </c>
      <c r="O6719" s="165">
        <f t="shared" si="316"/>
        <v>0.12504638019776584</v>
      </c>
      <c r="P6719" s="18"/>
      <c r="Q6719" s="18"/>
      <c r="R6719" s="18"/>
      <c r="S6719" s="18"/>
      <c r="T6719" s="18"/>
      <c r="U6719" s="18"/>
      <c r="V6719" s="18"/>
      <c r="W6719" s="18"/>
      <c r="X6719" s="18"/>
    </row>
    <row r="6720" spans="13:24">
      <c r="M6720" s="558">
        <f t="shared" si="317"/>
        <v>6718</v>
      </c>
      <c r="N6720" s="15">
        <f t="shared" si="315"/>
        <v>0.12499488766627602</v>
      </c>
      <c r="O6720" s="165">
        <f t="shared" si="316"/>
        <v>0.12499488766627602</v>
      </c>
      <c r="P6720" s="18"/>
      <c r="Q6720" s="18"/>
      <c r="R6720" s="18"/>
      <c r="S6720" s="18"/>
      <c r="T6720" s="18"/>
      <c r="U6720" s="18"/>
      <c r="V6720" s="18"/>
      <c r="W6720" s="18"/>
      <c r="X6720" s="18"/>
    </row>
    <row r="6721" spans="13:24">
      <c r="M6721" s="558">
        <f t="shared" si="317"/>
        <v>6719</v>
      </c>
      <c r="N6721" s="15">
        <f t="shared" si="315"/>
        <v>0.12494339528872529</v>
      </c>
      <c r="O6721" s="165">
        <f t="shared" si="316"/>
        <v>0.12494339528872529</v>
      </c>
      <c r="P6721" s="18"/>
      <c r="Q6721" s="18"/>
      <c r="R6721" s="18"/>
      <c r="S6721" s="18"/>
      <c r="T6721" s="18"/>
      <c r="U6721" s="18"/>
      <c r="V6721" s="18"/>
      <c r="W6721" s="18"/>
      <c r="X6721" s="18"/>
    </row>
    <row r="6722" spans="13:24">
      <c r="M6722" s="558">
        <f t="shared" si="317"/>
        <v>6720</v>
      </c>
      <c r="N6722" s="15">
        <f t="shared" si="315"/>
        <v>0.12489190306492046</v>
      </c>
      <c r="O6722" s="165">
        <f t="shared" si="316"/>
        <v>0.12489190306492046</v>
      </c>
      <c r="P6722" s="18"/>
      <c r="Q6722" s="18"/>
      <c r="R6722" s="18"/>
      <c r="S6722" s="18"/>
      <c r="T6722" s="18"/>
      <c r="U6722" s="18"/>
      <c r="V6722" s="18"/>
      <c r="W6722" s="18"/>
      <c r="X6722" s="18"/>
    </row>
    <row r="6723" spans="13:24">
      <c r="M6723" s="558">
        <f t="shared" si="317"/>
        <v>6721</v>
      </c>
      <c r="N6723" s="15">
        <f t="shared" si="315"/>
        <v>0.12484041099466861</v>
      </c>
      <c r="O6723" s="165">
        <f t="shared" si="316"/>
        <v>0.12484041099466861</v>
      </c>
      <c r="P6723" s="18"/>
      <c r="Q6723" s="18"/>
      <c r="R6723" s="18"/>
      <c r="S6723" s="18"/>
      <c r="T6723" s="18"/>
      <c r="U6723" s="18"/>
      <c r="V6723" s="18"/>
      <c r="W6723" s="18"/>
      <c r="X6723" s="18"/>
    </row>
    <row r="6724" spans="13:24">
      <c r="M6724" s="558">
        <f t="shared" si="317"/>
        <v>6722</v>
      </c>
      <c r="N6724" s="15">
        <f t="shared" ref="N6724:N6787" si="318">IF(M6724&lt;$B$31+1,$B$32+$B$33/$B$31*(8760-M6724)+$B$34*IF(M6724&lt;$B$36-$B$31/(2*$B$35),1,IF(M6724&lt;$B$36+$B$31/(2*$B$35),COS(PI()/2*(M6724-($B$36-$B$31/(2*$B$35)))*$B$35/$B$31)^2,0))+$B$37*EXP((8760-M6724)/8760*$B$38)/EXP($B$38)-(8760-$B$31)*$B$33/$B$31,0)</f>
        <v>0.12478891907777702</v>
      </c>
      <c r="O6724" s="165">
        <f t="shared" ref="O6724:O6787" si="319">MIN(N6724,C$24)</f>
        <v>0.12478891907777702</v>
      </c>
      <c r="P6724" s="18"/>
      <c r="Q6724" s="18"/>
      <c r="R6724" s="18"/>
      <c r="S6724" s="18"/>
      <c r="T6724" s="18"/>
      <c r="U6724" s="18"/>
      <c r="V6724" s="18"/>
      <c r="W6724" s="18"/>
      <c r="X6724" s="18"/>
    </row>
    <row r="6725" spans="13:24">
      <c r="M6725" s="558">
        <f t="shared" ref="M6725:M6788" si="320">M6724+1</f>
        <v>6723</v>
      </c>
      <c r="N6725" s="15">
        <f t="shared" si="318"/>
        <v>0.12473742731405325</v>
      </c>
      <c r="O6725" s="165">
        <f t="shared" si="319"/>
        <v>0.12473742731405325</v>
      </c>
      <c r="P6725" s="18"/>
      <c r="Q6725" s="18"/>
      <c r="R6725" s="18"/>
      <c r="S6725" s="18"/>
      <c r="T6725" s="18"/>
      <c r="U6725" s="18"/>
      <c r="V6725" s="18"/>
      <c r="W6725" s="18"/>
      <c r="X6725" s="18"/>
    </row>
    <row r="6726" spans="13:24">
      <c r="M6726" s="558">
        <f t="shared" si="320"/>
        <v>6724</v>
      </c>
      <c r="N6726" s="15">
        <f t="shared" si="318"/>
        <v>0.12468593570330508</v>
      </c>
      <c r="O6726" s="165">
        <f t="shared" si="319"/>
        <v>0.12468593570330508</v>
      </c>
      <c r="P6726" s="18"/>
      <c r="Q6726" s="18"/>
      <c r="R6726" s="18"/>
      <c r="S6726" s="18"/>
      <c r="T6726" s="18"/>
      <c r="U6726" s="18"/>
      <c r="V6726" s="18"/>
      <c r="W6726" s="18"/>
      <c r="X6726" s="18"/>
    </row>
    <row r="6727" spans="13:24">
      <c r="M6727" s="558">
        <f t="shared" si="320"/>
        <v>6725</v>
      </c>
      <c r="N6727" s="15">
        <f t="shared" si="318"/>
        <v>0.12463444424534055</v>
      </c>
      <c r="O6727" s="165">
        <f t="shared" si="319"/>
        <v>0.12463444424534055</v>
      </c>
      <c r="P6727" s="18"/>
      <c r="Q6727" s="18"/>
      <c r="R6727" s="18"/>
      <c r="S6727" s="18"/>
      <c r="T6727" s="18"/>
      <c r="U6727" s="18"/>
      <c r="V6727" s="18"/>
      <c r="W6727" s="18"/>
      <c r="X6727" s="18"/>
    </row>
    <row r="6728" spans="13:24">
      <c r="M6728" s="558">
        <f t="shared" si="320"/>
        <v>6726</v>
      </c>
      <c r="N6728" s="15">
        <f t="shared" si="318"/>
        <v>0.12458295293996791</v>
      </c>
      <c r="O6728" s="165">
        <f t="shared" si="319"/>
        <v>0.12458295293996791</v>
      </c>
      <c r="P6728" s="18"/>
      <c r="Q6728" s="18"/>
      <c r="R6728" s="18"/>
      <c r="S6728" s="18"/>
      <c r="T6728" s="18"/>
      <c r="U6728" s="18"/>
      <c r="V6728" s="18"/>
      <c r="W6728" s="18"/>
      <c r="X6728" s="18"/>
    </row>
    <row r="6729" spans="13:24">
      <c r="M6729" s="558">
        <f t="shared" si="320"/>
        <v>6727</v>
      </c>
      <c r="N6729" s="15">
        <f t="shared" si="318"/>
        <v>0.12453146178699567</v>
      </c>
      <c r="O6729" s="165">
        <f t="shared" si="319"/>
        <v>0.12453146178699567</v>
      </c>
      <c r="P6729" s="18"/>
      <c r="Q6729" s="18"/>
      <c r="R6729" s="18"/>
      <c r="S6729" s="18"/>
      <c r="T6729" s="18"/>
      <c r="U6729" s="18"/>
      <c r="V6729" s="18"/>
      <c r="W6729" s="18"/>
      <c r="X6729" s="18"/>
    </row>
    <row r="6730" spans="13:24">
      <c r="M6730" s="558">
        <f t="shared" si="320"/>
        <v>6728</v>
      </c>
      <c r="N6730" s="15">
        <f t="shared" si="318"/>
        <v>0.1244799707862326</v>
      </c>
      <c r="O6730" s="165">
        <f t="shared" si="319"/>
        <v>0.1244799707862326</v>
      </c>
      <c r="P6730" s="18"/>
      <c r="Q6730" s="18"/>
      <c r="R6730" s="18"/>
      <c r="S6730" s="18"/>
      <c r="T6730" s="18"/>
      <c r="U6730" s="18"/>
      <c r="V6730" s="18"/>
      <c r="W6730" s="18"/>
      <c r="X6730" s="18"/>
    </row>
    <row r="6731" spans="13:24">
      <c r="M6731" s="558">
        <f t="shared" si="320"/>
        <v>6729</v>
      </c>
      <c r="N6731" s="15">
        <f t="shared" si="318"/>
        <v>0.12442847993748767</v>
      </c>
      <c r="O6731" s="165">
        <f t="shared" si="319"/>
        <v>0.12442847993748767</v>
      </c>
      <c r="P6731" s="18"/>
      <c r="Q6731" s="18"/>
      <c r="R6731" s="18"/>
      <c r="S6731" s="18"/>
      <c r="T6731" s="18"/>
      <c r="U6731" s="18"/>
      <c r="V6731" s="18"/>
      <c r="W6731" s="18"/>
      <c r="X6731" s="18"/>
    </row>
    <row r="6732" spans="13:24">
      <c r="M6732" s="558">
        <f t="shared" si="320"/>
        <v>6730</v>
      </c>
      <c r="N6732" s="15">
        <f t="shared" si="318"/>
        <v>0.12437698924057011</v>
      </c>
      <c r="O6732" s="165">
        <f t="shared" si="319"/>
        <v>0.12437698924057011</v>
      </c>
      <c r="P6732" s="18"/>
      <c r="Q6732" s="18"/>
      <c r="R6732" s="18"/>
      <c r="S6732" s="18"/>
      <c r="T6732" s="18"/>
      <c r="U6732" s="18"/>
      <c r="V6732" s="18"/>
      <c r="W6732" s="18"/>
      <c r="X6732" s="18"/>
    </row>
    <row r="6733" spans="13:24">
      <c r="M6733" s="558">
        <f t="shared" si="320"/>
        <v>6731</v>
      </c>
      <c r="N6733" s="15">
        <f t="shared" si="318"/>
        <v>0.12432549869528942</v>
      </c>
      <c r="O6733" s="165">
        <f t="shared" si="319"/>
        <v>0.12432549869528942</v>
      </c>
      <c r="P6733" s="18"/>
      <c r="Q6733" s="18"/>
      <c r="R6733" s="18"/>
      <c r="S6733" s="18"/>
      <c r="T6733" s="18"/>
      <c r="U6733" s="18"/>
      <c r="V6733" s="18"/>
      <c r="W6733" s="18"/>
      <c r="X6733" s="18"/>
    </row>
    <row r="6734" spans="13:24">
      <c r="M6734" s="558">
        <f t="shared" si="320"/>
        <v>6732</v>
      </c>
      <c r="N6734" s="15">
        <f t="shared" si="318"/>
        <v>0.12427400830145525</v>
      </c>
      <c r="O6734" s="165">
        <f t="shared" si="319"/>
        <v>0.12427400830145525</v>
      </c>
      <c r="P6734" s="18"/>
      <c r="Q6734" s="18"/>
      <c r="R6734" s="18"/>
      <c r="S6734" s="18"/>
      <c r="T6734" s="18"/>
      <c r="U6734" s="18"/>
      <c r="V6734" s="18"/>
      <c r="W6734" s="18"/>
      <c r="X6734" s="18"/>
    </row>
    <row r="6735" spans="13:24">
      <c r="M6735" s="558">
        <f t="shared" si="320"/>
        <v>6733</v>
      </c>
      <c r="N6735" s="15">
        <f t="shared" si="318"/>
        <v>0.1242225180588776</v>
      </c>
      <c r="O6735" s="165">
        <f t="shared" si="319"/>
        <v>0.1242225180588776</v>
      </c>
      <c r="P6735" s="18"/>
      <c r="Q6735" s="18"/>
      <c r="R6735" s="18"/>
      <c r="S6735" s="18"/>
      <c r="T6735" s="18"/>
      <c r="U6735" s="18"/>
      <c r="V6735" s="18"/>
      <c r="W6735" s="18"/>
      <c r="X6735" s="18"/>
    </row>
    <row r="6736" spans="13:24">
      <c r="M6736" s="558">
        <f t="shared" si="320"/>
        <v>6734</v>
      </c>
      <c r="N6736" s="15">
        <f t="shared" si="318"/>
        <v>0.12417102796736663</v>
      </c>
      <c r="O6736" s="165">
        <f t="shared" si="319"/>
        <v>0.12417102796736663</v>
      </c>
      <c r="P6736" s="18"/>
      <c r="Q6736" s="18"/>
      <c r="R6736" s="18"/>
      <c r="S6736" s="18"/>
      <c r="T6736" s="18"/>
      <c r="U6736" s="18"/>
      <c r="V6736" s="18"/>
      <c r="W6736" s="18"/>
      <c r="X6736" s="18"/>
    </row>
    <row r="6737" spans="13:24">
      <c r="M6737" s="558">
        <f t="shared" si="320"/>
        <v>6735</v>
      </c>
      <c r="N6737" s="15">
        <f t="shared" si="318"/>
        <v>0.12411953802673276</v>
      </c>
      <c r="O6737" s="165">
        <f t="shared" si="319"/>
        <v>0.12411953802673276</v>
      </c>
      <c r="P6737" s="18"/>
      <c r="Q6737" s="18"/>
      <c r="R6737" s="18"/>
      <c r="S6737" s="18"/>
      <c r="T6737" s="18"/>
      <c r="U6737" s="18"/>
      <c r="V6737" s="18"/>
      <c r="W6737" s="18"/>
      <c r="X6737" s="18"/>
    </row>
    <row r="6738" spans="13:24">
      <c r="M6738" s="558">
        <f t="shared" si="320"/>
        <v>6736</v>
      </c>
      <c r="N6738" s="15">
        <f t="shared" si="318"/>
        <v>0.12406804823678667</v>
      </c>
      <c r="O6738" s="165">
        <f t="shared" si="319"/>
        <v>0.12406804823678667</v>
      </c>
      <c r="P6738" s="18"/>
      <c r="Q6738" s="18"/>
      <c r="R6738" s="18"/>
      <c r="S6738" s="18"/>
      <c r="T6738" s="18"/>
      <c r="U6738" s="18"/>
      <c r="V6738" s="18"/>
      <c r="W6738" s="18"/>
      <c r="X6738" s="18"/>
    </row>
    <row r="6739" spans="13:24">
      <c r="M6739" s="558">
        <f t="shared" si="320"/>
        <v>6737</v>
      </c>
      <c r="N6739" s="15">
        <f t="shared" si="318"/>
        <v>0.12401655859733925</v>
      </c>
      <c r="O6739" s="165">
        <f t="shared" si="319"/>
        <v>0.12401655859733925</v>
      </c>
      <c r="P6739" s="18"/>
      <c r="Q6739" s="18"/>
      <c r="R6739" s="18"/>
      <c r="S6739" s="18"/>
      <c r="T6739" s="18"/>
      <c r="U6739" s="18"/>
      <c r="V6739" s="18"/>
      <c r="W6739" s="18"/>
      <c r="X6739" s="18"/>
    </row>
    <row r="6740" spans="13:24">
      <c r="M6740" s="558">
        <f t="shared" si="320"/>
        <v>6738</v>
      </c>
      <c r="N6740" s="15">
        <f t="shared" si="318"/>
        <v>0.12396506910820164</v>
      </c>
      <c r="O6740" s="165">
        <f t="shared" si="319"/>
        <v>0.12396506910820164</v>
      </c>
      <c r="P6740" s="18"/>
      <c r="Q6740" s="18"/>
      <c r="R6740" s="18"/>
      <c r="S6740" s="18"/>
      <c r="T6740" s="18"/>
      <c r="U6740" s="18"/>
      <c r="V6740" s="18"/>
      <c r="W6740" s="18"/>
      <c r="X6740" s="18"/>
    </row>
    <row r="6741" spans="13:24">
      <c r="M6741" s="558">
        <f t="shared" si="320"/>
        <v>6739</v>
      </c>
      <c r="N6741" s="15">
        <f t="shared" si="318"/>
        <v>0.1239135797691852</v>
      </c>
      <c r="O6741" s="165">
        <f t="shared" si="319"/>
        <v>0.1239135797691852</v>
      </c>
      <c r="P6741" s="18"/>
      <c r="Q6741" s="18"/>
      <c r="R6741" s="18"/>
      <c r="S6741" s="18"/>
      <c r="T6741" s="18"/>
      <c r="U6741" s="18"/>
      <c r="V6741" s="18"/>
      <c r="W6741" s="18"/>
      <c r="X6741" s="18"/>
    </row>
    <row r="6742" spans="13:24">
      <c r="M6742" s="558">
        <f t="shared" si="320"/>
        <v>6740</v>
      </c>
      <c r="N6742" s="15">
        <f t="shared" si="318"/>
        <v>0.12386209058010154</v>
      </c>
      <c r="O6742" s="165">
        <f t="shared" si="319"/>
        <v>0.12386209058010154</v>
      </c>
      <c r="P6742" s="18"/>
      <c r="Q6742" s="18"/>
      <c r="R6742" s="18"/>
      <c r="S6742" s="18"/>
      <c r="T6742" s="18"/>
      <c r="U6742" s="18"/>
      <c r="V6742" s="18"/>
      <c r="W6742" s="18"/>
      <c r="X6742" s="18"/>
    </row>
    <row r="6743" spans="13:24">
      <c r="M6743" s="558">
        <f t="shared" si="320"/>
        <v>6741</v>
      </c>
      <c r="N6743" s="15">
        <f t="shared" si="318"/>
        <v>0.12381060154076254</v>
      </c>
      <c r="O6743" s="165">
        <f t="shared" si="319"/>
        <v>0.12381060154076254</v>
      </c>
      <c r="P6743" s="18"/>
      <c r="Q6743" s="18"/>
      <c r="R6743" s="18"/>
      <c r="S6743" s="18"/>
      <c r="T6743" s="18"/>
      <c r="U6743" s="18"/>
      <c r="V6743" s="18"/>
      <c r="W6743" s="18"/>
      <c r="X6743" s="18"/>
    </row>
    <row r="6744" spans="13:24">
      <c r="M6744" s="558">
        <f t="shared" si="320"/>
        <v>6742</v>
      </c>
      <c r="N6744" s="15">
        <f t="shared" si="318"/>
        <v>0.12375911265098025</v>
      </c>
      <c r="O6744" s="165">
        <f t="shared" si="319"/>
        <v>0.12375911265098025</v>
      </c>
      <c r="P6744" s="18"/>
      <c r="Q6744" s="18"/>
      <c r="R6744" s="18"/>
      <c r="S6744" s="18"/>
      <c r="T6744" s="18"/>
      <c r="U6744" s="18"/>
      <c r="V6744" s="18"/>
      <c r="W6744" s="18"/>
      <c r="X6744" s="18"/>
    </row>
    <row r="6745" spans="13:24">
      <c r="M6745" s="558">
        <f t="shared" si="320"/>
        <v>6743</v>
      </c>
      <c r="N6745" s="15">
        <f t="shared" si="318"/>
        <v>0.12370762391056699</v>
      </c>
      <c r="O6745" s="165">
        <f t="shared" si="319"/>
        <v>0.12370762391056699</v>
      </c>
      <c r="P6745" s="18"/>
      <c r="Q6745" s="18"/>
      <c r="R6745" s="18"/>
      <c r="S6745" s="18"/>
      <c r="T6745" s="18"/>
      <c r="U6745" s="18"/>
      <c r="V6745" s="18"/>
      <c r="W6745" s="18"/>
      <c r="X6745" s="18"/>
    </row>
    <row r="6746" spans="13:24">
      <c r="M6746" s="558">
        <f t="shared" si="320"/>
        <v>6744</v>
      </c>
      <c r="N6746" s="15">
        <f t="shared" si="318"/>
        <v>0.12365613531933531</v>
      </c>
      <c r="O6746" s="165">
        <f t="shared" si="319"/>
        <v>0.12365613531933531</v>
      </c>
      <c r="P6746" s="18"/>
      <c r="Q6746" s="18"/>
      <c r="R6746" s="18"/>
      <c r="S6746" s="18"/>
      <c r="T6746" s="18"/>
      <c r="U6746" s="18"/>
      <c r="V6746" s="18"/>
      <c r="W6746" s="18"/>
      <c r="X6746" s="18"/>
    </row>
    <row r="6747" spans="13:24">
      <c r="M6747" s="558">
        <f t="shared" si="320"/>
        <v>6745</v>
      </c>
      <c r="N6747" s="15">
        <f t="shared" si="318"/>
        <v>0.12360464687709802</v>
      </c>
      <c r="O6747" s="165">
        <f t="shared" si="319"/>
        <v>0.12360464687709802</v>
      </c>
      <c r="P6747" s="18"/>
      <c r="Q6747" s="18"/>
      <c r="R6747" s="18"/>
      <c r="S6747" s="18"/>
      <c r="T6747" s="18"/>
      <c r="U6747" s="18"/>
      <c r="V6747" s="18"/>
      <c r="W6747" s="18"/>
      <c r="X6747" s="18"/>
    </row>
    <row r="6748" spans="13:24">
      <c r="M6748" s="558">
        <f t="shared" si="320"/>
        <v>6746</v>
      </c>
      <c r="N6748" s="15">
        <f t="shared" si="318"/>
        <v>0.12355315858366812</v>
      </c>
      <c r="O6748" s="165">
        <f t="shared" si="319"/>
        <v>0.12355315858366812</v>
      </c>
      <c r="P6748" s="18"/>
      <c r="Q6748" s="18"/>
      <c r="R6748" s="18"/>
      <c r="S6748" s="18"/>
      <c r="T6748" s="18"/>
      <c r="U6748" s="18"/>
      <c r="V6748" s="18"/>
      <c r="W6748" s="18"/>
      <c r="X6748" s="18"/>
    </row>
    <row r="6749" spans="13:24">
      <c r="M6749" s="558">
        <f t="shared" si="320"/>
        <v>6747</v>
      </c>
      <c r="N6749" s="15">
        <f t="shared" si="318"/>
        <v>0.1235016704388589</v>
      </c>
      <c r="O6749" s="165">
        <f t="shared" si="319"/>
        <v>0.1235016704388589</v>
      </c>
      <c r="P6749" s="18"/>
      <c r="Q6749" s="18"/>
      <c r="R6749" s="18"/>
      <c r="S6749" s="18"/>
      <c r="T6749" s="18"/>
      <c r="U6749" s="18"/>
      <c r="V6749" s="18"/>
      <c r="W6749" s="18"/>
      <c r="X6749" s="18"/>
    </row>
    <row r="6750" spans="13:24">
      <c r="M6750" s="558">
        <f t="shared" si="320"/>
        <v>6748</v>
      </c>
      <c r="N6750" s="15">
        <f t="shared" si="318"/>
        <v>0.12345018244248383</v>
      </c>
      <c r="O6750" s="165">
        <f t="shared" si="319"/>
        <v>0.12345018244248383</v>
      </c>
      <c r="P6750" s="18"/>
      <c r="Q6750" s="18"/>
      <c r="R6750" s="18"/>
      <c r="S6750" s="18"/>
      <c r="T6750" s="18"/>
      <c r="U6750" s="18"/>
      <c r="V6750" s="18"/>
      <c r="W6750" s="18"/>
      <c r="X6750" s="18"/>
    </row>
    <row r="6751" spans="13:24">
      <c r="M6751" s="558">
        <f t="shared" si="320"/>
        <v>6749</v>
      </c>
      <c r="N6751" s="15">
        <f t="shared" si="318"/>
        <v>0.12339869459435664</v>
      </c>
      <c r="O6751" s="165">
        <f t="shared" si="319"/>
        <v>0.12339869459435664</v>
      </c>
      <c r="P6751" s="18"/>
      <c r="Q6751" s="18"/>
      <c r="R6751" s="18"/>
      <c r="S6751" s="18"/>
      <c r="T6751" s="18"/>
      <c r="U6751" s="18"/>
      <c r="V6751" s="18"/>
      <c r="W6751" s="18"/>
      <c r="X6751" s="18"/>
    </row>
    <row r="6752" spans="13:24">
      <c r="M6752" s="558">
        <f t="shared" si="320"/>
        <v>6750</v>
      </c>
      <c r="N6752" s="15">
        <f t="shared" si="318"/>
        <v>0.12334720689429128</v>
      </c>
      <c r="O6752" s="165">
        <f t="shared" si="319"/>
        <v>0.12334720689429128</v>
      </c>
      <c r="P6752" s="18"/>
      <c r="Q6752" s="18"/>
      <c r="R6752" s="18"/>
      <c r="S6752" s="18"/>
      <c r="T6752" s="18"/>
      <c r="U6752" s="18"/>
      <c r="V6752" s="18"/>
      <c r="W6752" s="18"/>
      <c r="X6752" s="18"/>
    </row>
    <row r="6753" spans="13:24">
      <c r="M6753" s="558">
        <f t="shared" si="320"/>
        <v>6751</v>
      </c>
      <c r="N6753" s="15">
        <f t="shared" si="318"/>
        <v>0.12329571934210196</v>
      </c>
      <c r="O6753" s="165">
        <f t="shared" si="319"/>
        <v>0.12329571934210196</v>
      </c>
      <c r="P6753" s="18"/>
      <c r="Q6753" s="18"/>
      <c r="R6753" s="18"/>
      <c r="S6753" s="18"/>
      <c r="T6753" s="18"/>
      <c r="U6753" s="18"/>
      <c r="V6753" s="18"/>
      <c r="W6753" s="18"/>
      <c r="X6753" s="18"/>
    </row>
    <row r="6754" spans="13:24">
      <c r="M6754" s="558">
        <f t="shared" si="320"/>
        <v>6752</v>
      </c>
      <c r="N6754" s="15">
        <f t="shared" si="318"/>
        <v>0.12324423193760312</v>
      </c>
      <c r="O6754" s="165">
        <f t="shared" si="319"/>
        <v>0.12324423193760312</v>
      </c>
      <c r="P6754" s="18"/>
      <c r="Q6754" s="18"/>
      <c r="R6754" s="18"/>
      <c r="S6754" s="18"/>
      <c r="T6754" s="18"/>
      <c r="U6754" s="18"/>
      <c r="V6754" s="18"/>
      <c r="W6754" s="18"/>
      <c r="X6754" s="18"/>
    </row>
    <row r="6755" spans="13:24">
      <c r="M6755" s="558">
        <f t="shared" si="320"/>
        <v>6753</v>
      </c>
      <c r="N6755" s="15">
        <f t="shared" si="318"/>
        <v>0.12319274468060938</v>
      </c>
      <c r="O6755" s="165">
        <f t="shared" si="319"/>
        <v>0.12319274468060938</v>
      </c>
      <c r="P6755" s="18"/>
      <c r="Q6755" s="18"/>
      <c r="R6755" s="18"/>
      <c r="S6755" s="18"/>
      <c r="T6755" s="18"/>
      <c r="U6755" s="18"/>
      <c r="V6755" s="18"/>
      <c r="W6755" s="18"/>
      <c r="X6755" s="18"/>
    </row>
    <row r="6756" spans="13:24">
      <c r="M6756" s="558">
        <f t="shared" si="320"/>
        <v>6754</v>
      </c>
      <c r="N6756" s="15">
        <f t="shared" si="318"/>
        <v>0.12314125757093568</v>
      </c>
      <c r="O6756" s="165">
        <f t="shared" si="319"/>
        <v>0.12314125757093568</v>
      </c>
      <c r="P6756" s="18"/>
      <c r="Q6756" s="18"/>
      <c r="R6756" s="18"/>
      <c r="S6756" s="18"/>
      <c r="T6756" s="18"/>
      <c r="U6756" s="18"/>
      <c r="V6756" s="18"/>
      <c r="W6756" s="18"/>
      <c r="X6756" s="18"/>
    </row>
    <row r="6757" spans="13:24">
      <c r="M6757" s="558">
        <f t="shared" si="320"/>
        <v>6755</v>
      </c>
      <c r="N6757" s="15">
        <f t="shared" si="318"/>
        <v>0.12308977060839711</v>
      </c>
      <c r="O6757" s="165">
        <f t="shared" si="319"/>
        <v>0.12308977060839711</v>
      </c>
      <c r="P6757" s="18"/>
      <c r="Q6757" s="18"/>
      <c r="R6757" s="18"/>
      <c r="S6757" s="18"/>
      <c r="T6757" s="18"/>
      <c r="U6757" s="18"/>
      <c r="V6757" s="18"/>
      <c r="W6757" s="18"/>
      <c r="X6757" s="18"/>
    </row>
    <row r="6758" spans="13:24">
      <c r="M6758" s="558">
        <f t="shared" si="320"/>
        <v>6756</v>
      </c>
      <c r="N6758" s="15">
        <f t="shared" si="318"/>
        <v>0.12303828379280904</v>
      </c>
      <c r="O6758" s="165">
        <f t="shared" si="319"/>
        <v>0.12303828379280904</v>
      </c>
      <c r="P6758" s="18"/>
      <c r="Q6758" s="18"/>
      <c r="R6758" s="18"/>
      <c r="S6758" s="18"/>
      <c r="T6758" s="18"/>
      <c r="U6758" s="18"/>
      <c r="V6758" s="18"/>
      <c r="W6758" s="18"/>
      <c r="X6758" s="18"/>
    </row>
    <row r="6759" spans="13:24">
      <c r="M6759" s="558">
        <f t="shared" si="320"/>
        <v>6757</v>
      </c>
      <c r="N6759" s="15">
        <f t="shared" si="318"/>
        <v>0.12298679712398707</v>
      </c>
      <c r="O6759" s="165">
        <f t="shared" si="319"/>
        <v>0.12298679712398707</v>
      </c>
      <c r="P6759" s="18"/>
      <c r="Q6759" s="18"/>
      <c r="R6759" s="18"/>
      <c r="S6759" s="18"/>
      <c r="T6759" s="18"/>
      <c r="U6759" s="18"/>
      <c r="V6759" s="18"/>
      <c r="W6759" s="18"/>
      <c r="X6759" s="18"/>
    </row>
    <row r="6760" spans="13:24">
      <c r="M6760" s="558">
        <f t="shared" si="320"/>
        <v>6758</v>
      </c>
      <c r="N6760" s="15">
        <f t="shared" si="318"/>
        <v>0.12293531060174701</v>
      </c>
      <c r="O6760" s="165">
        <f t="shared" si="319"/>
        <v>0.12293531060174701</v>
      </c>
      <c r="P6760" s="18"/>
      <c r="Q6760" s="18"/>
      <c r="R6760" s="18"/>
      <c r="S6760" s="18"/>
      <c r="T6760" s="18"/>
      <c r="U6760" s="18"/>
      <c r="V6760" s="18"/>
      <c r="W6760" s="18"/>
      <c r="X6760" s="18"/>
    </row>
    <row r="6761" spans="13:24">
      <c r="M6761" s="558">
        <f t="shared" si="320"/>
        <v>6759</v>
      </c>
      <c r="N6761" s="15">
        <f t="shared" si="318"/>
        <v>0.12288382422590489</v>
      </c>
      <c r="O6761" s="165">
        <f t="shared" si="319"/>
        <v>0.12288382422590489</v>
      </c>
      <c r="P6761" s="18"/>
      <c r="Q6761" s="18"/>
      <c r="R6761" s="18"/>
      <c r="S6761" s="18"/>
      <c r="T6761" s="18"/>
      <c r="U6761" s="18"/>
      <c r="V6761" s="18"/>
      <c r="W6761" s="18"/>
      <c r="X6761" s="18"/>
    </row>
    <row r="6762" spans="13:24">
      <c r="M6762" s="558">
        <f t="shared" si="320"/>
        <v>6760</v>
      </c>
      <c r="N6762" s="15">
        <f t="shared" si="318"/>
        <v>0.12283233799627702</v>
      </c>
      <c r="O6762" s="165">
        <f t="shared" si="319"/>
        <v>0.12283233799627702</v>
      </c>
      <c r="P6762" s="18"/>
      <c r="Q6762" s="18"/>
      <c r="R6762" s="18"/>
      <c r="S6762" s="18"/>
      <c r="T6762" s="18"/>
      <c r="U6762" s="18"/>
      <c r="V6762" s="18"/>
      <c r="W6762" s="18"/>
      <c r="X6762" s="18"/>
    </row>
    <row r="6763" spans="13:24">
      <c r="M6763" s="558">
        <f t="shared" si="320"/>
        <v>6761</v>
      </c>
      <c r="N6763" s="15">
        <f t="shared" si="318"/>
        <v>0.12278085191267991</v>
      </c>
      <c r="O6763" s="165">
        <f t="shared" si="319"/>
        <v>0.12278085191267991</v>
      </c>
      <c r="P6763" s="18"/>
      <c r="Q6763" s="18"/>
      <c r="R6763" s="18"/>
      <c r="S6763" s="18"/>
      <c r="T6763" s="18"/>
      <c r="U6763" s="18"/>
      <c r="V6763" s="18"/>
      <c r="W6763" s="18"/>
      <c r="X6763" s="18"/>
    </row>
    <row r="6764" spans="13:24">
      <c r="M6764" s="558">
        <f t="shared" si="320"/>
        <v>6762</v>
      </c>
      <c r="N6764" s="15">
        <f t="shared" si="318"/>
        <v>0.12272936597493031</v>
      </c>
      <c r="O6764" s="165">
        <f t="shared" si="319"/>
        <v>0.12272936597493031</v>
      </c>
      <c r="P6764" s="18"/>
      <c r="Q6764" s="18"/>
      <c r="R6764" s="18"/>
      <c r="S6764" s="18"/>
      <c r="T6764" s="18"/>
      <c r="U6764" s="18"/>
      <c r="V6764" s="18"/>
      <c r="W6764" s="18"/>
      <c r="X6764" s="18"/>
    </row>
    <row r="6765" spans="13:24">
      <c r="M6765" s="558">
        <f t="shared" si="320"/>
        <v>6763</v>
      </c>
      <c r="N6765" s="15">
        <f t="shared" si="318"/>
        <v>0.12267788018284516</v>
      </c>
      <c r="O6765" s="165">
        <f t="shared" si="319"/>
        <v>0.12267788018284516</v>
      </c>
      <c r="P6765" s="18"/>
      <c r="Q6765" s="18"/>
      <c r="R6765" s="18"/>
      <c r="S6765" s="18"/>
      <c r="T6765" s="18"/>
      <c r="U6765" s="18"/>
      <c r="V6765" s="18"/>
      <c r="W6765" s="18"/>
      <c r="X6765" s="18"/>
    </row>
    <row r="6766" spans="13:24">
      <c r="M6766" s="558">
        <f t="shared" si="320"/>
        <v>6764</v>
      </c>
      <c r="N6766" s="15">
        <f t="shared" si="318"/>
        <v>0.1226263945362417</v>
      </c>
      <c r="O6766" s="165">
        <f t="shared" si="319"/>
        <v>0.1226263945362417</v>
      </c>
      <c r="P6766" s="18"/>
      <c r="Q6766" s="18"/>
      <c r="R6766" s="18"/>
      <c r="S6766" s="18"/>
      <c r="T6766" s="18"/>
      <c r="U6766" s="18"/>
      <c r="V6766" s="18"/>
      <c r="W6766" s="18"/>
      <c r="X6766" s="18"/>
    </row>
    <row r="6767" spans="13:24">
      <c r="M6767" s="558">
        <f t="shared" si="320"/>
        <v>6765</v>
      </c>
      <c r="N6767" s="15">
        <f t="shared" si="318"/>
        <v>0.12257490903493734</v>
      </c>
      <c r="O6767" s="165">
        <f t="shared" si="319"/>
        <v>0.12257490903493734</v>
      </c>
      <c r="P6767" s="18"/>
      <c r="Q6767" s="18"/>
      <c r="R6767" s="18"/>
      <c r="S6767" s="18"/>
      <c r="T6767" s="18"/>
      <c r="U6767" s="18"/>
      <c r="V6767" s="18"/>
      <c r="W6767" s="18"/>
      <c r="X6767" s="18"/>
    </row>
    <row r="6768" spans="13:24">
      <c r="M6768" s="558">
        <f t="shared" si="320"/>
        <v>6766</v>
      </c>
      <c r="N6768" s="15">
        <f t="shared" si="318"/>
        <v>0.12252342367874974</v>
      </c>
      <c r="O6768" s="165">
        <f t="shared" si="319"/>
        <v>0.12252342367874974</v>
      </c>
      <c r="P6768" s="18"/>
      <c r="Q6768" s="18"/>
      <c r="R6768" s="18"/>
      <c r="S6768" s="18"/>
      <c r="T6768" s="18"/>
      <c r="U6768" s="18"/>
      <c r="V6768" s="18"/>
      <c r="W6768" s="18"/>
      <c r="X6768" s="18"/>
    </row>
    <row r="6769" spans="13:24">
      <c r="M6769" s="558">
        <f t="shared" si="320"/>
        <v>6767</v>
      </c>
      <c r="N6769" s="15">
        <f t="shared" si="318"/>
        <v>0.12247193846749681</v>
      </c>
      <c r="O6769" s="165">
        <f t="shared" si="319"/>
        <v>0.12247193846749681</v>
      </c>
      <c r="P6769" s="18"/>
      <c r="Q6769" s="18"/>
      <c r="R6769" s="18"/>
      <c r="S6769" s="18"/>
      <c r="T6769" s="18"/>
      <c r="U6769" s="18"/>
      <c r="V6769" s="18"/>
      <c r="W6769" s="18"/>
      <c r="X6769" s="18"/>
    </row>
    <row r="6770" spans="13:24">
      <c r="M6770" s="558">
        <f t="shared" si="320"/>
        <v>6768</v>
      </c>
      <c r="N6770" s="15">
        <f t="shared" si="318"/>
        <v>0.12242045340099665</v>
      </c>
      <c r="O6770" s="165">
        <f t="shared" si="319"/>
        <v>0.12242045340099665</v>
      </c>
      <c r="P6770" s="18"/>
      <c r="Q6770" s="18"/>
      <c r="R6770" s="18"/>
      <c r="S6770" s="18"/>
      <c r="T6770" s="18"/>
      <c r="U6770" s="18"/>
      <c r="V6770" s="18"/>
      <c r="W6770" s="18"/>
      <c r="X6770" s="18"/>
    </row>
    <row r="6771" spans="13:24">
      <c r="M6771" s="558">
        <f t="shared" si="320"/>
        <v>6769</v>
      </c>
      <c r="N6771" s="15">
        <f t="shared" si="318"/>
        <v>0.12236896847906761</v>
      </c>
      <c r="O6771" s="165">
        <f t="shared" si="319"/>
        <v>0.12236896847906761</v>
      </c>
      <c r="P6771" s="18"/>
      <c r="Q6771" s="18"/>
      <c r="R6771" s="18"/>
      <c r="S6771" s="18"/>
      <c r="T6771" s="18"/>
      <c r="U6771" s="18"/>
      <c r="V6771" s="18"/>
      <c r="W6771" s="18"/>
      <c r="X6771" s="18"/>
    </row>
    <row r="6772" spans="13:24">
      <c r="M6772" s="558">
        <f t="shared" si="320"/>
        <v>6770</v>
      </c>
      <c r="N6772" s="15">
        <f t="shared" si="318"/>
        <v>0.12231748370152828</v>
      </c>
      <c r="O6772" s="165">
        <f t="shared" si="319"/>
        <v>0.12231748370152828</v>
      </c>
      <c r="P6772" s="18"/>
      <c r="Q6772" s="18"/>
      <c r="R6772" s="18"/>
      <c r="S6772" s="18"/>
      <c r="T6772" s="18"/>
      <c r="U6772" s="18"/>
      <c r="V6772" s="18"/>
      <c r="W6772" s="18"/>
      <c r="X6772" s="18"/>
    </row>
    <row r="6773" spans="13:24">
      <c r="M6773" s="558">
        <f t="shared" si="320"/>
        <v>6771</v>
      </c>
      <c r="N6773" s="15">
        <f t="shared" si="318"/>
        <v>0.12226599906819745</v>
      </c>
      <c r="O6773" s="165">
        <f t="shared" si="319"/>
        <v>0.12226599906819745</v>
      </c>
      <c r="P6773" s="18"/>
      <c r="Q6773" s="18"/>
      <c r="R6773" s="18"/>
      <c r="S6773" s="18"/>
      <c r="T6773" s="18"/>
      <c r="U6773" s="18"/>
      <c r="V6773" s="18"/>
      <c r="W6773" s="18"/>
      <c r="X6773" s="18"/>
    </row>
    <row r="6774" spans="13:24">
      <c r="M6774" s="558">
        <f t="shared" si="320"/>
        <v>6772</v>
      </c>
      <c r="N6774" s="15">
        <f t="shared" si="318"/>
        <v>0.12221451457889415</v>
      </c>
      <c r="O6774" s="165">
        <f t="shared" si="319"/>
        <v>0.12221451457889415</v>
      </c>
      <c r="P6774" s="18"/>
      <c r="Q6774" s="18"/>
      <c r="R6774" s="18"/>
      <c r="S6774" s="18"/>
      <c r="T6774" s="18"/>
      <c r="U6774" s="18"/>
      <c r="V6774" s="18"/>
      <c r="W6774" s="18"/>
      <c r="X6774" s="18"/>
    </row>
    <row r="6775" spans="13:24">
      <c r="M6775" s="558">
        <f t="shared" si="320"/>
        <v>6773</v>
      </c>
      <c r="N6775" s="15">
        <f t="shared" si="318"/>
        <v>0.12216303023343764</v>
      </c>
      <c r="O6775" s="165">
        <f t="shared" si="319"/>
        <v>0.12216303023343764</v>
      </c>
      <c r="P6775" s="18"/>
      <c r="Q6775" s="18"/>
      <c r="R6775" s="18"/>
      <c r="S6775" s="18"/>
      <c r="T6775" s="18"/>
      <c r="U6775" s="18"/>
      <c r="V6775" s="18"/>
      <c r="W6775" s="18"/>
      <c r="X6775" s="18"/>
    </row>
    <row r="6776" spans="13:24">
      <c r="M6776" s="558">
        <f t="shared" si="320"/>
        <v>6774</v>
      </c>
      <c r="N6776" s="15">
        <f t="shared" si="318"/>
        <v>0.12211154603164739</v>
      </c>
      <c r="O6776" s="165">
        <f t="shared" si="319"/>
        <v>0.12211154603164739</v>
      </c>
      <c r="P6776" s="18"/>
      <c r="Q6776" s="18"/>
      <c r="R6776" s="18"/>
      <c r="S6776" s="18"/>
      <c r="T6776" s="18"/>
      <c r="U6776" s="18"/>
      <c r="V6776" s="18"/>
      <c r="W6776" s="18"/>
      <c r="X6776" s="18"/>
    </row>
    <row r="6777" spans="13:24">
      <c r="M6777" s="558">
        <f t="shared" si="320"/>
        <v>6775</v>
      </c>
      <c r="N6777" s="15">
        <f t="shared" si="318"/>
        <v>0.12206006197334314</v>
      </c>
      <c r="O6777" s="165">
        <f t="shared" si="319"/>
        <v>0.12206006197334314</v>
      </c>
      <c r="P6777" s="18"/>
      <c r="Q6777" s="18"/>
      <c r="R6777" s="18"/>
      <c r="S6777" s="18"/>
      <c r="T6777" s="18"/>
      <c r="U6777" s="18"/>
      <c r="V6777" s="18"/>
      <c r="W6777" s="18"/>
      <c r="X6777" s="18"/>
    </row>
    <row r="6778" spans="13:24">
      <c r="M6778" s="558">
        <f t="shared" si="320"/>
        <v>6776</v>
      </c>
      <c r="N6778" s="15">
        <f t="shared" si="318"/>
        <v>0.12200857805834479</v>
      </c>
      <c r="O6778" s="165">
        <f t="shared" si="319"/>
        <v>0.12200857805834479</v>
      </c>
      <c r="P6778" s="18"/>
      <c r="Q6778" s="18"/>
      <c r="R6778" s="18"/>
      <c r="S6778" s="18"/>
      <c r="T6778" s="18"/>
      <c r="U6778" s="18"/>
      <c r="V6778" s="18"/>
      <c r="W6778" s="18"/>
      <c r="X6778" s="18"/>
    </row>
    <row r="6779" spans="13:24">
      <c r="M6779" s="558">
        <f t="shared" si="320"/>
        <v>6777</v>
      </c>
      <c r="N6779" s="15">
        <f t="shared" si="318"/>
        <v>0.12195709428647254</v>
      </c>
      <c r="O6779" s="165">
        <f t="shared" si="319"/>
        <v>0.12195709428647254</v>
      </c>
      <c r="P6779" s="18"/>
      <c r="Q6779" s="18"/>
      <c r="R6779" s="18"/>
      <c r="S6779" s="18"/>
      <c r="T6779" s="18"/>
      <c r="U6779" s="18"/>
      <c r="V6779" s="18"/>
      <c r="W6779" s="18"/>
      <c r="X6779" s="18"/>
    </row>
    <row r="6780" spans="13:24">
      <c r="M6780" s="558">
        <f t="shared" si="320"/>
        <v>6778</v>
      </c>
      <c r="N6780" s="15">
        <f t="shared" si="318"/>
        <v>0.12190561065754675</v>
      </c>
      <c r="O6780" s="165">
        <f t="shared" si="319"/>
        <v>0.12190561065754675</v>
      </c>
      <c r="P6780" s="18"/>
      <c r="Q6780" s="18"/>
      <c r="R6780" s="18"/>
      <c r="S6780" s="18"/>
      <c r="T6780" s="18"/>
      <c r="U6780" s="18"/>
      <c r="V6780" s="18"/>
      <c r="W6780" s="18"/>
      <c r="X6780" s="18"/>
    </row>
    <row r="6781" spans="13:24">
      <c r="M6781" s="558">
        <f t="shared" si="320"/>
        <v>6779</v>
      </c>
      <c r="N6781" s="15">
        <f t="shared" si="318"/>
        <v>0.12185412717138805</v>
      </c>
      <c r="O6781" s="165">
        <f t="shared" si="319"/>
        <v>0.12185412717138805</v>
      </c>
      <c r="P6781" s="18"/>
      <c r="Q6781" s="18"/>
      <c r="R6781" s="18"/>
      <c r="S6781" s="18"/>
      <c r="T6781" s="18"/>
      <c r="U6781" s="18"/>
      <c r="V6781" s="18"/>
      <c r="W6781" s="18"/>
      <c r="X6781" s="18"/>
    </row>
    <row r="6782" spans="13:24">
      <c r="M6782" s="558">
        <f t="shared" si="320"/>
        <v>6780</v>
      </c>
      <c r="N6782" s="15">
        <f t="shared" si="318"/>
        <v>0.12180264382781726</v>
      </c>
      <c r="O6782" s="165">
        <f t="shared" si="319"/>
        <v>0.12180264382781726</v>
      </c>
      <c r="P6782" s="18"/>
      <c r="Q6782" s="18"/>
      <c r="R6782" s="18"/>
      <c r="S6782" s="18"/>
      <c r="T6782" s="18"/>
      <c r="U6782" s="18"/>
      <c r="V6782" s="18"/>
      <c r="W6782" s="18"/>
      <c r="X6782" s="18"/>
    </row>
    <row r="6783" spans="13:24">
      <c r="M6783" s="558">
        <f t="shared" si="320"/>
        <v>6781</v>
      </c>
      <c r="N6783" s="15">
        <f t="shared" si="318"/>
        <v>0.12175116062665545</v>
      </c>
      <c r="O6783" s="165">
        <f t="shared" si="319"/>
        <v>0.12175116062665545</v>
      </c>
      <c r="P6783" s="18"/>
      <c r="Q6783" s="18"/>
      <c r="R6783" s="18"/>
      <c r="S6783" s="18"/>
      <c r="T6783" s="18"/>
      <c r="U6783" s="18"/>
      <c r="V6783" s="18"/>
      <c r="W6783" s="18"/>
      <c r="X6783" s="18"/>
    </row>
    <row r="6784" spans="13:24">
      <c r="M6784" s="558">
        <f t="shared" si="320"/>
        <v>6782</v>
      </c>
      <c r="N6784" s="15">
        <f t="shared" si="318"/>
        <v>0.12169967756772393</v>
      </c>
      <c r="O6784" s="165">
        <f t="shared" si="319"/>
        <v>0.12169967756772393</v>
      </c>
      <c r="P6784" s="18"/>
      <c r="Q6784" s="18"/>
      <c r="R6784" s="18"/>
      <c r="S6784" s="18"/>
      <c r="T6784" s="18"/>
      <c r="U6784" s="18"/>
      <c r="V6784" s="18"/>
      <c r="W6784" s="18"/>
      <c r="X6784" s="18"/>
    </row>
    <row r="6785" spans="13:24">
      <c r="M6785" s="558">
        <f t="shared" si="320"/>
        <v>6783</v>
      </c>
      <c r="N6785" s="15">
        <f t="shared" si="318"/>
        <v>0.12164819465084419</v>
      </c>
      <c r="O6785" s="165">
        <f t="shared" si="319"/>
        <v>0.12164819465084419</v>
      </c>
      <c r="P6785" s="18"/>
      <c r="Q6785" s="18"/>
      <c r="R6785" s="18"/>
      <c r="S6785" s="18"/>
      <c r="T6785" s="18"/>
      <c r="U6785" s="18"/>
      <c r="V6785" s="18"/>
      <c r="W6785" s="18"/>
      <c r="X6785" s="18"/>
    </row>
    <row r="6786" spans="13:24">
      <c r="M6786" s="558">
        <f t="shared" si="320"/>
        <v>6784</v>
      </c>
      <c r="N6786" s="15">
        <f t="shared" si="318"/>
        <v>0.12159671187583797</v>
      </c>
      <c r="O6786" s="165">
        <f t="shared" si="319"/>
        <v>0.12159671187583797</v>
      </c>
      <c r="P6786" s="18"/>
      <c r="Q6786" s="18"/>
      <c r="R6786" s="18"/>
      <c r="S6786" s="18"/>
      <c r="T6786" s="18"/>
      <c r="U6786" s="18"/>
      <c r="V6786" s="18"/>
      <c r="W6786" s="18"/>
      <c r="X6786" s="18"/>
    </row>
    <row r="6787" spans="13:24">
      <c r="M6787" s="558">
        <f t="shared" si="320"/>
        <v>6785</v>
      </c>
      <c r="N6787" s="15">
        <f t="shared" si="318"/>
        <v>0.12154522924252724</v>
      </c>
      <c r="O6787" s="165">
        <f t="shared" si="319"/>
        <v>0.12154522924252724</v>
      </c>
      <c r="P6787" s="18"/>
      <c r="Q6787" s="18"/>
      <c r="R6787" s="18"/>
      <c r="S6787" s="18"/>
      <c r="T6787" s="18"/>
      <c r="U6787" s="18"/>
      <c r="V6787" s="18"/>
      <c r="W6787" s="18"/>
      <c r="X6787" s="18"/>
    </row>
    <row r="6788" spans="13:24">
      <c r="M6788" s="558">
        <f t="shared" si="320"/>
        <v>6786</v>
      </c>
      <c r="N6788" s="15">
        <f t="shared" ref="N6788:N6851" si="321">IF(M6788&lt;$B$31+1,$B$32+$B$33/$B$31*(8760-M6788)+$B$34*IF(M6788&lt;$B$36-$B$31/(2*$B$35),1,IF(M6788&lt;$B$36+$B$31/(2*$B$35),COS(PI()/2*(M6788-($B$36-$B$31/(2*$B$35)))*$B$35/$B$31)^2,0))+$B$37*EXP((8760-M6788)/8760*$B$38)/EXP($B$38)-(8760-$B$31)*$B$33/$B$31,0)</f>
        <v>0.12149374675073417</v>
      </c>
      <c r="O6788" s="165">
        <f t="shared" ref="O6788:O6851" si="322">MIN(N6788,C$24)</f>
        <v>0.12149374675073417</v>
      </c>
      <c r="P6788" s="18"/>
      <c r="Q6788" s="18"/>
      <c r="R6788" s="18"/>
      <c r="S6788" s="18"/>
      <c r="T6788" s="18"/>
      <c r="U6788" s="18"/>
      <c r="V6788" s="18"/>
      <c r="W6788" s="18"/>
      <c r="X6788" s="18"/>
    </row>
    <row r="6789" spans="13:24">
      <c r="M6789" s="558">
        <f t="shared" ref="M6789:M6852" si="323">M6788+1</f>
        <v>6787</v>
      </c>
      <c r="N6789" s="15">
        <f t="shared" si="321"/>
        <v>0.12144226440028118</v>
      </c>
      <c r="O6789" s="165">
        <f t="shared" si="322"/>
        <v>0.12144226440028118</v>
      </c>
      <c r="P6789" s="18"/>
      <c r="Q6789" s="18"/>
      <c r="R6789" s="18"/>
      <c r="S6789" s="18"/>
      <c r="T6789" s="18"/>
      <c r="U6789" s="18"/>
      <c r="V6789" s="18"/>
      <c r="W6789" s="18"/>
      <c r="X6789" s="18"/>
    </row>
    <row r="6790" spans="13:24">
      <c r="M6790" s="558">
        <f t="shared" si="323"/>
        <v>6788</v>
      </c>
      <c r="N6790" s="15">
        <f t="shared" si="321"/>
        <v>0.12139078219099089</v>
      </c>
      <c r="O6790" s="165">
        <f t="shared" si="322"/>
        <v>0.12139078219099089</v>
      </c>
      <c r="P6790" s="18"/>
      <c r="Q6790" s="18"/>
      <c r="R6790" s="18"/>
      <c r="S6790" s="18"/>
      <c r="T6790" s="18"/>
      <c r="U6790" s="18"/>
      <c r="V6790" s="18"/>
      <c r="W6790" s="18"/>
      <c r="X6790" s="18"/>
    </row>
    <row r="6791" spans="13:24">
      <c r="M6791" s="558">
        <f t="shared" si="323"/>
        <v>6789</v>
      </c>
      <c r="N6791" s="15">
        <f t="shared" si="321"/>
        <v>0.12133930012268615</v>
      </c>
      <c r="O6791" s="165">
        <f t="shared" si="322"/>
        <v>0.12133930012268615</v>
      </c>
      <c r="P6791" s="18"/>
      <c r="Q6791" s="18"/>
      <c r="R6791" s="18"/>
      <c r="S6791" s="18"/>
      <c r="T6791" s="18"/>
      <c r="U6791" s="18"/>
      <c r="V6791" s="18"/>
      <c r="W6791" s="18"/>
      <c r="X6791" s="18"/>
    </row>
    <row r="6792" spans="13:24">
      <c r="M6792" s="558">
        <f t="shared" si="323"/>
        <v>6790</v>
      </c>
      <c r="N6792" s="15">
        <f t="shared" si="321"/>
        <v>0.12128781819519005</v>
      </c>
      <c r="O6792" s="165">
        <f t="shared" si="322"/>
        <v>0.12128781819519005</v>
      </c>
      <c r="P6792" s="18"/>
      <c r="Q6792" s="18"/>
      <c r="R6792" s="18"/>
      <c r="S6792" s="18"/>
      <c r="T6792" s="18"/>
      <c r="U6792" s="18"/>
      <c r="V6792" s="18"/>
      <c r="W6792" s="18"/>
      <c r="X6792" s="18"/>
    </row>
    <row r="6793" spans="13:24">
      <c r="M6793" s="558">
        <f t="shared" si="323"/>
        <v>6791</v>
      </c>
      <c r="N6793" s="15">
        <f t="shared" si="321"/>
        <v>0.12123633640832587</v>
      </c>
      <c r="O6793" s="165">
        <f t="shared" si="322"/>
        <v>0.12123633640832587</v>
      </c>
      <c r="P6793" s="18"/>
      <c r="Q6793" s="18"/>
      <c r="R6793" s="18"/>
      <c r="S6793" s="18"/>
      <c r="T6793" s="18"/>
      <c r="U6793" s="18"/>
      <c r="V6793" s="18"/>
      <c r="W6793" s="18"/>
      <c r="X6793" s="18"/>
    </row>
    <row r="6794" spans="13:24">
      <c r="M6794" s="558">
        <f t="shared" si="323"/>
        <v>6792</v>
      </c>
      <c r="N6794" s="15">
        <f t="shared" si="321"/>
        <v>0.12118485476191714</v>
      </c>
      <c r="O6794" s="165">
        <f t="shared" si="322"/>
        <v>0.12118485476191714</v>
      </c>
      <c r="P6794" s="18"/>
      <c r="Q6794" s="18"/>
      <c r="R6794" s="18"/>
      <c r="S6794" s="18"/>
      <c r="T6794" s="18"/>
      <c r="U6794" s="18"/>
      <c r="V6794" s="18"/>
      <c r="W6794" s="18"/>
      <c r="X6794" s="18"/>
    </row>
    <row r="6795" spans="13:24">
      <c r="M6795" s="558">
        <f t="shared" si="323"/>
        <v>6793</v>
      </c>
      <c r="N6795" s="15">
        <f t="shared" si="321"/>
        <v>0.12113337325578757</v>
      </c>
      <c r="O6795" s="165">
        <f t="shared" si="322"/>
        <v>0.12113337325578757</v>
      </c>
      <c r="P6795" s="18"/>
      <c r="Q6795" s="18"/>
      <c r="R6795" s="18"/>
      <c r="S6795" s="18"/>
      <c r="T6795" s="18"/>
      <c r="U6795" s="18"/>
      <c r="V6795" s="18"/>
      <c r="W6795" s="18"/>
      <c r="X6795" s="18"/>
    </row>
    <row r="6796" spans="13:24">
      <c r="M6796" s="558">
        <f t="shared" si="323"/>
        <v>6794</v>
      </c>
      <c r="N6796" s="15">
        <f t="shared" si="321"/>
        <v>0.12108189188976116</v>
      </c>
      <c r="O6796" s="165">
        <f t="shared" si="322"/>
        <v>0.12108189188976116</v>
      </c>
      <c r="P6796" s="18"/>
      <c r="Q6796" s="18"/>
      <c r="R6796" s="18"/>
      <c r="S6796" s="18"/>
      <c r="T6796" s="18"/>
      <c r="U6796" s="18"/>
      <c r="V6796" s="18"/>
      <c r="W6796" s="18"/>
      <c r="X6796" s="18"/>
    </row>
    <row r="6797" spans="13:24">
      <c r="M6797" s="558">
        <f t="shared" si="323"/>
        <v>6795</v>
      </c>
      <c r="N6797" s="15">
        <f t="shared" si="321"/>
        <v>0.12103041066366209</v>
      </c>
      <c r="O6797" s="165">
        <f t="shared" si="322"/>
        <v>0.12103041066366209</v>
      </c>
      <c r="P6797" s="18"/>
      <c r="Q6797" s="18"/>
      <c r="R6797" s="18"/>
      <c r="S6797" s="18"/>
      <c r="T6797" s="18"/>
      <c r="U6797" s="18"/>
      <c r="V6797" s="18"/>
      <c r="W6797" s="18"/>
      <c r="X6797" s="18"/>
    </row>
    <row r="6798" spans="13:24">
      <c r="M6798" s="558">
        <f t="shared" si="323"/>
        <v>6796</v>
      </c>
      <c r="N6798" s="15">
        <f t="shared" si="321"/>
        <v>0.12097892957731474</v>
      </c>
      <c r="O6798" s="165">
        <f t="shared" si="322"/>
        <v>0.12097892957731474</v>
      </c>
      <c r="P6798" s="18"/>
      <c r="Q6798" s="18"/>
      <c r="R6798" s="18"/>
      <c r="S6798" s="18"/>
      <c r="T6798" s="18"/>
      <c r="U6798" s="18"/>
      <c r="V6798" s="18"/>
      <c r="W6798" s="18"/>
      <c r="X6798" s="18"/>
    </row>
    <row r="6799" spans="13:24">
      <c r="M6799" s="558">
        <f t="shared" si="323"/>
        <v>6797</v>
      </c>
      <c r="N6799" s="15">
        <f t="shared" si="321"/>
        <v>0.12092744863054372</v>
      </c>
      <c r="O6799" s="165">
        <f t="shared" si="322"/>
        <v>0.12092744863054372</v>
      </c>
      <c r="P6799" s="18"/>
      <c r="Q6799" s="18"/>
      <c r="R6799" s="18"/>
      <c r="S6799" s="18"/>
      <c r="T6799" s="18"/>
      <c r="U6799" s="18"/>
      <c r="V6799" s="18"/>
      <c r="W6799" s="18"/>
      <c r="X6799" s="18"/>
    </row>
    <row r="6800" spans="13:24">
      <c r="M6800" s="558">
        <f t="shared" si="323"/>
        <v>6798</v>
      </c>
      <c r="N6800" s="15">
        <f t="shared" si="321"/>
        <v>0.1208759678231739</v>
      </c>
      <c r="O6800" s="165">
        <f t="shared" si="322"/>
        <v>0.1208759678231739</v>
      </c>
      <c r="P6800" s="18"/>
      <c r="Q6800" s="18"/>
      <c r="R6800" s="18"/>
      <c r="S6800" s="18"/>
      <c r="T6800" s="18"/>
      <c r="U6800" s="18"/>
      <c r="V6800" s="18"/>
      <c r="W6800" s="18"/>
      <c r="X6800" s="18"/>
    </row>
    <row r="6801" spans="13:24">
      <c r="M6801" s="558">
        <f t="shared" si="323"/>
        <v>6799</v>
      </c>
      <c r="N6801" s="15">
        <f t="shared" si="321"/>
        <v>0.12082448715503036</v>
      </c>
      <c r="O6801" s="165">
        <f t="shared" si="322"/>
        <v>0.12082448715503036</v>
      </c>
      <c r="P6801" s="18"/>
      <c r="Q6801" s="18"/>
      <c r="R6801" s="18"/>
      <c r="S6801" s="18"/>
      <c r="T6801" s="18"/>
      <c r="U6801" s="18"/>
      <c r="V6801" s="18"/>
      <c r="W6801" s="18"/>
      <c r="X6801" s="18"/>
    </row>
    <row r="6802" spans="13:24">
      <c r="M6802" s="558">
        <f t="shared" si="323"/>
        <v>6800</v>
      </c>
      <c r="N6802" s="15">
        <f t="shared" si="321"/>
        <v>0.12077300662593835</v>
      </c>
      <c r="O6802" s="165">
        <f t="shared" si="322"/>
        <v>0.12077300662593835</v>
      </c>
      <c r="P6802" s="18"/>
      <c r="Q6802" s="18"/>
      <c r="R6802" s="18"/>
      <c r="S6802" s="18"/>
      <c r="T6802" s="18"/>
      <c r="U6802" s="18"/>
      <c r="V6802" s="18"/>
      <c r="W6802" s="18"/>
      <c r="X6802" s="18"/>
    </row>
    <row r="6803" spans="13:24">
      <c r="M6803" s="558">
        <f t="shared" si="323"/>
        <v>6801</v>
      </c>
      <c r="N6803" s="15">
        <f t="shared" si="321"/>
        <v>0.12072152623572338</v>
      </c>
      <c r="O6803" s="165">
        <f t="shared" si="322"/>
        <v>0.12072152623572338</v>
      </c>
      <c r="P6803" s="18"/>
      <c r="Q6803" s="18"/>
      <c r="R6803" s="18"/>
      <c r="S6803" s="18"/>
      <c r="T6803" s="18"/>
      <c r="U6803" s="18"/>
      <c r="V6803" s="18"/>
      <c r="W6803" s="18"/>
      <c r="X6803" s="18"/>
    </row>
    <row r="6804" spans="13:24">
      <c r="M6804" s="558">
        <f t="shared" si="323"/>
        <v>6802</v>
      </c>
      <c r="N6804" s="15">
        <f t="shared" si="321"/>
        <v>0.12067004598421116</v>
      </c>
      <c r="O6804" s="165">
        <f t="shared" si="322"/>
        <v>0.12067004598421116</v>
      </c>
      <c r="P6804" s="18"/>
      <c r="Q6804" s="18"/>
      <c r="R6804" s="18"/>
      <c r="S6804" s="18"/>
      <c r="T6804" s="18"/>
      <c r="U6804" s="18"/>
      <c r="V6804" s="18"/>
      <c r="W6804" s="18"/>
      <c r="X6804" s="18"/>
    </row>
    <row r="6805" spans="13:24">
      <c r="M6805" s="558">
        <f t="shared" si="323"/>
        <v>6803</v>
      </c>
      <c r="N6805" s="15">
        <f t="shared" si="321"/>
        <v>0.12061856587122766</v>
      </c>
      <c r="O6805" s="165">
        <f t="shared" si="322"/>
        <v>0.12061856587122766</v>
      </c>
      <c r="P6805" s="18"/>
      <c r="Q6805" s="18"/>
      <c r="R6805" s="18"/>
      <c r="S6805" s="18"/>
      <c r="T6805" s="18"/>
      <c r="U6805" s="18"/>
      <c r="V6805" s="18"/>
      <c r="W6805" s="18"/>
      <c r="X6805" s="18"/>
    </row>
    <row r="6806" spans="13:24">
      <c r="M6806" s="558">
        <f t="shared" si="323"/>
        <v>6804</v>
      </c>
      <c r="N6806" s="15">
        <f t="shared" si="321"/>
        <v>0.12056708589659901</v>
      </c>
      <c r="O6806" s="165">
        <f t="shared" si="322"/>
        <v>0.12056708589659901</v>
      </c>
      <c r="P6806" s="18"/>
      <c r="Q6806" s="18"/>
      <c r="R6806" s="18"/>
      <c r="S6806" s="18"/>
      <c r="T6806" s="18"/>
      <c r="U6806" s="18"/>
      <c r="V6806" s="18"/>
      <c r="W6806" s="18"/>
      <c r="X6806" s="18"/>
    </row>
    <row r="6807" spans="13:24">
      <c r="M6807" s="558">
        <f t="shared" si="323"/>
        <v>6805</v>
      </c>
      <c r="N6807" s="15">
        <f t="shared" si="321"/>
        <v>0.12051560606015159</v>
      </c>
      <c r="O6807" s="165">
        <f t="shared" si="322"/>
        <v>0.12051560606015159</v>
      </c>
      <c r="P6807" s="18"/>
      <c r="Q6807" s="18"/>
      <c r="R6807" s="18"/>
      <c r="S6807" s="18"/>
      <c r="T6807" s="18"/>
      <c r="U6807" s="18"/>
      <c r="V6807" s="18"/>
      <c r="W6807" s="18"/>
      <c r="X6807" s="18"/>
    </row>
    <row r="6808" spans="13:24">
      <c r="M6808" s="558">
        <f t="shared" si="323"/>
        <v>6806</v>
      </c>
      <c r="N6808" s="15">
        <f t="shared" si="321"/>
        <v>0.120464126361712</v>
      </c>
      <c r="O6808" s="165">
        <f t="shared" si="322"/>
        <v>0.120464126361712</v>
      </c>
      <c r="P6808" s="18"/>
      <c r="Q6808" s="18"/>
      <c r="R6808" s="18"/>
      <c r="S6808" s="18"/>
      <c r="T6808" s="18"/>
      <c r="U6808" s="18"/>
      <c r="V6808" s="18"/>
      <c r="W6808" s="18"/>
      <c r="X6808" s="18"/>
    </row>
    <row r="6809" spans="13:24">
      <c r="M6809" s="558">
        <f t="shared" si="323"/>
        <v>6807</v>
      </c>
      <c r="N6809" s="15">
        <f t="shared" si="321"/>
        <v>0.12041264680110705</v>
      </c>
      <c r="O6809" s="165">
        <f t="shared" si="322"/>
        <v>0.12041264680110705</v>
      </c>
      <c r="P6809" s="18"/>
      <c r="Q6809" s="18"/>
      <c r="R6809" s="18"/>
      <c r="S6809" s="18"/>
      <c r="T6809" s="18"/>
      <c r="U6809" s="18"/>
      <c r="V6809" s="18"/>
      <c r="W6809" s="18"/>
      <c r="X6809" s="18"/>
    </row>
    <row r="6810" spans="13:24">
      <c r="M6810" s="558">
        <f t="shared" si="323"/>
        <v>6808</v>
      </c>
      <c r="N6810" s="15">
        <f t="shared" si="321"/>
        <v>0.12036116737816377</v>
      </c>
      <c r="O6810" s="165">
        <f t="shared" si="322"/>
        <v>0.12036116737816377</v>
      </c>
      <c r="P6810" s="18"/>
      <c r="Q6810" s="18"/>
      <c r="R6810" s="18"/>
      <c r="S6810" s="18"/>
      <c r="T6810" s="18"/>
      <c r="U6810" s="18"/>
      <c r="V6810" s="18"/>
      <c r="W6810" s="18"/>
      <c r="X6810" s="18"/>
    </row>
    <row r="6811" spans="13:24">
      <c r="M6811" s="558">
        <f t="shared" si="323"/>
        <v>6809</v>
      </c>
      <c r="N6811" s="15">
        <f t="shared" si="321"/>
        <v>0.12030968809270939</v>
      </c>
      <c r="O6811" s="165">
        <f t="shared" si="322"/>
        <v>0.12030968809270939</v>
      </c>
      <c r="P6811" s="18"/>
      <c r="Q6811" s="18"/>
      <c r="R6811" s="18"/>
      <c r="S6811" s="18"/>
      <c r="T6811" s="18"/>
      <c r="U6811" s="18"/>
      <c r="V6811" s="18"/>
      <c r="W6811" s="18"/>
      <c r="X6811" s="18"/>
    </row>
    <row r="6812" spans="13:24">
      <c r="M6812" s="558">
        <f t="shared" si="323"/>
        <v>6810</v>
      </c>
      <c r="N6812" s="15">
        <f t="shared" si="321"/>
        <v>0.1202582089445714</v>
      </c>
      <c r="O6812" s="165">
        <f t="shared" si="322"/>
        <v>0.1202582089445714</v>
      </c>
      <c r="P6812" s="18"/>
      <c r="Q6812" s="18"/>
      <c r="R6812" s="18"/>
      <c r="S6812" s="18"/>
      <c r="T6812" s="18"/>
      <c r="U6812" s="18"/>
      <c r="V6812" s="18"/>
      <c r="W6812" s="18"/>
      <c r="X6812" s="18"/>
    </row>
    <row r="6813" spans="13:24">
      <c r="M6813" s="558">
        <f t="shared" si="323"/>
        <v>6811</v>
      </c>
      <c r="N6813" s="15">
        <f t="shared" si="321"/>
        <v>0.12020672993357746</v>
      </c>
      <c r="O6813" s="165">
        <f t="shared" si="322"/>
        <v>0.12020672993357746</v>
      </c>
      <c r="P6813" s="18"/>
      <c r="Q6813" s="18"/>
      <c r="R6813" s="18"/>
      <c r="S6813" s="18"/>
      <c r="T6813" s="18"/>
      <c r="U6813" s="18"/>
      <c r="V6813" s="18"/>
      <c r="W6813" s="18"/>
      <c r="X6813" s="18"/>
    </row>
    <row r="6814" spans="13:24">
      <c r="M6814" s="558">
        <f t="shared" si="323"/>
        <v>6812</v>
      </c>
      <c r="N6814" s="15">
        <f t="shared" si="321"/>
        <v>0.12015525105955546</v>
      </c>
      <c r="O6814" s="165">
        <f t="shared" si="322"/>
        <v>0.12015525105955546</v>
      </c>
      <c r="P6814" s="18"/>
      <c r="Q6814" s="18"/>
      <c r="R6814" s="18"/>
      <c r="S6814" s="18"/>
      <c r="T6814" s="18"/>
      <c r="U6814" s="18"/>
      <c r="V6814" s="18"/>
      <c r="W6814" s="18"/>
      <c r="X6814" s="18"/>
    </row>
    <row r="6815" spans="13:24">
      <c r="M6815" s="558">
        <f t="shared" si="323"/>
        <v>6813</v>
      </c>
      <c r="N6815" s="15">
        <f t="shared" si="321"/>
        <v>0.12010377232233353</v>
      </c>
      <c r="O6815" s="165">
        <f t="shared" si="322"/>
        <v>0.12010377232233353</v>
      </c>
      <c r="P6815" s="18"/>
      <c r="Q6815" s="18"/>
      <c r="R6815" s="18"/>
      <c r="S6815" s="18"/>
      <c r="T6815" s="18"/>
      <c r="U6815" s="18"/>
      <c r="V6815" s="18"/>
      <c r="W6815" s="18"/>
      <c r="X6815" s="18"/>
    </row>
    <row r="6816" spans="13:24">
      <c r="M6816" s="558">
        <f t="shared" si="323"/>
        <v>6814</v>
      </c>
      <c r="N6816" s="15">
        <f t="shared" si="321"/>
        <v>0.12005229372173999</v>
      </c>
      <c r="O6816" s="165">
        <f t="shared" si="322"/>
        <v>0.12005229372173999</v>
      </c>
      <c r="P6816" s="18"/>
      <c r="Q6816" s="18"/>
      <c r="R6816" s="18"/>
      <c r="S6816" s="18"/>
      <c r="T6816" s="18"/>
      <c r="U6816" s="18"/>
      <c r="V6816" s="18"/>
      <c r="W6816" s="18"/>
      <c r="X6816" s="18"/>
    </row>
    <row r="6817" spans="13:24">
      <c r="M6817" s="558">
        <f t="shared" si="323"/>
        <v>6815</v>
      </c>
      <c r="N6817" s="15">
        <f t="shared" si="321"/>
        <v>0.12000081525760338</v>
      </c>
      <c r="O6817" s="165">
        <f t="shared" si="322"/>
        <v>0.12000081525760338</v>
      </c>
      <c r="P6817" s="18"/>
      <c r="Q6817" s="18"/>
      <c r="R6817" s="18"/>
      <c r="S6817" s="18"/>
      <c r="T6817" s="18"/>
      <c r="U6817" s="18"/>
      <c r="V6817" s="18"/>
      <c r="W6817" s="18"/>
      <c r="X6817" s="18"/>
    </row>
    <row r="6818" spans="13:24">
      <c r="M6818" s="558">
        <f t="shared" si="323"/>
        <v>6816</v>
      </c>
      <c r="N6818" s="15">
        <f t="shared" si="321"/>
        <v>0.11994933692975246</v>
      </c>
      <c r="O6818" s="165">
        <f t="shared" si="322"/>
        <v>0.11994933692975246</v>
      </c>
      <c r="P6818" s="18"/>
      <c r="Q6818" s="18"/>
      <c r="R6818" s="18"/>
      <c r="S6818" s="18"/>
      <c r="T6818" s="18"/>
      <c r="U6818" s="18"/>
      <c r="V6818" s="18"/>
      <c r="W6818" s="18"/>
      <c r="X6818" s="18"/>
    </row>
    <row r="6819" spans="13:24">
      <c r="M6819" s="558">
        <f t="shared" si="323"/>
        <v>6817</v>
      </c>
      <c r="N6819" s="15">
        <f t="shared" si="321"/>
        <v>0.11989785873801619</v>
      </c>
      <c r="O6819" s="165">
        <f t="shared" si="322"/>
        <v>0.11989785873801619</v>
      </c>
      <c r="P6819" s="18"/>
      <c r="Q6819" s="18"/>
      <c r="R6819" s="18"/>
      <c r="S6819" s="18"/>
      <c r="T6819" s="18"/>
      <c r="U6819" s="18"/>
      <c r="V6819" s="18"/>
      <c r="W6819" s="18"/>
      <c r="X6819" s="18"/>
    </row>
    <row r="6820" spans="13:24">
      <c r="M6820" s="558">
        <f t="shared" si="323"/>
        <v>6818</v>
      </c>
      <c r="N6820" s="15">
        <f t="shared" si="321"/>
        <v>0.11984638068222378</v>
      </c>
      <c r="O6820" s="165">
        <f t="shared" si="322"/>
        <v>0.11984638068222378</v>
      </c>
      <c r="P6820" s="18"/>
      <c r="Q6820" s="18"/>
      <c r="R6820" s="18"/>
      <c r="S6820" s="18"/>
      <c r="T6820" s="18"/>
      <c r="U6820" s="18"/>
      <c r="V6820" s="18"/>
      <c r="W6820" s="18"/>
      <c r="X6820" s="18"/>
    </row>
    <row r="6821" spans="13:24">
      <c r="M6821" s="558">
        <f t="shared" si="323"/>
        <v>6819</v>
      </c>
      <c r="N6821" s="15">
        <f t="shared" si="321"/>
        <v>0.1197949027622046</v>
      </c>
      <c r="O6821" s="165">
        <f t="shared" si="322"/>
        <v>0.1197949027622046</v>
      </c>
      <c r="P6821" s="18"/>
      <c r="Q6821" s="18"/>
      <c r="R6821" s="18"/>
      <c r="S6821" s="18"/>
      <c r="T6821" s="18"/>
      <c r="U6821" s="18"/>
      <c r="V6821" s="18"/>
      <c r="W6821" s="18"/>
      <c r="X6821" s="18"/>
    </row>
    <row r="6822" spans="13:24">
      <c r="M6822" s="558">
        <f t="shared" si="323"/>
        <v>6820</v>
      </c>
      <c r="N6822" s="15">
        <f t="shared" si="321"/>
        <v>0.1197434249777883</v>
      </c>
      <c r="O6822" s="165">
        <f t="shared" si="322"/>
        <v>0.1197434249777883</v>
      </c>
      <c r="P6822" s="18"/>
      <c r="Q6822" s="18"/>
      <c r="R6822" s="18"/>
      <c r="S6822" s="18"/>
      <c r="T6822" s="18"/>
      <c r="U6822" s="18"/>
      <c r="V6822" s="18"/>
      <c r="W6822" s="18"/>
      <c r="X6822" s="18"/>
    </row>
    <row r="6823" spans="13:24">
      <c r="M6823" s="558">
        <f t="shared" si="323"/>
        <v>6821</v>
      </c>
      <c r="N6823" s="15">
        <f t="shared" si="321"/>
        <v>0.11969194732880468</v>
      </c>
      <c r="O6823" s="165">
        <f t="shared" si="322"/>
        <v>0.11969194732880468</v>
      </c>
      <c r="P6823" s="18"/>
      <c r="Q6823" s="18"/>
      <c r="R6823" s="18"/>
      <c r="S6823" s="18"/>
      <c r="T6823" s="18"/>
      <c r="U6823" s="18"/>
      <c r="V6823" s="18"/>
      <c r="W6823" s="18"/>
      <c r="X6823" s="18"/>
    </row>
    <row r="6824" spans="13:24">
      <c r="M6824" s="558">
        <f t="shared" si="323"/>
        <v>6822</v>
      </c>
      <c r="N6824" s="15">
        <f t="shared" si="321"/>
        <v>0.11964046981508382</v>
      </c>
      <c r="O6824" s="165">
        <f t="shared" si="322"/>
        <v>0.11964046981508382</v>
      </c>
      <c r="P6824" s="18"/>
      <c r="Q6824" s="18"/>
      <c r="R6824" s="18"/>
      <c r="S6824" s="18"/>
      <c r="T6824" s="18"/>
      <c r="U6824" s="18"/>
      <c r="V6824" s="18"/>
      <c r="W6824" s="18"/>
      <c r="X6824" s="18"/>
    </row>
    <row r="6825" spans="13:24">
      <c r="M6825" s="558">
        <f t="shared" si="323"/>
        <v>6823</v>
      </c>
      <c r="N6825" s="15">
        <f t="shared" si="321"/>
        <v>0.11958899243645593</v>
      </c>
      <c r="O6825" s="165">
        <f t="shared" si="322"/>
        <v>0.11958899243645593</v>
      </c>
      <c r="P6825" s="18"/>
      <c r="Q6825" s="18"/>
      <c r="R6825" s="18"/>
      <c r="S6825" s="18"/>
      <c r="T6825" s="18"/>
      <c r="U6825" s="18"/>
      <c r="V6825" s="18"/>
      <c r="W6825" s="18"/>
      <c r="X6825" s="18"/>
    </row>
    <row r="6826" spans="13:24">
      <c r="M6826" s="558">
        <f t="shared" si="323"/>
        <v>6824</v>
      </c>
      <c r="N6826" s="15">
        <f t="shared" si="321"/>
        <v>0.11953751519275151</v>
      </c>
      <c r="O6826" s="165">
        <f t="shared" si="322"/>
        <v>0.11953751519275151</v>
      </c>
      <c r="P6826" s="18"/>
      <c r="Q6826" s="18"/>
      <c r="R6826" s="18"/>
      <c r="S6826" s="18"/>
      <c r="T6826" s="18"/>
      <c r="U6826" s="18"/>
      <c r="V6826" s="18"/>
      <c r="W6826" s="18"/>
      <c r="X6826" s="18"/>
    </row>
    <row r="6827" spans="13:24">
      <c r="M6827" s="558">
        <f t="shared" si="323"/>
        <v>6825</v>
      </c>
      <c r="N6827" s="15">
        <f t="shared" si="321"/>
        <v>0.11948603808380123</v>
      </c>
      <c r="O6827" s="165">
        <f t="shared" si="322"/>
        <v>0.11948603808380123</v>
      </c>
      <c r="P6827" s="18"/>
      <c r="Q6827" s="18"/>
      <c r="R6827" s="18"/>
      <c r="S6827" s="18"/>
      <c r="T6827" s="18"/>
      <c r="U6827" s="18"/>
      <c r="V6827" s="18"/>
      <c r="W6827" s="18"/>
      <c r="X6827" s="18"/>
    </row>
    <row r="6828" spans="13:24">
      <c r="M6828" s="558">
        <f t="shared" si="323"/>
        <v>6826</v>
      </c>
      <c r="N6828" s="15">
        <f t="shared" si="321"/>
        <v>0.119434561109436</v>
      </c>
      <c r="O6828" s="165">
        <f t="shared" si="322"/>
        <v>0.119434561109436</v>
      </c>
      <c r="P6828" s="18"/>
      <c r="Q6828" s="18"/>
      <c r="R6828" s="18"/>
      <c r="S6828" s="18"/>
      <c r="T6828" s="18"/>
      <c r="U6828" s="18"/>
      <c r="V6828" s="18"/>
      <c r="W6828" s="18"/>
      <c r="X6828" s="18"/>
    </row>
    <row r="6829" spans="13:24">
      <c r="M6829" s="558">
        <f t="shared" si="323"/>
        <v>6827</v>
      </c>
      <c r="N6829" s="15">
        <f t="shared" si="321"/>
        <v>0.11938308426948689</v>
      </c>
      <c r="O6829" s="165">
        <f t="shared" si="322"/>
        <v>0.11938308426948689</v>
      </c>
      <c r="P6829" s="18"/>
      <c r="Q6829" s="18"/>
      <c r="R6829" s="18"/>
      <c r="S6829" s="18"/>
      <c r="T6829" s="18"/>
      <c r="U6829" s="18"/>
      <c r="V6829" s="18"/>
      <c r="W6829" s="18"/>
      <c r="X6829" s="18"/>
    </row>
    <row r="6830" spans="13:24">
      <c r="M6830" s="558">
        <f t="shared" si="323"/>
        <v>6828</v>
      </c>
      <c r="N6830" s="15">
        <f t="shared" si="321"/>
        <v>0.11933160756378525</v>
      </c>
      <c r="O6830" s="165">
        <f t="shared" si="322"/>
        <v>0.11933160756378525</v>
      </c>
      <c r="P6830" s="18"/>
      <c r="Q6830" s="18"/>
      <c r="R6830" s="18"/>
      <c r="S6830" s="18"/>
      <c r="T6830" s="18"/>
      <c r="U6830" s="18"/>
      <c r="V6830" s="18"/>
      <c r="W6830" s="18"/>
      <c r="X6830" s="18"/>
    </row>
    <row r="6831" spans="13:24">
      <c r="M6831" s="558">
        <f t="shared" si="323"/>
        <v>6829</v>
      </c>
      <c r="N6831" s="15">
        <f t="shared" si="321"/>
        <v>0.11928013099216261</v>
      </c>
      <c r="O6831" s="165">
        <f t="shared" si="322"/>
        <v>0.11928013099216261</v>
      </c>
      <c r="P6831" s="18"/>
      <c r="Q6831" s="18"/>
      <c r="R6831" s="18"/>
      <c r="S6831" s="18"/>
      <c r="T6831" s="18"/>
      <c r="U6831" s="18"/>
      <c r="V6831" s="18"/>
      <c r="W6831" s="18"/>
      <c r="X6831" s="18"/>
    </row>
    <row r="6832" spans="13:24">
      <c r="M6832" s="558">
        <f t="shared" si="323"/>
        <v>6830</v>
      </c>
      <c r="N6832" s="15">
        <f t="shared" si="321"/>
        <v>0.11922865455445071</v>
      </c>
      <c r="O6832" s="165">
        <f t="shared" si="322"/>
        <v>0.11922865455445071</v>
      </c>
      <c r="P6832" s="18"/>
      <c r="Q6832" s="18"/>
      <c r="R6832" s="18"/>
      <c r="S6832" s="18"/>
      <c r="T6832" s="18"/>
      <c r="U6832" s="18"/>
      <c r="V6832" s="18"/>
      <c r="W6832" s="18"/>
      <c r="X6832" s="18"/>
    </row>
    <row r="6833" spans="13:24">
      <c r="M6833" s="558">
        <f t="shared" si="323"/>
        <v>6831</v>
      </c>
      <c r="N6833" s="15">
        <f t="shared" si="321"/>
        <v>0.11917717825048149</v>
      </c>
      <c r="O6833" s="165">
        <f t="shared" si="322"/>
        <v>0.11917717825048149</v>
      </c>
      <c r="P6833" s="18"/>
      <c r="Q6833" s="18"/>
      <c r="R6833" s="18"/>
      <c r="S6833" s="18"/>
      <c r="T6833" s="18"/>
      <c r="U6833" s="18"/>
      <c r="V6833" s="18"/>
      <c r="W6833" s="18"/>
      <c r="X6833" s="18"/>
    </row>
    <row r="6834" spans="13:24">
      <c r="M6834" s="558">
        <f t="shared" si="323"/>
        <v>6832</v>
      </c>
      <c r="N6834" s="15">
        <f t="shared" si="321"/>
        <v>0.11912570208008712</v>
      </c>
      <c r="O6834" s="165">
        <f t="shared" si="322"/>
        <v>0.11912570208008712</v>
      </c>
      <c r="P6834" s="18"/>
      <c r="Q6834" s="18"/>
      <c r="R6834" s="18"/>
      <c r="S6834" s="18"/>
      <c r="T6834" s="18"/>
      <c r="U6834" s="18"/>
      <c r="V6834" s="18"/>
      <c r="W6834" s="18"/>
      <c r="X6834" s="18"/>
    </row>
    <row r="6835" spans="13:24">
      <c r="M6835" s="558">
        <f t="shared" si="323"/>
        <v>6833</v>
      </c>
      <c r="N6835" s="15">
        <f t="shared" si="321"/>
        <v>0.11907422604309997</v>
      </c>
      <c r="O6835" s="165">
        <f t="shared" si="322"/>
        <v>0.11907422604309997</v>
      </c>
      <c r="P6835" s="18"/>
      <c r="Q6835" s="18"/>
      <c r="R6835" s="18"/>
      <c r="S6835" s="18"/>
      <c r="T6835" s="18"/>
      <c r="U6835" s="18"/>
      <c r="V6835" s="18"/>
      <c r="W6835" s="18"/>
      <c r="X6835" s="18"/>
    </row>
    <row r="6836" spans="13:24">
      <c r="M6836" s="558">
        <f t="shared" si="323"/>
        <v>6834</v>
      </c>
      <c r="N6836" s="15">
        <f t="shared" si="321"/>
        <v>0.11902275013935265</v>
      </c>
      <c r="O6836" s="165">
        <f t="shared" si="322"/>
        <v>0.11902275013935265</v>
      </c>
      <c r="P6836" s="18"/>
      <c r="Q6836" s="18"/>
      <c r="R6836" s="18"/>
      <c r="S6836" s="18"/>
      <c r="T6836" s="18"/>
      <c r="U6836" s="18"/>
      <c r="V6836" s="18"/>
      <c r="W6836" s="18"/>
      <c r="X6836" s="18"/>
    </row>
    <row r="6837" spans="13:24">
      <c r="M6837" s="558">
        <f t="shared" si="323"/>
        <v>6835</v>
      </c>
      <c r="N6837" s="15">
        <f t="shared" si="321"/>
        <v>0.11897127436867792</v>
      </c>
      <c r="O6837" s="165">
        <f t="shared" si="322"/>
        <v>0.11897127436867792</v>
      </c>
      <c r="P6837" s="18"/>
      <c r="Q6837" s="18"/>
      <c r="R6837" s="18"/>
      <c r="S6837" s="18"/>
      <c r="T6837" s="18"/>
      <c r="U6837" s="18"/>
      <c r="V6837" s="18"/>
      <c r="W6837" s="18"/>
      <c r="X6837" s="18"/>
    </row>
    <row r="6838" spans="13:24">
      <c r="M6838" s="558">
        <f t="shared" si="323"/>
        <v>6836</v>
      </c>
      <c r="N6838" s="15">
        <f t="shared" si="321"/>
        <v>0.1189197987309088</v>
      </c>
      <c r="O6838" s="165">
        <f t="shared" si="322"/>
        <v>0.1189197987309088</v>
      </c>
      <c r="P6838" s="18"/>
      <c r="Q6838" s="18"/>
      <c r="R6838" s="18"/>
      <c r="S6838" s="18"/>
      <c r="T6838" s="18"/>
      <c r="U6838" s="18"/>
      <c r="V6838" s="18"/>
      <c r="W6838" s="18"/>
      <c r="X6838" s="18"/>
    </row>
    <row r="6839" spans="13:24">
      <c r="M6839" s="558">
        <f t="shared" si="323"/>
        <v>6837</v>
      </c>
      <c r="N6839" s="15">
        <f t="shared" si="321"/>
        <v>0.11886832322587851</v>
      </c>
      <c r="O6839" s="165">
        <f t="shared" si="322"/>
        <v>0.11886832322587851</v>
      </c>
      <c r="P6839" s="18"/>
      <c r="Q6839" s="18"/>
      <c r="R6839" s="18"/>
      <c r="S6839" s="18"/>
      <c r="T6839" s="18"/>
      <c r="U6839" s="18"/>
      <c r="V6839" s="18"/>
      <c r="W6839" s="18"/>
      <c r="X6839" s="18"/>
    </row>
    <row r="6840" spans="13:24">
      <c r="M6840" s="558">
        <f t="shared" si="323"/>
        <v>6838</v>
      </c>
      <c r="N6840" s="15">
        <f t="shared" si="321"/>
        <v>0.11881684785342046</v>
      </c>
      <c r="O6840" s="165">
        <f t="shared" si="322"/>
        <v>0.11881684785342046</v>
      </c>
      <c r="P6840" s="18"/>
      <c r="Q6840" s="18"/>
      <c r="R6840" s="18"/>
      <c r="S6840" s="18"/>
      <c r="T6840" s="18"/>
      <c r="U6840" s="18"/>
      <c r="V6840" s="18"/>
      <c r="W6840" s="18"/>
      <c r="X6840" s="18"/>
    </row>
    <row r="6841" spans="13:24">
      <c r="M6841" s="558">
        <f t="shared" si="323"/>
        <v>6839</v>
      </c>
      <c r="N6841" s="15">
        <f t="shared" si="321"/>
        <v>0.11876537261336829</v>
      </c>
      <c r="O6841" s="165">
        <f t="shared" si="322"/>
        <v>0.11876537261336829</v>
      </c>
      <c r="P6841" s="18"/>
      <c r="Q6841" s="18"/>
      <c r="R6841" s="18"/>
      <c r="S6841" s="18"/>
      <c r="T6841" s="18"/>
      <c r="U6841" s="18"/>
      <c r="V6841" s="18"/>
      <c r="W6841" s="18"/>
      <c r="X6841" s="18"/>
    </row>
    <row r="6842" spans="13:24">
      <c r="M6842" s="558">
        <f t="shared" si="323"/>
        <v>6840</v>
      </c>
      <c r="N6842" s="15">
        <f t="shared" si="321"/>
        <v>0.11871389750555585</v>
      </c>
      <c r="O6842" s="165">
        <f t="shared" si="322"/>
        <v>0.11871389750555585</v>
      </c>
      <c r="P6842" s="18"/>
      <c r="Q6842" s="18"/>
      <c r="R6842" s="18"/>
      <c r="S6842" s="18"/>
      <c r="T6842" s="18"/>
      <c r="U6842" s="18"/>
      <c r="V6842" s="18"/>
      <c r="W6842" s="18"/>
      <c r="X6842" s="18"/>
    </row>
    <row r="6843" spans="13:24">
      <c r="M6843" s="558">
        <f t="shared" si="323"/>
        <v>6841</v>
      </c>
      <c r="N6843" s="15">
        <f t="shared" si="321"/>
        <v>0.11866242252981717</v>
      </c>
      <c r="O6843" s="165">
        <f t="shared" si="322"/>
        <v>0.11866242252981717</v>
      </c>
      <c r="P6843" s="18"/>
      <c r="Q6843" s="18"/>
      <c r="R6843" s="18"/>
      <c r="S6843" s="18"/>
      <c r="T6843" s="18"/>
      <c r="U6843" s="18"/>
      <c r="V6843" s="18"/>
      <c r="W6843" s="18"/>
      <c r="X6843" s="18"/>
    </row>
    <row r="6844" spans="13:24">
      <c r="M6844" s="558">
        <f t="shared" si="323"/>
        <v>6842</v>
      </c>
      <c r="N6844" s="15">
        <f t="shared" si="321"/>
        <v>0.1186109476859865</v>
      </c>
      <c r="O6844" s="165">
        <f t="shared" si="322"/>
        <v>0.1186109476859865</v>
      </c>
      <c r="P6844" s="18"/>
      <c r="Q6844" s="18"/>
      <c r="R6844" s="18"/>
      <c r="S6844" s="18"/>
      <c r="T6844" s="18"/>
      <c r="U6844" s="18"/>
      <c r="V6844" s="18"/>
      <c r="W6844" s="18"/>
      <c r="X6844" s="18"/>
    </row>
    <row r="6845" spans="13:24">
      <c r="M6845" s="558">
        <f t="shared" si="323"/>
        <v>6843</v>
      </c>
      <c r="N6845" s="15">
        <f t="shared" si="321"/>
        <v>0.11855947297389835</v>
      </c>
      <c r="O6845" s="165">
        <f t="shared" si="322"/>
        <v>0.11855947297389835</v>
      </c>
      <c r="P6845" s="18"/>
      <c r="Q6845" s="18"/>
      <c r="R6845" s="18"/>
      <c r="S6845" s="18"/>
      <c r="T6845" s="18"/>
      <c r="U6845" s="18"/>
      <c r="V6845" s="18"/>
      <c r="W6845" s="18"/>
      <c r="X6845" s="18"/>
    </row>
    <row r="6846" spans="13:24">
      <c r="M6846" s="558">
        <f t="shared" si="323"/>
        <v>6844</v>
      </c>
      <c r="N6846" s="15">
        <f t="shared" si="321"/>
        <v>0.11850799839338737</v>
      </c>
      <c r="O6846" s="165">
        <f t="shared" si="322"/>
        <v>0.11850799839338737</v>
      </c>
      <c r="P6846" s="18"/>
      <c r="Q6846" s="18"/>
      <c r="R6846" s="18"/>
      <c r="S6846" s="18"/>
      <c r="T6846" s="18"/>
      <c r="U6846" s="18"/>
      <c r="V6846" s="18"/>
      <c r="W6846" s="18"/>
      <c r="X6846" s="18"/>
    </row>
    <row r="6847" spans="13:24">
      <c r="M6847" s="558">
        <f t="shared" si="323"/>
        <v>6845</v>
      </c>
      <c r="N6847" s="15">
        <f t="shared" si="321"/>
        <v>0.11845652394428843</v>
      </c>
      <c r="O6847" s="165">
        <f t="shared" si="322"/>
        <v>0.11845652394428843</v>
      </c>
      <c r="P6847" s="18"/>
      <c r="Q6847" s="18"/>
      <c r="R6847" s="18"/>
      <c r="S6847" s="18"/>
      <c r="T6847" s="18"/>
      <c r="U6847" s="18"/>
      <c r="V6847" s="18"/>
      <c r="W6847" s="18"/>
      <c r="X6847" s="18"/>
    </row>
    <row r="6848" spans="13:24">
      <c r="M6848" s="558">
        <f t="shared" si="323"/>
        <v>6846</v>
      </c>
      <c r="N6848" s="15">
        <f t="shared" si="321"/>
        <v>0.11840504962643662</v>
      </c>
      <c r="O6848" s="165">
        <f t="shared" si="322"/>
        <v>0.11840504962643662</v>
      </c>
      <c r="P6848" s="18"/>
      <c r="Q6848" s="18"/>
      <c r="R6848" s="18"/>
      <c r="S6848" s="18"/>
      <c r="T6848" s="18"/>
      <c r="U6848" s="18"/>
      <c r="V6848" s="18"/>
      <c r="W6848" s="18"/>
      <c r="X6848" s="18"/>
    </row>
    <row r="6849" spans="13:24">
      <c r="M6849" s="558">
        <f t="shared" si="323"/>
        <v>6847</v>
      </c>
      <c r="N6849" s="15">
        <f t="shared" si="321"/>
        <v>0.11835357543966726</v>
      </c>
      <c r="O6849" s="165">
        <f t="shared" si="322"/>
        <v>0.11835357543966726</v>
      </c>
      <c r="P6849" s="18"/>
      <c r="Q6849" s="18"/>
      <c r="R6849" s="18"/>
      <c r="S6849" s="18"/>
      <c r="T6849" s="18"/>
      <c r="U6849" s="18"/>
      <c r="V6849" s="18"/>
      <c r="W6849" s="18"/>
      <c r="X6849" s="18"/>
    </row>
    <row r="6850" spans="13:24">
      <c r="M6850" s="558">
        <f t="shared" si="323"/>
        <v>6848</v>
      </c>
      <c r="N6850" s="15">
        <f t="shared" si="321"/>
        <v>0.11830210138381583</v>
      </c>
      <c r="O6850" s="165">
        <f t="shared" si="322"/>
        <v>0.11830210138381583</v>
      </c>
      <c r="P6850" s="18"/>
      <c r="Q6850" s="18"/>
      <c r="R6850" s="18"/>
      <c r="S6850" s="18"/>
      <c r="T6850" s="18"/>
      <c r="U6850" s="18"/>
      <c r="V6850" s="18"/>
      <c r="W6850" s="18"/>
      <c r="X6850" s="18"/>
    </row>
    <row r="6851" spans="13:24">
      <c r="M6851" s="558">
        <f t="shared" si="323"/>
        <v>6849</v>
      </c>
      <c r="N6851" s="15">
        <f t="shared" si="321"/>
        <v>0.11825062745871805</v>
      </c>
      <c r="O6851" s="165">
        <f t="shared" si="322"/>
        <v>0.11825062745871805</v>
      </c>
      <c r="P6851" s="18"/>
      <c r="Q6851" s="18"/>
      <c r="R6851" s="18"/>
      <c r="S6851" s="18"/>
      <c r="T6851" s="18"/>
      <c r="U6851" s="18"/>
      <c r="V6851" s="18"/>
      <c r="W6851" s="18"/>
      <c r="X6851" s="18"/>
    </row>
    <row r="6852" spans="13:24">
      <c r="M6852" s="558">
        <f t="shared" si="323"/>
        <v>6850</v>
      </c>
      <c r="N6852" s="15">
        <f t="shared" ref="N6852:N6915" si="324">IF(M6852&lt;$B$31+1,$B$32+$B$33/$B$31*(8760-M6852)+$B$34*IF(M6852&lt;$B$36-$B$31/(2*$B$35),1,IF(M6852&lt;$B$36+$B$31/(2*$B$35),COS(PI()/2*(M6852-($B$36-$B$31/(2*$B$35)))*$B$35/$B$31)^2,0))+$B$37*EXP((8760-M6852)/8760*$B$38)/EXP($B$38)-(8760-$B$31)*$B$33/$B$31,0)</f>
        <v>0.11819915366420981</v>
      </c>
      <c r="O6852" s="165">
        <f t="shared" ref="O6852:O6915" si="325">MIN(N6852,C$24)</f>
        <v>0.11819915366420981</v>
      </c>
      <c r="P6852" s="18"/>
      <c r="Q6852" s="18"/>
      <c r="R6852" s="18"/>
      <c r="S6852" s="18"/>
      <c r="T6852" s="18"/>
      <c r="U6852" s="18"/>
      <c r="V6852" s="18"/>
      <c r="W6852" s="18"/>
      <c r="X6852" s="18"/>
    </row>
    <row r="6853" spans="13:24">
      <c r="M6853" s="558">
        <f t="shared" ref="M6853:M6916" si="326">M6852+1</f>
        <v>6851</v>
      </c>
      <c r="N6853" s="15">
        <f t="shared" si="324"/>
        <v>0.11814768000012726</v>
      </c>
      <c r="O6853" s="165">
        <f t="shared" si="325"/>
        <v>0.11814768000012726</v>
      </c>
      <c r="P6853" s="18"/>
      <c r="Q6853" s="18"/>
      <c r="R6853" s="18"/>
      <c r="S6853" s="18"/>
      <c r="T6853" s="18"/>
      <c r="U6853" s="18"/>
      <c r="V6853" s="18"/>
      <c r="W6853" s="18"/>
      <c r="X6853" s="18"/>
    </row>
    <row r="6854" spans="13:24">
      <c r="M6854" s="558">
        <f t="shared" si="326"/>
        <v>6852</v>
      </c>
      <c r="N6854" s="15">
        <f t="shared" si="324"/>
        <v>0.11809620646630672</v>
      </c>
      <c r="O6854" s="165">
        <f t="shared" si="325"/>
        <v>0.11809620646630672</v>
      </c>
      <c r="P6854" s="18"/>
      <c r="Q6854" s="18"/>
      <c r="R6854" s="18"/>
      <c r="S6854" s="18"/>
      <c r="T6854" s="18"/>
      <c r="U6854" s="18"/>
      <c r="V6854" s="18"/>
      <c r="W6854" s="18"/>
      <c r="X6854" s="18"/>
    </row>
    <row r="6855" spans="13:24">
      <c r="M6855" s="558">
        <f t="shared" si="326"/>
        <v>6853</v>
      </c>
      <c r="N6855" s="15">
        <f t="shared" si="324"/>
        <v>0.11804473306258471</v>
      </c>
      <c r="O6855" s="165">
        <f t="shared" si="325"/>
        <v>0.11804473306258471</v>
      </c>
      <c r="P6855" s="18"/>
      <c r="Q6855" s="18"/>
      <c r="R6855" s="18"/>
      <c r="S6855" s="18"/>
      <c r="T6855" s="18"/>
      <c r="U6855" s="18"/>
      <c r="V6855" s="18"/>
      <c r="W6855" s="18"/>
      <c r="X6855" s="18"/>
    </row>
    <row r="6856" spans="13:24">
      <c r="M6856" s="558">
        <f t="shared" si="326"/>
        <v>6854</v>
      </c>
      <c r="N6856" s="15">
        <f t="shared" si="324"/>
        <v>0.11799325978879799</v>
      </c>
      <c r="O6856" s="165">
        <f t="shared" si="325"/>
        <v>0.11799325978879799</v>
      </c>
      <c r="P6856" s="18"/>
      <c r="Q6856" s="18"/>
      <c r="R6856" s="18"/>
      <c r="S6856" s="18"/>
      <c r="T6856" s="18"/>
      <c r="U6856" s="18"/>
      <c r="V6856" s="18"/>
      <c r="W6856" s="18"/>
      <c r="X6856" s="18"/>
    </row>
    <row r="6857" spans="13:24">
      <c r="M6857" s="558">
        <f t="shared" si="326"/>
        <v>6855</v>
      </c>
      <c r="N6857" s="15">
        <f t="shared" si="324"/>
        <v>0.11794178664478347</v>
      </c>
      <c r="O6857" s="165">
        <f t="shared" si="325"/>
        <v>0.11794178664478347</v>
      </c>
      <c r="P6857" s="18"/>
      <c r="Q6857" s="18"/>
      <c r="R6857" s="18"/>
      <c r="S6857" s="18"/>
      <c r="T6857" s="18"/>
      <c r="U6857" s="18"/>
      <c r="V6857" s="18"/>
      <c r="W6857" s="18"/>
      <c r="X6857" s="18"/>
    </row>
    <row r="6858" spans="13:24">
      <c r="M6858" s="558">
        <f t="shared" si="326"/>
        <v>6856</v>
      </c>
      <c r="N6858" s="15">
        <f t="shared" si="324"/>
        <v>0.11789031363037832</v>
      </c>
      <c r="O6858" s="165">
        <f t="shared" si="325"/>
        <v>0.11789031363037832</v>
      </c>
      <c r="P6858" s="18"/>
      <c r="Q6858" s="18"/>
      <c r="R6858" s="18"/>
      <c r="S6858" s="18"/>
      <c r="T6858" s="18"/>
      <c r="U6858" s="18"/>
      <c r="V6858" s="18"/>
      <c r="W6858" s="18"/>
      <c r="X6858" s="18"/>
    </row>
    <row r="6859" spans="13:24">
      <c r="M6859" s="558">
        <f t="shared" si="326"/>
        <v>6857</v>
      </c>
      <c r="N6859" s="15">
        <f t="shared" si="324"/>
        <v>0.11783884074541986</v>
      </c>
      <c r="O6859" s="165">
        <f t="shared" si="325"/>
        <v>0.11783884074541986</v>
      </c>
      <c r="P6859" s="18"/>
      <c r="Q6859" s="18"/>
      <c r="R6859" s="18"/>
      <c r="S6859" s="18"/>
      <c r="T6859" s="18"/>
      <c r="U6859" s="18"/>
      <c r="V6859" s="18"/>
      <c r="W6859" s="18"/>
      <c r="X6859" s="18"/>
    </row>
    <row r="6860" spans="13:24">
      <c r="M6860" s="558">
        <f t="shared" si="326"/>
        <v>6858</v>
      </c>
      <c r="N6860" s="15">
        <f t="shared" si="324"/>
        <v>0.11778736798974568</v>
      </c>
      <c r="O6860" s="165">
        <f t="shared" si="325"/>
        <v>0.11778736798974568</v>
      </c>
      <c r="P6860" s="18"/>
      <c r="Q6860" s="18"/>
      <c r="R6860" s="18"/>
      <c r="S6860" s="18"/>
      <c r="T6860" s="18"/>
      <c r="U6860" s="18"/>
      <c r="V6860" s="18"/>
      <c r="W6860" s="18"/>
      <c r="X6860" s="18"/>
    </row>
    <row r="6861" spans="13:24">
      <c r="M6861" s="558">
        <f t="shared" si="326"/>
        <v>6859</v>
      </c>
      <c r="N6861" s="15">
        <f t="shared" si="324"/>
        <v>0.11773589536319352</v>
      </c>
      <c r="O6861" s="165">
        <f t="shared" si="325"/>
        <v>0.11773589536319352</v>
      </c>
      <c r="P6861" s="18"/>
      <c r="Q6861" s="18"/>
      <c r="R6861" s="18"/>
      <c r="S6861" s="18"/>
      <c r="T6861" s="18"/>
      <c r="U6861" s="18"/>
      <c r="V6861" s="18"/>
      <c r="W6861" s="18"/>
      <c r="X6861" s="18"/>
    </row>
    <row r="6862" spans="13:24">
      <c r="M6862" s="558">
        <f t="shared" si="326"/>
        <v>6860</v>
      </c>
      <c r="N6862" s="15">
        <f t="shared" si="324"/>
        <v>0.11768442286560137</v>
      </c>
      <c r="O6862" s="165">
        <f t="shared" si="325"/>
        <v>0.11768442286560137</v>
      </c>
      <c r="P6862" s="18"/>
      <c r="Q6862" s="18"/>
      <c r="R6862" s="18"/>
      <c r="S6862" s="18"/>
      <c r="T6862" s="18"/>
      <c r="U6862" s="18"/>
      <c r="V6862" s="18"/>
      <c r="W6862" s="18"/>
      <c r="X6862" s="18"/>
    </row>
    <row r="6863" spans="13:24">
      <c r="M6863" s="558">
        <f t="shared" si="326"/>
        <v>6861</v>
      </c>
      <c r="N6863" s="15">
        <f t="shared" si="324"/>
        <v>0.11763295049680735</v>
      </c>
      <c r="O6863" s="165">
        <f t="shared" si="325"/>
        <v>0.11763295049680735</v>
      </c>
      <c r="P6863" s="18"/>
      <c r="Q6863" s="18"/>
      <c r="R6863" s="18"/>
      <c r="S6863" s="18"/>
      <c r="T6863" s="18"/>
      <c r="U6863" s="18"/>
      <c r="V6863" s="18"/>
      <c r="W6863" s="18"/>
      <c r="X6863" s="18"/>
    </row>
    <row r="6864" spans="13:24">
      <c r="M6864" s="558">
        <f t="shared" si="326"/>
        <v>6862</v>
      </c>
      <c r="N6864" s="15">
        <f t="shared" si="324"/>
        <v>0.11758147825664986</v>
      </c>
      <c r="O6864" s="165">
        <f t="shared" si="325"/>
        <v>0.11758147825664986</v>
      </c>
      <c r="P6864" s="18"/>
      <c r="Q6864" s="18"/>
      <c r="R6864" s="18"/>
      <c r="S6864" s="18"/>
      <c r="T6864" s="18"/>
      <c r="U6864" s="18"/>
      <c r="V6864" s="18"/>
      <c r="W6864" s="18"/>
      <c r="X6864" s="18"/>
    </row>
    <row r="6865" spans="13:24">
      <c r="M6865" s="558">
        <f t="shared" si="326"/>
        <v>6863</v>
      </c>
      <c r="N6865" s="15">
        <f t="shared" si="324"/>
        <v>0.11753000614496747</v>
      </c>
      <c r="O6865" s="165">
        <f t="shared" si="325"/>
        <v>0.11753000614496747</v>
      </c>
      <c r="P6865" s="18"/>
      <c r="Q6865" s="18"/>
      <c r="R6865" s="18"/>
      <c r="S6865" s="18"/>
      <c r="T6865" s="18"/>
      <c r="U6865" s="18"/>
      <c r="V6865" s="18"/>
      <c r="W6865" s="18"/>
      <c r="X6865" s="18"/>
    </row>
    <row r="6866" spans="13:24">
      <c r="M6866" s="558">
        <f t="shared" si="326"/>
        <v>6864</v>
      </c>
      <c r="N6866" s="15">
        <f t="shared" si="324"/>
        <v>0.11747853416159894</v>
      </c>
      <c r="O6866" s="165">
        <f t="shared" si="325"/>
        <v>0.11747853416159894</v>
      </c>
      <c r="P6866" s="18"/>
      <c r="Q6866" s="18"/>
      <c r="R6866" s="18"/>
      <c r="S6866" s="18"/>
      <c r="T6866" s="18"/>
      <c r="U6866" s="18"/>
      <c r="V6866" s="18"/>
      <c r="W6866" s="18"/>
      <c r="X6866" s="18"/>
    </row>
    <row r="6867" spans="13:24">
      <c r="M6867" s="558">
        <f t="shared" si="326"/>
        <v>6865</v>
      </c>
      <c r="N6867" s="15">
        <f t="shared" si="324"/>
        <v>0.11742706230638326</v>
      </c>
      <c r="O6867" s="165">
        <f t="shared" si="325"/>
        <v>0.11742706230638326</v>
      </c>
      <c r="P6867" s="18"/>
      <c r="Q6867" s="18"/>
      <c r="R6867" s="18"/>
      <c r="S6867" s="18"/>
      <c r="T6867" s="18"/>
      <c r="U6867" s="18"/>
      <c r="V6867" s="18"/>
      <c r="W6867" s="18"/>
      <c r="X6867" s="18"/>
    </row>
    <row r="6868" spans="13:24">
      <c r="M6868" s="558">
        <f t="shared" si="326"/>
        <v>6866</v>
      </c>
      <c r="N6868" s="15">
        <f t="shared" si="324"/>
        <v>0.1173755905791596</v>
      </c>
      <c r="O6868" s="165">
        <f t="shared" si="325"/>
        <v>0.1173755905791596</v>
      </c>
      <c r="P6868" s="18"/>
      <c r="Q6868" s="18"/>
      <c r="R6868" s="18"/>
      <c r="S6868" s="18"/>
      <c r="T6868" s="18"/>
      <c r="U6868" s="18"/>
      <c r="V6868" s="18"/>
      <c r="W6868" s="18"/>
      <c r="X6868" s="18"/>
    </row>
    <row r="6869" spans="13:24">
      <c r="M6869" s="558">
        <f t="shared" si="326"/>
        <v>6867</v>
      </c>
      <c r="N6869" s="15">
        <f t="shared" si="324"/>
        <v>0.11732411897976734</v>
      </c>
      <c r="O6869" s="165">
        <f t="shared" si="325"/>
        <v>0.11732411897976734</v>
      </c>
      <c r="P6869" s="18"/>
      <c r="Q6869" s="18"/>
      <c r="R6869" s="18"/>
      <c r="S6869" s="18"/>
      <c r="T6869" s="18"/>
      <c r="U6869" s="18"/>
      <c r="V6869" s="18"/>
      <c r="W6869" s="18"/>
      <c r="X6869" s="18"/>
    </row>
    <row r="6870" spans="13:24">
      <c r="M6870" s="558">
        <f t="shared" si="326"/>
        <v>6868</v>
      </c>
      <c r="N6870" s="15">
        <f t="shared" si="324"/>
        <v>0.11727264750804607</v>
      </c>
      <c r="O6870" s="165">
        <f t="shared" si="325"/>
        <v>0.11727264750804607</v>
      </c>
      <c r="P6870" s="18"/>
      <c r="Q6870" s="18"/>
      <c r="R6870" s="18"/>
      <c r="S6870" s="18"/>
      <c r="T6870" s="18"/>
      <c r="U6870" s="18"/>
      <c r="V6870" s="18"/>
      <c r="W6870" s="18"/>
      <c r="X6870" s="18"/>
    </row>
    <row r="6871" spans="13:24">
      <c r="M6871" s="558">
        <f t="shared" si="326"/>
        <v>6869</v>
      </c>
      <c r="N6871" s="15">
        <f t="shared" si="324"/>
        <v>0.11722117616383557</v>
      </c>
      <c r="O6871" s="165">
        <f t="shared" si="325"/>
        <v>0.11722117616383557</v>
      </c>
      <c r="P6871" s="18"/>
      <c r="Q6871" s="18"/>
      <c r="R6871" s="18"/>
      <c r="S6871" s="18"/>
      <c r="T6871" s="18"/>
      <c r="U6871" s="18"/>
      <c r="V6871" s="18"/>
      <c r="W6871" s="18"/>
      <c r="X6871" s="18"/>
    </row>
    <row r="6872" spans="13:24">
      <c r="M6872" s="558">
        <f t="shared" si="326"/>
        <v>6870</v>
      </c>
      <c r="N6872" s="15">
        <f t="shared" si="324"/>
        <v>0.11716970494697582</v>
      </c>
      <c r="O6872" s="165">
        <f t="shared" si="325"/>
        <v>0.11716970494697582</v>
      </c>
      <c r="P6872" s="18"/>
      <c r="Q6872" s="18"/>
      <c r="R6872" s="18"/>
      <c r="S6872" s="18"/>
      <c r="T6872" s="18"/>
      <c r="U6872" s="18"/>
      <c r="V6872" s="18"/>
      <c r="W6872" s="18"/>
      <c r="X6872" s="18"/>
    </row>
    <row r="6873" spans="13:24">
      <c r="M6873" s="558">
        <f t="shared" si="326"/>
        <v>6871</v>
      </c>
      <c r="N6873" s="15">
        <f t="shared" si="324"/>
        <v>0.11711823385730701</v>
      </c>
      <c r="O6873" s="165">
        <f t="shared" si="325"/>
        <v>0.11711823385730701</v>
      </c>
      <c r="P6873" s="18"/>
      <c r="Q6873" s="18"/>
      <c r="R6873" s="18"/>
      <c r="S6873" s="18"/>
      <c r="T6873" s="18"/>
      <c r="U6873" s="18"/>
      <c r="V6873" s="18"/>
      <c r="W6873" s="18"/>
      <c r="X6873" s="18"/>
    </row>
    <row r="6874" spans="13:24">
      <c r="M6874" s="558">
        <f t="shared" si="326"/>
        <v>6872</v>
      </c>
      <c r="N6874" s="15">
        <f t="shared" si="324"/>
        <v>0.11706676289466952</v>
      </c>
      <c r="O6874" s="165">
        <f t="shared" si="325"/>
        <v>0.11706676289466952</v>
      </c>
      <c r="P6874" s="18"/>
      <c r="Q6874" s="18"/>
      <c r="R6874" s="18"/>
      <c r="S6874" s="18"/>
      <c r="T6874" s="18"/>
      <c r="U6874" s="18"/>
      <c r="V6874" s="18"/>
      <c r="W6874" s="18"/>
      <c r="X6874" s="18"/>
    </row>
    <row r="6875" spans="13:24">
      <c r="M6875" s="558">
        <f t="shared" si="326"/>
        <v>6873</v>
      </c>
      <c r="N6875" s="15">
        <f t="shared" si="324"/>
        <v>0.11701529205890392</v>
      </c>
      <c r="O6875" s="165">
        <f t="shared" si="325"/>
        <v>0.11701529205890392</v>
      </c>
      <c r="P6875" s="18"/>
      <c r="Q6875" s="18"/>
      <c r="R6875" s="18"/>
      <c r="S6875" s="18"/>
      <c r="T6875" s="18"/>
      <c r="U6875" s="18"/>
      <c r="V6875" s="18"/>
      <c r="W6875" s="18"/>
      <c r="X6875" s="18"/>
    </row>
    <row r="6876" spans="13:24">
      <c r="M6876" s="558">
        <f t="shared" si="326"/>
        <v>6874</v>
      </c>
      <c r="N6876" s="15">
        <f t="shared" si="324"/>
        <v>0.11696382134985103</v>
      </c>
      <c r="O6876" s="165">
        <f t="shared" si="325"/>
        <v>0.11696382134985103</v>
      </c>
      <c r="P6876" s="18"/>
      <c r="Q6876" s="18"/>
      <c r="R6876" s="18"/>
      <c r="S6876" s="18"/>
      <c r="T6876" s="18"/>
      <c r="U6876" s="18"/>
      <c r="V6876" s="18"/>
      <c r="W6876" s="18"/>
      <c r="X6876" s="18"/>
    </row>
    <row r="6877" spans="13:24">
      <c r="M6877" s="558">
        <f t="shared" si="326"/>
        <v>6875</v>
      </c>
      <c r="N6877" s="15">
        <f t="shared" si="324"/>
        <v>0.11691235076735182</v>
      </c>
      <c r="O6877" s="165">
        <f t="shared" si="325"/>
        <v>0.11691235076735182</v>
      </c>
      <c r="P6877" s="18"/>
      <c r="Q6877" s="18"/>
      <c r="R6877" s="18"/>
      <c r="S6877" s="18"/>
      <c r="T6877" s="18"/>
      <c r="U6877" s="18"/>
      <c r="V6877" s="18"/>
      <c r="W6877" s="18"/>
      <c r="X6877" s="18"/>
    </row>
    <row r="6878" spans="13:24">
      <c r="M6878" s="558">
        <f t="shared" si="326"/>
        <v>6876</v>
      </c>
      <c r="N6878" s="15">
        <f t="shared" si="324"/>
        <v>0.11686088031124749</v>
      </c>
      <c r="O6878" s="165">
        <f t="shared" si="325"/>
        <v>0.11686088031124749</v>
      </c>
      <c r="P6878" s="18"/>
      <c r="Q6878" s="18"/>
      <c r="R6878" s="18"/>
      <c r="S6878" s="18"/>
      <c r="T6878" s="18"/>
      <c r="U6878" s="18"/>
      <c r="V6878" s="18"/>
      <c r="W6878" s="18"/>
      <c r="X6878" s="18"/>
    </row>
    <row r="6879" spans="13:24">
      <c r="M6879" s="558">
        <f t="shared" si="326"/>
        <v>6877</v>
      </c>
      <c r="N6879" s="15">
        <f t="shared" si="324"/>
        <v>0.1168094099813794</v>
      </c>
      <c r="O6879" s="165">
        <f t="shared" si="325"/>
        <v>0.1168094099813794</v>
      </c>
      <c r="P6879" s="18"/>
      <c r="Q6879" s="18"/>
      <c r="R6879" s="18"/>
      <c r="S6879" s="18"/>
      <c r="T6879" s="18"/>
      <c r="U6879" s="18"/>
      <c r="V6879" s="18"/>
      <c r="W6879" s="18"/>
      <c r="X6879" s="18"/>
    </row>
    <row r="6880" spans="13:24">
      <c r="M6880" s="558">
        <f t="shared" si="326"/>
        <v>6878</v>
      </c>
      <c r="N6880" s="15">
        <f t="shared" si="324"/>
        <v>0.11675793977758914</v>
      </c>
      <c r="O6880" s="165">
        <f t="shared" si="325"/>
        <v>0.11675793977758914</v>
      </c>
      <c r="P6880" s="18"/>
      <c r="Q6880" s="18"/>
      <c r="R6880" s="18"/>
      <c r="S6880" s="18"/>
      <c r="T6880" s="18"/>
      <c r="U6880" s="18"/>
      <c r="V6880" s="18"/>
      <c r="W6880" s="18"/>
      <c r="X6880" s="18"/>
    </row>
    <row r="6881" spans="13:24">
      <c r="M6881" s="558">
        <f t="shared" si="326"/>
        <v>6879</v>
      </c>
      <c r="N6881" s="15">
        <f t="shared" si="324"/>
        <v>0.1167064696997185</v>
      </c>
      <c r="O6881" s="165">
        <f t="shared" si="325"/>
        <v>0.1167064696997185</v>
      </c>
      <c r="P6881" s="18"/>
      <c r="Q6881" s="18"/>
      <c r="R6881" s="18"/>
      <c r="S6881" s="18"/>
      <c r="T6881" s="18"/>
      <c r="U6881" s="18"/>
      <c r="V6881" s="18"/>
      <c r="W6881" s="18"/>
      <c r="X6881" s="18"/>
    </row>
    <row r="6882" spans="13:24">
      <c r="M6882" s="558">
        <f t="shared" si="326"/>
        <v>6880</v>
      </c>
      <c r="N6882" s="15">
        <f t="shared" si="324"/>
        <v>0.11665499974760946</v>
      </c>
      <c r="O6882" s="165">
        <f t="shared" si="325"/>
        <v>0.11665499974760946</v>
      </c>
      <c r="P6882" s="18"/>
      <c r="Q6882" s="18"/>
      <c r="R6882" s="18"/>
      <c r="S6882" s="18"/>
      <c r="T6882" s="18"/>
      <c r="U6882" s="18"/>
      <c r="V6882" s="18"/>
      <c r="W6882" s="18"/>
      <c r="X6882" s="18"/>
    </row>
    <row r="6883" spans="13:24">
      <c r="M6883" s="558">
        <f t="shared" si="326"/>
        <v>6881</v>
      </c>
      <c r="N6883" s="15">
        <f t="shared" si="324"/>
        <v>0.11660352992110418</v>
      </c>
      <c r="O6883" s="165">
        <f t="shared" si="325"/>
        <v>0.11660352992110418</v>
      </c>
      <c r="P6883" s="18"/>
      <c r="Q6883" s="18"/>
      <c r="R6883" s="18"/>
      <c r="S6883" s="18"/>
      <c r="T6883" s="18"/>
      <c r="U6883" s="18"/>
      <c r="V6883" s="18"/>
      <c r="W6883" s="18"/>
      <c r="X6883" s="18"/>
    </row>
    <row r="6884" spans="13:24">
      <c r="M6884" s="558">
        <f t="shared" si="326"/>
        <v>6882</v>
      </c>
      <c r="N6884" s="15">
        <f t="shared" si="324"/>
        <v>0.11655206022004506</v>
      </c>
      <c r="O6884" s="165">
        <f t="shared" si="325"/>
        <v>0.11655206022004506</v>
      </c>
      <c r="P6884" s="18"/>
      <c r="Q6884" s="18"/>
      <c r="R6884" s="18"/>
      <c r="S6884" s="18"/>
      <c r="T6884" s="18"/>
      <c r="U6884" s="18"/>
      <c r="V6884" s="18"/>
      <c r="W6884" s="18"/>
      <c r="X6884" s="18"/>
    </row>
    <row r="6885" spans="13:24">
      <c r="M6885" s="558">
        <f t="shared" si="326"/>
        <v>6883</v>
      </c>
      <c r="N6885" s="15">
        <f t="shared" si="324"/>
        <v>0.11650059064427469</v>
      </c>
      <c r="O6885" s="165">
        <f t="shared" si="325"/>
        <v>0.11650059064427469</v>
      </c>
      <c r="P6885" s="18"/>
      <c r="Q6885" s="18"/>
      <c r="R6885" s="18"/>
      <c r="S6885" s="18"/>
      <c r="T6885" s="18"/>
      <c r="U6885" s="18"/>
      <c r="V6885" s="18"/>
      <c r="W6885" s="18"/>
      <c r="X6885" s="18"/>
    </row>
    <row r="6886" spans="13:24">
      <c r="M6886" s="558">
        <f t="shared" si="326"/>
        <v>6884</v>
      </c>
      <c r="N6886" s="15">
        <f t="shared" si="324"/>
        <v>0.1164491211936358</v>
      </c>
      <c r="O6886" s="165">
        <f t="shared" si="325"/>
        <v>0.1164491211936358</v>
      </c>
      <c r="P6886" s="18"/>
      <c r="Q6886" s="18"/>
      <c r="R6886" s="18"/>
      <c r="S6886" s="18"/>
      <c r="T6886" s="18"/>
      <c r="U6886" s="18"/>
      <c r="V6886" s="18"/>
      <c r="W6886" s="18"/>
      <c r="X6886" s="18"/>
    </row>
    <row r="6887" spans="13:24">
      <c r="M6887" s="558">
        <f t="shared" si="326"/>
        <v>6885</v>
      </c>
      <c r="N6887" s="15">
        <f t="shared" si="324"/>
        <v>0.11639765186797139</v>
      </c>
      <c r="O6887" s="165">
        <f t="shared" si="325"/>
        <v>0.11639765186797139</v>
      </c>
      <c r="P6887" s="18"/>
      <c r="Q6887" s="18"/>
      <c r="R6887" s="18"/>
      <c r="S6887" s="18"/>
      <c r="T6887" s="18"/>
      <c r="U6887" s="18"/>
      <c r="V6887" s="18"/>
      <c r="W6887" s="18"/>
      <c r="X6887" s="18"/>
    </row>
    <row r="6888" spans="13:24">
      <c r="M6888" s="558">
        <f t="shared" si="326"/>
        <v>6886</v>
      </c>
      <c r="N6888" s="15">
        <f t="shared" si="324"/>
        <v>0.11634618266712463</v>
      </c>
      <c r="O6888" s="165">
        <f t="shared" si="325"/>
        <v>0.11634618266712463</v>
      </c>
      <c r="P6888" s="18"/>
      <c r="Q6888" s="18"/>
      <c r="R6888" s="18"/>
      <c r="S6888" s="18"/>
      <c r="T6888" s="18"/>
      <c r="U6888" s="18"/>
      <c r="V6888" s="18"/>
      <c r="W6888" s="18"/>
      <c r="X6888" s="18"/>
    </row>
    <row r="6889" spans="13:24">
      <c r="M6889" s="558">
        <f t="shared" si="326"/>
        <v>6887</v>
      </c>
      <c r="N6889" s="15">
        <f t="shared" si="324"/>
        <v>0.11629471359093885</v>
      </c>
      <c r="O6889" s="165">
        <f t="shared" si="325"/>
        <v>0.11629471359093885</v>
      </c>
      <c r="P6889" s="18"/>
      <c r="Q6889" s="18"/>
      <c r="R6889" s="18"/>
      <c r="S6889" s="18"/>
      <c r="T6889" s="18"/>
      <c r="U6889" s="18"/>
      <c r="V6889" s="18"/>
      <c r="W6889" s="18"/>
      <c r="X6889" s="18"/>
    </row>
    <row r="6890" spans="13:24">
      <c r="M6890" s="558">
        <f t="shared" si="326"/>
        <v>6888</v>
      </c>
      <c r="N6890" s="15">
        <f t="shared" si="324"/>
        <v>0.11624324463925763</v>
      </c>
      <c r="O6890" s="165">
        <f t="shared" si="325"/>
        <v>0.11624324463925763</v>
      </c>
      <c r="P6890" s="18"/>
      <c r="Q6890" s="18"/>
      <c r="R6890" s="18"/>
      <c r="S6890" s="18"/>
      <c r="T6890" s="18"/>
      <c r="U6890" s="18"/>
      <c r="V6890" s="18"/>
      <c r="W6890" s="18"/>
      <c r="X6890" s="18"/>
    </row>
    <row r="6891" spans="13:24">
      <c r="M6891" s="558">
        <f t="shared" si="326"/>
        <v>6889</v>
      </c>
      <c r="N6891" s="15">
        <f t="shared" si="324"/>
        <v>0.11619177581192475</v>
      </c>
      <c r="O6891" s="165">
        <f t="shared" si="325"/>
        <v>0.11619177581192475</v>
      </c>
      <c r="P6891" s="18"/>
      <c r="Q6891" s="18"/>
      <c r="R6891" s="18"/>
      <c r="S6891" s="18"/>
      <c r="T6891" s="18"/>
      <c r="U6891" s="18"/>
      <c r="V6891" s="18"/>
      <c r="W6891" s="18"/>
      <c r="X6891" s="18"/>
    </row>
    <row r="6892" spans="13:24">
      <c r="M6892" s="558">
        <f t="shared" si="326"/>
        <v>6890</v>
      </c>
      <c r="N6892" s="15">
        <f t="shared" si="324"/>
        <v>0.11614030710878413</v>
      </c>
      <c r="O6892" s="165">
        <f t="shared" si="325"/>
        <v>0.11614030710878413</v>
      </c>
      <c r="P6892" s="18"/>
      <c r="Q6892" s="18"/>
      <c r="R6892" s="18"/>
      <c r="S6892" s="18"/>
      <c r="T6892" s="18"/>
      <c r="U6892" s="18"/>
      <c r="V6892" s="18"/>
      <c r="W6892" s="18"/>
      <c r="X6892" s="18"/>
    </row>
    <row r="6893" spans="13:24">
      <c r="M6893" s="558">
        <f t="shared" si="326"/>
        <v>6891</v>
      </c>
      <c r="N6893" s="15">
        <f t="shared" si="324"/>
        <v>0.11608883852967995</v>
      </c>
      <c r="O6893" s="165">
        <f t="shared" si="325"/>
        <v>0.11608883852967995</v>
      </c>
      <c r="P6893" s="18"/>
      <c r="Q6893" s="18"/>
      <c r="R6893" s="18"/>
      <c r="S6893" s="18"/>
      <c r="T6893" s="18"/>
      <c r="U6893" s="18"/>
      <c r="V6893" s="18"/>
      <c r="W6893" s="18"/>
      <c r="X6893" s="18"/>
    </row>
    <row r="6894" spans="13:24">
      <c r="M6894" s="558">
        <f t="shared" si="326"/>
        <v>6892</v>
      </c>
      <c r="N6894" s="15">
        <f t="shared" si="324"/>
        <v>0.11603737007445653</v>
      </c>
      <c r="O6894" s="165">
        <f t="shared" si="325"/>
        <v>0.11603737007445653</v>
      </c>
      <c r="P6894" s="18"/>
      <c r="Q6894" s="18"/>
      <c r="R6894" s="18"/>
      <c r="S6894" s="18"/>
      <c r="T6894" s="18"/>
      <c r="U6894" s="18"/>
      <c r="V6894" s="18"/>
      <c r="W6894" s="18"/>
      <c r="X6894" s="18"/>
    </row>
    <row r="6895" spans="13:24">
      <c r="M6895" s="558">
        <f t="shared" si="326"/>
        <v>6893</v>
      </c>
      <c r="N6895" s="15">
        <f t="shared" si="324"/>
        <v>0.11598590174295841</v>
      </c>
      <c r="O6895" s="165">
        <f t="shared" si="325"/>
        <v>0.11598590174295841</v>
      </c>
      <c r="P6895" s="18"/>
      <c r="Q6895" s="18"/>
      <c r="R6895" s="18"/>
      <c r="S6895" s="18"/>
      <c r="T6895" s="18"/>
      <c r="U6895" s="18"/>
      <c r="V6895" s="18"/>
      <c r="W6895" s="18"/>
      <c r="X6895" s="18"/>
    </row>
    <row r="6896" spans="13:24">
      <c r="M6896" s="558">
        <f t="shared" si="326"/>
        <v>6894</v>
      </c>
      <c r="N6896" s="15">
        <f t="shared" si="324"/>
        <v>0.11593443353503033</v>
      </c>
      <c r="O6896" s="165">
        <f t="shared" si="325"/>
        <v>0.11593443353503033</v>
      </c>
      <c r="P6896" s="18"/>
      <c r="Q6896" s="18"/>
      <c r="R6896" s="18"/>
      <c r="S6896" s="18"/>
      <c r="T6896" s="18"/>
      <c r="U6896" s="18"/>
      <c r="V6896" s="18"/>
      <c r="W6896" s="18"/>
      <c r="X6896" s="18"/>
    </row>
    <row r="6897" spans="13:24">
      <c r="M6897" s="558">
        <f t="shared" si="326"/>
        <v>6895</v>
      </c>
      <c r="N6897" s="15">
        <f t="shared" si="324"/>
        <v>0.11588296545051721</v>
      </c>
      <c r="O6897" s="165">
        <f t="shared" si="325"/>
        <v>0.11588296545051721</v>
      </c>
      <c r="P6897" s="18"/>
      <c r="Q6897" s="18"/>
      <c r="R6897" s="18"/>
      <c r="S6897" s="18"/>
      <c r="T6897" s="18"/>
      <c r="U6897" s="18"/>
      <c r="V6897" s="18"/>
      <c r="W6897" s="18"/>
      <c r="X6897" s="18"/>
    </row>
    <row r="6898" spans="13:24">
      <c r="M6898" s="558">
        <f t="shared" si="326"/>
        <v>6896</v>
      </c>
      <c r="N6898" s="15">
        <f t="shared" si="324"/>
        <v>0.11583149748926419</v>
      </c>
      <c r="O6898" s="165">
        <f t="shared" si="325"/>
        <v>0.11583149748926419</v>
      </c>
      <c r="P6898" s="18"/>
      <c r="Q6898" s="18"/>
      <c r="R6898" s="18"/>
      <c r="S6898" s="18"/>
      <c r="T6898" s="18"/>
      <c r="U6898" s="18"/>
      <c r="V6898" s="18"/>
      <c r="W6898" s="18"/>
      <c r="X6898" s="18"/>
    </row>
    <row r="6899" spans="13:24">
      <c r="M6899" s="558">
        <f t="shared" si="326"/>
        <v>6897</v>
      </c>
      <c r="N6899" s="15">
        <f t="shared" si="324"/>
        <v>0.1157800296511166</v>
      </c>
      <c r="O6899" s="165">
        <f t="shared" si="325"/>
        <v>0.1157800296511166</v>
      </c>
      <c r="P6899" s="18"/>
      <c r="Q6899" s="18"/>
      <c r="R6899" s="18"/>
      <c r="S6899" s="18"/>
      <c r="T6899" s="18"/>
      <c r="U6899" s="18"/>
      <c r="V6899" s="18"/>
      <c r="W6899" s="18"/>
      <c r="X6899" s="18"/>
    </row>
    <row r="6900" spans="13:24">
      <c r="M6900" s="558">
        <f t="shared" si="326"/>
        <v>6898</v>
      </c>
      <c r="N6900" s="15">
        <f t="shared" si="324"/>
        <v>0.11572856193591992</v>
      </c>
      <c r="O6900" s="165">
        <f t="shared" si="325"/>
        <v>0.11572856193591992</v>
      </c>
      <c r="P6900" s="18"/>
      <c r="Q6900" s="18"/>
      <c r="R6900" s="18"/>
      <c r="S6900" s="18"/>
      <c r="T6900" s="18"/>
      <c r="U6900" s="18"/>
      <c r="V6900" s="18"/>
      <c r="W6900" s="18"/>
      <c r="X6900" s="18"/>
    </row>
    <row r="6901" spans="13:24">
      <c r="M6901" s="558">
        <f t="shared" si="326"/>
        <v>6899</v>
      </c>
      <c r="N6901" s="15">
        <f t="shared" si="324"/>
        <v>0.11567709434351987</v>
      </c>
      <c r="O6901" s="165">
        <f t="shared" si="325"/>
        <v>0.11567709434351987</v>
      </c>
      <c r="P6901" s="18"/>
      <c r="Q6901" s="18"/>
      <c r="R6901" s="18"/>
      <c r="S6901" s="18"/>
      <c r="T6901" s="18"/>
      <c r="U6901" s="18"/>
      <c r="V6901" s="18"/>
      <c r="W6901" s="18"/>
      <c r="X6901" s="18"/>
    </row>
    <row r="6902" spans="13:24">
      <c r="M6902" s="558">
        <f t="shared" si="326"/>
        <v>6900</v>
      </c>
      <c r="N6902" s="15">
        <f t="shared" si="324"/>
        <v>0.11562562687376235</v>
      </c>
      <c r="O6902" s="165">
        <f t="shared" si="325"/>
        <v>0.11562562687376235</v>
      </c>
      <c r="P6902" s="18"/>
      <c r="Q6902" s="18"/>
      <c r="R6902" s="18"/>
      <c r="S6902" s="18"/>
      <c r="T6902" s="18"/>
      <c r="U6902" s="18"/>
      <c r="V6902" s="18"/>
      <c r="W6902" s="18"/>
      <c r="X6902" s="18"/>
    </row>
    <row r="6903" spans="13:24">
      <c r="M6903" s="558">
        <f t="shared" si="326"/>
        <v>6901</v>
      </c>
      <c r="N6903" s="15">
        <f t="shared" si="324"/>
        <v>0.11557415952649346</v>
      </c>
      <c r="O6903" s="165">
        <f t="shared" si="325"/>
        <v>0.11557415952649346</v>
      </c>
      <c r="P6903" s="18"/>
      <c r="Q6903" s="18"/>
      <c r="R6903" s="18"/>
      <c r="S6903" s="18"/>
      <c r="T6903" s="18"/>
      <c r="U6903" s="18"/>
      <c r="V6903" s="18"/>
      <c r="W6903" s="18"/>
      <c r="X6903" s="18"/>
    </row>
    <row r="6904" spans="13:24">
      <c r="M6904" s="558">
        <f t="shared" si="326"/>
        <v>6902</v>
      </c>
      <c r="N6904" s="15">
        <f t="shared" si="324"/>
        <v>0.11552269230155948</v>
      </c>
      <c r="O6904" s="165">
        <f t="shared" si="325"/>
        <v>0.11552269230155948</v>
      </c>
      <c r="P6904" s="18"/>
      <c r="Q6904" s="18"/>
      <c r="R6904" s="18"/>
      <c r="S6904" s="18"/>
      <c r="T6904" s="18"/>
      <c r="U6904" s="18"/>
      <c r="V6904" s="18"/>
      <c r="W6904" s="18"/>
      <c r="X6904" s="18"/>
    </row>
    <row r="6905" spans="13:24">
      <c r="M6905" s="558">
        <f t="shared" si="326"/>
        <v>6903</v>
      </c>
      <c r="N6905" s="15">
        <f t="shared" si="324"/>
        <v>0.11547122519880688</v>
      </c>
      <c r="O6905" s="165">
        <f t="shared" si="325"/>
        <v>0.11547122519880688</v>
      </c>
      <c r="P6905" s="18"/>
      <c r="Q6905" s="18"/>
      <c r="R6905" s="18"/>
      <c r="S6905" s="18"/>
      <c r="T6905" s="18"/>
      <c r="U6905" s="18"/>
      <c r="V6905" s="18"/>
      <c r="W6905" s="18"/>
      <c r="X6905" s="18"/>
    </row>
    <row r="6906" spans="13:24">
      <c r="M6906" s="558">
        <f t="shared" si="326"/>
        <v>6904</v>
      </c>
      <c r="N6906" s="15">
        <f t="shared" si="324"/>
        <v>0.11541975821808236</v>
      </c>
      <c r="O6906" s="165">
        <f t="shared" si="325"/>
        <v>0.11541975821808236</v>
      </c>
      <c r="P6906" s="18"/>
      <c r="Q6906" s="18"/>
      <c r="R6906" s="18"/>
      <c r="S6906" s="18"/>
      <c r="T6906" s="18"/>
      <c r="U6906" s="18"/>
      <c r="V6906" s="18"/>
      <c r="W6906" s="18"/>
      <c r="X6906" s="18"/>
    </row>
    <row r="6907" spans="13:24">
      <c r="M6907" s="558">
        <f t="shared" si="326"/>
        <v>6905</v>
      </c>
      <c r="N6907" s="15">
        <f t="shared" si="324"/>
        <v>0.11536829135923275</v>
      </c>
      <c r="O6907" s="165">
        <f t="shared" si="325"/>
        <v>0.11536829135923275</v>
      </c>
      <c r="P6907" s="18"/>
      <c r="Q6907" s="18"/>
      <c r="R6907" s="18"/>
      <c r="S6907" s="18"/>
      <c r="T6907" s="18"/>
      <c r="U6907" s="18"/>
      <c r="V6907" s="18"/>
      <c r="W6907" s="18"/>
      <c r="X6907" s="18"/>
    </row>
    <row r="6908" spans="13:24">
      <c r="M6908" s="558">
        <f t="shared" si="326"/>
        <v>6906</v>
      </c>
      <c r="N6908" s="15">
        <f t="shared" si="324"/>
        <v>0.11531682462210514</v>
      </c>
      <c r="O6908" s="165">
        <f t="shared" si="325"/>
        <v>0.11531682462210514</v>
      </c>
      <c r="P6908" s="18"/>
      <c r="Q6908" s="18"/>
      <c r="R6908" s="18"/>
      <c r="S6908" s="18"/>
      <c r="T6908" s="18"/>
      <c r="U6908" s="18"/>
      <c r="V6908" s="18"/>
      <c r="W6908" s="18"/>
      <c r="X6908" s="18"/>
    </row>
    <row r="6909" spans="13:24">
      <c r="M6909" s="558">
        <f t="shared" si="326"/>
        <v>6907</v>
      </c>
      <c r="N6909" s="15">
        <f t="shared" si="324"/>
        <v>0.11526535800654676</v>
      </c>
      <c r="O6909" s="165">
        <f t="shared" si="325"/>
        <v>0.11526535800654676</v>
      </c>
      <c r="P6909" s="18"/>
      <c r="Q6909" s="18"/>
      <c r="R6909" s="18"/>
      <c r="S6909" s="18"/>
      <c r="T6909" s="18"/>
      <c r="U6909" s="18"/>
      <c r="V6909" s="18"/>
      <c r="W6909" s="18"/>
      <c r="X6909" s="18"/>
    </row>
    <row r="6910" spans="13:24">
      <c r="M6910" s="558">
        <f t="shared" si="326"/>
        <v>6908</v>
      </c>
      <c r="N6910" s="15">
        <f t="shared" si="324"/>
        <v>0.11521389151240505</v>
      </c>
      <c r="O6910" s="165">
        <f t="shared" si="325"/>
        <v>0.11521389151240505</v>
      </c>
      <c r="P6910" s="18"/>
      <c r="Q6910" s="18"/>
      <c r="R6910" s="18"/>
      <c r="S6910" s="18"/>
      <c r="T6910" s="18"/>
      <c r="U6910" s="18"/>
      <c r="V6910" s="18"/>
      <c r="W6910" s="18"/>
      <c r="X6910" s="18"/>
    </row>
    <row r="6911" spans="13:24">
      <c r="M6911" s="558">
        <f t="shared" si="326"/>
        <v>6909</v>
      </c>
      <c r="N6911" s="15">
        <f t="shared" si="324"/>
        <v>0.11516242513952765</v>
      </c>
      <c r="O6911" s="165">
        <f t="shared" si="325"/>
        <v>0.11516242513952765</v>
      </c>
      <c r="P6911" s="18"/>
      <c r="Q6911" s="18"/>
      <c r="R6911" s="18"/>
      <c r="S6911" s="18"/>
      <c r="T6911" s="18"/>
      <c r="U6911" s="18"/>
      <c r="V6911" s="18"/>
      <c r="W6911" s="18"/>
      <c r="X6911" s="18"/>
    </row>
    <row r="6912" spans="13:24">
      <c r="M6912" s="558">
        <f t="shared" si="326"/>
        <v>6910</v>
      </c>
      <c r="N6912" s="15">
        <f t="shared" si="324"/>
        <v>0.11511095888776238</v>
      </c>
      <c r="O6912" s="165">
        <f t="shared" si="325"/>
        <v>0.11511095888776238</v>
      </c>
      <c r="P6912" s="18"/>
      <c r="Q6912" s="18"/>
      <c r="R6912" s="18"/>
      <c r="S6912" s="18"/>
      <c r="T6912" s="18"/>
      <c r="U6912" s="18"/>
      <c r="V6912" s="18"/>
      <c r="W6912" s="18"/>
      <c r="X6912" s="18"/>
    </row>
    <row r="6913" spans="13:24">
      <c r="M6913" s="558">
        <f t="shared" si="326"/>
        <v>6911</v>
      </c>
      <c r="N6913" s="15">
        <f t="shared" si="324"/>
        <v>0.11505949275695725</v>
      </c>
      <c r="O6913" s="165">
        <f t="shared" si="325"/>
        <v>0.11505949275695725</v>
      </c>
      <c r="P6913" s="18"/>
      <c r="Q6913" s="18"/>
      <c r="R6913" s="18"/>
      <c r="S6913" s="18"/>
      <c r="T6913" s="18"/>
      <c r="U6913" s="18"/>
      <c r="V6913" s="18"/>
      <c r="W6913" s="18"/>
      <c r="X6913" s="18"/>
    </row>
    <row r="6914" spans="13:24">
      <c r="M6914" s="558">
        <f t="shared" si="326"/>
        <v>6912</v>
      </c>
      <c r="N6914" s="15">
        <f t="shared" si="324"/>
        <v>0.11500802674696047</v>
      </c>
      <c r="O6914" s="165">
        <f t="shared" si="325"/>
        <v>0.11500802674696047</v>
      </c>
      <c r="P6914" s="18"/>
      <c r="Q6914" s="18"/>
      <c r="R6914" s="18"/>
      <c r="S6914" s="18"/>
      <c r="T6914" s="18"/>
      <c r="U6914" s="18"/>
      <c r="V6914" s="18"/>
      <c r="W6914" s="18"/>
      <c r="X6914" s="18"/>
    </row>
    <row r="6915" spans="13:24">
      <c r="M6915" s="558">
        <f t="shared" si="326"/>
        <v>6913</v>
      </c>
      <c r="N6915" s="15">
        <f t="shared" si="324"/>
        <v>0.11495656085762042</v>
      </c>
      <c r="O6915" s="165">
        <f t="shared" si="325"/>
        <v>0.11495656085762042</v>
      </c>
      <c r="P6915" s="18"/>
      <c r="Q6915" s="18"/>
      <c r="R6915" s="18"/>
      <c r="S6915" s="18"/>
      <c r="T6915" s="18"/>
      <c r="U6915" s="18"/>
      <c r="V6915" s="18"/>
      <c r="W6915" s="18"/>
      <c r="X6915" s="18"/>
    </row>
    <row r="6916" spans="13:24">
      <c r="M6916" s="558">
        <f t="shared" si="326"/>
        <v>6914</v>
      </c>
      <c r="N6916" s="15">
        <f t="shared" ref="N6916:N6979" si="327">IF(M6916&lt;$B$31+1,$B$32+$B$33/$B$31*(8760-M6916)+$B$34*IF(M6916&lt;$B$36-$B$31/(2*$B$35),1,IF(M6916&lt;$B$36+$B$31/(2*$B$35),COS(PI()/2*(M6916-($B$36-$B$31/(2*$B$35)))*$B$35/$B$31)^2,0))+$B$37*EXP((8760-M6916)/8760*$B$38)/EXP($B$38)-(8760-$B$31)*$B$33/$B$31,0)</f>
        <v>0.1149050950887857</v>
      </c>
      <c r="O6916" s="165">
        <f t="shared" ref="O6916:O6979" si="328">MIN(N6916,C$24)</f>
        <v>0.1149050950887857</v>
      </c>
      <c r="P6916" s="18"/>
      <c r="Q6916" s="18"/>
      <c r="R6916" s="18"/>
      <c r="S6916" s="18"/>
      <c r="T6916" s="18"/>
      <c r="U6916" s="18"/>
      <c r="V6916" s="18"/>
      <c r="W6916" s="18"/>
      <c r="X6916" s="18"/>
    </row>
    <row r="6917" spans="13:24">
      <c r="M6917" s="558">
        <f t="shared" ref="M6917:M6980" si="329">M6916+1</f>
        <v>6915</v>
      </c>
      <c r="N6917" s="15">
        <f t="shared" si="327"/>
        <v>0.1148536294403051</v>
      </c>
      <c r="O6917" s="165">
        <f t="shared" si="328"/>
        <v>0.1148536294403051</v>
      </c>
      <c r="P6917" s="18"/>
      <c r="Q6917" s="18"/>
      <c r="R6917" s="18"/>
      <c r="S6917" s="18"/>
      <c r="T6917" s="18"/>
      <c r="U6917" s="18"/>
      <c r="V6917" s="18"/>
      <c r="W6917" s="18"/>
      <c r="X6917" s="18"/>
    </row>
    <row r="6918" spans="13:24">
      <c r="M6918" s="558">
        <f t="shared" si="329"/>
        <v>6916</v>
      </c>
      <c r="N6918" s="15">
        <f t="shared" si="327"/>
        <v>0.11480216391202755</v>
      </c>
      <c r="O6918" s="165">
        <f t="shared" si="328"/>
        <v>0.11480216391202755</v>
      </c>
      <c r="P6918" s="18"/>
      <c r="Q6918" s="18"/>
      <c r="R6918" s="18"/>
      <c r="S6918" s="18"/>
      <c r="T6918" s="18"/>
      <c r="U6918" s="18"/>
      <c r="V6918" s="18"/>
      <c r="W6918" s="18"/>
      <c r="X6918" s="18"/>
    </row>
    <row r="6919" spans="13:24">
      <c r="M6919" s="558">
        <f t="shared" si="329"/>
        <v>6917</v>
      </c>
      <c r="N6919" s="15">
        <f t="shared" si="327"/>
        <v>0.11475069850380223</v>
      </c>
      <c r="O6919" s="165">
        <f t="shared" si="328"/>
        <v>0.11475069850380223</v>
      </c>
      <c r="P6919" s="18"/>
      <c r="Q6919" s="18"/>
      <c r="R6919" s="18"/>
      <c r="S6919" s="18"/>
      <c r="T6919" s="18"/>
      <c r="U6919" s="18"/>
      <c r="V6919" s="18"/>
      <c r="W6919" s="18"/>
      <c r="X6919" s="18"/>
    </row>
    <row r="6920" spans="13:24">
      <c r="M6920" s="558">
        <f t="shared" si="329"/>
        <v>6918</v>
      </c>
      <c r="N6920" s="15">
        <f t="shared" si="327"/>
        <v>0.11469923321547848</v>
      </c>
      <c r="O6920" s="165">
        <f t="shared" si="328"/>
        <v>0.11469923321547848</v>
      </c>
      <c r="P6920" s="18"/>
      <c r="Q6920" s="18"/>
      <c r="R6920" s="18"/>
      <c r="S6920" s="18"/>
      <c r="T6920" s="18"/>
      <c r="U6920" s="18"/>
      <c r="V6920" s="18"/>
      <c r="W6920" s="18"/>
      <c r="X6920" s="18"/>
    </row>
    <row r="6921" spans="13:24">
      <c r="M6921" s="558">
        <f t="shared" si="329"/>
        <v>6919</v>
      </c>
      <c r="N6921" s="15">
        <f t="shared" si="327"/>
        <v>0.11464776804690582</v>
      </c>
      <c r="O6921" s="165">
        <f t="shared" si="328"/>
        <v>0.11464776804690582</v>
      </c>
      <c r="P6921" s="18"/>
      <c r="Q6921" s="18"/>
      <c r="R6921" s="18"/>
      <c r="S6921" s="18"/>
      <c r="T6921" s="18"/>
      <c r="U6921" s="18"/>
      <c r="V6921" s="18"/>
      <c r="W6921" s="18"/>
      <c r="X6921" s="18"/>
    </row>
    <row r="6922" spans="13:24">
      <c r="M6922" s="558">
        <f t="shared" si="329"/>
        <v>6920</v>
      </c>
      <c r="N6922" s="15">
        <f t="shared" si="327"/>
        <v>0.114596302997934</v>
      </c>
      <c r="O6922" s="165">
        <f t="shared" si="328"/>
        <v>0.114596302997934</v>
      </c>
      <c r="P6922" s="18"/>
      <c r="Q6922" s="18"/>
      <c r="R6922" s="18"/>
      <c r="S6922" s="18"/>
      <c r="T6922" s="18"/>
      <c r="U6922" s="18"/>
      <c r="V6922" s="18"/>
      <c r="W6922" s="18"/>
      <c r="X6922" s="18"/>
    </row>
    <row r="6923" spans="13:24">
      <c r="M6923" s="558">
        <f t="shared" si="329"/>
        <v>6921</v>
      </c>
      <c r="N6923" s="15">
        <f t="shared" si="327"/>
        <v>0.1145448380684129</v>
      </c>
      <c r="O6923" s="165">
        <f t="shared" si="328"/>
        <v>0.1145448380684129</v>
      </c>
      <c r="P6923" s="18"/>
      <c r="Q6923" s="18"/>
      <c r="R6923" s="18"/>
      <c r="S6923" s="18"/>
      <c r="T6923" s="18"/>
      <c r="U6923" s="18"/>
      <c r="V6923" s="18"/>
      <c r="W6923" s="18"/>
      <c r="X6923" s="18"/>
    </row>
    <row r="6924" spans="13:24">
      <c r="M6924" s="558">
        <f t="shared" si="329"/>
        <v>6922</v>
      </c>
      <c r="N6924" s="15">
        <f t="shared" si="327"/>
        <v>0.11449337325819263</v>
      </c>
      <c r="O6924" s="165">
        <f t="shared" si="328"/>
        <v>0.11449337325819263</v>
      </c>
      <c r="P6924" s="18"/>
      <c r="Q6924" s="18"/>
      <c r="R6924" s="18"/>
      <c r="S6924" s="18"/>
      <c r="T6924" s="18"/>
      <c r="U6924" s="18"/>
      <c r="V6924" s="18"/>
      <c r="W6924" s="18"/>
      <c r="X6924" s="18"/>
    </row>
    <row r="6925" spans="13:24">
      <c r="M6925" s="558">
        <f t="shared" si="329"/>
        <v>6923</v>
      </c>
      <c r="N6925" s="15">
        <f t="shared" si="327"/>
        <v>0.1144419085671235</v>
      </c>
      <c r="O6925" s="165">
        <f t="shared" si="328"/>
        <v>0.1144419085671235</v>
      </c>
      <c r="P6925" s="18"/>
      <c r="Q6925" s="18"/>
      <c r="R6925" s="18"/>
      <c r="S6925" s="18"/>
      <c r="T6925" s="18"/>
      <c r="U6925" s="18"/>
      <c r="V6925" s="18"/>
      <c r="W6925" s="18"/>
      <c r="X6925" s="18"/>
    </row>
    <row r="6926" spans="13:24">
      <c r="M6926" s="558">
        <f t="shared" si="329"/>
        <v>6924</v>
      </c>
      <c r="N6926" s="15">
        <f t="shared" si="327"/>
        <v>0.11439044399505595</v>
      </c>
      <c r="O6926" s="165">
        <f t="shared" si="328"/>
        <v>0.11439044399505595</v>
      </c>
      <c r="P6926" s="18"/>
      <c r="Q6926" s="18"/>
      <c r="R6926" s="18"/>
      <c r="S6926" s="18"/>
      <c r="T6926" s="18"/>
      <c r="U6926" s="18"/>
      <c r="V6926" s="18"/>
      <c r="W6926" s="18"/>
      <c r="X6926" s="18"/>
    </row>
    <row r="6927" spans="13:24">
      <c r="M6927" s="558">
        <f t="shared" si="329"/>
        <v>6925</v>
      </c>
      <c r="N6927" s="15">
        <f t="shared" si="327"/>
        <v>0.11433897954184065</v>
      </c>
      <c r="O6927" s="165">
        <f t="shared" si="328"/>
        <v>0.11433897954184065</v>
      </c>
      <c r="P6927" s="18"/>
      <c r="Q6927" s="18"/>
      <c r="R6927" s="18"/>
      <c r="S6927" s="18"/>
      <c r="T6927" s="18"/>
      <c r="U6927" s="18"/>
      <c r="V6927" s="18"/>
      <c r="W6927" s="18"/>
      <c r="X6927" s="18"/>
    </row>
    <row r="6928" spans="13:24">
      <c r="M6928" s="558">
        <f t="shared" si="329"/>
        <v>6926</v>
      </c>
      <c r="N6928" s="15">
        <f t="shared" si="327"/>
        <v>0.11428751520732847</v>
      </c>
      <c r="O6928" s="165">
        <f t="shared" si="328"/>
        <v>0.11428751520732847</v>
      </c>
      <c r="P6928" s="18"/>
      <c r="Q6928" s="18"/>
      <c r="R6928" s="18"/>
      <c r="S6928" s="18"/>
      <c r="T6928" s="18"/>
      <c r="U6928" s="18"/>
      <c r="V6928" s="18"/>
      <c r="W6928" s="18"/>
      <c r="X6928" s="18"/>
    </row>
    <row r="6929" spans="13:24">
      <c r="M6929" s="558">
        <f t="shared" si="329"/>
        <v>6927</v>
      </c>
      <c r="N6929" s="15">
        <f t="shared" si="327"/>
        <v>0.11423605099137042</v>
      </c>
      <c r="O6929" s="165">
        <f t="shared" si="328"/>
        <v>0.11423605099137042</v>
      </c>
      <c r="P6929" s="18"/>
      <c r="Q6929" s="18"/>
      <c r="R6929" s="18"/>
      <c r="S6929" s="18"/>
      <c r="T6929" s="18"/>
      <c r="U6929" s="18"/>
      <c r="V6929" s="18"/>
      <c r="W6929" s="18"/>
      <c r="X6929" s="18"/>
    </row>
    <row r="6930" spans="13:24">
      <c r="M6930" s="558">
        <f t="shared" si="329"/>
        <v>6928</v>
      </c>
      <c r="N6930" s="15">
        <f t="shared" si="327"/>
        <v>0.11418458689381775</v>
      </c>
      <c r="O6930" s="165">
        <f t="shared" si="328"/>
        <v>0.11418458689381775</v>
      </c>
      <c r="P6930" s="18"/>
      <c r="Q6930" s="18"/>
      <c r="R6930" s="18"/>
      <c r="S6930" s="18"/>
      <c r="T6930" s="18"/>
      <c r="U6930" s="18"/>
      <c r="V6930" s="18"/>
      <c r="W6930" s="18"/>
      <c r="X6930" s="18"/>
    </row>
    <row r="6931" spans="13:24">
      <c r="M6931" s="558">
        <f t="shared" si="329"/>
        <v>6929</v>
      </c>
      <c r="N6931" s="15">
        <f t="shared" si="327"/>
        <v>0.11413312291452185</v>
      </c>
      <c r="O6931" s="165">
        <f t="shared" si="328"/>
        <v>0.11413312291452185</v>
      </c>
      <c r="P6931" s="18"/>
      <c r="Q6931" s="18"/>
      <c r="R6931" s="18"/>
      <c r="S6931" s="18"/>
      <c r="T6931" s="18"/>
      <c r="U6931" s="18"/>
      <c r="V6931" s="18"/>
      <c r="W6931" s="18"/>
      <c r="X6931" s="18"/>
    </row>
    <row r="6932" spans="13:24">
      <c r="M6932" s="558">
        <f t="shared" si="329"/>
        <v>6930</v>
      </c>
      <c r="N6932" s="15">
        <f t="shared" si="327"/>
        <v>0.11408165905333434</v>
      </c>
      <c r="O6932" s="165">
        <f t="shared" si="328"/>
        <v>0.11408165905333434</v>
      </c>
      <c r="P6932" s="18"/>
      <c r="Q6932" s="18"/>
      <c r="R6932" s="18"/>
      <c r="S6932" s="18"/>
      <c r="T6932" s="18"/>
      <c r="U6932" s="18"/>
      <c r="V6932" s="18"/>
      <c r="W6932" s="18"/>
      <c r="X6932" s="18"/>
    </row>
    <row r="6933" spans="13:24">
      <c r="M6933" s="558">
        <f t="shared" si="329"/>
        <v>6931</v>
      </c>
      <c r="N6933" s="15">
        <f t="shared" si="327"/>
        <v>0.11403019531010697</v>
      </c>
      <c r="O6933" s="165">
        <f t="shared" si="328"/>
        <v>0.11403019531010697</v>
      </c>
      <c r="P6933" s="18"/>
      <c r="Q6933" s="18"/>
      <c r="R6933" s="18"/>
      <c r="S6933" s="18"/>
      <c r="T6933" s="18"/>
      <c r="U6933" s="18"/>
      <c r="V6933" s="18"/>
      <c r="W6933" s="18"/>
      <c r="X6933" s="18"/>
    </row>
    <row r="6934" spans="13:24">
      <c r="M6934" s="558">
        <f t="shared" si="329"/>
        <v>6932</v>
      </c>
      <c r="N6934" s="15">
        <f t="shared" si="327"/>
        <v>0.11397873168469173</v>
      </c>
      <c r="O6934" s="165">
        <f t="shared" si="328"/>
        <v>0.11397873168469173</v>
      </c>
      <c r="P6934" s="18"/>
      <c r="Q6934" s="18"/>
      <c r="R6934" s="18"/>
      <c r="S6934" s="18"/>
      <c r="T6934" s="18"/>
      <c r="U6934" s="18"/>
      <c r="V6934" s="18"/>
      <c r="W6934" s="18"/>
      <c r="X6934" s="18"/>
    </row>
    <row r="6935" spans="13:24">
      <c r="M6935" s="558">
        <f t="shared" si="329"/>
        <v>6933</v>
      </c>
      <c r="N6935" s="15">
        <f t="shared" si="327"/>
        <v>0.11392726817694079</v>
      </c>
      <c r="O6935" s="165">
        <f t="shared" si="328"/>
        <v>0.11392726817694079</v>
      </c>
      <c r="P6935" s="18"/>
      <c r="Q6935" s="18"/>
      <c r="R6935" s="18"/>
      <c r="S6935" s="18"/>
      <c r="T6935" s="18"/>
      <c r="U6935" s="18"/>
      <c r="V6935" s="18"/>
      <c r="W6935" s="18"/>
      <c r="X6935" s="18"/>
    </row>
    <row r="6936" spans="13:24">
      <c r="M6936" s="558">
        <f t="shared" si="329"/>
        <v>6934</v>
      </c>
      <c r="N6936" s="15">
        <f t="shared" si="327"/>
        <v>0.11387580478670646</v>
      </c>
      <c r="O6936" s="165">
        <f t="shared" si="328"/>
        <v>0.11387580478670646</v>
      </c>
      <c r="P6936" s="18"/>
      <c r="Q6936" s="18"/>
      <c r="R6936" s="18"/>
      <c r="S6936" s="18"/>
      <c r="T6936" s="18"/>
      <c r="U6936" s="18"/>
      <c r="V6936" s="18"/>
      <c r="W6936" s="18"/>
      <c r="X6936" s="18"/>
    </row>
    <row r="6937" spans="13:24">
      <c r="M6937" s="558">
        <f t="shared" si="329"/>
        <v>6935</v>
      </c>
      <c r="N6937" s="15">
        <f t="shared" si="327"/>
        <v>0.11382434151384128</v>
      </c>
      <c r="O6937" s="165">
        <f t="shared" si="328"/>
        <v>0.11382434151384128</v>
      </c>
      <c r="P6937" s="18"/>
      <c r="Q6937" s="18"/>
      <c r="R6937" s="18"/>
      <c r="S6937" s="18"/>
      <c r="T6937" s="18"/>
      <c r="U6937" s="18"/>
      <c r="V6937" s="18"/>
      <c r="W6937" s="18"/>
      <c r="X6937" s="18"/>
    </row>
    <row r="6938" spans="13:24">
      <c r="M6938" s="558">
        <f t="shared" si="329"/>
        <v>6936</v>
      </c>
      <c r="N6938" s="15">
        <f t="shared" si="327"/>
        <v>0.11377287835819798</v>
      </c>
      <c r="O6938" s="165">
        <f t="shared" si="328"/>
        <v>0.11377287835819798</v>
      </c>
      <c r="P6938" s="18"/>
      <c r="Q6938" s="18"/>
      <c r="R6938" s="18"/>
      <c r="S6938" s="18"/>
      <c r="T6938" s="18"/>
      <c r="U6938" s="18"/>
      <c r="V6938" s="18"/>
      <c r="W6938" s="18"/>
      <c r="X6938" s="18"/>
    </row>
    <row r="6939" spans="13:24">
      <c r="M6939" s="558">
        <f t="shared" si="329"/>
        <v>6937</v>
      </c>
      <c r="N6939" s="15">
        <f t="shared" si="327"/>
        <v>0.11372141531962943</v>
      </c>
      <c r="O6939" s="165">
        <f t="shared" si="328"/>
        <v>0.11372141531962943</v>
      </c>
      <c r="P6939" s="18"/>
      <c r="Q6939" s="18"/>
      <c r="R6939" s="18"/>
      <c r="S6939" s="18"/>
      <c r="T6939" s="18"/>
      <c r="U6939" s="18"/>
      <c r="V6939" s="18"/>
      <c r="W6939" s="18"/>
      <c r="X6939" s="18"/>
    </row>
    <row r="6940" spans="13:24">
      <c r="M6940" s="558">
        <f t="shared" si="329"/>
        <v>6938</v>
      </c>
      <c r="N6940" s="15">
        <f t="shared" si="327"/>
        <v>0.1136699523979887</v>
      </c>
      <c r="O6940" s="165">
        <f t="shared" si="328"/>
        <v>0.1136699523979887</v>
      </c>
      <c r="P6940" s="18"/>
      <c r="Q6940" s="18"/>
      <c r="R6940" s="18"/>
      <c r="S6940" s="18"/>
      <c r="T6940" s="18"/>
      <c r="U6940" s="18"/>
      <c r="V6940" s="18"/>
      <c r="W6940" s="18"/>
      <c r="X6940" s="18"/>
    </row>
    <row r="6941" spans="13:24">
      <c r="M6941" s="558">
        <f t="shared" si="329"/>
        <v>6939</v>
      </c>
      <c r="N6941" s="15">
        <f t="shared" si="327"/>
        <v>0.11361848959312909</v>
      </c>
      <c r="O6941" s="165">
        <f t="shared" si="328"/>
        <v>0.11361848959312909</v>
      </c>
      <c r="P6941" s="18"/>
      <c r="Q6941" s="18"/>
      <c r="R6941" s="18"/>
      <c r="S6941" s="18"/>
      <c r="T6941" s="18"/>
      <c r="U6941" s="18"/>
      <c r="V6941" s="18"/>
      <c r="W6941" s="18"/>
      <c r="X6941" s="18"/>
    </row>
    <row r="6942" spans="13:24">
      <c r="M6942" s="558">
        <f t="shared" si="329"/>
        <v>6940</v>
      </c>
      <c r="N6942" s="15">
        <f t="shared" si="327"/>
        <v>0.11356702690490404</v>
      </c>
      <c r="O6942" s="165">
        <f t="shared" si="328"/>
        <v>0.11356702690490404</v>
      </c>
      <c r="P6942" s="18"/>
      <c r="Q6942" s="18"/>
      <c r="R6942" s="18"/>
      <c r="S6942" s="18"/>
      <c r="T6942" s="18"/>
      <c r="U6942" s="18"/>
      <c r="V6942" s="18"/>
      <c r="W6942" s="18"/>
      <c r="X6942" s="18"/>
    </row>
    <row r="6943" spans="13:24">
      <c r="M6943" s="558">
        <f t="shared" si="329"/>
        <v>6941</v>
      </c>
      <c r="N6943" s="15">
        <f t="shared" si="327"/>
        <v>0.11351556433316717</v>
      </c>
      <c r="O6943" s="165">
        <f t="shared" si="328"/>
        <v>0.11351556433316717</v>
      </c>
      <c r="P6943" s="18"/>
      <c r="Q6943" s="18"/>
      <c r="R6943" s="18"/>
      <c r="S6943" s="18"/>
      <c r="T6943" s="18"/>
      <c r="U6943" s="18"/>
      <c r="V6943" s="18"/>
      <c r="W6943" s="18"/>
      <c r="X6943" s="18"/>
    </row>
    <row r="6944" spans="13:24">
      <c r="M6944" s="558">
        <f t="shared" si="329"/>
        <v>6942</v>
      </c>
      <c r="N6944" s="15">
        <f t="shared" si="327"/>
        <v>0.1134641018777723</v>
      </c>
      <c r="O6944" s="165">
        <f t="shared" si="328"/>
        <v>0.1134641018777723</v>
      </c>
      <c r="P6944" s="18"/>
      <c r="Q6944" s="18"/>
      <c r="R6944" s="18"/>
      <c r="S6944" s="18"/>
      <c r="T6944" s="18"/>
      <c r="U6944" s="18"/>
      <c r="V6944" s="18"/>
      <c r="W6944" s="18"/>
      <c r="X6944" s="18"/>
    </row>
    <row r="6945" spans="13:24">
      <c r="M6945" s="558">
        <f t="shared" si="329"/>
        <v>6943</v>
      </c>
      <c r="N6945" s="15">
        <f t="shared" si="327"/>
        <v>0.11341263953857343</v>
      </c>
      <c r="O6945" s="165">
        <f t="shared" si="328"/>
        <v>0.11341263953857343</v>
      </c>
      <c r="P6945" s="18"/>
      <c r="Q6945" s="18"/>
      <c r="R6945" s="18"/>
      <c r="S6945" s="18"/>
      <c r="T6945" s="18"/>
      <c r="U6945" s="18"/>
      <c r="V6945" s="18"/>
      <c r="W6945" s="18"/>
      <c r="X6945" s="18"/>
    </row>
    <row r="6946" spans="13:24">
      <c r="M6946" s="558">
        <f t="shared" si="329"/>
        <v>6944</v>
      </c>
      <c r="N6946" s="15">
        <f t="shared" si="327"/>
        <v>0.11336117731542475</v>
      </c>
      <c r="O6946" s="165">
        <f t="shared" si="328"/>
        <v>0.11336117731542475</v>
      </c>
      <c r="P6946" s="18"/>
      <c r="Q6946" s="18"/>
      <c r="R6946" s="18"/>
      <c r="S6946" s="18"/>
      <c r="T6946" s="18"/>
      <c r="U6946" s="18"/>
      <c r="V6946" s="18"/>
      <c r="W6946" s="18"/>
      <c r="X6946" s="18"/>
    </row>
    <row r="6947" spans="13:24">
      <c r="M6947" s="558">
        <f t="shared" si="329"/>
        <v>6945</v>
      </c>
      <c r="N6947" s="15">
        <f t="shared" si="327"/>
        <v>0.11330971520818062</v>
      </c>
      <c r="O6947" s="165">
        <f t="shared" si="328"/>
        <v>0.11330971520818062</v>
      </c>
      <c r="P6947" s="18"/>
      <c r="Q6947" s="18"/>
      <c r="R6947" s="18"/>
      <c r="S6947" s="18"/>
      <c r="T6947" s="18"/>
      <c r="U6947" s="18"/>
      <c r="V6947" s="18"/>
      <c r="W6947" s="18"/>
      <c r="X6947" s="18"/>
    </row>
    <row r="6948" spans="13:24">
      <c r="M6948" s="558">
        <f t="shared" si="329"/>
        <v>6946</v>
      </c>
      <c r="N6948" s="15">
        <f t="shared" si="327"/>
        <v>0.1132582532166956</v>
      </c>
      <c r="O6948" s="165">
        <f t="shared" si="328"/>
        <v>0.1132582532166956</v>
      </c>
      <c r="P6948" s="18"/>
      <c r="Q6948" s="18"/>
      <c r="R6948" s="18"/>
      <c r="S6948" s="18"/>
      <c r="T6948" s="18"/>
      <c r="U6948" s="18"/>
      <c r="V6948" s="18"/>
      <c r="W6948" s="18"/>
      <c r="X6948" s="18"/>
    </row>
    <row r="6949" spans="13:24">
      <c r="M6949" s="558">
        <f t="shared" si="329"/>
        <v>6947</v>
      </c>
      <c r="N6949" s="15">
        <f t="shared" si="327"/>
        <v>0.1132067913408244</v>
      </c>
      <c r="O6949" s="165">
        <f t="shared" si="328"/>
        <v>0.1132067913408244</v>
      </c>
      <c r="P6949" s="18"/>
      <c r="Q6949" s="18"/>
      <c r="R6949" s="18"/>
      <c r="S6949" s="18"/>
      <c r="T6949" s="18"/>
      <c r="U6949" s="18"/>
      <c r="V6949" s="18"/>
      <c r="W6949" s="18"/>
      <c r="X6949" s="18"/>
    </row>
    <row r="6950" spans="13:24">
      <c r="M6950" s="558">
        <f t="shared" si="329"/>
        <v>6948</v>
      </c>
      <c r="N6950" s="15">
        <f t="shared" si="327"/>
        <v>0.11315532958042195</v>
      </c>
      <c r="O6950" s="165">
        <f t="shared" si="328"/>
        <v>0.11315532958042195</v>
      </c>
      <c r="P6950" s="18"/>
      <c r="Q6950" s="18"/>
      <c r="R6950" s="18"/>
      <c r="S6950" s="18"/>
      <c r="T6950" s="18"/>
      <c r="U6950" s="18"/>
      <c r="V6950" s="18"/>
      <c r="W6950" s="18"/>
      <c r="X6950" s="18"/>
    </row>
    <row r="6951" spans="13:24">
      <c r="M6951" s="558">
        <f t="shared" si="329"/>
        <v>6949</v>
      </c>
      <c r="N6951" s="15">
        <f t="shared" si="327"/>
        <v>0.11310386793534333</v>
      </c>
      <c r="O6951" s="165">
        <f t="shared" si="328"/>
        <v>0.11310386793534333</v>
      </c>
      <c r="P6951" s="18"/>
      <c r="Q6951" s="18"/>
      <c r="R6951" s="18"/>
      <c r="S6951" s="18"/>
      <c r="T6951" s="18"/>
      <c r="U6951" s="18"/>
      <c r="V6951" s="18"/>
      <c r="W6951" s="18"/>
      <c r="X6951" s="18"/>
    </row>
    <row r="6952" spans="13:24">
      <c r="M6952" s="558">
        <f t="shared" si="329"/>
        <v>6950</v>
      </c>
      <c r="N6952" s="15">
        <f t="shared" si="327"/>
        <v>0.11305240640544384</v>
      </c>
      <c r="O6952" s="165">
        <f t="shared" si="328"/>
        <v>0.11305240640544384</v>
      </c>
      <c r="P6952" s="18"/>
      <c r="Q6952" s="18"/>
      <c r="R6952" s="18"/>
      <c r="S6952" s="18"/>
      <c r="T6952" s="18"/>
      <c r="U6952" s="18"/>
      <c r="V6952" s="18"/>
      <c r="W6952" s="18"/>
      <c r="X6952" s="18"/>
    </row>
    <row r="6953" spans="13:24">
      <c r="M6953" s="558">
        <f t="shared" si="329"/>
        <v>6951</v>
      </c>
      <c r="N6953" s="15">
        <f t="shared" si="327"/>
        <v>0.11300094499057893</v>
      </c>
      <c r="O6953" s="165">
        <f t="shared" si="328"/>
        <v>0.11300094499057893</v>
      </c>
      <c r="P6953" s="18"/>
      <c r="Q6953" s="18"/>
      <c r="R6953" s="18"/>
      <c r="S6953" s="18"/>
      <c r="T6953" s="18"/>
      <c r="U6953" s="18"/>
      <c r="V6953" s="18"/>
      <c r="W6953" s="18"/>
      <c r="X6953" s="18"/>
    </row>
    <row r="6954" spans="13:24">
      <c r="M6954" s="558">
        <f t="shared" si="329"/>
        <v>6952</v>
      </c>
      <c r="N6954" s="15">
        <f t="shared" si="327"/>
        <v>0.11294948369060426</v>
      </c>
      <c r="O6954" s="165">
        <f t="shared" si="328"/>
        <v>0.11294948369060426</v>
      </c>
      <c r="P6954" s="18"/>
      <c r="Q6954" s="18"/>
      <c r="R6954" s="18"/>
      <c r="S6954" s="18"/>
      <c r="T6954" s="18"/>
      <c r="U6954" s="18"/>
      <c r="V6954" s="18"/>
      <c r="W6954" s="18"/>
      <c r="X6954" s="18"/>
    </row>
    <row r="6955" spans="13:24">
      <c r="M6955" s="558">
        <f t="shared" si="329"/>
        <v>6953</v>
      </c>
      <c r="N6955" s="15">
        <f t="shared" si="327"/>
        <v>0.11289802250537562</v>
      </c>
      <c r="O6955" s="165">
        <f t="shared" si="328"/>
        <v>0.11289802250537562</v>
      </c>
      <c r="P6955" s="18"/>
      <c r="Q6955" s="18"/>
      <c r="R6955" s="18"/>
      <c r="S6955" s="18"/>
      <c r="T6955" s="18"/>
      <c r="U6955" s="18"/>
      <c r="V6955" s="18"/>
      <c r="W6955" s="18"/>
      <c r="X6955" s="18"/>
    </row>
    <row r="6956" spans="13:24">
      <c r="M6956" s="558">
        <f t="shared" si="329"/>
        <v>6954</v>
      </c>
      <c r="N6956" s="15">
        <f t="shared" si="327"/>
        <v>0.11284656143474901</v>
      </c>
      <c r="O6956" s="165">
        <f t="shared" si="328"/>
        <v>0.11284656143474901</v>
      </c>
      <c r="P6956" s="18"/>
      <c r="Q6956" s="18"/>
      <c r="R6956" s="18"/>
      <c r="S6956" s="18"/>
      <c r="T6956" s="18"/>
      <c r="U6956" s="18"/>
      <c r="V6956" s="18"/>
      <c r="W6956" s="18"/>
      <c r="X6956" s="18"/>
    </row>
    <row r="6957" spans="13:24">
      <c r="M6957" s="558">
        <f t="shared" si="329"/>
        <v>6955</v>
      </c>
      <c r="N6957" s="15">
        <f t="shared" si="327"/>
        <v>0.11279510047858064</v>
      </c>
      <c r="O6957" s="165">
        <f t="shared" si="328"/>
        <v>0.11279510047858064</v>
      </c>
      <c r="P6957" s="18"/>
      <c r="Q6957" s="18"/>
      <c r="R6957" s="18"/>
      <c r="S6957" s="18"/>
      <c r="T6957" s="18"/>
      <c r="U6957" s="18"/>
      <c r="V6957" s="18"/>
      <c r="W6957" s="18"/>
      <c r="X6957" s="18"/>
    </row>
    <row r="6958" spans="13:24">
      <c r="M6958" s="558">
        <f t="shared" si="329"/>
        <v>6956</v>
      </c>
      <c r="N6958" s="15">
        <f t="shared" si="327"/>
        <v>0.11274363963672687</v>
      </c>
      <c r="O6958" s="165">
        <f t="shared" si="328"/>
        <v>0.11274363963672687</v>
      </c>
      <c r="P6958" s="18"/>
      <c r="Q6958" s="18"/>
      <c r="R6958" s="18"/>
      <c r="S6958" s="18"/>
      <c r="T6958" s="18"/>
      <c r="U6958" s="18"/>
      <c r="V6958" s="18"/>
      <c r="W6958" s="18"/>
      <c r="X6958" s="18"/>
    </row>
    <row r="6959" spans="13:24">
      <c r="M6959" s="558">
        <f t="shared" si="329"/>
        <v>6957</v>
      </c>
      <c r="N6959" s="15">
        <f t="shared" si="327"/>
        <v>0.11269217890904425</v>
      </c>
      <c r="O6959" s="165">
        <f t="shared" si="328"/>
        <v>0.11269217890904425</v>
      </c>
      <c r="P6959" s="18"/>
      <c r="Q6959" s="18"/>
      <c r="R6959" s="18"/>
      <c r="S6959" s="18"/>
      <c r="T6959" s="18"/>
      <c r="U6959" s="18"/>
      <c r="V6959" s="18"/>
      <c r="W6959" s="18"/>
      <c r="X6959" s="18"/>
    </row>
    <row r="6960" spans="13:24">
      <c r="M6960" s="558">
        <f t="shared" si="329"/>
        <v>6958</v>
      </c>
      <c r="N6960" s="15">
        <f t="shared" si="327"/>
        <v>0.11264071829538946</v>
      </c>
      <c r="O6960" s="165">
        <f t="shared" si="328"/>
        <v>0.11264071829538946</v>
      </c>
      <c r="P6960" s="18"/>
      <c r="Q6960" s="18"/>
      <c r="R6960" s="18"/>
      <c r="S6960" s="18"/>
      <c r="T6960" s="18"/>
      <c r="U6960" s="18"/>
      <c r="V6960" s="18"/>
      <c r="W6960" s="18"/>
      <c r="X6960" s="18"/>
    </row>
    <row r="6961" spans="13:24">
      <c r="M6961" s="558">
        <f t="shared" si="329"/>
        <v>6959</v>
      </c>
      <c r="N6961" s="15">
        <f t="shared" si="327"/>
        <v>0.11258925779561946</v>
      </c>
      <c r="O6961" s="165">
        <f t="shared" si="328"/>
        <v>0.11258925779561946</v>
      </c>
      <c r="P6961" s="18"/>
      <c r="Q6961" s="18"/>
      <c r="R6961" s="18"/>
      <c r="S6961" s="18"/>
      <c r="T6961" s="18"/>
      <c r="U6961" s="18"/>
      <c r="V6961" s="18"/>
      <c r="W6961" s="18"/>
      <c r="X6961" s="18"/>
    </row>
    <row r="6962" spans="13:24">
      <c r="M6962" s="558">
        <f t="shared" si="329"/>
        <v>6960</v>
      </c>
      <c r="N6962" s="15">
        <f t="shared" si="327"/>
        <v>0.1125377974095913</v>
      </c>
      <c r="O6962" s="165">
        <f t="shared" si="328"/>
        <v>0.1125377974095913</v>
      </c>
      <c r="P6962" s="18"/>
      <c r="Q6962" s="18"/>
      <c r="R6962" s="18"/>
      <c r="S6962" s="18"/>
      <c r="T6962" s="18"/>
      <c r="U6962" s="18"/>
      <c r="V6962" s="18"/>
      <c r="W6962" s="18"/>
      <c r="X6962" s="18"/>
    </row>
    <row r="6963" spans="13:24">
      <c r="M6963" s="558">
        <f t="shared" si="329"/>
        <v>6961</v>
      </c>
      <c r="N6963" s="15">
        <f t="shared" si="327"/>
        <v>0.11248633713716226</v>
      </c>
      <c r="O6963" s="165">
        <f t="shared" si="328"/>
        <v>0.11248633713716226</v>
      </c>
      <c r="P6963" s="18"/>
      <c r="Q6963" s="18"/>
      <c r="R6963" s="18"/>
      <c r="S6963" s="18"/>
      <c r="T6963" s="18"/>
      <c r="U6963" s="18"/>
      <c r="V6963" s="18"/>
      <c r="W6963" s="18"/>
      <c r="X6963" s="18"/>
    </row>
    <row r="6964" spans="13:24">
      <c r="M6964" s="558">
        <f t="shared" si="329"/>
        <v>6962</v>
      </c>
      <c r="N6964" s="15">
        <f t="shared" si="327"/>
        <v>0.11243487697818978</v>
      </c>
      <c r="O6964" s="165">
        <f t="shared" si="328"/>
        <v>0.11243487697818978</v>
      </c>
      <c r="P6964" s="18"/>
      <c r="Q6964" s="18"/>
      <c r="R6964" s="18"/>
      <c r="S6964" s="18"/>
      <c r="T6964" s="18"/>
      <c r="U6964" s="18"/>
      <c r="V6964" s="18"/>
      <c r="W6964" s="18"/>
      <c r="X6964" s="18"/>
    </row>
    <row r="6965" spans="13:24">
      <c r="M6965" s="558">
        <f t="shared" si="329"/>
        <v>6963</v>
      </c>
      <c r="N6965" s="15">
        <f t="shared" si="327"/>
        <v>0.11238341693253147</v>
      </c>
      <c r="O6965" s="165">
        <f t="shared" si="328"/>
        <v>0.11238341693253147</v>
      </c>
      <c r="P6965" s="18"/>
      <c r="Q6965" s="18"/>
      <c r="R6965" s="18"/>
      <c r="S6965" s="18"/>
      <c r="T6965" s="18"/>
      <c r="U6965" s="18"/>
      <c r="V6965" s="18"/>
      <c r="W6965" s="18"/>
      <c r="X6965" s="18"/>
    </row>
    <row r="6966" spans="13:24">
      <c r="M6966" s="558">
        <f t="shared" si="329"/>
        <v>6964</v>
      </c>
      <c r="N6966" s="15">
        <f t="shared" si="327"/>
        <v>0.11233195700004513</v>
      </c>
      <c r="O6966" s="165">
        <f t="shared" si="328"/>
        <v>0.11233195700004513</v>
      </c>
      <c r="P6966" s="18"/>
      <c r="Q6966" s="18"/>
      <c r="R6966" s="18"/>
      <c r="S6966" s="18"/>
      <c r="T6966" s="18"/>
      <c r="U6966" s="18"/>
      <c r="V6966" s="18"/>
      <c r="W6966" s="18"/>
      <c r="X6966" s="18"/>
    </row>
    <row r="6967" spans="13:24">
      <c r="M6967" s="558">
        <f t="shared" si="329"/>
        <v>6965</v>
      </c>
      <c r="N6967" s="15">
        <f t="shared" si="327"/>
        <v>0.11228049718058875</v>
      </c>
      <c r="O6967" s="165">
        <f t="shared" si="328"/>
        <v>0.11228049718058875</v>
      </c>
      <c r="P6967" s="18"/>
      <c r="Q6967" s="18"/>
      <c r="R6967" s="18"/>
      <c r="S6967" s="18"/>
      <c r="T6967" s="18"/>
      <c r="U6967" s="18"/>
      <c r="V6967" s="18"/>
      <c r="W6967" s="18"/>
      <c r="X6967" s="18"/>
    </row>
    <row r="6968" spans="13:24">
      <c r="M6968" s="558">
        <f t="shared" si="329"/>
        <v>6966</v>
      </c>
      <c r="N6968" s="15">
        <f t="shared" si="327"/>
        <v>0.11222903747402048</v>
      </c>
      <c r="O6968" s="165">
        <f t="shared" si="328"/>
        <v>0.11222903747402048</v>
      </c>
      <c r="P6968" s="18"/>
      <c r="Q6968" s="18"/>
      <c r="R6968" s="18"/>
      <c r="S6968" s="18"/>
      <c r="T6968" s="18"/>
      <c r="U6968" s="18"/>
      <c r="V6968" s="18"/>
      <c r="W6968" s="18"/>
      <c r="X6968" s="18"/>
    </row>
    <row r="6969" spans="13:24">
      <c r="M6969" s="558">
        <f t="shared" si="329"/>
        <v>6967</v>
      </c>
      <c r="N6969" s="15">
        <f t="shared" si="327"/>
        <v>0.11217757788019865</v>
      </c>
      <c r="O6969" s="165">
        <f t="shared" si="328"/>
        <v>0.11217757788019865</v>
      </c>
      <c r="P6969" s="18"/>
      <c r="Q6969" s="18"/>
      <c r="R6969" s="18"/>
      <c r="S6969" s="18"/>
      <c r="T6969" s="18"/>
      <c r="U6969" s="18"/>
      <c r="V6969" s="18"/>
      <c r="W6969" s="18"/>
      <c r="X6969" s="18"/>
    </row>
    <row r="6970" spans="13:24">
      <c r="M6970" s="558">
        <f t="shared" si="329"/>
        <v>6968</v>
      </c>
      <c r="N6970" s="15">
        <f t="shared" si="327"/>
        <v>0.11212611839898179</v>
      </c>
      <c r="O6970" s="165">
        <f t="shared" si="328"/>
        <v>0.11212611839898179</v>
      </c>
      <c r="P6970" s="18"/>
      <c r="Q6970" s="18"/>
      <c r="R6970" s="18"/>
      <c r="S6970" s="18"/>
      <c r="T6970" s="18"/>
      <c r="U6970" s="18"/>
      <c r="V6970" s="18"/>
      <c r="W6970" s="18"/>
      <c r="X6970" s="18"/>
    </row>
    <row r="6971" spans="13:24">
      <c r="M6971" s="558">
        <f t="shared" si="329"/>
        <v>6969</v>
      </c>
      <c r="N6971" s="15">
        <f t="shared" si="327"/>
        <v>0.11207465903022858</v>
      </c>
      <c r="O6971" s="165">
        <f t="shared" si="328"/>
        <v>0.11207465903022858</v>
      </c>
      <c r="P6971" s="18"/>
      <c r="Q6971" s="18"/>
      <c r="R6971" s="18"/>
      <c r="S6971" s="18"/>
      <c r="T6971" s="18"/>
      <c r="U6971" s="18"/>
      <c r="V6971" s="18"/>
      <c r="W6971" s="18"/>
      <c r="X6971" s="18"/>
    </row>
    <row r="6972" spans="13:24">
      <c r="M6972" s="558">
        <f t="shared" si="329"/>
        <v>6970</v>
      </c>
      <c r="N6972" s="15">
        <f t="shared" si="327"/>
        <v>0.11202319977379788</v>
      </c>
      <c r="O6972" s="165">
        <f t="shared" si="328"/>
        <v>0.11202319977379788</v>
      </c>
      <c r="P6972" s="18"/>
      <c r="Q6972" s="18"/>
      <c r="R6972" s="18"/>
      <c r="S6972" s="18"/>
      <c r="T6972" s="18"/>
      <c r="U6972" s="18"/>
      <c r="V6972" s="18"/>
      <c r="W6972" s="18"/>
      <c r="X6972" s="18"/>
    </row>
    <row r="6973" spans="13:24">
      <c r="M6973" s="558">
        <f t="shared" si="329"/>
        <v>6971</v>
      </c>
      <c r="N6973" s="15">
        <f t="shared" si="327"/>
        <v>0.11197174062954873</v>
      </c>
      <c r="O6973" s="165">
        <f t="shared" si="328"/>
        <v>0.11197174062954873</v>
      </c>
      <c r="P6973" s="18"/>
      <c r="Q6973" s="18"/>
      <c r="R6973" s="18"/>
      <c r="S6973" s="18"/>
      <c r="T6973" s="18"/>
      <c r="U6973" s="18"/>
      <c r="V6973" s="18"/>
      <c r="W6973" s="18"/>
      <c r="X6973" s="18"/>
    </row>
    <row r="6974" spans="13:24">
      <c r="M6974" s="558">
        <f t="shared" si="329"/>
        <v>6972</v>
      </c>
      <c r="N6974" s="15">
        <f t="shared" si="327"/>
        <v>0.11192028159734037</v>
      </c>
      <c r="O6974" s="165">
        <f t="shared" si="328"/>
        <v>0.11192028159734037</v>
      </c>
      <c r="P6974" s="18"/>
      <c r="Q6974" s="18"/>
      <c r="R6974" s="18"/>
      <c r="S6974" s="18"/>
      <c r="T6974" s="18"/>
      <c r="U6974" s="18"/>
      <c r="V6974" s="18"/>
      <c r="W6974" s="18"/>
      <c r="X6974" s="18"/>
    </row>
    <row r="6975" spans="13:24">
      <c r="M6975" s="558">
        <f t="shared" si="329"/>
        <v>6973</v>
      </c>
      <c r="N6975" s="15">
        <f t="shared" si="327"/>
        <v>0.11186882267703219</v>
      </c>
      <c r="O6975" s="165">
        <f t="shared" si="328"/>
        <v>0.11186882267703219</v>
      </c>
      <c r="P6975" s="18"/>
      <c r="Q6975" s="18"/>
      <c r="R6975" s="18"/>
      <c r="S6975" s="18"/>
      <c r="T6975" s="18"/>
      <c r="U6975" s="18"/>
      <c r="V6975" s="18"/>
      <c r="W6975" s="18"/>
      <c r="X6975" s="18"/>
    </row>
    <row r="6976" spans="13:24">
      <c r="M6976" s="558">
        <f t="shared" si="329"/>
        <v>6974</v>
      </c>
      <c r="N6976" s="15">
        <f t="shared" si="327"/>
        <v>0.11181736386848376</v>
      </c>
      <c r="O6976" s="165">
        <f t="shared" si="328"/>
        <v>0.11181736386848376</v>
      </c>
      <c r="P6976" s="18"/>
      <c r="Q6976" s="18"/>
      <c r="R6976" s="18"/>
      <c r="S6976" s="18"/>
      <c r="T6976" s="18"/>
      <c r="U6976" s="18"/>
      <c r="V6976" s="18"/>
      <c r="W6976" s="18"/>
      <c r="X6976" s="18"/>
    </row>
    <row r="6977" spans="13:24">
      <c r="M6977" s="558">
        <f t="shared" si="329"/>
        <v>6975</v>
      </c>
      <c r="N6977" s="15">
        <f t="shared" si="327"/>
        <v>0.11176590517155482</v>
      </c>
      <c r="O6977" s="165">
        <f t="shared" si="328"/>
        <v>0.11176590517155482</v>
      </c>
      <c r="P6977" s="18"/>
      <c r="Q6977" s="18"/>
      <c r="R6977" s="18"/>
      <c r="S6977" s="18"/>
      <c r="T6977" s="18"/>
      <c r="U6977" s="18"/>
      <c r="V6977" s="18"/>
      <c r="W6977" s="18"/>
      <c r="X6977" s="18"/>
    </row>
    <row r="6978" spans="13:24">
      <c r="M6978" s="558">
        <f t="shared" si="329"/>
        <v>6976</v>
      </c>
      <c r="N6978" s="15">
        <f t="shared" si="327"/>
        <v>0.11171444658610533</v>
      </c>
      <c r="O6978" s="165">
        <f t="shared" si="328"/>
        <v>0.11171444658610533</v>
      </c>
      <c r="P6978" s="18"/>
      <c r="Q6978" s="18"/>
      <c r="R6978" s="18"/>
      <c r="S6978" s="18"/>
      <c r="T6978" s="18"/>
      <c r="U6978" s="18"/>
      <c r="V6978" s="18"/>
      <c r="W6978" s="18"/>
      <c r="X6978" s="18"/>
    </row>
    <row r="6979" spans="13:24">
      <c r="M6979" s="558">
        <f t="shared" si="329"/>
        <v>6977</v>
      </c>
      <c r="N6979" s="15">
        <f t="shared" si="327"/>
        <v>0.11166298811199536</v>
      </c>
      <c r="O6979" s="165">
        <f t="shared" si="328"/>
        <v>0.11166298811199536</v>
      </c>
      <c r="P6979" s="18"/>
      <c r="Q6979" s="18"/>
      <c r="R6979" s="18"/>
      <c r="S6979" s="18"/>
      <c r="T6979" s="18"/>
      <c r="U6979" s="18"/>
      <c r="V6979" s="18"/>
      <c r="W6979" s="18"/>
      <c r="X6979" s="18"/>
    </row>
    <row r="6980" spans="13:24">
      <c r="M6980" s="558">
        <f t="shared" si="329"/>
        <v>6978</v>
      </c>
      <c r="N6980" s="15">
        <f t="shared" ref="N6980:N7043" si="330">IF(M6980&lt;$B$31+1,$B$32+$B$33/$B$31*(8760-M6980)+$B$34*IF(M6980&lt;$B$36-$B$31/(2*$B$35),1,IF(M6980&lt;$B$36+$B$31/(2*$B$35),COS(PI()/2*(M6980-($B$36-$B$31/(2*$B$35)))*$B$35/$B$31)^2,0))+$B$37*EXP((8760-M6980)/8760*$B$38)/EXP($B$38)-(8760-$B$31)*$B$33/$B$31,0)</f>
        <v>0.11161152974908521</v>
      </c>
      <c r="O6980" s="165">
        <f t="shared" ref="O6980:O7043" si="331">MIN(N6980,C$24)</f>
        <v>0.11161152974908521</v>
      </c>
      <c r="P6980" s="18"/>
      <c r="Q6980" s="18"/>
      <c r="R6980" s="18"/>
      <c r="S6980" s="18"/>
      <c r="T6980" s="18"/>
      <c r="U6980" s="18"/>
      <c r="V6980" s="18"/>
      <c r="W6980" s="18"/>
      <c r="X6980" s="18"/>
    </row>
    <row r="6981" spans="13:24">
      <c r="M6981" s="558">
        <f t="shared" ref="M6981:M7044" si="332">M6980+1</f>
        <v>6979</v>
      </c>
      <c r="N6981" s="15">
        <f t="shared" si="330"/>
        <v>0.11156007149723532</v>
      </c>
      <c r="O6981" s="165">
        <f t="shared" si="331"/>
        <v>0.11156007149723532</v>
      </c>
      <c r="P6981" s="18"/>
      <c r="Q6981" s="18"/>
      <c r="R6981" s="18"/>
      <c r="S6981" s="18"/>
      <c r="T6981" s="18"/>
      <c r="U6981" s="18"/>
      <c r="V6981" s="18"/>
      <c r="W6981" s="18"/>
      <c r="X6981" s="18"/>
    </row>
    <row r="6982" spans="13:24">
      <c r="M6982" s="558">
        <f t="shared" si="332"/>
        <v>6980</v>
      </c>
      <c r="N6982" s="15">
        <f t="shared" si="330"/>
        <v>0.1115086133563063</v>
      </c>
      <c r="O6982" s="165">
        <f t="shared" si="331"/>
        <v>0.1115086133563063</v>
      </c>
      <c r="P6982" s="18"/>
      <c r="Q6982" s="18"/>
      <c r="R6982" s="18"/>
      <c r="S6982" s="18"/>
      <c r="T6982" s="18"/>
      <c r="U6982" s="18"/>
      <c r="V6982" s="18"/>
      <c r="W6982" s="18"/>
      <c r="X6982" s="18"/>
    </row>
    <row r="6983" spans="13:24">
      <c r="M6983" s="558">
        <f t="shared" si="332"/>
        <v>6981</v>
      </c>
      <c r="N6983" s="15">
        <f t="shared" si="330"/>
        <v>0.11145715532615899</v>
      </c>
      <c r="O6983" s="165">
        <f t="shared" si="331"/>
        <v>0.11145715532615899</v>
      </c>
      <c r="P6983" s="18"/>
      <c r="Q6983" s="18"/>
      <c r="R6983" s="18"/>
      <c r="S6983" s="18"/>
      <c r="T6983" s="18"/>
      <c r="U6983" s="18"/>
      <c r="V6983" s="18"/>
      <c r="W6983" s="18"/>
      <c r="X6983" s="18"/>
    </row>
    <row r="6984" spans="13:24">
      <c r="M6984" s="558">
        <f t="shared" si="332"/>
        <v>6982</v>
      </c>
      <c r="N6984" s="15">
        <f t="shared" si="330"/>
        <v>0.11140569740665435</v>
      </c>
      <c r="O6984" s="165">
        <f t="shared" si="331"/>
        <v>0.11140569740665435</v>
      </c>
      <c r="P6984" s="18"/>
      <c r="Q6984" s="18"/>
      <c r="R6984" s="18"/>
      <c r="S6984" s="18"/>
      <c r="T6984" s="18"/>
      <c r="U6984" s="18"/>
      <c r="V6984" s="18"/>
      <c r="W6984" s="18"/>
      <c r="X6984" s="18"/>
    </row>
    <row r="6985" spans="13:24">
      <c r="M6985" s="558">
        <f t="shared" si="332"/>
        <v>6983</v>
      </c>
      <c r="N6985" s="15">
        <f t="shared" si="330"/>
        <v>0.11135423959765355</v>
      </c>
      <c r="O6985" s="165">
        <f t="shared" si="331"/>
        <v>0.11135423959765355</v>
      </c>
      <c r="P6985" s="18"/>
      <c r="Q6985" s="18"/>
      <c r="R6985" s="18"/>
      <c r="S6985" s="18"/>
      <c r="T6985" s="18"/>
      <c r="U6985" s="18"/>
      <c r="V6985" s="18"/>
      <c r="W6985" s="18"/>
      <c r="X6985" s="18"/>
    </row>
    <row r="6986" spans="13:24">
      <c r="M6986" s="558">
        <f t="shared" si="332"/>
        <v>6984</v>
      </c>
      <c r="N6986" s="15">
        <f t="shared" si="330"/>
        <v>0.11130278189901788</v>
      </c>
      <c r="O6986" s="165">
        <f t="shared" si="331"/>
        <v>0.11130278189901788</v>
      </c>
      <c r="P6986" s="18"/>
      <c r="Q6986" s="18"/>
      <c r="R6986" s="18"/>
      <c r="S6986" s="18"/>
      <c r="T6986" s="18"/>
      <c r="U6986" s="18"/>
      <c r="V6986" s="18"/>
      <c r="W6986" s="18"/>
      <c r="X6986" s="18"/>
    </row>
    <row r="6987" spans="13:24">
      <c r="M6987" s="558">
        <f t="shared" si="332"/>
        <v>6985</v>
      </c>
      <c r="N6987" s="15">
        <f t="shared" si="330"/>
        <v>0.11125132431060887</v>
      </c>
      <c r="O6987" s="165">
        <f t="shared" si="331"/>
        <v>0.11125132431060887</v>
      </c>
      <c r="P6987" s="18"/>
      <c r="Q6987" s="18"/>
      <c r="R6987" s="18"/>
      <c r="S6987" s="18"/>
      <c r="T6987" s="18"/>
      <c r="U6987" s="18"/>
      <c r="V6987" s="18"/>
      <c r="W6987" s="18"/>
      <c r="X6987" s="18"/>
    </row>
    <row r="6988" spans="13:24">
      <c r="M6988" s="558">
        <f t="shared" si="332"/>
        <v>6986</v>
      </c>
      <c r="N6988" s="15">
        <f t="shared" si="330"/>
        <v>0.11119986683228819</v>
      </c>
      <c r="O6988" s="165">
        <f t="shared" si="331"/>
        <v>0.11119986683228819</v>
      </c>
      <c r="P6988" s="18"/>
      <c r="Q6988" s="18"/>
      <c r="R6988" s="18"/>
      <c r="S6988" s="18"/>
      <c r="T6988" s="18"/>
      <c r="U6988" s="18"/>
      <c r="V6988" s="18"/>
      <c r="W6988" s="18"/>
      <c r="X6988" s="18"/>
    </row>
    <row r="6989" spans="13:24">
      <c r="M6989" s="558">
        <f t="shared" si="332"/>
        <v>6987</v>
      </c>
      <c r="N6989" s="15">
        <f t="shared" si="330"/>
        <v>0.11114840946391769</v>
      </c>
      <c r="O6989" s="165">
        <f t="shared" si="331"/>
        <v>0.11114840946391769</v>
      </c>
      <c r="P6989" s="18"/>
      <c r="Q6989" s="18"/>
      <c r="R6989" s="18"/>
      <c r="S6989" s="18"/>
      <c r="T6989" s="18"/>
      <c r="U6989" s="18"/>
      <c r="V6989" s="18"/>
      <c r="W6989" s="18"/>
      <c r="X6989" s="18"/>
    </row>
    <row r="6990" spans="13:24">
      <c r="M6990" s="558">
        <f t="shared" si="332"/>
        <v>6988</v>
      </c>
      <c r="N6990" s="15">
        <f t="shared" si="330"/>
        <v>0.11109695220535937</v>
      </c>
      <c r="O6990" s="165">
        <f t="shared" si="331"/>
        <v>0.11109695220535937</v>
      </c>
      <c r="P6990" s="18"/>
      <c r="Q6990" s="18"/>
      <c r="R6990" s="18"/>
      <c r="S6990" s="18"/>
      <c r="T6990" s="18"/>
      <c r="U6990" s="18"/>
      <c r="V6990" s="18"/>
      <c r="W6990" s="18"/>
      <c r="X6990" s="18"/>
    </row>
    <row r="6991" spans="13:24">
      <c r="M6991" s="558">
        <f t="shared" si="332"/>
        <v>6989</v>
      </c>
      <c r="N6991" s="15">
        <f t="shared" si="330"/>
        <v>0.11104549505647544</v>
      </c>
      <c r="O6991" s="165">
        <f t="shared" si="331"/>
        <v>0.11104549505647544</v>
      </c>
      <c r="P6991" s="18"/>
      <c r="Q6991" s="18"/>
      <c r="R6991" s="18"/>
      <c r="S6991" s="18"/>
      <c r="T6991" s="18"/>
      <c r="U6991" s="18"/>
      <c r="V6991" s="18"/>
      <c r="W6991" s="18"/>
      <c r="X6991" s="18"/>
    </row>
    <row r="6992" spans="13:24">
      <c r="M6992" s="558">
        <f t="shared" si="332"/>
        <v>6990</v>
      </c>
      <c r="N6992" s="15">
        <f t="shared" si="330"/>
        <v>0.11099403801712827</v>
      </c>
      <c r="O6992" s="165">
        <f t="shared" si="331"/>
        <v>0.11099403801712827</v>
      </c>
      <c r="P6992" s="18"/>
      <c r="Q6992" s="18"/>
      <c r="R6992" s="18"/>
      <c r="S6992" s="18"/>
      <c r="T6992" s="18"/>
      <c r="U6992" s="18"/>
      <c r="V6992" s="18"/>
      <c r="W6992" s="18"/>
      <c r="X6992" s="18"/>
    </row>
    <row r="6993" spans="13:24">
      <c r="M6993" s="558">
        <f t="shared" si="332"/>
        <v>6991</v>
      </c>
      <c r="N6993" s="15">
        <f t="shared" si="330"/>
        <v>0.1109425810871804</v>
      </c>
      <c r="O6993" s="165">
        <f t="shared" si="331"/>
        <v>0.1109425810871804</v>
      </c>
      <c r="P6993" s="18"/>
      <c r="Q6993" s="18"/>
      <c r="R6993" s="18"/>
      <c r="S6993" s="18"/>
      <c r="T6993" s="18"/>
      <c r="U6993" s="18"/>
      <c r="V6993" s="18"/>
      <c r="W6993" s="18"/>
      <c r="X6993" s="18"/>
    </row>
    <row r="6994" spans="13:24">
      <c r="M6994" s="558">
        <f t="shared" si="332"/>
        <v>6992</v>
      </c>
      <c r="N6994" s="15">
        <f t="shared" si="330"/>
        <v>0.11089112426649454</v>
      </c>
      <c r="O6994" s="165">
        <f t="shared" si="331"/>
        <v>0.11089112426649454</v>
      </c>
      <c r="P6994" s="18"/>
      <c r="Q6994" s="18"/>
      <c r="R6994" s="18"/>
      <c r="S6994" s="18"/>
      <c r="T6994" s="18"/>
      <c r="U6994" s="18"/>
      <c r="V6994" s="18"/>
      <c r="W6994" s="18"/>
      <c r="X6994" s="18"/>
    </row>
    <row r="6995" spans="13:24">
      <c r="M6995" s="558">
        <f t="shared" si="332"/>
        <v>6993</v>
      </c>
      <c r="N6995" s="15">
        <f t="shared" si="330"/>
        <v>0.11083966755493359</v>
      </c>
      <c r="O6995" s="165">
        <f t="shared" si="331"/>
        <v>0.11083966755493359</v>
      </c>
      <c r="P6995" s="18"/>
      <c r="Q6995" s="18"/>
      <c r="R6995" s="18"/>
      <c r="S6995" s="18"/>
      <c r="T6995" s="18"/>
      <c r="U6995" s="18"/>
      <c r="V6995" s="18"/>
      <c r="W6995" s="18"/>
      <c r="X6995" s="18"/>
    </row>
    <row r="6996" spans="13:24">
      <c r="M6996" s="558">
        <f t="shared" si="332"/>
        <v>6994</v>
      </c>
      <c r="N6996" s="15">
        <f t="shared" si="330"/>
        <v>0.11078821095236058</v>
      </c>
      <c r="O6996" s="165">
        <f t="shared" si="331"/>
        <v>0.11078821095236058</v>
      </c>
      <c r="P6996" s="18"/>
      <c r="Q6996" s="18"/>
      <c r="R6996" s="18"/>
      <c r="S6996" s="18"/>
      <c r="T6996" s="18"/>
      <c r="U6996" s="18"/>
      <c r="V6996" s="18"/>
      <c r="W6996" s="18"/>
      <c r="X6996" s="18"/>
    </row>
    <row r="6997" spans="13:24">
      <c r="M6997" s="558">
        <f t="shared" si="332"/>
        <v>6995</v>
      </c>
      <c r="N6997" s="15">
        <f t="shared" si="330"/>
        <v>0.11073675445863873</v>
      </c>
      <c r="O6997" s="165">
        <f t="shared" si="331"/>
        <v>0.11073675445863873</v>
      </c>
      <c r="P6997" s="18"/>
      <c r="Q6997" s="18"/>
      <c r="R6997" s="18"/>
      <c r="S6997" s="18"/>
      <c r="T6997" s="18"/>
      <c r="U6997" s="18"/>
      <c r="V6997" s="18"/>
      <c r="W6997" s="18"/>
      <c r="X6997" s="18"/>
    </row>
    <row r="6998" spans="13:24">
      <c r="M6998" s="558">
        <f t="shared" si="332"/>
        <v>6996</v>
      </c>
      <c r="N6998" s="15">
        <f t="shared" si="330"/>
        <v>0.11068529807363148</v>
      </c>
      <c r="O6998" s="165">
        <f t="shared" si="331"/>
        <v>0.11068529807363148</v>
      </c>
      <c r="P6998" s="18"/>
      <c r="Q6998" s="18"/>
      <c r="R6998" s="18"/>
      <c r="S6998" s="18"/>
      <c r="T6998" s="18"/>
      <c r="U6998" s="18"/>
      <c r="V6998" s="18"/>
      <c r="W6998" s="18"/>
      <c r="X6998" s="18"/>
    </row>
    <row r="6999" spans="13:24">
      <c r="M6999" s="558">
        <f t="shared" si="332"/>
        <v>6997</v>
      </c>
      <c r="N6999" s="15">
        <f t="shared" si="330"/>
        <v>0.11063384179720238</v>
      </c>
      <c r="O6999" s="165">
        <f t="shared" si="331"/>
        <v>0.11063384179720238</v>
      </c>
      <c r="P6999" s="18"/>
      <c r="Q6999" s="18"/>
      <c r="R6999" s="18"/>
      <c r="S6999" s="18"/>
      <c r="T6999" s="18"/>
      <c r="U6999" s="18"/>
      <c r="V6999" s="18"/>
      <c r="W6999" s="18"/>
      <c r="X6999" s="18"/>
    </row>
    <row r="7000" spans="13:24">
      <c r="M7000" s="558">
        <f t="shared" si="332"/>
        <v>6998</v>
      </c>
      <c r="N7000" s="15">
        <f t="shared" si="330"/>
        <v>0.11058238562921519</v>
      </c>
      <c r="O7000" s="165">
        <f t="shared" si="331"/>
        <v>0.11058238562921519</v>
      </c>
      <c r="P7000" s="18"/>
      <c r="Q7000" s="18"/>
      <c r="R7000" s="18"/>
      <c r="S7000" s="18"/>
      <c r="T7000" s="18"/>
      <c r="U7000" s="18"/>
      <c r="V7000" s="18"/>
      <c r="W7000" s="18"/>
      <c r="X7000" s="18"/>
    </row>
    <row r="7001" spans="13:24">
      <c r="M7001" s="558">
        <f t="shared" si="332"/>
        <v>6999</v>
      </c>
      <c r="N7001" s="15">
        <f t="shared" si="330"/>
        <v>0.1105309295695338</v>
      </c>
      <c r="O7001" s="165">
        <f t="shared" si="331"/>
        <v>0.1105309295695338</v>
      </c>
      <c r="P7001" s="18"/>
      <c r="Q7001" s="18"/>
      <c r="R7001" s="18"/>
      <c r="S7001" s="18"/>
      <c r="T7001" s="18"/>
      <c r="U7001" s="18"/>
      <c r="V7001" s="18"/>
      <c r="W7001" s="18"/>
      <c r="X7001" s="18"/>
    </row>
    <row r="7002" spans="13:24">
      <c r="M7002" s="558">
        <f t="shared" si="332"/>
        <v>7000</v>
      </c>
      <c r="N7002" s="15">
        <f t="shared" si="330"/>
        <v>0.11047947361802231</v>
      </c>
      <c r="O7002" s="165">
        <f t="shared" si="331"/>
        <v>0.11047947361802231</v>
      </c>
      <c r="P7002" s="18"/>
      <c r="Q7002" s="18"/>
      <c r="R7002" s="18"/>
      <c r="S7002" s="18"/>
      <c r="T7002" s="18"/>
      <c r="U7002" s="18"/>
      <c r="V7002" s="18"/>
      <c r="W7002" s="18"/>
      <c r="X7002" s="18"/>
    </row>
    <row r="7003" spans="13:24">
      <c r="M7003" s="558">
        <f t="shared" si="332"/>
        <v>7001</v>
      </c>
      <c r="N7003" s="15">
        <f t="shared" si="330"/>
        <v>0.11042801777454496</v>
      </c>
      <c r="O7003" s="165">
        <f t="shared" si="331"/>
        <v>0.11042801777454496</v>
      </c>
      <c r="P7003" s="18"/>
      <c r="Q7003" s="18"/>
      <c r="R7003" s="18"/>
      <c r="S7003" s="18"/>
      <c r="T7003" s="18"/>
      <c r="U7003" s="18"/>
      <c r="V7003" s="18"/>
      <c r="W7003" s="18"/>
      <c r="X7003" s="18"/>
    </row>
    <row r="7004" spans="13:24">
      <c r="M7004" s="558">
        <f t="shared" si="332"/>
        <v>7002</v>
      </c>
      <c r="N7004" s="15">
        <f t="shared" si="330"/>
        <v>0.1103765620389662</v>
      </c>
      <c r="O7004" s="165">
        <f t="shared" si="331"/>
        <v>0.1103765620389662</v>
      </c>
      <c r="P7004" s="18"/>
      <c r="Q7004" s="18"/>
      <c r="R7004" s="18"/>
      <c r="S7004" s="18"/>
      <c r="T7004" s="18"/>
      <c r="U7004" s="18"/>
      <c r="V7004" s="18"/>
      <c r="W7004" s="18"/>
      <c r="X7004" s="18"/>
    </row>
    <row r="7005" spans="13:24">
      <c r="M7005" s="558">
        <f t="shared" si="332"/>
        <v>7003</v>
      </c>
      <c r="N7005" s="15">
        <f t="shared" si="330"/>
        <v>0.11032510641115061</v>
      </c>
      <c r="O7005" s="165">
        <f t="shared" si="331"/>
        <v>0.11032510641115061</v>
      </c>
      <c r="P7005" s="18"/>
      <c r="Q7005" s="18"/>
      <c r="R7005" s="18"/>
      <c r="S7005" s="18"/>
      <c r="T7005" s="18"/>
      <c r="U7005" s="18"/>
      <c r="V7005" s="18"/>
      <c r="W7005" s="18"/>
      <c r="X7005" s="18"/>
    </row>
    <row r="7006" spans="13:24">
      <c r="M7006" s="558">
        <f t="shared" si="332"/>
        <v>7004</v>
      </c>
      <c r="N7006" s="15">
        <f t="shared" si="330"/>
        <v>0.11027365089096296</v>
      </c>
      <c r="O7006" s="165">
        <f t="shared" si="331"/>
        <v>0.11027365089096296</v>
      </c>
      <c r="P7006" s="18"/>
      <c r="Q7006" s="18"/>
      <c r="R7006" s="18"/>
      <c r="S7006" s="18"/>
      <c r="T7006" s="18"/>
      <c r="U7006" s="18"/>
      <c r="V7006" s="18"/>
      <c r="W7006" s="18"/>
      <c r="X7006" s="18"/>
    </row>
    <row r="7007" spans="13:24">
      <c r="M7007" s="558">
        <f t="shared" si="332"/>
        <v>7005</v>
      </c>
      <c r="N7007" s="15">
        <f t="shared" si="330"/>
        <v>0.11022219547826817</v>
      </c>
      <c r="O7007" s="165">
        <f t="shared" si="331"/>
        <v>0.11022219547826817</v>
      </c>
      <c r="P7007" s="18"/>
      <c r="Q7007" s="18"/>
      <c r="R7007" s="18"/>
      <c r="S7007" s="18"/>
      <c r="T7007" s="18"/>
      <c r="U7007" s="18"/>
      <c r="V7007" s="18"/>
      <c r="W7007" s="18"/>
      <c r="X7007" s="18"/>
    </row>
    <row r="7008" spans="13:24">
      <c r="M7008" s="558">
        <f t="shared" si="332"/>
        <v>7006</v>
      </c>
      <c r="N7008" s="15">
        <f t="shared" si="330"/>
        <v>0.11017074017293137</v>
      </c>
      <c r="O7008" s="165">
        <f t="shared" si="331"/>
        <v>0.11017074017293137</v>
      </c>
      <c r="P7008" s="18"/>
      <c r="Q7008" s="18"/>
      <c r="R7008" s="18"/>
      <c r="S7008" s="18"/>
      <c r="T7008" s="18"/>
      <c r="U7008" s="18"/>
      <c r="V7008" s="18"/>
      <c r="W7008" s="18"/>
      <c r="X7008" s="18"/>
    </row>
    <row r="7009" spans="13:24">
      <c r="M7009" s="558">
        <f t="shared" si="332"/>
        <v>7007</v>
      </c>
      <c r="N7009" s="15">
        <f t="shared" si="330"/>
        <v>0.11011928497481782</v>
      </c>
      <c r="O7009" s="165">
        <f t="shared" si="331"/>
        <v>0.11011928497481782</v>
      </c>
      <c r="P7009" s="18"/>
      <c r="Q7009" s="18"/>
      <c r="R7009" s="18"/>
      <c r="S7009" s="18"/>
      <c r="T7009" s="18"/>
      <c r="U7009" s="18"/>
      <c r="V7009" s="18"/>
      <c r="W7009" s="18"/>
      <c r="X7009" s="18"/>
    </row>
    <row r="7010" spans="13:24">
      <c r="M7010" s="558">
        <f t="shared" si="332"/>
        <v>7008</v>
      </c>
      <c r="N7010" s="15">
        <f t="shared" si="330"/>
        <v>0.11006782988379298</v>
      </c>
      <c r="O7010" s="165">
        <f t="shared" si="331"/>
        <v>0.11006782988379298</v>
      </c>
      <c r="P7010" s="18"/>
      <c r="Q7010" s="18"/>
      <c r="R7010" s="18"/>
      <c r="S7010" s="18"/>
      <c r="T7010" s="18"/>
      <c r="U7010" s="18"/>
      <c r="V7010" s="18"/>
      <c r="W7010" s="18"/>
      <c r="X7010" s="18"/>
    </row>
    <row r="7011" spans="13:24">
      <c r="M7011" s="558">
        <f t="shared" si="332"/>
        <v>7009</v>
      </c>
      <c r="N7011" s="15">
        <f t="shared" si="330"/>
        <v>0.11001637489972244</v>
      </c>
      <c r="O7011" s="165">
        <f t="shared" si="331"/>
        <v>0.11001637489972244</v>
      </c>
      <c r="P7011" s="18"/>
      <c r="Q7011" s="18"/>
      <c r="R7011" s="18"/>
      <c r="S7011" s="18"/>
      <c r="T7011" s="18"/>
      <c r="U7011" s="18"/>
      <c r="V7011" s="18"/>
      <c r="W7011" s="18"/>
      <c r="X7011" s="18"/>
    </row>
    <row r="7012" spans="13:24">
      <c r="M7012" s="558">
        <f t="shared" si="332"/>
        <v>7010</v>
      </c>
      <c r="N7012" s="15">
        <f t="shared" si="330"/>
        <v>0.10996492002247199</v>
      </c>
      <c r="O7012" s="165">
        <f t="shared" si="331"/>
        <v>0.10996492002247199</v>
      </c>
      <c r="P7012" s="18"/>
      <c r="Q7012" s="18"/>
      <c r="R7012" s="18"/>
      <c r="S7012" s="18"/>
      <c r="T7012" s="18"/>
      <c r="U7012" s="18"/>
      <c r="V7012" s="18"/>
      <c r="W7012" s="18"/>
      <c r="X7012" s="18"/>
    </row>
    <row r="7013" spans="13:24">
      <c r="M7013" s="558">
        <f t="shared" si="332"/>
        <v>7011</v>
      </c>
      <c r="N7013" s="15">
        <f t="shared" si="330"/>
        <v>0.10991346525190757</v>
      </c>
      <c r="O7013" s="165">
        <f t="shared" si="331"/>
        <v>0.10991346525190757</v>
      </c>
      <c r="P7013" s="18"/>
      <c r="Q7013" s="18"/>
      <c r="R7013" s="18"/>
      <c r="S7013" s="18"/>
      <c r="T7013" s="18"/>
      <c r="U7013" s="18"/>
      <c r="V7013" s="18"/>
      <c r="W7013" s="18"/>
      <c r="X7013" s="18"/>
    </row>
    <row r="7014" spans="13:24">
      <c r="M7014" s="558">
        <f t="shared" si="332"/>
        <v>7012</v>
      </c>
      <c r="N7014" s="15">
        <f t="shared" si="330"/>
        <v>0.10986201058789531</v>
      </c>
      <c r="O7014" s="165">
        <f t="shared" si="331"/>
        <v>0.10986201058789531</v>
      </c>
      <c r="P7014" s="18"/>
      <c r="Q7014" s="18"/>
      <c r="R7014" s="18"/>
      <c r="S7014" s="18"/>
      <c r="T7014" s="18"/>
      <c r="U7014" s="18"/>
      <c r="V7014" s="18"/>
      <c r="W7014" s="18"/>
      <c r="X7014" s="18"/>
    </row>
    <row r="7015" spans="13:24">
      <c r="M7015" s="558">
        <f t="shared" si="332"/>
        <v>7013</v>
      </c>
      <c r="N7015" s="15">
        <f t="shared" si="330"/>
        <v>0.10981055603030151</v>
      </c>
      <c r="O7015" s="165">
        <f t="shared" si="331"/>
        <v>0.10981055603030151</v>
      </c>
      <c r="P7015" s="18"/>
      <c r="Q7015" s="18"/>
      <c r="R7015" s="18"/>
      <c r="S7015" s="18"/>
      <c r="T7015" s="18"/>
      <c r="U7015" s="18"/>
      <c r="V7015" s="18"/>
      <c r="W7015" s="18"/>
      <c r="X7015" s="18"/>
    </row>
    <row r="7016" spans="13:24">
      <c r="M7016" s="558">
        <f t="shared" si="332"/>
        <v>7014</v>
      </c>
      <c r="N7016" s="15">
        <f t="shared" si="330"/>
        <v>0.1097591015789926</v>
      </c>
      <c r="O7016" s="165">
        <f t="shared" si="331"/>
        <v>0.1097591015789926</v>
      </c>
      <c r="P7016" s="18"/>
      <c r="Q7016" s="18"/>
      <c r="R7016" s="18"/>
      <c r="S7016" s="18"/>
      <c r="T7016" s="18"/>
      <c r="U7016" s="18"/>
      <c r="V7016" s="18"/>
      <c r="W7016" s="18"/>
      <c r="X7016" s="18"/>
    </row>
    <row r="7017" spans="13:24">
      <c r="M7017" s="558">
        <f t="shared" si="332"/>
        <v>7015</v>
      </c>
      <c r="N7017" s="15">
        <f t="shared" si="330"/>
        <v>0.10970764723383521</v>
      </c>
      <c r="O7017" s="165">
        <f t="shared" si="331"/>
        <v>0.10970764723383521</v>
      </c>
      <c r="P7017" s="18"/>
      <c r="Q7017" s="18"/>
      <c r="R7017" s="18"/>
      <c r="S7017" s="18"/>
      <c r="T7017" s="18"/>
      <c r="U7017" s="18"/>
      <c r="V7017" s="18"/>
      <c r="W7017" s="18"/>
      <c r="X7017" s="18"/>
    </row>
    <row r="7018" spans="13:24">
      <c r="M7018" s="558">
        <f t="shared" si="332"/>
        <v>7016</v>
      </c>
      <c r="N7018" s="15">
        <f t="shared" si="330"/>
        <v>0.10965619299469612</v>
      </c>
      <c r="O7018" s="165">
        <f t="shared" si="331"/>
        <v>0.10965619299469612</v>
      </c>
      <c r="P7018" s="18"/>
      <c r="Q7018" s="18"/>
      <c r="R7018" s="18"/>
      <c r="S7018" s="18"/>
      <c r="T7018" s="18"/>
      <c r="U7018" s="18"/>
      <c r="V7018" s="18"/>
      <c r="W7018" s="18"/>
      <c r="X7018" s="18"/>
    </row>
    <row r="7019" spans="13:24">
      <c r="M7019" s="558">
        <f t="shared" si="332"/>
        <v>7017</v>
      </c>
      <c r="N7019" s="15">
        <f t="shared" si="330"/>
        <v>0.10960473886144229</v>
      </c>
      <c r="O7019" s="165">
        <f t="shared" si="331"/>
        <v>0.10960473886144229</v>
      </c>
      <c r="P7019" s="18"/>
      <c r="Q7019" s="18"/>
      <c r="R7019" s="18"/>
      <c r="S7019" s="18"/>
      <c r="T7019" s="18"/>
      <c r="U7019" s="18"/>
      <c r="V7019" s="18"/>
      <c r="W7019" s="18"/>
      <c r="X7019" s="18"/>
    </row>
    <row r="7020" spans="13:24">
      <c r="M7020" s="558">
        <f t="shared" si="332"/>
        <v>7018</v>
      </c>
      <c r="N7020" s="15">
        <f t="shared" si="330"/>
        <v>0.10955328483394083</v>
      </c>
      <c r="O7020" s="165">
        <f t="shared" si="331"/>
        <v>0.10955328483394083</v>
      </c>
      <c r="P7020" s="18"/>
      <c r="Q7020" s="18"/>
      <c r="R7020" s="18"/>
      <c r="S7020" s="18"/>
      <c r="T7020" s="18"/>
      <c r="U7020" s="18"/>
      <c r="V7020" s="18"/>
      <c r="W7020" s="18"/>
      <c r="X7020" s="18"/>
    </row>
    <row r="7021" spans="13:24">
      <c r="M7021" s="558">
        <f t="shared" si="332"/>
        <v>7019</v>
      </c>
      <c r="N7021" s="15">
        <f t="shared" si="330"/>
        <v>0.10950183091205906</v>
      </c>
      <c r="O7021" s="165">
        <f t="shared" si="331"/>
        <v>0.10950183091205906</v>
      </c>
      <c r="P7021" s="18"/>
      <c r="Q7021" s="18"/>
      <c r="R7021" s="18"/>
      <c r="S7021" s="18"/>
      <c r="T7021" s="18"/>
      <c r="U7021" s="18"/>
      <c r="V7021" s="18"/>
      <c r="W7021" s="18"/>
      <c r="X7021" s="18"/>
    </row>
    <row r="7022" spans="13:24">
      <c r="M7022" s="558">
        <f t="shared" si="332"/>
        <v>7020</v>
      </c>
      <c r="N7022" s="15">
        <f t="shared" si="330"/>
        <v>0.10945037709566442</v>
      </c>
      <c r="O7022" s="165">
        <f t="shared" si="331"/>
        <v>0.10945037709566442</v>
      </c>
      <c r="P7022" s="18"/>
      <c r="Q7022" s="18"/>
      <c r="R7022" s="18"/>
      <c r="S7022" s="18"/>
      <c r="T7022" s="18"/>
      <c r="U7022" s="18"/>
      <c r="V7022" s="18"/>
      <c r="W7022" s="18"/>
      <c r="X7022" s="18"/>
    </row>
    <row r="7023" spans="13:24">
      <c r="M7023" s="558">
        <f t="shared" si="332"/>
        <v>7021</v>
      </c>
      <c r="N7023" s="15">
        <f t="shared" si="330"/>
        <v>0.10939892338462454</v>
      </c>
      <c r="O7023" s="165">
        <f t="shared" si="331"/>
        <v>0.10939892338462454</v>
      </c>
      <c r="P7023" s="18"/>
      <c r="Q7023" s="18"/>
      <c r="R7023" s="18"/>
      <c r="S7023" s="18"/>
      <c r="T7023" s="18"/>
      <c r="U7023" s="18"/>
      <c r="V7023" s="18"/>
      <c r="W7023" s="18"/>
      <c r="X7023" s="18"/>
    </row>
    <row r="7024" spans="13:24">
      <c r="M7024" s="558">
        <f t="shared" si="332"/>
        <v>7022</v>
      </c>
      <c r="N7024" s="15">
        <f t="shared" si="330"/>
        <v>0.10934746977880719</v>
      </c>
      <c r="O7024" s="165">
        <f t="shared" si="331"/>
        <v>0.10934746977880719</v>
      </c>
      <c r="P7024" s="18"/>
      <c r="Q7024" s="18"/>
      <c r="R7024" s="18"/>
      <c r="S7024" s="18"/>
      <c r="T7024" s="18"/>
      <c r="U7024" s="18"/>
      <c r="V7024" s="18"/>
      <c r="W7024" s="18"/>
      <c r="X7024" s="18"/>
    </row>
    <row r="7025" spans="13:24">
      <c r="M7025" s="558">
        <f t="shared" si="332"/>
        <v>7023</v>
      </c>
      <c r="N7025" s="15">
        <f t="shared" si="330"/>
        <v>0.10929601627808032</v>
      </c>
      <c r="O7025" s="165">
        <f t="shared" si="331"/>
        <v>0.10929601627808032</v>
      </c>
      <c r="P7025" s="18"/>
      <c r="Q7025" s="18"/>
      <c r="R7025" s="18"/>
      <c r="S7025" s="18"/>
      <c r="T7025" s="18"/>
      <c r="U7025" s="18"/>
      <c r="V7025" s="18"/>
      <c r="W7025" s="18"/>
      <c r="X7025" s="18"/>
    </row>
    <row r="7026" spans="13:24">
      <c r="M7026" s="558">
        <f t="shared" si="332"/>
        <v>7024</v>
      </c>
      <c r="N7026" s="15">
        <f t="shared" si="330"/>
        <v>0.10924456288231207</v>
      </c>
      <c r="O7026" s="165">
        <f t="shared" si="331"/>
        <v>0.10924456288231207</v>
      </c>
      <c r="P7026" s="18"/>
      <c r="Q7026" s="18"/>
      <c r="R7026" s="18"/>
      <c r="S7026" s="18"/>
      <c r="T7026" s="18"/>
      <c r="U7026" s="18"/>
      <c r="V7026" s="18"/>
      <c r="W7026" s="18"/>
      <c r="X7026" s="18"/>
    </row>
    <row r="7027" spans="13:24">
      <c r="M7027" s="558">
        <f t="shared" si="332"/>
        <v>7025</v>
      </c>
      <c r="N7027" s="15">
        <f t="shared" si="330"/>
        <v>0.10919310959137073</v>
      </c>
      <c r="O7027" s="165">
        <f t="shared" si="331"/>
        <v>0.10919310959137073</v>
      </c>
      <c r="P7027" s="18"/>
      <c r="Q7027" s="18"/>
      <c r="R7027" s="18"/>
      <c r="S7027" s="18"/>
      <c r="T7027" s="18"/>
      <c r="U7027" s="18"/>
      <c r="V7027" s="18"/>
      <c r="W7027" s="18"/>
      <c r="X7027" s="18"/>
    </row>
    <row r="7028" spans="13:24">
      <c r="M7028" s="558">
        <f t="shared" si="332"/>
        <v>7026</v>
      </c>
      <c r="N7028" s="15">
        <f t="shared" si="330"/>
        <v>0.10914165640512472</v>
      </c>
      <c r="O7028" s="165">
        <f t="shared" si="331"/>
        <v>0.10914165640512472</v>
      </c>
      <c r="P7028" s="18"/>
      <c r="Q7028" s="18"/>
      <c r="R7028" s="18"/>
      <c r="S7028" s="18"/>
      <c r="T7028" s="18"/>
      <c r="U7028" s="18"/>
      <c r="V7028" s="18"/>
      <c r="W7028" s="18"/>
      <c r="X7028" s="18"/>
    </row>
    <row r="7029" spans="13:24">
      <c r="M7029" s="558">
        <f t="shared" si="332"/>
        <v>7027</v>
      </c>
      <c r="N7029" s="15">
        <f t="shared" si="330"/>
        <v>0.10909020332344269</v>
      </c>
      <c r="O7029" s="165">
        <f t="shared" si="331"/>
        <v>0.10909020332344269</v>
      </c>
      <c r="P7029" s="18"/>
      <c r="Q7029" s="18"/>
      <c r="R7029" s="18"/>
      <c r="S7029" s="18"/>
      <c r="T7029" s="18"/>
      <c r="U7029" s="18"/>
      <c r="V7029" s="18"/>
      <c r="W7029" s="18"/>
      <c r="X7029" s="18"/>
    </row>
    <row r="7030" spans="13:24">
      <c r="M7030" s="558">
        <f t="shared" si="332"/>
        <v>7028</v>
      </c>
      <c r="N7030" s="15">
        <f t="shared" si="330"/>
        <v>0.1090387503461934</v>
      </c>
      <c r="O7030" s="165">
        <f t="shared" si="331"/>
        <v>0.1090387503461934</v>
      </c>
      <c r="P7030" s="18"/>
      <c r="Q7030" s="18"/>
      <c r="R7030" s="18"/>
      <c r="S7030" s="18"/>
      <c r="T7030" s="18"/>
      <c r="U7030" s="18"/>
      <c r="V7030" s="18"/>
      <c r="W7030" s="18"/>
      <c r="X7030" s="18"/>
    </row>
    <row r="7031" spans="13:24">
      <c r="M7031" s="558">
        <f t="shared" si="332"/>
        <v>7029</v>
      </c>
      <c r="N7031" s="15">
        <f t="shared" si="330"/>
        <v>0.1089872974732458</v>
      </c>
      <c r="O7031" s="165">
        <f t="shared" si="331"/>
        <v>0.1089872974732458</v>
      </c>
      <c r="P7031" s="18"/>
      <c r="Q7031" s="18"/>
      <c r="R7031" s="18"/>
      <c r="S7031" s="18"/>
      <c r="T7031" s="18"/>
      <c r="U7031" s="18"/>
      <c r="V7031" s="18"/>
      <c r="W7031" s="18"/>
      <c r="X7031" s="18"/>
    </row>
    <row r="7032" spans="13:24">
      <c r="M7032" s="558">
        <f t="shared" si="332"/>
        <v>7030</v>
      </c>
      <c r="N7032" s="15">
        <f t="shared" si="330"/>
        <v>0.108935844704469</v>
      </c>
      <c r="O7032" s="165">
        <f t="shared" si="331"/>
        <v>0.108935844704469</v>
      </c>
      <c r="P7032" s="18"/>
      <c r="Q7032" s="18"/>
      <c r="R7032" s="18"/>
      <c r="S7032" s="18"/>
      <c r="T7032" s="18"/>
      <c r="U7032" s="18"/>
      <c r="V7032" s="18"/>
      <c r="W7032" s="18"/>
      <c r="X7032" s="18"/>
    </row>
    <row r="7033" spans="13:24">
      <c r="M7033" s="558">
        <f t="shared" si="332"/>
        <v>7031</v>
      </c>
      <c r="N7033" s="15">
        <f t="shared" si="330"/>
        <v>0.10888439203973228</v>
      </c>
      <c r="O7033" s="165">
        <f t="shared" si="331"/>
        <v>0.10888439203973228</v>
      </c>
      <c r="P7033" s="18"/>
      <c r="Q7033" s="18"/>
      <c r="R7033" s="18"/>
      <c r="S7033" s="18"/>
      <c r="T7033" s="18"/>
      <c r="U7033" s="18"/>
      <c r="V7033" s="18"/>
      <c r="W7033" s="18"/>
      <c r="X7033" s="18"/>
    </row>
    <row r="7034" spans="13:24">
      <c r="M7034" s="558">
        <f t="shared" si="332"/>
        <v>7032</v>
      </c>
      <c r="N7034" s="15">
        <f t="shared" si="330"/>
        <v>0.10883293947890507</v>
      </c>
      <c r="O7034" s="165">
        <f t="shared" si="331"/>
        <v>0.10883293947890507</v>
      </c>
      <c r="P7034" s="18"/>
      <c r="Q7034" s="18"/>
      <c r="R7034" s="18"/>
      <c r="S7034" s="18"/>
      <c r="T7034" s="18"/>
      <c r="U7034" s="18"/>
      <c r="V7034" s="18"/>
      <c r="W7034" s="18"/>
      <c r="X7034" s="18"/>
    </row>
    <row r="7035" spans="13:24">
      <c r="M7035" s="558">
        <f t="shared" si="332"/>
        <v>7033</v>
      </c>
      <c r="N7035" s="15">
        <f t="shared" si="330"/>
        <v>0.10878148702185698</v>
      </c>
      <c r="O7035" s="165">
        <f t="shared" si="331"/>
        <v>0.10878148702185698</v>
      </c>
      <c r="P7035" s="18"/>
      <c r="Q7035" s="18"/>
      <c r="R7035" s="18"/>
      <c r="S7035" s="18"/>
      <c r="T7035" s="18"/>
      <c r="U7035" s="18"/>
      <c r="V7035" s="18"/>
      <c r="W7035" s="18"/>
      <c r="X7035" s="18"/>
    </row>
    <row r="7036" spans="13:24">
      <c r="M7036" s="558">
        <f t="shared" si="332"/>
        <v>7034</v>
      </c>
      <c r="N7036" s="15">
        <f t="shared" si="330"/>
        <v>0.10873003466845776</v>
      </c>
      <c r="O7036" s="165">
        <f t="shared" si="331"/>
        <v>0.10873003466845776</v>
      </c>
      <c r="P7036" s="18"/>
      <c r="Q7036" s="18"/>
      <c r="R7036" s="18"/>
      <c r="S7036" s="18"/>
      <c r="T7036" s="18"/>
      <c r="U7036" s="18"/>
      <c r="V7036" s="18"/>
      <c r="W7036" s="18"/>
      <c r="X7036" s="18"/>
    </row>
    <row r="7037" spans="13:24">
      <c r="M7037" s="558">
        <f t="shared" si="332"/>
        <v>7035</v>
      </c>
      <c r="N7037" s="15">
        <f t="shared" si="330"/>
        <v>0.10867858241857736</v>
      </c>
      <c r="O7037" s="165">
        <f t="shared" si="331"/>
        <v>0.10867858241857736</v>
      </c>
      <c r="P7037" s="18"/>
      <c r="Q7037" s="18"/>
      <c r="R7037" s="18"/>
      <c r="S7037" s="18"/>
      <c r="T7037" s="18"/>
      <c r="U7037" s="18"/>
      <c r="V7037" s="18"/>
      <c r="W7037" s="18"/>
      <c r="X7037" s="18"/>
    </row>
    <row r="7038" spans="13:24">
      <c r="M7038" s="558">
        <f t="shared" si="332"/>
        <v>7036</v>
      </c>
      <c r="N7038" s="15">
        <f t="shared" si="330"/>
        <v>0.10862713027208586</v>
      </c>
      <c r="O7038" s="165">
        <f t="shared" si="331"/>
        <v>0.10862713027208586</v>
      </c>
      <c r="P7038" s="18"/>
      <c r="Q7038" s="18"/>
      <c r="R7038" s="18"/>
      <c r="S7038" s="18"/>
      <c r="T7038" s="18"/>
      <c r="U7038" s="18"/>
      <c r="V7038" s="18"/>
      <c r="W7038" s="18"/>
      <c r="X7038" s="18"/>
    </row>
    <row r="7039" spans="13:24">
      <c r="M7039" s="558">
        <f t="shared" si="332"/>
        <v>7037</v>
      </c>
      <c r="N7039" s="15">
        <f t="shared" si="330"/>
        <v>0.10857567822885351</v>
      </c>
      <c r="O7039" s="165">
        <f t="shared" si="331"/>
        <v>0.10857567822885351</v>
      </c>
      <c r="P7039" s="18"/>
      <c r="Q7039" s="18"/>
      <c r="R7039" s="18"/>
      <c r="S7039" s="18"/>
      <c r="T7039" s="18"/>
      <c r="U7039" s="18"/>
      <c r="V7039" s="18"/>
      <c r="W7039" s="18"/>
      <c r="X7039" s="18"/>
    </row>
    <row r="7040" spans="13:24">
      <c r="M7040" s="558">
        <f t="shared" si="332"/>
        <v>7038</v>
      </c>
      <c r="N7040" s="15">
        <f t="shared" si="330"/>
        <v>0.10852422628875073</v>
      </c>
      <c r="O7040" s="165">
        <f t="shared" si="331"/>
        <v>0.10852422628875073</v>
      </c>
      <c r="P7040" s="18"/>
      <c r="Q7040" s="18"/>
      <c r="R7040" s="18"/>
      <c r="S7040" s="18"/>
      <c r="T7040" s="18"/>
      <c r="U7040" s="18"/>
      <c r="V7040" s="18"/>
      <c r="W7040" s="18"/>
      <c r="X7040" s="18"/>
    </row>
    <row r="7041" spans="13:24">
      <c r="M7041" s="558">
        <f t="shared" si="332"/>
        <v>7039</v>
      </c>
      <c r="N7041" s="15">
        <f t="shared" si="330"/>
        <v>0.10847277445164812</v>
      </c>
      <c r="O7041" s="165">
        <f t="shared" si="331"/>
        <v>0.10847277445164812</v>
      </c>
      <c r="P7041" s="18"/>
      <c r="Q7041" s="18"/>
      <c r="R7041" s="18"/>
      <c r="S7041" s="18"/>
      <c r="T7041" s="18"/>
      <c r="U7041" s="18"/>
      <c r="V7041" s="18"/>
      <c r="W7041" s="18"/>
      <c r="X7041" s="18"/>
    </row>
    <row r="7042" spans="13:24">
      <c r="M7042" s="558">
        <f t="shared" si="332"/>
        <v>7040</v>
      </c>
      <c r="N7042" s="15">
        <f t="shared" si="330"/>
        <v>0.1084213227174164</v>
      </c>
      <c r="O7042" s="165">
        <f t="shared" si="331"/>
        <v>0.1084213227174164</v>
      </c>
      <c r="P7042" s="18"/>
      <c r="Q7042" s="18"/>
      <c r="R7042" s="18"/>
      <c r="S7042" s="18"/>
      <c r="T7042" s="18"/>
      <c r="U7042" s="18"/>
      <c r="V7042" s="18"/>
      <c r="W7042" s="18"/>
      <c r="X7042" s="18"/>
    </row>
    <row r="7043" spans="13:24">
      <c r="M7043" s="558">
        <f t="shared" si="332"/>
        <v>7041</v>
      </c>
      <c r="N7043" s="15">
        <f t="shared" si="330"/>
        <v>0.10836987108592648</v>
      </c>
      <c r="O7043" s="165">
        <f t="shared" si="331"/>
        <v>0.10836987108592648</v>
      </c>
      <c r="P7043" s="18"/>
      <c r="Q7043" s="18"/>
      <c r="R7043" s="18"/>
      <c r="S7043" s="18"/>
      <c r="T7043" s="18"/>
      <c r="U7043" s="18"/>
      <c r="V7043" s="18"/>
      <c r="W7043" s="18"/>
      <c r="X7043" s="18"/>
    </row>
    <row r="7044" spans="13:24">
      <c r="M7044" s="558">
        <f t="shared" si="332"/>
        <v>7042</v>
      </c>
      <c r="N7044" s="15">
        <f t="shared" ref="N7044:N7107" si="333">IF(M7044&lt;$B$31+1,$B$32+$B$33/$B$31*(8760-M7044)+$B$34*IF(M7044&lt;$B$36-$B$31/(2*$B$35),1,IF(M7044&lt;$B$36+$B$31/(2*$B$35),COS(PI()/2*(M7044-($B$36-$B$31/(2*$B$35)))*$B$35/$B$31)^2,0))+$B$37*EXP((8760-M7044)/8760*$B$38)/EXP($B$38)-(8760-$B$31)*$B$33/$B$31,0)</f>
        <v>0.10831841955704943</v>
      </c>
      <c r="O7044" s="165">
        <f t="shared" ref="O7044:O7107" si="334">MIN(N7044,C$24)</f>
        <v>0.10831841955704943</v>
      </c>
      <c r="P7044" s="18"/>
      <c r="Q7044" s="18"/>
      <c r="R7044" s="18"/>
      <c r="S7044" s="18"/>
      <c r="T7044" s="18"/>
      <c r="U7044" s="18"/>
      <c r="V7044" s="18"/>
      <c r="W7044" s="18"/>
      <c r="X7044" s="18"/>
    </row>
    <row r="7045" spans="13:24">
      <c r="M7045" s="558">
        <f t="shared" ref="M7045:M7108" si="335">M7044+1</f>
        <v>7043</v>
      </c>
      <c r="N7045" s="15">
        <f t="shared" si="333"/>
        <v>0.10826696813065649</v>
      </c>
      <c r="O7045" s="165">
        <f t="shared" si="334"/>
        <v>0.10826696813065649</v>
      </c>
      <c r="P7045" s="18"/>
      <c r="Q7045" s="18"/>
      <c r="R7045" s="18"/>
      <c r="S7045" s="18"/>
      <c r="T7045" s="18"/>
      <c r="U7045" s="18"/>
      <c r="V7045" s="18"/>
      <c r="W7045" s="18"/>
      <c r="X7045" s="18"/>
    </row>
    <row r="7046" spans="13:24">
      <c r="M7046" s="558">
        <f t="shared" si="335"/>
        <v>7044</v>
      </c>
      <c r="N7046" s="15">
        <f t="shared" si="333"/>
        <v>0.10821551680661903</v>
      </c>
      <c r="O7046" s="165">
        <f t="shared" si="334"/>
        <v>0.10821551680661903</v>
      </c>
      <c r="P7046" s="18"/>
      <c r="Q7046" s="18"/>
      <c r="R7046" s="18"/>
      <c r="S7046" s="18"/>
      <c r="T7046" s="18"/>
      <c r="U7046" s="18"/>
      <c r="V7046" s="18"/>
      <c r="W7046" s="18"/>
      <c r="X7046" s="18"/>
    </row>
    <row r="7047" spans="13:24">
      <c r="M7047" s="558">
        <f t="shared" si="335"/>
        <v>7045</v>
      </c>
      <c r="N7047" s="15">
        <f t="shared" si="333"/>
        <v>0.10816406558480862</v>
      </c>
      <c r="O7047" s="165">
        <f t="shared" si="334"/>
        <v>0.10816406558480862</v>
      </c>
      <c r="P7047" s="18"/>
      <c r="Q7047" s="18"/>
      <c r="R7047" s="18"/>
      <c r="S7047" s="18"/>
      <c r="T7047" s="18"/>
      <c r="U7047" s="18"/>
      <c r="V7047" s="18"/>
      <c r="W7047" s="18"/>
      <c r="X7047" s="18"/>
    </row>
    <row r="7048" spans="13:24">
      <c r="M7048" s="558">
        <f t="shared" si="335"/>
        <v>7046</v>
      </c>
      <c r="N7048" s="15">
        <f t="shared" si="333"/>
        <v>0.10811261446509697</v>
      </c>
      <c r="O7048" s="165">
        <f t="shared" si="334"/>
        <v>0.10811261446509697</v>
      </c>
      <c r="P7048" s="18"/>
      <c r="Q7048" s="18"/>
      <c r="R7048" s="18"/>
      <c r="S7048" s="18"/>
      <c r="T7048" s="18"/>
      <c r="U7048" s="18"/>
      <c r="V7048" s="18"/>
      <c r="W7048" s="18"/>
      <c r="X7048" s="18"/>
    </row>
    <row r="7049" spans="13:24">
      <c r="M7049" s="558">
        <f t="shared" si="335"/>
        <v>7047</v>
      </c>
      <c r="N7049" s="15">
        <f t="shared" si="333"/>
        <v>0.10806116344735595</v>
      </c>
      <c r="O7049" s="165">
        <f t="shared" si="334"/>
        <v>0.10806116344735595</v>
      </c>
      <c r="P7049" s="18"/>
      <c r="Q7049" s="18"/>
      <c r="R7049" s="18"/>
      <c r="S7049" s="18"/>
      <c r="T7049" s="18"/>
      <c r="U7049" s="18"/>
      <c r="V7049" s="18"/>
      <c r="W7049" s="18"/>
      <c r="X7049" s="18"/>
    </row>
    <row r="7050" spans="13:24">
      <c r="M7050" s="558">
        <f t="shared" si="335"/>
        <v>7048</v>
      </c>
      <c r="N7050" s="15">
        <f t="shared" si="333"/>
        <v>0.10800971253145758</v>
      </c>
      <c r="O7050" s="165">
        <f t="shared" si="334"/>
        <v>0.10800971253145758</v>
      </c>
      <c r="P7050" s="18"/>
      <c r="Q7050" s="18"/>
      <c r="R7050" s="18"/>
      <c r="S7050" s="18"/>
      <c r="T7050" s="18"/>
      <c r="U7050" s="18"/>
      <c r="V7050" s="18"/>
      <c r="W7050" s="18"/>
      <c r="X7050" s="18"/>
    </row>
    <row r="7051" spans="13:24">
      <c r="M7051" s="558">
        <f t="shared" si="335"/>
        <v>7049</v>
      </c>
      <c r="N7051" s="15">
        <f t="shared" si="333"/>
        <v>0.10795826171727409</v>
      </c>
      <c r="O7051" s="165">
        <f t="shared" si="334"/>
        <v>0.10795826171727409</v>
      </c>
      <c r="P7051" s="18"/>
      <c r="Q7051" s="18"/>
      <c r="R7051" s="18"/>
      <c r="S7051" s="18"/>
      <c r="T7051" s="18"/>
      <c r="U7051" s="18"/>
      <c r="V7051" s="18"/>
      <c r="W7051" s="18"/>
      <c r="X7051" s="18"/>
    </row>
    <row r="7052" spans="13:24">
      <c r="M7052" s="558">
        <f t="shared" si="335"/>
        <v>7050</v>
      </c>
      <c r="N7052" s="15">
        <f t="shared" si="333"/>
        <v>0.10790681100467781</v>
      </c>
      <c r="O7052" s="165">
        <f t="shared" si="334"/>
        <v>0.10790681100467781</v>
      </c>
      <c r="P7052" s="18"/>
      <c r="Q7052" s="18"/>
      <c r="R7052" s="18"/>
      <c r="S7052" s="18"/>
      <c r="T7052" s="18"/>
      <c r="U7052" s="18"/>
      <c r="V7052" s="18"/>
      <c r="W7052" s="18"/>
      <c r="X7052" s="18"/>
    </row>
    <row r="7053" spans="13:24">
      <c r="M7053" s="558">
        <f t="shared" si="335"/>
        <v>7051</v>
      </c>
      <c r="N7053" s="15">
        <f t="shared" si="333"/>
        <v>0.10785536039354127</v>
      </c>
      <c r="O7053" s="165">
        <f t="shared" si="334"/>
        <v>0.10785536039354127</v>
      </c>
      <c r="P7053" s="18"/>
      <c r="Q7053" s="18"/>
      <c r="R7053" s="18"/>
      <c r="S7053" s="18"/>
      <c r="T7053" s="18"/>
      <c r="U7053" s="18"/>
      <c r="V7053" s="18"/>
      <c r="W7053" s="18"/>
      <c r="X7053" s="18"/>
    </row>
    <row r="7054" spans="13:24">
      <c r="M7054" s="558">
        <f t="shared" si="335"/>
        <v>7052</v>
      </c>
      <c r="N7054" s="15">
        <f t="shared" si="333"/>
        <v>0.10780390988373713</v>
      </c>
      <c r="O7054" s="165">
        <f t="shared" si="334"/>
        <v>0.10780390988373713</v>
      </c>
      <c r="P7054" s="18"/>
      <c r="Q7054" s="18"/>
      <c r="R7054" s="18"/>
      <c r="S7054" s="18"/>
      <c r="T7054" s="18"/>
      <c r="U7054" s="18"/>
      <c r="V7054" s="18"/>
      <c r="W7054" s="18"/>
      <c r="X7054" s="18"/>
    </row>
    <row r="7055" spans="13:24">
      <c r="M7055" s="558">
        <f t="shared" si="335"/>
        <v>7053</v>
      </c>
      <c r="N7055" s="15">
        <f t="shared" si="333"/>
        <v>0.10775245947513823</v>
      </c>
      <c r="O7055" s="165">
        <f t="shared" si="334"/>
        <v>0.10775245947513823</v>
      </c>
      <c r="P7055" s="18"/>
      <c r="Q7055" s="18"/>
      <c r="R7055" s="18"/>
      <c r="S7055" s="18"/>
      <c r="T7055" s="18"/>
      <c r="U7055" s="18"/>
      <c r="V7055" s="18"/>
      <c r="W7055" s="18"/>
      <c r="X7055" s="18"/>
    </row>
    <row r="7056" spans="13:24">
      <c r="M7056" s="558">
        <f t="shared" si="335"/>
        <v>7054</v>
      </c>
      <c r="N7056" s="15">
        <f t="shared" si="333"/>
        <v>0.10770100916761757</v>
      </c>
      <c r="O7056" s="165">
        <f t="shared" si="334"/>
        <v>0.10770100916761757</v>
      </c>
      <c r="P7056" s="18"/>
      <c r="Q7056" s="18"/>
      <c r="R7056" s="18"/>
      <c r="S7056" s="18"/>
      <c r="T7056" s="18"/>
      <c r="U7056" s="18"/>
      <c r="V7056" s="18"/>
      <c r="W7056" s="18"/>
      <c r="X7056" s="18"/>
    </row>
    <row r="7057" spans="13:24">
      <c r="M7057" s="558">
        <f t="shared" si="335"/>
        <v>7055</v>
      </c>
      <c r="N7057" s="15">
        <f t="shared" si="333"/>
        <v>0.10764955896104832</v>
      </c>
      <c r="O7057" s="165">
        <f t="shared" si="334"/>
        <v>0.10764955896104832</v>
      </c>
      <c r="P7057" s="18"/>
      <c r="Q7057" s="18"/>
      <c r="R7057" s="18"/>
      <c r="S7057" s="18"/>
      <c r="T7057" s="18"/>
      <c r="U7057" s="18"/>
      <c r="V7057" s="18"/>
      <c r="W7057" s="18"/>
      <c r="X7057" s="18"/>
    </row>
    <row r="7058" spans="13:24">
      <c r="M7058" s="558">
        <f t="shared" si="335"/>
        <v>7056</v>
      </c>
      <c r="N7058" s="15">
        <f t="shared" si="333"/>
        <v>0.10759810885530377</v>
      </c>
      <c r="O7058" s="165">
        <f t="shared" si="334"/>
        <v>0.10759810885530377</v>
      </c>
      <c r="P7058" s="18"/>
      <c r="Q7058" s="18"/>
      <c r="R7058" s="18"/>
      <c r="S7058" s="18"/>
      <c r="T7058" s="18"/>
      <c r="U7058" s="18"/>
      <c r="V7058" s="18"/>
      <c r="W7058" s="18"/>
      <c r="X7058" s="18"/>
    </row>
    <row r="7059" spans="13:24">
      <c r="M7059" s="558">
        <f t="shared" si="335"/>
        <v>7057</v>
      </c>
      <c r="N7059" s="15">
        <f t="shared" si="333"/>
        <v>0.1075466588502574</v>
      </c>
      <c r="O7059" s="165">
        <f t="shared" si="334"/>
        <v>0.1075466588502574</v>
      </c>
      <c r="P7059" s="18"/>
      <c r="Q7059" s="18"/>
      <c r="R7059" s="18"/>
      <c r="S7059" s="18"/>
      <c r="T7059" s="18"/>
      <c r="U7059" s="18"/>
      <c r="V7059" s="18"/>
      <c r="W7059" s="18"/>
      <c r="X7059" s="18"/>
    </row>
    <row r="7060" spans="13:24">
      <c r="M7060" s="558">
        <f t="shared" si="335"/>
        <v>7058</v>
      </c>
      <c r="N7060" s="15">
        <f t="shared" si="333"/>
        <v>0.10749520894578285</v>
      </c>
      <c r="O7060" s="165">
        <f t="shared" si="334"/>
        <v>0.10749520894578285</v>
      </c>
      <c r="P7060" s="18"/>
      <c r="Q7060" s="18"/>
      <c r="R7060" s="18"/>
      <c r="S7060" s="18"/>
      <c r="T7060" s="18"/>
      <c r="U7060" s="18"/>
      <c r="V7060" s="18"/>
      <c r="W7060" s="18"/>
      <c r="X7060" s="18"/>
    </row>
    <row r="7061" spans="13:24">
      <c r="M7061" s="558">
        <f t="shared" si="335"/>
        <v>7059</v>
      </c>
      <c r="N7061" s="15">
        <f t="shared" si="333"/>
        <v>0.10744375914175391</v>
      </c>
      <c r="O7061" s="165">
        <f t="shared" si="334"/>
        <v>0.10744375914175391</v>
      </c>
      <c r="P7061" s="18"/>
      <c r="Q7061" s="18"/>
      <c r="R7061" s="18"/>
      <c r="S7061" s="18"/>
      <c r="T7061" s="18"/>
      <c r="U7061" s="18"/>
      <c r="V7061" s="18"/>
      <c r="W7061" s="18"/>
      <c r="X7061" s="18"/>
    </row>
    <row r="7062" spans="13:24">
      <c r="M7062" s="558">
        <f t="shared" si="335"/>
        <v>7060</v>
      </c>
      <c r="N7062" s="15">
        <f t="shared" si="333"/>
        <v>0.10739230943804452</v>
      </c>
      <c r="O7062" s="165">
        <f t="shared" si="334"/>
        <v>0.10739230943804452</v>
      </c>
      <c r="P7062" s="18"/>
      <c r="Q7062" s="18"/>
      <c r="R7062" s="18"/>
      <c r="S7062" s="18"/>
      <c r="T7062" s="18"/>
      <c r="U7062" s="18"/>
      <c r="V7062" s="18"/>
      <c r="W7062" s="18"/>
      <c r="X7062" s="18"/>
    </row>
    <row r="7063" spans="13:24">
      <c r="M7063" s="558">
        <f t="shared" si="335"/>
        <v>7061</v>
      </c>
      <c r="N7063" s="15">
        <f t="shared" si="333"/>
        <v>0.10734085983452879</v>
      </c>
      <c r="O7063" s="165">
        <f t="shared" si="334"/>
        <v>0.10734085983452879</v>
      </c>
      <c r="P7063" s="18"/>
      <c r="Q7063" s="18"/>
      <c r="R7063" s="18"/>
      <c r="S7063" s="18"/>
      <c r="T7063" s="18"/>
      <c r="U7063" s="18"/>
      <c r="V7063" s="18"/>
      <c r="W7063" s="18"/>
      <c r="X7063" s="18"/>
    </row>
    <row r="7064" spans="13:24">
      <c r="M7064" s="558">
        <f t="shared" si="335"/>
        <v>7062</v>
      </c>
      <c r="N7064" s="15">
        <f t="shared" si="333"/>
        <v>0.107289410331081</v>
      </c>
      <c r="O7064" s="165">
        <f t="shared" si="334"/>
        <v>0.107289410331081</v>
      </c>
      <c r="P7064" s="18"/>
      <c r="Q7064" s="18"/>
      <c r="R7064" s="18"/>
      <c r="S7064" s="18"/>
      <c r="T7064" s="18"/>
      <c r="U7064" s="18"/>
      <c r="V7064" s="18"/>
      <c r="W7064" s="18"/>
      <c r="X7064" s="18"/>
    </row>
    <row r="7065" spans="13:24">
      <c r="M7065" s="558">
        <f t="shared" si="335"/>
        <v>7063</v>
      </c>
      <c r="N7065" s="15">
        <f t="shared" si="333"/>
        <v>0.10723796092757554</v>
      </c>
      <c r="O7065" s="165">
        <f t="shared" si="334"/>
        <v>0.10723796092757554</v>
      </c>
      <c r="P7065" s="18"/>
      <c r="Q7065" s="18"/>
      <c r="R7065" s="18"/>
      <c r="S7065" s="18"/>
      <c r="T7065" s="18"/>
      <c r="U7065" s="18"/>
      <c r="V7065" s="18"/>
      <c r="W7065" s="18"/>
      <c r="X7065" s="18"/>
    </row>
    <row r="7066" spans="13:24">
      <c r="M7066" s="558">
        <f t="shared" si="335"/>
        <v>7064</v>
      </c>
      <c r="N7066" s="15">
        <f t="shared" si="333"/>
        <v>0.10718651162388702</v>
      </c>
      <c r="O7066" s="165">
        <f t="shared" si="334"/>
        <v>0.10718651162388702</v>
      </c>
      <c r="P7066" s="18"/>
      <c r="Q7066" s="18"/>
      <c r="R7066" s="18"/>
      <c r="S7066" s="18"/>
      <c r="T7066" s="18"/>
      <c r="U7066" s="18"/>
      <c r="V7066" s="18"/>
      <c r="W7066" s="18"/>
      <c r="X7066" s="18"/>
    </row>
    <row r="7067" spans="13:24">
      <c r="M7067" s="558">
        <f t="shared" si="335"/>
        <v>7065</v>
      </c>
      <c r="N7067" s="15">
        <f t="shared" si="333"/>
        <v>0.10713506241989017</v>
      </c>
      <c r="O7067" s="165">
        <f t="shared" si="334"/>
        <v>0.10713506241989017</v>
      </c>
      <c r="P7067" s="18"/>
      <c r="Q7067" s="18"/>
      <c r="R7067" s="18"/>
      <c r="S7067" s="18"/>
      <c r="T7067" s="18"/>
      <c r="U7067" s="18"/>
      <c r="V7067" s="18"/>
      <c r="W7067" s="18"/>
      <c r="X7067" s="18"/>
    </row>
    <row r="7068" spans="13:24">
      <c r="M7068" s="558">
        <f t="shared" si="335"/>
        <v>7066</v>
      </c>
      <c r="N7068" s="15">
        <f t="shared" si="333"/>
        <v>0.10708361331545987</v>
      </c>
      <c r="O7068" s="165">
        <f t="shared" si="334"/>
        <v>0.10708361331545987</v>
      </c>
      <c r="P7068" s="18"/>
      <c r="Q7068" s="18"/>
      <c r="R7068" s="18"/>
      <c r="S7068" s="18"/>
      <c r="T7068" s="18"/>
      <c r="U7068" s="18"/>
      <c r="V7068" s="18"/>
      <c r="W7068" s="18"/>
      <c r="X7068" s="18"/>
    </row>
    <row r="7069" spans="13:24">
      <c r="M7069" s="558">
        <f t="shared" si="335"/>
        <v>7067</v>
      </c>
      <c r="N7069" s="15">
        <f t="shared" si="333"/>
        <v>0.10703216431047119</v>
      </c>
      <c r="O7069" s="165">
        <f t="shared" si="334"/>
        <v>0.10703216431047119</v>
      </c>
      <c r="P7069" s="18"/>
      <c r="Q7069" s="18"/>
      <c r="R7069" s="18"/>
      <c r="S7069" s="18"/>
      <c r="T7069" s="18"/>
      <c r="U7069" s="18"/>
      <c r="V7069" s="18"/>
      <c r="W7069" s="18"/>
      <c r="X7069" s="18"/>
    </row>
    <row r="7070" spans="13:24">
      <c r="M7070" s="558">
        <f t="shared" si="335"/>
        <v>7068</v>
      </c>
      <c r="N7070" s="15">
        <f t="shared" si="333"/>
        <v>0.10698071540479934</v>
      </c>
      <c r="O7070" s="165">
        <f t="shared" si="334"/>
        <v>0.10698071540479934</v>
      </c>
      <c r="P7070" s="18"/>
      <c r="Q7070" s="18"/>
      <c r="R7070" s="18"/>
      <c r="S7070" s="18"/>
      <c r="T7070" s="18"/>
      <c r="U7070" s="18"/>
      <c r="V7070" s="18"/>
      <c r="W7070" s="18"/>
      <c r="X7070" s="18"/>
    </row>
    <row r="7071" spans="13:24">
      <c r="M7071" s="558">
        <f t="shared" si="335"/>
        <v>7069</v>
      </c>
      <c r="N7071" s="15">
        <f t="shared" si="333"/>
        <v>0.10692926659831967</v>
      </c>
      <c r="O7071" s="165">
        <f t="shared" si="334"/>
        <v>0.10692926659831967</v>
      </c>
      <c r="P7071" s="18"/>
      <c r="Q7071" s="18"/>
      <c r="R7071" s="18"/>
      <c r="S7071" s="18"/>
      <c r="T7071" s="18"/>
      <c r="U7071" s="18"/>
      <c r="V7071" s="18"/>
      <c r="W7071" s="18"/>
      <c r="X7071" s="18"/>
    </row>
    <row r="7072" spans="13:24">
      <c r="M7072" s="558">
        <f t="shared" si="335"/>
        <v>7070</v>
      </c>
      <c r="N7072" s="15">
        <f t="shared" si="333"/>
        <v>0.10687781789090771</v>
      </c>
      <c r="O7072" s="165">
        <f t="shared" si="334"/>
        <v>0.10687781789090771</v>
      </c>
      <c r="P7072" s="18"/>
      <c r="Q7072" s="18"/>
      <c r="R7072" s="18"/>
      <c r="S7072" s="18"/>
      <c r="T7072" s="18"/>
      <c r="U7072" s="18"/>
      <c r="V7072" s="18"/>
      <c r="W7072" s="18"/>
      <c r="X7072" s="18"/>
    </row>
    <row r="7073" spans="13:24">
      <c r="M7073" s="558">
        <f t="shared" si="335"/>
        <v>7071</v>
      </c>
      <c r="N7073" s="15">
        <f t="shared" si="333"/>
        <v>0.10682636928243913</v>
      </c>
      <c r="O7073" s="165">
        <f t="shared" si="334"/>
        <v>0.10682636928243913</v>
      </c>
      <c r="P7073" s="18"/>
      <c r="Q7073" s="18"/>
      <c r="R7073" s="18"/>
      <c r="S7073" s="18"/>
      <c r="T7073" s="18"/>
      <c r="U7073" s="18"/>
      <c r="V7073" s="18"/>
      <c r="W7073" s="18"/>
      <c r="X7073" s="18"/>
    </row>
    <row r="7074" spans="13:24">
      <c r="M7074" s="558">
        <f t="shared" si="335"/>
        <v>7072</v>
      </c>
      <c r="N7074" s="15">
        <f t="shared" si="333"/>
        <v>0.10677492077278977</v>
      </c>
      <c r="O7074" s="165">
        <f t="shared" si="334"/>
        <v>0.10677492077278977</v>
      </c>
      <c r="P7074" s="18"/>
      <c r="Q7074" s="18"/>
      <c r="R7074" s="18"/>
      <c r="S7074" s="18"/>
      <c r="T7074" s="18"/>
      <c r="U7074" s="18"/>
      <c r="V7074" s="18"/>
      <c r="W7074" s="18"/>
      <c r="X7074" s="18"/>
    </row>
    <row r="7075" spans="13:24">
      <c r="M7075" s="558">
        <f t="shared" si="335"/>
        <v>7073</v>
      </c>
      <c r="N7075" s="15">
        <f t="shared" si="333"/>
        <v>0.10672347236183564</v>
      </c>
      <c r="O7075" s="165">
        <f t="shared" si="334"/>
        <v>0.10672347236183564</v>
      </c>
      <c r="P7075" s="18"/>
      <c r="Q7075" s="18"/>
      <c r="R7075" s="18"/>
      <c r="S7075" s="18"/>
      <c r="T7075" s="18"/>
      <c r="U7075" s="18"/>
      <c r="V7075" s="18"/>
      <c r="W7075" s="18"/>
      <c r="X7075" s="18"/>
    </row>
    <row r="7076" spans="13:24">
      <c r="M7076" s="558">
        <f t="shared" si="335"/>
        <v>7074</v>
      </c>
      <c r="N7076" s="15">
        <f t="shared" si="333"/>
        <v>0.10667202404945286</v>
      </c>
      <c r="O7076" s="165">
        <f t="shared" si="334"/>
        <v>0.10667202404945286</v>
      </c>
      <c r="P7076" s="18"/>
      <c r="Q7076" s="18"/>
      <c r="R7076" s="18"/>
      <c r="S7076" s="18"/>
      <c r="T7076" s="18"/>
      <c r="U7076" s="18"/>
      <c r="V7076" s="18"/>
      <c r="W7076" s="18"/>
      <c r="X7076" s="18"/>
    </row>
    <row r="7077" spans="13:24">
      <c r="M7077" s="558">
        <f t="shared" si="335"/>
        <v>7075</v>
      </c>
      <c r="N7077" s="15">
        <f t="shared" si="333"/>
        <v>0.10662057583551773</v>
      </c>
      <c r="O7077" s="165">
        <f t="shared" si="334"/>
        <v>0.10662057583551773</v>
      </c>
      <c r="P7077" s="18"/>
      <c r="Q7077" s="18"/>
      <c r="R7077" s="18"/>
      <c r="S7077" s="18"/>
      <c r="T7077" s="18"/>
      <c r="U7077" s="18"/>
      <c r="V7077" s="18"/>
      <c r="W7077" s="18"/>
      <c r="X7077" s="18"/>
    </row>
    <row r="7078" spans="13:24">
      <c r="M7078" s="558">
        <f t="shared" si="335"/>
        <v>7076</v>
      </c>
      <c r="N7078" s="15">
        <f t="shared" si="333"/>
        <v>0.10656912771990673</v>
      </c>
      <c r="O7078" s="165">
        <f t="shared" si="334"/>
        <v>0.10656912771990673</v>
      </c>
      <c r="P7078" s="18"/>
      <c r="Q7078" s="18"/>
      <c r="R7078" s="18"/>
      <c r="S7078" s="18"/>
      <c r="T7078" s="18"/>
      <c r="U7078" s="18"/>
      <c r="V7078" s="18"/>
      <c r="W7078" s="18"/>
      <c r="X7078" s="18"/>
    </row>
    <row r="7079" spans="13:24">
      <c r="M7079" s="558">
        <f t="shared" si="335"/>
        <v>7077</v>
      </c>
      <c r="N7079" s="15">
        <f t="shared" si="333"/>
        <v>0.10651767970249645</v>
      </c>
      <c r="O7079" s="165">
        <f t="shared" si="334"/>
        <v>0.10651767970249645</v>
      </c>
      <c r="P7079" s="18"/>
      <c r="Q7079" s="18"/>
      <c r="R7079" s="18"/>
      <c r="S7079" s="18"/>
      <c r="T7079" s="18"/>
      <c r="U7079" s="18"/>
      <c r="V7079" s="18"/>
      <c r="W7079" s="18"/>
      <c r="X7079" s="18"/>
    </row>
    <row r="7080" spans="13:24">
      <c r="M7080" s="558">
        <f t="shared" si="335"/>
        <v>7078</v>
      </c>
      <c r="N7080" s="15">
        <f t="shared" si="333"/>
        <v>0.10646623178316365</v>
      </c>
      <c r="O7080" s="165">
        <f t="shared" si="334"/>
        <v>0.10646623178316365</v>
      </c>
      <c r="P7080" s="18"/>
      <c r="Q7080" s="18"/>
      <c r="R7080" s="18"/>
      <c r="S7080" s="18"/>
      <c r="T7080" s="18"/>
      <c r="U7080" s="18"/>
      <c r="V7080" s="18"/>
      <c r="W7080" s="18"/>
      <c r="X7080" s="18"/>
    </row>
    <row r="7081" spans="13:24">
      <c r="M7081" s="558">
        <f t="shared" si="335"/>
        <v>7079</v>
      </c>
      <c r="N7081" s="15">
        <f t="shared" si="333"/>
        <v>0.10641478396178528</v>
      </c>
      <c r="O7081" s="165">
        <f t="shared" si="334"/>
        <v>0.10641478396178528</v>
      </c>
      <c r="P7081" s="18"/>
      <c r="Q7081" s="18"/>
      <c r="R7081" s="18"/>
      <c r="S7081" s="18"/>
      <c r="T7081" s="18"/>
      <c r="U7081" s="18"/>
      <c r="V7081" s="18"/>
      <c r="W7081" s="18"/>
      <c r="X7081" s="18"/>
    </row>
    <row r="7082" spans="13:24">
      <c r="M7082" s="558">
        <f t="shared" si="335"/>
        <v>7080</v>
      </c>
      <c r="N7082" s="15">
        <f t="shared" si="333"/>
        <v>0.10636333623823839</v>
      </c>
      <c r="O7082" s="165">
        <f t="shared" si="334"/>
        <v>0.10636333623823839</v>
      </c>
      <c r="P7082" s="18"/>
      <c r="Q7082" s="18"/>
      <c r="R7082" s="18"/>
      <c r="S7082" s="18"/>
      <c r="T7082" s="18"/>
      <c r="U7082" s="18"/>
      <c r="V7082" s="18"/>
      <c r="W7082" s="18"/>
      <c r="X7082" s="18"/>
    </row>
    <row r="7083" spans="13:24">
      <c r="M7083" s="558">
        <f t="shared" si="335"/>
        <v>7081</v>
      </c>
      <c r="N7083" s="15">
        <f t="shared" si="333"/>
        <v>0.10631188861240021</v>
      </c>
      <c r="O7083" s="165">
        <f t="shared" si="334"/>
        <v>0.10631188861240021</v>
      </c>
      <c r="P7083" s="18"/>
      <c r="Q7083" s="18"/>
      <c r="R7083" s="18"/>
      <c r="S7083" s="18"/>
      <c r="T7083" s="18"/>
      <c r="U7083" s="18"/>
      <c r="V7083" s="18"/>
      <c r="W7083" s="18"/>
      <c r="X7083" s="18"/>
    </row>
    <row r="7084" spans="13:24">
      <c r="M7084" s="558">
        <f t="shared" si="335"/>
        <v>7082</v>
      </c>
      <c r="N7084" s="15">
        <f t="shared" si="333"/>
        <v>0.10626044108414813</v>
      </c>
      <c r="O7084" s="165">
        <f t="shared" si="334"/>
        <v>0.10626044108414813</v>
      </c>
      <c r="P7084" s="18"/>
      <c r="Q7084" s="18"/>
      <c r="R7084" s="18"/>
      <c r="S7084" s="18"/>
      <c r="T7084" s="18"/>
      <c r="U7084" s="18"/>
      <c r="V7084" s="18"/>
      <c r="W7084" s="18"/>
      <c r="X7084" s="18"/>
    </row>
    <row r="7085" spans="13:24">
      <c r="M7085" s="558">
        <f t="shared" si="335"/>
        <v>7083</v>
      </c>
      <c r="N7085" s="15">
        <f t="shared" si="333"/>
        <v>0.1062089936533597</v>
      </c>
      <c r="O7085" s="165">
        <f t="shared" si="334"/>
        <v>0.1062089936533597</v>
      </c>
      <c r="P7085" s="18"/>
      <c r="Q7085" s="18"/>
      <c r="R7085" s="18"/>
      <c r="S7085" s="18"/>
      <c r="T7085" s="18"/>
      <c r="U7085" s="18"/>
      <c r="V7085" s="18"/>
      <c r="W7085" s="18"/>
      <c r="X7085" s="18"/>
    </row>
    <row r="7086" spans="13:24">
      <c r="M7086" s="558">
        <f t="shared" si="335"/>
        <v>7084</v>
      </c>
      <c r="N7086" s="15">
        <f t="shared" si="333"/>
        <v>0.10615754631991259</v>
      </c>
      <c r="O7086" s="165">
        <f t="shared" si="334"/>
        <v>0.10615754631991259</v>
      </c>
      <c r="P7086" s="18"/>
      <c r="Q7086" s="18"/>
      <c r="R7086" s="18"/>
      <c r="S7086" s="18"/>
      <c r="T7086" s="18"/>
      <c r="U7086" s="18"/>
      <c r="V7086" s="18"/>
      <c r="W7086" s="18"/>
      <c r="X7086" s="18"/>
    </row>
    <row r="7087" spans="13:24">
      <c r="M7087" s="558">
        <f t="shared" si="335"/>
        <v>7085</v>
      </c>
      <c r="N7087" s="15">
        <f t="shared" si="333"/>
        <v>0.10610609908368465</v>
      </c>
      <c r="O7087" s="165">
        <f t="shared" si="334"/>
        <v>0.10610609908368465</v>
      </c>
      <c r="P7087" s="18"/>
      <c r="Q7087" s="18"/>
      <c r="R7087" s="18"/>
      <c r="S7087" s="18"/>
      <c r="T7087" s="18"/>
      <c r="U7087" s="18"/>
      <c r="V7087" s="18"/>
      <c r="W7087" s="18"/>
      <c r="X7087" s="18"/>
    </row>
    <row r="7088" spans="13:24">
      <c r="M7088" s="558">
        <f t="shared" si="335"/>
        <v>7086</v>
      </c>
      <c r="N7088" s="15">
        <f t="shared" si="333"/>
        <v>0.10605465194455388</v>
      </c>
      <c r="O7088" s="165">
        <f t="shared" si="334"/>
        <v>0.10605465194455388</v>
      </c>
      <c r="P7088" s="18"/>
      <c r="Q7088" s="18"/>
      <c r="R7088" s="18"/>
      <c r="S7088" s="18"/>
      <c r="T7088" s="18"/>
      <c r="U7088" s="18"/>
      <c r="V7088" s="18"/>
      <c r="W7088" s="18"/>
      <c r="X7088" s="18"/>
    </row>
    <row r="7089" spans="13:24">
      <c r="M7089" s="558">
        <f t="shared" si="335"/>
        <v>7087</v>
      </c>
      <c r="N7089" s="15">
        <f t="shared" si="333"/>
        <v>0.10600320490239842</v>
      </c>
      <c r="O7089" s="165">
        <f t="shared" si="334"/>
        <v>0.10600320490239842</v>
      </c>
      <c r="P7089" s="18"/>
      <c r="Q7089" s="18"/>
      <c r="R7089" s="18"/>
      <c r="S7089" s="18"/>
      <c r="T7089" s="18"/>
      <c r="U7089" s="18"/>
      <c r="V7089" s="18"/>
      <c r="W7089" s="18"/>
      <c r="X7089" s="18"/>
    </row>
    <row r="7090" spans="13:24">
      <c r="M7090" s="558">
        <f t="shared" si="335"/>
        <v>7088</v>
      </c>
      <c r="N7090" s="15">
        <f t="shared" si="333"/>
        <v>0.10595175795709659</v>
      </c>
      <c r="O7090" s="165">
        <f t="shared" si="334"/>
        <v>0.10595175795709659</v>
      </c>
      <c r="P7090" s="18"/>
      <c r="Q7090" s="18"/>
      <c r="R7090" s="18"/>
      <c r="S7090" s="18"/>
      <c r="T7090" s="18"/>
      <c r="U7090" s="18"/>
      <c r="V7090" s="18"/>
      <c r="W7090" s="18"/>
      <c r="X7090" s="18"/>
    </row>
    <row r="7091" spans="13:24">
      <c r="M7091" s="558">
        <f t="shared" si="335"/>
        <v>7089</v>
      </c>
      <c r="N7091" s="15">
        <f t="shared" si="333"/>
        <v>0.10590031110852685</v>
      </c>
      <c r="O7091" s="165">
        <f t="shared" si="334"/>
        <v>0.10590031110852685</v>
      </c>
      <c r="P7091" s="18"/>
      <c r="Q7091" s="18"/>
      <c r="R7091" s="18"/>
      <c r="S7091" s="18"/>
      <c r="T7091" s="18"/>
      <c r="U7091" s="18"/>
      <c r="V7091" s="18"/>
      <c r="W7091" s="18"/>
      <c r="X7091" s="18"/>
    </row>
    <row r="7092" spans="13:24">
      <c r="M7092" s="558">
        <f t="shared" si="335"/>
        <v>7090</v>
      </c>
      <c r="N7092" s="15">
        <f t="shared" si="333"/>
        <v>0.1058488643565678</v>
      </c>
      <c r="O7092" s="165">
        <f t="shared" si="334"/>
        <v>0.1058488643565678</v>
      </c>
      <c r="P7092" s="18"/>
      <c r="Q7092" s="18"/>
      <c r="R7092" s="18"/>
      <c r="S7092" s="18"/>
      <c r="T7092" s="18"/>
      <c r="U7092" s="18"/>
      <c r="V7092" s="18"/>
      <c r="W7092" s="18"/>
      <c r="X7092" s="18"/>
    </row>
    <row r="7093" spans="13:24">
      <c r="M7093" s="558">
        <f t="shared" si="335"/>
        <v>7091</v>
      </c>
      <c r="N7093" s="15">
        <f t="shared" si="333"/>
        <v>0.1057974177010982</v>
      </c>
      <c r="O7093" s="165">
        <f t="shared" si="334"/>
        <v>0.1057974177010982</v>
      </c>
      <c r="P7093" s="18"/>
      <c r="Q7093" s="18"/>
      <c r="R7093" s="18"/>
      <c r="S7093" s="18"/>
      <c r="T7093" s="18"/>
      <c r="U7093" s="18"/>
      <c r="V7093" s="18"/>
      <c r="W7093" s="18"/>
      <c r="X7093" s="18"/>
    </row>
    <row r="7094" spans="13:24">
      <c r="M7094" s="558">
        <f t="shared" si="335"/>
        <v>7092</v>
      </c>
      <c r="N7094" s="15">
        <f t="shared" si="333"/>
        <v>0.10574597114199696</v>
      </c>
      <c r="O7094" s="165">
        <f t="shared" si="334"/>
        <v>0.10574597114199696</v>
      </c>
      <c r="P7094" s="18"/>
      <c r="Q7094" s="18"/>
      <c r="R7094" s="18"/>
      <c r="S7094" s="18"/>
      <c r="T7094" s="18"/>
      <c r="U7094" s="18"/>
      <c r="V7094" s="18"/>
      <c r="W7094" s="18"/>
      <c r="X7094" s="18"/>
    </row>
    <row r="7095" spans="13:24">
      <c r="M7095" s="558">
        <f t="shared" si="335"/>
        <v>7093</v>
      </c>
      <c r="N7095" s="15">
        <f t="shared" si="333"/>
        <v>0.10569452467914316</v>
      </c>
      <c r="O7095" s="165">
        <f t="shared" si="334"/>
        <v>0.10569452467914316</v>
      </c>
      <c r="P7095" s="18"/>
      <c r="Q7095" s="18"/>
      <c r="R7095" s="18"/>
      <c r="S7095" s="18"/>
      <c r="T7095" s="18"/>
      <c r="U7095" s="18"/>
      <c r="V7095" s="18"/>
      <c r="W7095" s="18"/>
      <c r="X7095" s="18"/>
    </row>
    <row r="7096" spans="13:24">
      <c r="M7096" s="558">
        <f t="shared" si="335"/>
        <v>7094</v>
      </c>
      <c r="N7096" s="15">
        <f t="shared" si="333"/>
        <v>0.10564307831241601</v>
      </c>
      <c r="O7096" s="165">
        <f t="shared" si="334"/>
        <v>0.10564307831241601</v>
      </c>
      <c r="P7096" s="18"/>
      <c r="Q7096" s="18"/>
      <c r="R7096" s="18"/>
      <c r="S7096" s="18"/>
      <c r="T7096" s="18"/>
      <c r="U7096" s="18"/>
      <c r="V7096" s="18"/>
      <c r="W7096" s="18"/>
      <c r="X7096" s="18"/>
    </row>
    <row r="7097" spans="13:24">
      <c r="M7097" s="558">
        <f t="shared" si="335"/>
        <v>7095</v>
      </c>
      <c r="N7097" s="15">
        <f t="shared" si="333"/>
        <v>0.10559163204169486</v>
      </c>
      <c r="O7097" s="165">
        <f t="shared" si="334"/>
        <v>0.10559163204169486</v>
      </c>
      <c r="P7097" s="18"/>
      <c r="Q7097" s="18"/>
      <c r="R7097" s="18"/>
      <c r="S7097" s="18"/>
      <c r="T7097" s="18"/>
      <c r="U7097" s="18"/>
      <c r="V7097" s="18"/>
      <c r="W7097" s="18"/>
      <c r="X7097" s="18"/>
    </row>
    <row r="7098" spans="13:24">
      <c r="M7098" s="558">
        <f t="shared" si="335"/>
        <v>7096</v>
      </c>
      <c r="N7098" s="15">
        <f t="shared" si="333"/>
        <v>0.10554018586685926</v>
      </c>
      <c r="O7098" s="165">
        <f t="shared" si="334"/>
        <v>0.10554018586685926</v>
      </c>
      <c r="P7098" s="18"/>
      <c r="Q7098" s="18"/>
      <c r="R7098" s="18"/>
      <c r="S7098" s="18"/>
      <c r="T7098" s="18"/>
      <c r="U7098" s="18"/>
      <c r="V7098" s="18"/>
      <c r="W7098" s="18"/>
      <c r="X7098" s="18"/>
    </row>
    <row r="7099" spans="13:24">
      <c r="M7099" s="558">
        <f t="shared" si="335"/>
        <v>7097</v>
      </c>
      <c r="N7099" s="15">
        <f t="shared" si="333"/>
        <v>0.10548873978778887</v>
      </c>
      <c r="O7099" s="165">
        <f t="shared" si="334"/>
        <v>0.10548873978778887</v>
      </c>
      <c r="P7099" s="18"/>
      <c r="Q7099" s="18"/>
      <c r="R7099" s="18"/>
      <c r="S7099" s="18"/>
      <c r="T7099" s="18"/>
      <c r="U7099" s="18"/>
      <c r="V7099" s="18"/>
      <c r="W7099" s="18"/>
      <c r="X7099" s="18"/>
    </row>
    <row r="7100" spans="13:24">
      <c r="M7100" s="558">
        <f t="shared" si="335"/>
        <v>7098</v>
      </c>
      <c r="N7100" s="15">
        <f t="shared" si="333"/>
        <v>0.10543729380436351</v>
      </c>
      <c r="O7100" s="165">
        <f t="shared" si="334"/>
        <v>0.10543729380436351</v>
      </c>
      <c r="P7100" s="18"/>
      <c r="Q7100" s="18"/>
      <c r="R7100" s="18"/>
      <c r="S7100" s="18"/>
      <c r="T7100" s="18"/>
      <c r="U7100" s="18"/>
      <c r="V7100" s="18"/>
      <c r="W7100" s="18"/>
      <c r="X7100" s="18"/>
    </row>
    <row r="7101" spans="13:24">
      <c r="M7101" s="558">
        <f t="shared" si="335"/>
        <v>7099</v>
      </c>
      <c r="N7101" s="15">
        <f t="shared" si="333"/>
        <v>0.10538584791646315</v>
      </c>
      <c r="O7101" s="165">
        <f t="shared" si="334"/>
        <v>0.10538584791646315</v>
      </c>
      <c r="P7101" s="18"/>
      <c r="Q7101" s="18"/>
      <c r="R7101" s="18"/>
      <c r="S7101" s="18"/>
      <c r="T7101" s="18"/>
      <c r="U7101" s="18"/>
      <c r="V7101" s="18"/>
      <c r="W7101" s="18"/>
      <c r="X7101" s="18"/>
    </row>
    <row r="7102" spans="13:24">
      <c r="M7102" s="558">
        <f t="shared" si="335"/>
        <v>7100</v>
      </c>
      <c r="N7102" s="15">
        <f t="shared" si="333"/>
        <v>0.10533440212396791</v>
      </c>
      <c r="O7102" s="165">
        <f t="shared" si="334"/>
        <v>0.10533440212396791</v>
      </c>
      <c r="P7102" s="18"/>
      <c r="Q7102" s="18"/>
      <c r="R7102" s="18"/>
      <c r="S7102" s="18"/>
      <c r="T7102" s="18"/>
      <c r="U7102" s="18"/>
      <c r="V7102" s="18"/>
      <c r="W7102" s="18"/>
      <c r="X7102" s="18"/>
    </row>
    <row r="7103" spans="13:24">
      <c r="M7103" s="558">
        <f t="shared" si="335"/>
        <v>7101</v>
      </c>
      <c r="N7103" s="15">
        <f t="shared" si="333"/>
        <v>0.10528295642675807</v>
      </c>
      <c r="O7103" s="165">
        <f t="shared" si="334"/>
        <v>0.10528295642675807</v>
      </c>
      <c r="P7103" s="18"/>
      <c r="Q7103" s="18"/>
      <c r="R7103" s="18"/>
      <c r="S7103" s="18"/>
      <c r="T7103" s="18"/>
      <c r="U7103" s="18"/>
      <c r="V7103" s="18"/>
      <c r="W7103" s="18"/>
      <c r="X7103" s="18"/>
    </row>
    <row r="7104" spans="13:24">
      <c r="M7104" s="558">
        <f t="shared" si="335"/>
        <v>7102</v>
      </c>
      <c r="N7104" s="15">
        <f t="shared" si="333"/>
        <v>0.10523151082471406</v>
      </c>
      <c r="O7104" s="165">
        <f t="shared" si="334"/>
        <v>0.10523151082471406</v>
      </c>
      <c r="P7104" s="18"/>
      <c r="Q7104" s="18"/>
      <c r="R7104" s="18"/>
      <c r="S7104" s="18"/>
      <c r="T7104" s="18"/>
      <c r="U7104" s="18"/>
      <c r="V7104" s="18"/>
      <c r="W7104" s="18"/>
      <c r="X7104" s="18"/>
    </row>
    <row r="7105" spans="13:24">
      <c r="M7105" s="558">
        <f t="shared" si="335"/>
        <v>7103</v>
      </c>
      <c r="N7105" s="15">
        <f t="shared" si="333"/>
        <v>0.10518006531771645</v>
      </c>
      <c r="O7105" s="165">
        <f t="shared" si="334"/>
        <v>0.10518006531771645</v>
      </c>
      <c r="P7105" s="18"/>
      <c r="Q7105" s="18"/>
      <c r="R7105" s="18"/>
      <c r="S7105" s="18"/>
      <c r="T7105" s="18"/>
      <c r="U7105" s="18"/>
      <c r="V7105" s="18"/>
      <c r="W7105" s="18"/>
      <c r="X7105" s="18"/>
    </row>
    <row r="7106" spans="13:24">
      <c r="M7106" s="558">
        <f t="shared" si="335"/>
        <v>7104</v>
      </c>
      <c r="N7106" s="15">
        <f t="shared" si="333"/>
        <v>0.10512861990564597</v>
      </c>
      <c r="O7106" s="165">
        <f t="shared" si="334"/>
        <v>0.10512861990564597</v>
      </c>
      <c r="P7106" s="18"/>
      <c r="Q7106" s="18"/>
      <c r="R7106" s="18"/>
      <c r="S7106" s="18"/>
      <c r="T7106" s="18"/>
      <c r="U7106" s="18"/>
      <c r="V7106" s="18"/>
      <c r="W7106" s="18"/>
      <c r="X7106" s="18"/>
    </row>
    <row r="7107" spans="13:24">
      <c r="M7107" s="558">
        <f t="shared" si="335"/>
        <v>7105</v>
      </c>
      <c r="N7107" s="15">
        <f t="shared" si="333"/>
        <v>0.10507717458838349</v>
      </c>
      <c r="O7107" s="165">
        <f t="shared" si="334"/>
        <v>0.10507717458838349</v>
      </c>
      <c r="P7107" s="18"/>
      <c r="Q7107" s="18"/>
      <c r="R7107" s="18"/>
      <c r="S7107" s="18"/>
      <c r="T7107" s="18"/>
      <c r="U7107" s="18"/>
      <c r="V7107" s="18"/>
      <c r="W7107" s="18"/>
      <c r="X7107" s="18"/>
    </row>
    <row r="7108" spans="13:24">
      <c r="M7108" s="558">
        <f t="shared" si="335"/>
        <v>7106</v>
      </c>
      <c r="N7108" s="15">
        <f t="shared" ref="N7108:N7171" si="336">IF(M7108&lt;$B$31+1,$B$32+$B$33/$B$31*(8760-M7108)+$B$34*IF(M7108&lt;$B$36-$B$31/(2*$B$35),1,IF(M7108&lt;$B$36+$B$31/(2*$B$35),COS(PI()/2*(M7108-($B$36-$B$31/(2*$B$35)))*$B$35/$B$31)^2,0))+$B$37*EXP((8760-M7108)/8760*$B$38)/EXP($B$38)-(8760-$B$31)*$B$33/$B$31,0)</f>
        <v>0.10502572936581003</v>
      </c>
      <c r="O7108" s="165">
        <f t="shared" ref="O7108:O7171" si="337">MIN(N7108,C$24)</f>
        <v>0.10502572936581003</v>
      </c>
      <c r="P7108" s="18"/>
      <c r="Q7108" s="18"/>
      <c r="R7108" s="18"/>
      <c r="S7108" s="18"/>
      <c r="T7108" s="18"/>
      <c r="U7108" s="18"/>
      <c r="V7108" s="18"/>
      <c r="W7108" s="18"/>
      <c r="X7108" s="18"/>
    </row>
    <row r="7109" spans="13:24">
      <c r="M7109" s="558">
        <f t="shared" ref="M7109:M7172" si="338">M7108+1</f>
        <v>7107</v>
      </c>
      <c r="N7109" s="15">
        <f t="shared" si="336"/>
        <v>0.10497428423780676</v>
      </c>
      <c r="O7109" s="165">
        <f t="shared" si="337"/>
        <v>0.10497428423780676</v>
      </c>
      <c r="P7109" s="18"/>
      <c r="Q7109" s="18"/>
      <c r="R7109" s="18"/>
      <c r="S7109" s="18"/>
      <c r="T7109" s="18"/>
      <c r="U7109" s="18"/>
      <c r="V7109" s="18"/>
      <c r="W7109" s="18"/>
      <c r="X7109" s="18"/>
    </row>
    <row r="7110" spans="13:24">
      <c r="M7110" s="558">
        <f t="shared" si="338"/>
        <v>7108</v>
      </c>
      <c r="N7110" s="15">
        <f t="shared" si="336"/>
        <v>0.10492283920425502</v>
      </c>
      <c r="O7110" s="165">
        <f t="shared" si="337"/>
        <v>0.10492283920425502</v>
      </c>
      <c r="P7110" s="18"/>
      <c r="Q7110" s="18"/>
      <c r="R7110" s="18"/>
      <c r="S7110" s="18"/>
      <c r="T7110" s="18"/>
      <c r="U7110" s="18"/>
      <c r="V7110" s="18"/>
      <c r="W7110" s="18"/>
      <c r="X7110" s="18"/>
    </row>
    <row r="7111" spans="13:24">
      <c r="M7111" s="558">
        <f t="shared" si="338"/>
        <v>7109</v>
      </c>
      <c r="N7111" s="15">
        <f t="shared" si="336"/>
        <v>0.10487139426503626</v>
      </c>
      <c r="O7111" s="165">
        <f t="shared" si="337"/>
        <v>0.10487139426503626</v>
      </c>
      <c r="P7111" s="18"/>
      <c r="Q7111" s="18"/>
      <c r="R7111" s="18"/>
      <c r="S7111" s="18"/>
      <c r="T7111" s="18"/>
      <c r="U7111" s="18"/>
      <c r="V7111" s="18"/>
      <c r="W7111" s="18"/>
      <c r="X7111" s="18"/>
    </row>
    <row r="7112" spans="13:24">
      <c r="M7112" s="558">
        <f t="shared" si="338"/>
        <v>7110</v>
      </c>
      <c r="N7112" s="15">
        <f t="shared" si="336"/>
        <v>0.1048199494200321</v>
      </c>
      <c r="O7112" s="165">
        <f t="shared" si="337"/>
        <v>0.1048199494200321</v>
      </c>
      <c r="P7112" s="18"/>
      <c r="Q7112" s="18"/>
      <c r="R7112" s="18"/>
      <c r="S7112" s="18"/>
      <c r="T7112" s="18"/>
      <c r="U7112" s="18"/>
      <c r="V7112" s="18"/>
      <c r="W7112" s="18"/>
      <c r="X7112" s="18"/>
    </row>
    <row r="7113" spans="13:24">
      <c r="M7113" s="558">
        <f t="shared" si="338"/>
        <v>7111</v>
      </c>
      <c r="N7113" s="15">
        <f t="shared" si="336"/>
        <v>0.10476850466912434</v>
      </c>
      <c r="O7113" s="165">
        <f t="shared" si="337"/>
        <v>0.10476850466912434</v>
      </c>
      <c r="P7113" s="18"/>
      <c r="Q7113" s="18"/>
      <c r="R7113" s="18"/>
      <c r="S7113" s="18"/>
      <c r="T7113" s="18"/>
      <c r="U7113" s="18"/>
      <c r="V7113" s="18"/>
      <c r="W7113" s="18"/>
      <c r="X7113" s="18"/>
    </row>
    <row r="7114" spans="13:24">
      <c r="M7114" s="558">
        <f t="shared" si="338"/>
        <v>7112</v>
      </c>
      <c r="N7114" s="15">
        <f t="shared" si="336"/>
        <v>0.10471706001219486</v>
      </c>
      <c r="O7114" s="165">
        <f t="shared" si="337"/>
        <v>0.10471706001219486</v>
      </c>
      <c r="P7114" s="18"/>
      <c r="Q7114" s="18"/>
      <c r="R7114" s="18"/>
      <c r="S7114" s="18"/>
      <c r="T7114" s="18"/>
      <c r="U7114" s="18"/>
      <c r="V7114" s="18"/>
      <c r="W7114" s="18"/>
      <c r="X7114" s="18"/>
    </row>
    <row r="7115" spans="13:24">
      <c r="M7115" s="558">
        <f t="shared" si="338"/>
        <v>7113</v>
      </c>
      <c r="N7115" s="15">
        <f t="shared" si="336"/>
        <v>0.10466561544912573</v>
      </c>
      <c r="O7115" s="165">
        <f t="shared" si="337"/>
        <v>0.10466561544912573</v>
      </c>
      <c r="P7115" s="18"/>
      <c r="Q7115" s="18"/>
      <c r="R7115" s="18"/>
      <c r="S7115" s="18"/>
      <c r="T7115" s="18"/>
      <c r="U7115" s="18"/>
      <c r="V7115" s="18"/>
      <c r="W7115" s="18"/>
      <c r="X7115" s="18"/>
    </row>
    <row r="7116" spans="13:24">
      <c r="M7116" s="558">
        <f t="shared" si="338"/>
        <v>7114</v>
      </c>
      <c r="N7116" s="15">
        <f t="shared" si="336"/>
        <v>0.10461417097979918</v>
      </c>
      <c r="O7116" s="165">
        <f t="shared" si="337"/>
        <v>0.10461417097979918</v>
      </c>
      <c r="P7116" s="18"/>
      <c r="Q7116" s="18"/>
      <c r="R7116" s="18"/>
      <c r="S7116" s="18"/>
      <c r="T7116" s="18"/>
      <c r="U7116" s="18"/>
      <c r="V7116" s="18"/>
      <c r="W7116" s="18"/>
      <c r="X7116" s="18"/>
    </row>
    <row r="7117" spans="13:24">
      <c r="M7117" s="558">
        <f t="shared" si="338"/>
        <v>7115</v>
      </c>
      <c r="N7117" s="15">
        <f t="shared" si="336"/>
        <v>0.10456272660409756</v>
      </c>
      <c r="O7117" s="165">
        <f t="shared" si="337"/>
        <v>0.10456272660409756</v>
      </c>
      <c r="P7117" s="18"/>
      <c r="Q7117" s="18"/>
      <c r="R7117" s="18"/>
      <c r="S7117" s="18"/>
      <c r="T7117" s="18"/>
      <c r="U7117" s="18"/>
      <c r="V7117" s="18"/>
      <c r="W7117" s="18"/>
      <c r="X7117" s="18"/>
    </row>
    <row r="7118" spans="13:24">
      <c r="M7118" s="558">
        <f t="shared" si="338"/>
        <v>7116</v>
      </c>
      <c r="N7118" s="15">
        <f t="shared" si="336"/>
        <v>0.10451128232190338</v>
      </c>
      <c r="O7118" s="165">
        <f t="shared" si="337"/>
        <v>0.10451128232190338</v>
      </c>
      <c r="P7118" s="18"/>
      <c r="Q7118" s="18"/>
      <c r="R7118" s="18"/>
      <c r="S7118" s="18"/>
      <c r="T7118" s="18"/>
      <c r="U7118" s="18"/>
      <c r="V7118" s="18"/>
      <c r="W7118" s="18"/>
      <c r="X7118" s="18"/>
    </row>
    <row r="7119" spans="13:24">
      <c r="M7119" s="558">
        <f t="shared" si="338"/>
        <v>7117</v>
      </c>
      <c r="N7119" s="15">
        <f t="shared" si="336"/>
        <v>0.10445983813309929</v>
      </c>
      <c r="O7119" s="165">
        <f t="shared" si="337"/>
        <v>0.10445983813309929</v>
      </c>
      <c r="P7119" s="18"/>
      <c r="Q7119" s="18"/>
      <c r="R7119" s="18"/>
      <c r="S7119" s="18"/>
      <c r="T7119" s="18"/>
      <c r="U7119" s="18"/>
      <c r="V7119" s="18"/>
      <c r="W7119" s="18"/>
      <c r="X7119" s="18"/>
    </row>
    <row r="7120" spans="13:24">
      <c r="M7120" s="558">
        <f t="shared" si="338"/>
        <v>7118</v>
      </c>
      <c r="N7120" s="15">
        <f t="shared" si="336"/>
        <v>0.10440839403756809</v>
      </c>
      <c r="O7120" s="165">
        <f t="shared" si="337"/>
        <v>0.10440839403756809</v>
      </c>
      <c r="P7120" s="18"/>
      <c r="Q7120" s="18"/>
      <c r="R7120" s="18"/>
      <c r="S7120" s="18"/>
      <c r="T7120" s="18"/>
      <c r="U7120" s="18"/>
      <c r="V7120" s="18"/>
      <c r="W7120" s="18"/>
      <c r="X7120" s="18"/>
    </row>
    <row r="7121" spans="13:24">
      <c r="M7121" s="558">
        <f t="shared" si="338"/>
        <v>7119</v>
      </c>
      <c r="N7121" s="15">
        <f t="shared" si="336"/>
        <v>0.10435695003519274</v>
      </c>
      <c r="O7121" s="165">
        <f t="shared" si="337"/>
        <v>0.10435695003519274</v>
      </c>
      <c r="P7121" s="18"/>
      <c r="Q7121" s="18"/>
      <c r="R7121" s="18"/>
      <c r="S7121" s="18"/>
      <c r="T7121" s="18"/>
      <c r="U7121" s="18"/>
      <c r="V7121" s="18"/>
      <c r="W7121" s="18"/>
      <c r="X7121" s="18"/>
    </row>
    <row r="7122" spans="13:24">
      <c r="M7122" s="558">
        <f t="shared" si="338"/>
        <v>7120</v>
      </c>
      <c r="N7122" s="15">
        <f t="shared" si="336"/>
        <v>0.10430550612585635</v>
      </c>
      <c r="O7122" s="165">
        <f t="shared" si="337"/>
        <v>0.10430550612585635</v>
      </c>
      <c r="P7122" s="18"/>
      <c r="Q7122" s="18"/>
      <c r="R7122" s="18"/>
      <c r="S7122" s="18"/>
      <c r="T7122" s="18"/>
      <c r="U7122" s="18"/>
      <c r="V7122" s="18"/>
      <c r="W7122" s="18"/>
      <c r="X7122" s="18"/>
    </row>
    <row r="7123" spans="13:24">
      <c r="M7123" s="558">
        <f t="shared" si="338"/>
        <v>7121</v>
      </c>
      <c r="N7123" s="15">
        <f t="shared" si="336"/>
        <v>0.10425406230944213</v>
      </c>
      <c r="O7123" s="165">
        <f t="shared" si="337"/>
        <v>0.10425406230944213</v>
      </c>
      <c r="P7123" s="18"/>
      <c r="Q7123" s="18"/>
      <c r="R7123" s="18"/>
      <c r="S7123" s="18"/>
      <c r="T7123" s="18"/>
      <c r="U7123" s="18"/>
      <c r="V7123" s="18"/>
      <c r="W7123" s="18"/>
      <c r="X7123" s="18"/>
    </row>
    <row r="7124" spans="13:24">
      <c r="M7124" s="558">
        <f t="shared" si="338"/>
        <v>7122</v>
      </c>
      <c r="N7124" s="15">
        <f t="shared" si="336"/>
        <v>0.10420261858583352</v>
      </c>
      <c r="O7124" s="165">
        <f t="shared" si="337"/>
        <v>0.10420261858583352</v>
      </c>
      <c r="P7124" s="18"/>
      <c r="Q7124" s="18"/>
      <c r="R7124" s="18"/>
      <c r="S7124" s="18"/>
      <c r="T7124" s="18"/>
      <c r="U7124" s="18"/>
      <c r="V7124" s="18"/>
      <c r="W7124" s="18"/>
      <c r="X7124" s="18"/>
    </row>
    <row r="7125" spans="13:24">
      <c r="M7125" s="558">
        <f t="shared" si="338"/>
        <v>7123</v>
      </c>
      <c r="N7125" s="15">
        <f t="shared" si="336"/>
        <v>0.10415117495491399</v>
      </c>
      <c r="O7125" s="165">
        <f t="shared" si="337"/>
        <v>0.10415117495491399</v>
      </c>
      <c r="P7125" s="18"/>
      <c r="Q7125" s="18"/>
      <c r="R7125" s="18"/>
      <c r="S7125" s="18"/>
      <c r="T7125" s="18"/>
      <c r="U7125" s="18"/>
      <c r="V7125" s="18"/>
      <c r="W7125" s="18"/>
      <c r="X7125" s="18"/>
    </row>
    <row r="7126" spans="13:24">
      <c r="M7126" s="558">
        <f t="shared" si="338"/>
        <v>7124</v>
      </c>
      <c r="N7126" s="15">
        <f t="shared" si="336"/>
        <v>0.10409973141656728</v>
      </c>
      <c r="O7126" s="165">
        <f t="shared" si="337"/>
        <v>0.10409973141656728</v>
      </c>
      <c r="P7126" s="18"/>
      <c r="Q7126" s="18"/>
      <c r="R7126" s="18"/>
      <c r="S7126" s="18"/>
      <c r="T7126" s="18"/>
      <c r="U7126" s="18"/>
      <c r="V7126" s="18"/>
      <c r="W7126" s="18"/>
      <c r="X7126" s="18"/>
    </row>
    <row r="7127" spans="13:24">
      <c r="M7127" s="558">
        <f t="shared" si="338"/>
        <v>7125</v>
      </c>
      <c r="N7127" s="15">
        <f t="shared" si="336"/>
        <v>0.10404828797067719</v>
      </c>
      <c r="O7127" s="165">
        <f t="shared" si="337"/>
        <v>0.10404828797067719</v>
      </c>
      <c r="P7127" s="18"/>
      <c r="Q7127" s="18"/>
      <c r="R7127" s="18"/>
      <c r="S7127" s="18"/>
      <c r="T7127" s="18"/>
      <c r="U7127" s="18"/>
      <c r="V7127" s="18"/>
      <c r="W7127" s="18"/>
      <c r="X7127" s="18"/>
    </row>
    <row r="7128" spans="13:24">
      <c r="M7128" s="558">
        <f t="shared" si="338"/>
        <v>7126</v>
      </c>
      <c r="N7128" s="15">
        <f t="shared" si="336"/>
        <v>0.1039968446171277</v>
      </c>
      <c r="O7128" s="165">
        <f t="shared" si="337"/>
        <v>0.1039968446171277</v>
      </c>
      <c r="P7128" s="18"/>
      <c r="Q7128" s="18"/>
      <c r="R7128" s="18"/>
      <c r="S7128" s="18"/>
      <c r="T7128" s="18"/>
      <c r="U7128" s="18"/>
      <c r="V7128" s="18"/>
      <c r="W7128" s="18"/>
      <c r="X7128" s="18"/>
    </row>
    <row r="7129" spans="13:24">
      <c r="M7129" s="558">
        <f t="shared" si="338"/>
        <v>7127</v>
      </c>
      <c r="N7129" s="15">
        <f t="shared" si="336"/>
        <v>0.10394540135580294</v>
      </c>
      <c r="O7129" s="165">
        <f t="shared" si="337"/>
        <v>0.10394540135580294</v>
      </c>
      <c r="P7129" s="18"/>
      <c r="Q7129" s="18"/>
      <c r="R7129" s="18"/>
      <c r="S7129" s="18"/>
      <c r="T7129" s="18"/>
      <c r="U7129" s="18"/>
      <c r="V7129" s="18"/>
      <c r="W7129" s="18"/>
      <c r="X7129" s="18"/>
    </row>
    <row r="7130" spans="13:24">
      <c r="M7130" s="558">
        <f t="shared" si="338"/>
        <v>7128</v>
      </c>
      <c r="N7130" s="15">
        <f t="shared" si="336"/>
        <v>0.10389395818658714</v>
      </c>
      <c r="O7130" s="165">
        <f t="shared" si="337"/>
        <v>0.10389395818658714</v>
      </c>
      <c r="P7130" s="18"/>
      <c r="Q7130" s="18"/>
      <c r="R7130" s="18"/>
      <c r="S7130" s="18"/>
      <c r="T7130" s="18"/>
      <c r="U7130" s="18"/>
      <c r="V7130" s="18"/>
      <c r="W7130" s="18"/>
      <c r="X7130" s="18"/>
    </row>
    <row r="7131" spans="13:24">
      <c r="M7131" s="558">
        <f t="shared" si="338"/>
        <v>7129</v>
      </c>
      <c r="N7131" s="15">
        <f t="shared" si="336"/>
        <v>0.10384251510936476</v>
      </c>
      <c r="O7131" s="165">
        <f t="shared" si="337"/>
        <v>0.10384251510936476</v>
      </c>
      <c r="P7131" s="18"/>
      <c r="Q7131" s="18"/>
      <c r="R7131" s="18"/>
      <c r="S7131" s="18"/>
      <c r="T7131" s="18"/>
      <c r="U7131" s="18"/>
      <c r="V7131" s="18"/>
      <c r="W7131" s="18"/>
      <c r="X7131" s="18"/>
    </row>
    <row r="7132" spans="13:24">
      <c r="M7132" s="558">
        <f t="shared" si="338"/>
        <v>7130</v>
      </c>
      <c r="N7132" s="15">
        <f t="shared" si="336"/>
        <v>0.10379107212402032</v>
      </c>
      <c r="O7132" s="165">
        <f t="shared" si="337"/>
        <v>0.10379107212402032</v>
      </c>
      <c r="P7132" s="18"/>
      <c r="Q7132" s="18"/>
      <c r="R7132" s="18"/>
      <c r="S7132" s="18"/>
      <c r="T7132" s="18"/>
      <c r="U7132" s="18"/>
      <c r="V7132" s="18"/>
      <c r="W7132" s="18"/>
      <c r="X7132" s="18"/>
    </row>
    <row r="7133" spans="13:24">
      <c r="M7133" s="558">
        <f t="shared" si="338"/>
        <v>7131</v>
      </c>
      <c r="N7133" s="15">
        <f t="shared" si="336"/>
        <v>0.10373962923043854</v>
      </c>
      <c r="O7133" s="165">
        <f t="shared" si="337"/>
        <v>0.10373962923043854</v>
      </c>
      <c r="P7133" s="18"/>
      <c r="Q7133" s="18"/>
      <c r="R7133" s="18"/>
      <c r="S7133" s="18"/>
      <c r="T7133" s="18"/>
      <c r="U7133" s="18"/>
      <c r="V7133" s="18"/>
      <c r="W7133" s="18"/>
      <c r="X7133" s="18"/>
    </row>
    <row r="7134" spans="13:24">
      <c r="M7134" s="558">
        <f t="shared" si="338"/>
        <v>7132</v>
      </c>
      <c r="N7134" s="15">
        <f t="shared" si="336"/>
        <v>0.10368818642850426</v>
      </c>
      <c r="O7134" s="165">
        <f t="shared" si="337"/>
        <v>0.10368818642850426</v>
      </c>
      <c r="P7134" s="18"/>
      <c r="Q7134" s="18"/>
      <c r="R7134" s="18"/>
      <c r="S7134" s="18"/>
      <c r="T7134" s="18"/>
      <c r="U7134" s="18"/>
      <c r="V7134" s="18"/>
      <c r="W7134" s="18"/>
      <c r="X7134" s="18"/>
    </row>
    <row r="7135" spans="13:24">
      <c r="M7135" s="558">
        <f t="shared" si="338"/>
        <v>7133</v>
      </c>
      <c r="N7135" s="15">
        <f t="shared" si="336"/>
        <v>0.10363674371810244</v>
      </c>
      <c r="O7135" s="165">
        <f t="shared" si="337"/>
        <v>0.10363674371810244</v>
      </c>
      <c r="P7135" s="18"/>
      <c r="Q7135" s="18"/>
      <c r="R7135" s="18"/>
      <c r="S7135" s="18"/>
      <c r="T7135" s="18"/>
      <c r="U7135" s="18"/>
      <c r="V7135" s="18"/>
      <c r="W7135" s="18"/>
      <c r="X7135" s="18"/>
    </row>
    <row r="7136" spans="13:24">
      <c r="M7136" s="558">
        <f t="shared" si="338"/>
        <v>7134</v>
      </c>
      <c r="N7136" s="15">
        <f t="shared" si="336"/>
        <v>0.10358530109911827</v>
      </c>
      <c r="O7136" s="165">
        <f t="shared" si="337"/>
        <v>0.10358530109911827</v>
      </c>
      <c r="P7136" s="18"/>
      <c r="Q7136" s="18"/>
      <c r="R7136" s="18"/>
      <c r="S7136" s="18"/>
      <c r="T7136" s="18"/>
      <c r="U7136" s="18"/>
      <c r="V7136" s="18"/>
      <c r="W7136" s="18"/>
      <c r="X7136" s="18"/>
    </row>
    <row r="7137" spans="13:24">
      <c r="M7137" s="558">
        <f t="shared" si="338"/>
        <v>7135</v>
      </c>
      <c r="N7137" s="15">
        <f t="shared" si="336"/>
        <v>0.103533858571437</v>
      </c>
      <c r="O7137" s="165">
        <f t="shared" si="337"/>
        <v>0.103533858571437</v>
      </c>
      <c r="P7137" s="18"/>
      <c r="Q7137" s="18"/>
      <c r="R7137" s="18"/>
      <c r="S7137" s="18"/>
      <c r="T7137" s="18"/>
      <c r="U7137" s="18"/>
      <c r="V7137" s="18"/>
      <c r="W7137" s="18"/>
      <c r="X7137" s="18"/>
    </row>
    <row r="7138" spans="13:24">
      <c r="M7138" s="558">
        <f t="shared" si="338"/>
        <v>7136</v>
      </c>
      <c r="N7138" s="15">
        <f t="shared" si="336"/>
        <v>0.10348241613494405</v>
      </c>
      <c r="O7138" s="165">
        <f t="shared" si="337"/>
        <v>0.10348241613494405</v>
      </c>
      <c r="P7138" s="18"/>
      <c r="Q7138" s="18"/>
      <c r="R7138" s="18"/>
      <c r="S7138" s="18"/>
      <c r="T7138" s="18"/>
      <c r="U7138" s="18"/>
      <c r="V7138" s="18"/>
      <c r="W7138" s="18"/>
      <c r="X7138" s="18"/>
    </row>
    <row r="7139" spans="13:24">
      <c r="M7139" s="558">
        <f t="shared" si="338"/>
        <v>7137</v>
      </c>
      <c r="N7139" s="15">
        <f t="shared" si="336"/>
        <v>0.10343097378952498</v>
      </c>
      <c r="O7139" s="165">
        <f t="shared" si="337"/>
        <v>0.10343097378952498</v>
      </c>
      <c r="P7139" s="18"/>
      <c r="Q7139" s="18"/>
      <c r="R7139" s="18"/>
      <c r="S7139" s="18"/>
      <c r="T7139" s="18"/>
      <c r="U7139" s="18"/>
      <c r="V7139" s="18"/>
      <c r="W7139" s="18"/>
      <c r="X7139" s="18"/>
    </row>
    <row r="7140" spans="13:24">
      <c r="M7140" s="558">
        <f t="shared" si="338"/>
        <v>7138</v>
      </c>
      <c r="N7140" s="15">
        <f t="shared" si="336"/>
        <v>0.10337953153506552</v>
      </c>
      <c r="O7140" s="165">
        <f t="shared" si="337"/>
        <v>0.10337953153506552</v>
      </c>
      <c r="P7140" s="18"/>
      <c r="Q7140" s="18"/>
      <c r="R7140" s="18"/>
      <c r="S7140" s="18"/>
      <c r="T7140" s="18"/>
      <c r="U7140" s="18"/>
      <c r="V7140" s="18"/>
      <c r="W7140" s="18"/>
      <c r="X7140" s="18"/>
    </row>
    <row r="7141" spans="13:24">
      <c r="M7141" s="558">
        <f t="shared" si="338"/>
        <v>7139</v>
      </c>
      <c r="N7141" s="15">
        <f t="shared" si="336"/>
        <v>0.10332808937145151</v>
      </c>
      <c r="O7141" s="165">
        <f t="shared" si="337"/>
        <v>0.10332808937145151</v>
      </c>
      <c r="P7141" s="18"/>
      <c r="Q7141" s="18"/>
      <c r="R7141" s="18"/>
      <c r="S7141" s="18"/>
      <c r="T7141" s="18"/>
      <c r="U7141" s="18"/>
      <c r="V7141" s="18"/>
      <c r="W7141" s="18"/>
      <c r="X7141" s="18"/>
    </row>
    <row r="7142" spans="13:24">
      <c r="M7142" s="558">
        <f t="shared" si="338"/>
        <v>7140</v>
      </c>
      <c r="N7142" s="15">
        <f t="shared" si="336"/>
        <v>0.10327664729856893</v>
      </c>
      <c r="O7142" s="165">
        <f t="shared" si="337"/>
        <v>0.10327664729856893</v>
      </c>
      <c r="P7142" s="18"/>
      <c r="Q7142" s="18"/>
      <c r="R7142" s="18"/>
      <c r="S7142" s="18"/>
      <c r="T7142" s="18"/>
      <c r="U7142" s="18"/>
      <c r="V7142" s="18"/>
      <c r="W7142" s="18"/>
      <c r="X7142" s="18"/>
    </row>
    <row r="7143" spans="13:24">
      <c r="M7143" s="558">
        <f t="shared" si="338"/>
        <v>7141</v>
      </c>
      <c r="N7143" s="15">
        <f t="shared" si="336"/>
        <v>0.10322520531630396</v>
      </c>
      <c r="O7143" s="165">
        <f t="shared" si="337"/>
        <v>0.10322520531630396</v>
      </c>
      <c r="P7143" s="18"/>
      <c r="Q7143" s="18"/>
      <c r="R7143" s="18"/>
      <c r="S7143" s="18"/>
      <c r="T7143" s="18"/>
      <c r="U7143" s="18"/>
      <c r="V7143" s="18"/>
      <c r="W7143" s="18"/>
      <c r="X7143" s="18"/>
    </row>
    <row r="7144" spans="13:24">
      <c r="M7144" s="558">
        <f t="shared" si="338"/>
        <v>7142</v>
      </c>
      <c r="N7144" s="15">
        <f t="shared" si="336"/>
        <v>0.10317376342454283</v>
      </c>
      <c r="O7144" s="165">
        <f t="shared" si="337"/>
        <v>0.10317376342454283</v>
      </c>
      <c r="P7144" s="18"/>
      <c r="Q7144" s="18"/>
      <c r="R7144" s="18"/>
      <c r="S7144" s="18"/>
      <c r="T7144" s="18"/>
      <c r="U7144" s="18"/>
      <c r="V7144" s="18"/>
      <c r="W7144" s="18"/>
      <c r="X7144" s="18"/>
    </row>
    <row r="7145" spans="13:24">
      <c r="M7145" s="558">
        <f t="shared" si="338"/>
        <v>7143</v>
      </c>
      <c r="N7145" s="15">
        <f t="shared" si="336"/>
        <v>0.10312232162317202</v>
      </c>
      <c r="O7145" s="165">
        <f t="shared" si="337"/>
        <v>0.10312232162317202</v>
      </c>
      <c r="P7145" s="18"/>
      <c r="Q7145" s="18"/>
      <c r="R7145" s="18"/>
      <c r="S7145" s="18"/>
      <c r="T7145" s="18"/>
      <c r="U7145" s="18"/>
      <c r="V7145" s="18"/>
      <c r="W7145" s="18"/>
      <c r="X7145" s="18"/>
    </row>
    <row r="7146" spans="13:24">
      <c r="M7146" s="558">
        <f t="shared" si="338"/>
        <v>7144</v>
      </c>
      <c r="N7146" s="15">
        <f t="shared" si="336"/>
        <v>0.10307087991207806</v>
      </c>
      <c r="O7146" s="165">
        <f t="shared" si="337"/>
        <v>0.10307087991207806</v>
      </c>
      <c r="P7146" s="18"/>
      <c r="Q7146" s="18"/>
      <c r="R7146" s="18"/>
      <c r="S7146" s="18"/>
      <c r="T7146" s="18"/>
      <c r="U7146" s="18"/>
      <c r="V7146" s="18"/>
      <c r="W7146" s="18"/>
      <c r="X7146" s="18"/>
    </row>
    <row r="7147" spans="13:24">
      <c r="M7147" s="558">
        <f t="shared" si="338"/>
        <v>7145</v>
      </c>
      <c r="N7147" s="15">
        <f t="shared" si="336"/>
        <v>0.10301943829114767</v>
      </c>
      <c r="O7147" s="165">
        <f t="shared" si="337"/>
        <v>0.10301943829114767</v>
      </c>
      <c r="P7147" s="18"/>
      <c r="Q7147" s="18"/>
      <c r="R7147" s="18"/>
      <c r="S7147" s="18"/>
      <c r="T7147" s="18"/>
      <c r="U7147" s="18"/>
      <c r="V7147" s="18"/>
      <c r="W7147" s="18"/>
      <c r="X7147" s="18"/>
    </row>
    <row r="7148" spans="13:24">
      <c r="M7148" s="558">
        <f t="shared" si="338"/>
        <v>7146</v>
      </c>
      <c r="N7148" s="15">
        <f t="shared" si="336"/>
        <v>0.1029679967602677</v>
      </c>
      <c r="O7148" s="165">
        <f t="shared" si="337"/>
        <v>0.1029679967602677</v>
      </c>
      <c r="P7148" s="18"/>
      <c r="Q7148" s="18"/>
      <c r="R7148" s="18"/>
      <c r="S7148" s="18"/>
      <c r="T7148" s="18"/>
      <c r="U7148" s="18"/>
      <c r="V7148" s="18"/>
      <c r="W7148" s="18"/>
      <c r="X7148" s="18"/>
    </row>
    <row r="7149" spans="13:24">
      <c r="M7149" s="558">
        <f t="shared" si="338"/>
        <v>7147</v>
      </c>
      <c r="N7149" s="15">
        <f t="shared" si="336"/>
        <v>0.10291655531932516</v>
      </c>
      <c r="O7149" s="165">
        <f t="shared" si="337"/>
        <v>0.10291655531932516</v>
      </c>
      <c r="P7149" s="18"/>
      <c r="Q7149" s="18"/>
      <c r="R7149" s="18"/>
      <c r="S7149" s="18"/>
      <c r="T7149" s="18"/>
      <c r="U7149" s="18"/>
      <c r="V7149" s="18"/>
      <c r="W7149" s="18"/>
      <c r="X7149" s="18"/>
    </row>
    <row r="7150" spans="13:24">
      <c r="M7150" s="558">
        <f t="shared" si="338"/>
        <v>7148</v>
      </c>
      <c r="N7150" s="15">
        <f t="shared" si="336"/>
        <v>0.10286511396820715</v>
      </c>
      <c r="O7150" s="165">
        <f t="shared" si="337"/>
        <v>0.10286511396820715</v>
      </c>
      <c r="P7150" s="18"/>
      <c r="Q7150" s="18"/>
      <c r="R7150" s="18"/>
      <c r="S7150" s="18"/>
      <c r="T7150" s="18"/>
      <c r="U7150" s="18"/>
      <c r="V7150" s="18"/>
      <c r="W7150" s="18"/>
      <c r="X7150" s="18"/>
    </row>
    <row r="7151" spans="13:24">
      <c r="M7151" s="558">
        <f t="shared" si="338"/>
        <v>7149</v>
      </c>
      <c r="N7151" s="15">
        <f t="shared" si="336"/>
        <v>0.10281367270680097</v>
      </c>
      <c r="O7151" s="165">
        <f t="shared" si="337"/>
        <v>0.10281367270680097</v>
      </c>
      <c r="P7151" s="18"/>
      <c r="Q7151" s="18"/>
      <c r="R7151" s="18"/>
      <c r="S7151" s="18"/>
      <c r="T7151" s="18"/>
      <c r="U7151" s="18"/>
      <c r="V7151" s="18"/>
      <c r="W7151" s="18"/>
      <c r="X7151" s="18"/>
    </row>
    <row r="7152" spans="13:24">
      <c r="M7152" s="558">
        <f t="shared" si="338"/>
        <v>7150</v>
      </c>
      <c r="N7152" s="15">
        <f t="shared" si="336"/>
        <v>0.10276223153499406</v>
      </c>
      <c r="O7152" s="165">
        <f t="shared" si="337"/>
        <v>0.10276223153499406</v>
      </c>
      <c r="P7152" s="18"/>
      <c r="Q7152" s="18"/>
      <c r="R7152" s="18"/>
      <c r="S7152" s="18"/>
      <c r="T7152" s="18"/>
      <c r="U7152" s="18"/>
      <c r="V7152" s="18"/>
      <c r="W7152" s="18"/>
      <c r="X7152" s="18"/>
    </row>
    <row r="7153" spans="13:24">
      <c r="M7153" s="558">
        <f t="shared" si="338"/>
        <v>7151</v>
      </c>
      <c r="N7153" s="15">
        <f t="shared" si="336"/>
        <v>0.10271079045267395</v>
      </c>
      <c r="O7153" s="165">
        <f t="shared" si="337"/>
        <v>0.10271079045267395</v>
      </c>
      <c r="P7153" s="18"/>
      <c r="Q7153" s="18"/>
      <c r="R7153" s="18"/>
      <c r="S7153" s="18"/>
      <c r="T7153" s="18"/>
      <c r="U7153" s="18"/>
      <c r="V7153" s="18"/>
      <c r="W7153" s="18"/>
      <c r="X7153" s="18"/>
    </row>
    <row r="7154" spans="13:24">
      <c r="M7154" s="558">
        <f t="shared" si="338"/>
        <v>7152</v>
      </c>
      <c r="N7154" s="15">
        <f t="shared" si="336"/>
        <v>0.10265934945972835</v>
      </c>
      <c r="O7154" s="165">
        <f t="shared" si="337"/>
        <v>0.10265934945972835</v>
      </c>
      <c r="P7154" s="18"/>
      <c r="Q7154" s="18"/>
      <c r="R7154" s="18"/>
      <c r="S7154" s="18"/>
      <c r="T7154" s="18"/>
      <c r="U7154" s="18"/>
      <c r="V7154" s="18"/>
      <c r="W7154" s="18"/>
      <c r="X7154" s="18"/>
    </row>
    <row r="7155" spans="13:24">
      <c r="M7155" s="558">
        <f t="shared" si="338"/>
        <v>7153</v>
      </c>
      <c r="N7155" s="15">
        <f t="shared" si="336"/>
        <v>0.1026079085560451</v>
      </c>
      <c r="O7155" s="165">
        <f t="shared" si="337"/>
        <v>0.1026079085560451</v>
      </c>
      <c r="P7155" s="18"/>
      <c r="Q7155" s="18"/>
      <c r="R7155" s="18"/>
      <c r="S7155" s="18"/>
      <c r="T7155" s="18"/>
      <c r="U7155" s="18"/>
      <c r="V7155" s="18"/>
      <c r="W7155" s="18"/>
      <c r="X7155" s="18"/>
    </row>
    <row r="7156" spans="13:24">
      <c r="M7156" s="558">
        <f t="shared" si="338"/>
        <v>7154</v>
      </c>
      <c r="N7156" s="15">
        <f t="shared" si="336"/>
        <v>0.10255646774151218</v>
      </c>
      <c r="O7156" s="165">
        <f t="shared" si="337"/>
        <v>0.10255646774151218</v>
      </c>
      <c r="P7156" s="18"/>
      <c r="Q7156" s="18"/>
      <c r="R7156" s="18"/>
      <c r="S7156" s="18"/>
      <c r="T7156" s="18"/>
      <c r="U7156" s="18"/>
      <c r="V7156" s="18"/>
      <c r="W7156" s="18"/>
      <c r="X7156" s="18"/>
    </row>
    <row r="7157" spans="13:24">
      <c r="M7157" s="558">
        <f t="shared" si="338"/>
        <v>7155</v>
      </c>
      <c r="N7157" s="15">
        <f t="shared" si="336"/>
        <v>0.10250502701601773</v>
      </c>
      <c r="O7157" s="165">
        <f t="shared" si="337"/>
        <v>0.10250502701601773</v>
      </c>
      <c r="P7157" s="18"/>
      <c r="Q7157" s="18"/>
      <c r="R7157" s="18"/>
      <c r="S7157" s="18"/>
      <c r="T7157" s="18"/>
      <c r="U7157" s="18"/>
      <c r="V7157" s="18"/>
      <c r="W7157" s="18"/>
      <c r="X7157" s="18"/>
    </row>
    <row r="7158" spans="13:24">
      <c r="M7158" s="558">
        <f t="shared" si="338"/>
        <v>7156</v>
      </c>
      <c r="N7158" s="15">
        <f t="shared" si="336"/>
        <v>0.10245358637945</v>
      </c>
      <c r="O7158" s="165">
        <f t="shared" si="337"/>
        <v>0.10245358637945</v>
      </c>
      <c r="P7158" s="18"/>
      <c r="Q7158" s="18"/>
      <c r="R7158" s="18"/>
      <c r="S7158" s="18"/>
      <c r="T7158" s="18"/>
      <c r="U7158" s="18"/>
      <c r="V7158" s="18"/>
      <c r="W7158" s="18"/>
      <c r="X7158" s="18"/>
    </row>
    <row r="7159" spans="13:24">
      <c r="M7159" s="558">
        <f t="shared" si="338"/>
        <v>7157</v>
      </c>
      <c r="N7159" s="15">
        <f t="shared" si="336"/>
        <v>0.10240214583169739</v>
      </c>
      <c r="O7159" s="165">
        <f t="shared" si="337"/>
        <v>0.10240214583169739</v>
      </c>
      <c r="P7159" s="18"/>
      <c r="Q7159" s="18"/>
      <c r="R7159" s="18"/>
      <c r="S7159" s="18"/>
      <c r="T7159" s="18"/>
      <c r="U7159" s="18"/>
      <c r="V7159" s="18"/>
      <c r="W7159" s="18"/>
      <c r="X7159" s="18"/>
    </row>
    <row r="7160" spans="13:24">
      <c r="M7160" s="558">
        <f t="shared" si="338"/>
        <v>7158</v>
      </c>
      <c r="N7160" s="15">
        <f t="shared" si="336"/>
        <v>0.10235070537264847</v>
      </c>
      <c r="O7160" s="165">
        <f t="shared" si="337"/>
        <v>0.10235070537264847</v>
      </c>
      <c r="P7160" s="18"/>
      <c r="Q7160" s="18"/>
      <c r="R7160" s="18"/>
      <c r="S7160" s="18"/>
      <c r="T7160" s="18"/>
      <c r="U7160" s="18"/>
      <c r="V7160" s="18"/>
      <c r="W7160" s="18"/>
      <c r="X7160" s="18"/>
    </row>
    <row r="7161" spans="13:24">
      <c r="M7161" s="558">
        <f t="shared" si="338"/>
        <v>7159</v>
      </c>
      <c r="N7161" s="15">
        <f t="shared" si="336"/>
        <v>0.10229926500219189</v>
      </c>
      <c r="O7161" s="165">
        <f t="shared" si="337"/>
        <v>0.10229926500219189</v>
      </c>
      <c r="P7161" s="18"/>
      <c r="Q7161" s="18"/>
      <c r="R7161" s="18"/>
      <c r="S7161" s="18"/>
      <c r="T7161" s="18"/>
      <c r="U7161" s="18"/>
      <c r="V7161" s="18"/>
      <c r="W7161" s="18"/>
      <c r="X7161" s="18"/>
    </row>
    <row r="7162" spans="13:24">
      <c r="M7162" s="558">
        <f t="shared" si="338"/>
        <v>7160</v>
      </c>
      <c r="N7162" s="15">
        <f t="shared" si="336"/>
        <v>0.10224782472021648</v>
      </c>
      <c r="O7162" s="165">
        <f t="shared" si="337"/>
        <v>0.10224782472021648</v>
      </c>
      <c r="P7162" s="18"/>
      <c r="Q7162" s="18"/>
      <c r="R7162" s="18"/>
      <c r="S7162" s="18"/>
      <c r="T7162" s="18"/>
      <c r="U7162" s="18"/>
      <c r="V7162" s="18"/>
      <c r="W7162" s="18"/>
      <c r="X7162" s="18"/>
    </row>
    <row r="7163" spans="13:24">
      <c r="M7163" s="558">
        <f t="shared" si="338"/>
        <v>7161</v>
      </c>
      <c r="N7163" s="15">
        <f t="shared" si="336"/>
        <v>0.10219638452661123</v>
      </c>
      <c r="O7163" s="165">
        <f t="shared" si="337"/>
        <v>0.10219638452661123</v>
      </c>
      <c r="P7163" s="18"/>
      <c r="Q7163" s="18"/>
      <c r="R7163" s="18"/>
      <c r="S7163" s="18"/>
      <c r="T7163" s="18"/>
      <c r="U7163" s="18"/>
      <c r="V7163" s="18"/>
      <c r="W7163" s="18"/>
      <c r="X7163" s="18"/>
    </row>
    <row r="7164" spans="13:24">
      <c r="M7164" s="558">
        <f t="shared" si="338"/>
        <v>7162</v>
      </c>
      <c r="N7164" s="15">
        <f t="shared" si="336"/>
        <v>0.1021449444212652</v>
      </c>
      <c r="O7164" s="165">
        <f t="shared" si="337"/>
        <v>0.1021449444212652</v>
      </c>
      <c r="P7164" s="18"/>
      <c r="Q7164" s="18"/>
      <c r="R7164" s="18"/>
      <c r="S7164" s="18"/>
      <c r="T7164" s="18"/>
      <c r="U7164" s="18"/>
      <c r="V7164" s="18"/>
      <c r="W7164" s="18"/>
      <c r="X7164" s="18"/>
    </row>
    <row r="7165" spans="13:24">
      <c r="M7165" s="558">
        <f t="shared" si="338"/>
        <v>7163</v>
      </c>
      <c r="N7165" s="15">
        <f t="shared" si="336"/>
        <v>0.10209350440406767</v>
      </c>
      <c r="O7165" s="165">
        <f t="shared" si="337"/>
        <v>0.10209350440406767</v>
      </c>
      <c r="P7165" s="18"/>
      <c r="Q7165" s="18"/>
      <c r="R7165" s="18"/>
      <c r="S7165" s="18"/>
      <c r="T7165" s="18"/>
      <c r="U7165" s="18"/>
      <c r="V7165" s="18"/>
      <c r="W7165" s="18"/>
      <c r="X7165" s="18"/>
    </row>
    <row r="7166" spans="13:24">
      <c r="M7166" s="558">
        <f t="shared" si="338"/>
        <v>7164</v>
      </c>
      <c r="N7166" s="15">
        <f t="shared" si="336"/>
        <v>0.102042064474908</v>
      </c>
      <c r="O7166" s="165">
        <f t="shared" si="337"/>
        <v>0.102042064474908</v>
      </c>
      <c r="P7166" s="18"/>
      <c r="Q7166" s="18"/>
      <c r="R7166" s="18"/>
      <c r="S7166" s="18"/>
      <c r="T7166" s="18"/>
      <c r="U7166" s="18"/>
      <c r="V7166" s="18"/>
      <c r="W7166" s="18"/>
      <c r="X7166" s="18"/>
    </row>
    <row r="7167" spans="13:24">
      <c r="M7167" s="558">
        <f t="shared" si="338"/>
        <v>7165</v>
      </c>
      <c r="N7167" s="15">
        <f t="shared" si="336"/>
        <v>0.10199062463367572</v>
      </c>
      <c r="O7167" s="165">
        <f t="shared" si="337"/>
        <v>0.10199062463367572</v>
      </c>
      <c r="P7167" s="18"/>
      <c r="Q7167" s="18"/>
      <c r="R7167" s="18"/>
      <c r="S7167" s="18"/>
      <c r="T7167" s="18"/>
      <c r="U7167" s="18"/>
      <c r="V7167" s="18"/>
      <c r="W7167" s="18"/>
      <c r="X7167" s="18"/>
    </row>
    <row r="7168" spans="13:24">
      <c r="M7168" s="558">
        <f t="shared" si="338"/>
        <v>7166</v>
      </c>
      <c r="N7168" s="15">
        <f t="shared" si="336"/>
        <v>0.10193918488026049</v>
      </c>
      <c r="O7168" s="165">
        <f t="shared" si="337"/>
        <v>0.10193918488026049</v>
      </c>
      <c r="P7168" s="18"/>
      <c r="Q7168" s="18"/>
      <c r="R7168" s="18"/>
      <c r="S7168" s="18"/>
      <c r="T7168" s="18"/>
      <c r="U7168" s="18"/>
      <c r="V7168" s="18"/>
      <c r="W7168" s="18"/>
      <c r="X7168" s="18"/>
    </row>
    <row r="7169" spans="13:24">
      <c r="M7169" s="558">
        <f t="shared" si="338"/>
        <v>7167</v>
      </c>
      <c r="N7169" s="15">
        <f t="shared" si="336"/>
        <v>0.10188774521455211</v>
      </c>
      <c r="O7169" s="165">
        <f t="shared" si="337"/>
        <v>0.10188774521455211</v>
      </c>
      <c r="P7169" s="18"/>
      <c r="Q7169" s="18"/>
      <c r="R7169" s="18"/>
      <c r="S7169" s="18"/>
      <c r="T7169" s="18"/>
      <c r="U7169" s="18"/>
      <c r="V7169" s="18"/>
      <c r="W7169" s="18"/>
      <c r="X7169" s="18"/>
    </row>
    <row r="7170" spans="13:24">
      <c r="M7170" s="558">
        <f t="shared" si="338"/>
        <v>7168</v>
      </c>
      <c r="N7170" s="15">
        <f t="shared" si="336"/>
        <v>0.1018363056364405</v>
      </c>
      <c r="O7170" s="165">
        <f t="shared" si="337"/>
        <v>0.1018363056364405</v>
      </c>
      <c r="P7170" s="18"/>
      <c r="Q7170" s="18"/>
      <c r="R7170" s="18"/>
      <c r="S7170" s="18"/>
      <c r="T7170" s="18"/>
      <c r="U7170" s="18"/>
      <c r="V7170" s="18"/>
      <c r="W7170" s="18"/>
      <c r="X7170" s="18"/>
    </row>
    <row r="7171" spans="13:24">
      <c r="M7171" s="558">
        <f t="shared" si="338"/>
        <v>7169</v>
      </c>
      <c r="N7171" s="15">
        <f t="shared" si="336"/>
        <v>0.10178486614581572</v>
      </c>
      <c r="O7171" s="165">
        <f t="shared" si="337"/>
        <v>0.10178486614581572</v>
      </c>
      <c r="P7171" s="18"/>
      <c r="Q7171" s="18"/>
      <c r="R7171" s="18"/>
      <c r="S7171" s="18"/>
      <c r="T7171" s="18"/>
      <c r="U7171" s="18"/>
      <c r="V7171" s="18"/>
      <c r="W7171" s="18"/>
      <c r="X7171" s="18"/>
    </row>
    <row r="7172" spans="13:24">
      <c r="M7172" s="558">
        <f t="shared" si="338"/>
        <v>7170</v>
      </c>
      <c r="N7172" s="15">
        <f t="shared" ref="N7172:N7235" si="339">IF(M7172&lt;$B$31+1,$B$32+$B$33/$B$31*(8760-M7172)+$B$34*IF(M7172&lt;$B$36-$B$31/(2*$B$35),1,IF(M7172&lt;$B$36+$B$31/(2*$B$35),COS(PI()/2*(M7172-($B$36-$B$31/(2*$B$35)))*$B$35/$B$31)^2,0))+$B$37*EXP((8760-M7172)/8760*$B$38)/EXP($B$38)-(8760-$B$31)*$B$33/$B$31,0)</f>
        <v>0.10173342674256802</v>
      </c>
      <c r="O7172" s="165">
        <f t="shared" ref="O7172:O7235" si="340">MIN(N7172,C$24)</f>
        <v>0.10173342674256802</v>
      </c>
      <c r="P7172" s="18"/>
      <c r="Q7172" s="18"/>
      <c r="R7172" s="18"/>
      <c r="S7172" s="18"/>
      <c r="T7172" s="18"/>
      <c r="U7172" s="18"/>
      <c r="V7172" s="18"/>
      <c r="W7172" s="18"/>
      <c r="X7172" s="18"/>
    </row>
    <row r="7173" spans="13:24">
      <c r="M7173" s="558">
        <f t="shared" ref="M7173:M7236" si="341">M7172+1</f>
        <v>7171</v>
      </c>
      <c r="N7173" s="15">
        <f t="shared" si="339"/>
        <v>0.10168198742658772</v>
      </c>
      <c r="O7173" s="165">
        <f t="shared" si="340"/>
        <v>0.10168198742658772</v>
      </c>
      <c r="P7173" s="18"/>
      <c r="Q7173" s="18"/>
      <c r="R7173" s="18"/>
      <c r="S7173" s="18"/>
      <c r="T7173" s="18"/>
      <c r="U7173" s="18"/>
      <c r="V7173" s="18"/>
      <c r="W7173" s="18"/>
      <c r="X7173" s="18"/>
    </row>
    <row r="7174" spans="13:24">
      <c r="M7174" s="558">
        <f t="shared" si="341"/>
        <v>7172</v>
      </c>
      <c r="N7174" s="15">
        <f t="shared" si="339"/>
        <v>0.10163054819776533</v>
      </c>
      <c r="O7174" s="165">
        <f t="shared" si="340"/>
        <v>0.10163054819776533</v>
      </c>
      <c r="P7174" s="18"/>
      <c r="Q7174" s="18"/>
      <c r="R7174" s="18"/>
      <c r="S7174" s="18"/>
      <c r="T7174" s="18"/>
      <c r="U7174" s="18"/>
      <c r="V7174" s="18"/>
      <c r="W7174" s="18"/>
      <c r="X7174" s="18"/>
    </row>
    <row r="7175" spans="13:24">
      <c r="M7175" s="558">
        <f t="shared" si="341"/>
        <v>7173</v>
      </c>
      <c r="N7175" s="15">
        <f t="shared" si="339"/>
        <v>0.10157910905599145</v>
      </c>
      <c r="O7175" s="165">
        <f t="shared" si="340"/>
        <v>0.10157910905599145</v>
      </c>
      <c r="P7175" s="18"/>
      <c r="Q7175" s="18"/>
      <c r="R7175" s="18"/>
      <c r="S7175" s="18"/>
      <c r="T7175" s="18"/>
      <c r="U7175" s="18"/>
      <c r="V7175" s="18"/>
      <c r="W7175" s="18"/>
      <c r="X7175" s="18"/>
    </row>
    <row r="7176" spans="13:24">
      <c r="M7176" s="558">
        <f t="shared" si="341"/>
        <v>7174</v>
      </c>
      <c r="N7176" s="15">
        <f t="shared" si="339"/>
        <v>0.10152767000115685</v>
      </c>
      <c r="O7176" s="165">
        <f t="shared" si="340"/>
        <v>0.10152767000115685</v>
      </c>
      <c r="P7176" s="18"/>
      <c r="Q7176" s="18"/>
      <c r="R7176" s="18"/>
      <c r="S7176" s="18"/>
      <c r="T7176" s="18"/>
      <c r="U7176" s="18"/>
      <c r="V7176" s="18"/>
      <c r="W7176" s="18"/>
      <c r="X7176" s="18"/>
    </row>
    <row r="7177" spans="13:24">
      <c r="M7177" s="558">
        <f t="shared" si="341"/>
        <v>7175</v>
      </c>
      <c r="N7177" s="15">
        <f t="shared" si="339"/>
        <v>0.10147623103315243</v>
      </c>
      <c r="O7177" s="165">
        <f t="shared" si="340"/>
        <v>0.10147623103315243</v>
      </c>
      <c r="P7177" s="18"/>
      <c r="Q7177" s="18"/>
      <c r="R7177" s="18"/>
      <c r="S7177" s="18"/>
      <c r="T7177" s="18"/>
      <c r="U7177" s="18"/>
      <c r="V7177" s="18"/>
      <c r="W7177" s="18"/>
      <c r="X7177" s="18"/>
    </row>
    <row r="7178" spans="13:24">
      <c r="M7178" s="558">
        <f t="shared" si="341"/>
        <v>7176</v>
      </c>
      <c r="N7178" s="15">
        <f t="shared" si="339"/>
        <v>0.10142479215186921</v>
      </c>
      <c r="O7178" s="165">
        <f t="shared" si="340"/>
        <v>0.10142479215186921</v>
      </c>
      <c r="P7178" s="18"/>
      <c r="Q7178" s="18"/>
      <c r="R7178" s="18"/>
      <c r="S7178" s="18"/>
      <c r="T7178" s="18"/>
      <c r="U7178" s="18"/>
      <c r="V7178" s="18"/>
      <c r="W7178" s="18"/>
      <c r="X7178" s="18"/>
    </row>
    <row r="7179" spans="13:24">
      <c r="M7179" s="558">
        <f t="shared" si="341"/>
        <v>7177</v>
      </c>
      <c r="N7179" s="15">
        <f t="shared" si="339"/>
        <v>0.1013733533571984</v>
      </c>
      <c r="O7179" s="165">
        <f t="shared" si="340"/>
        <v>0.1013733533571984</v>
      </c>
      <c r="P7179" s="18"/>
      <c r="Q7179" s="18"/>
      <c r="R7179" s="18"/>
      <c r="S7179" s="18"/>
      <c r="T7179" s="18"/>
      <c r="U7179" s="18"/>
      <c r="V7179" s="18"/>
      <c r="W7179" s="18"/>
      <c r="X7179" s="18"/>
    </row>
    <row r="7180" spans="13:24">
      <c r="M7180" s="558">
        <f t="shared" si="341"/>
        <v>7178</v>
      </c>
      <c r="N7180" s="15">
        <f t="shared" si="339"/>
        <v>0.10132191464903126</v>
      </c>
      <c r="O7180" s="165">
        <f t="shared" si="340"/>
        <v>0.10132191464903126</v>
      </c>
      <c r="P7180" s="18"/>
      <c r="Q7180" s="18"/>
      <c r="R7180" s="18"/>
      <c r="S7180" s="18"/>
      <c r="T7180" s="18"/>
      <c r="U7180" s="18"/>
      <c r="V7180" s="18"/>
      <c r="W7180" s="18"/>
      <c r="X7180" s="18"/>
    </row>
    <row r="7181" spans="13:24">
      <c r="M7181" s="558">
        <f t="shared" si="341"/>
        <v>7179</v>
      </c>
      <c r="N7181" s="15">
        <f t="shared" si="339"/>
        <v>0.10127047602725926</v>
      </c>
      <c r="O7181" s="165">
        <f t="shared" si="340"/>
        <v>0.10127047602725926</v>
      </c>
      <c r="P7181" s="18"/>
      <c r="Q7181" s="18"/>
      <c r="R7181" s="18"/>
      <c r="S7181" s="18"/>
      <c r="T7181" s="18"/>
      <c r="U7181" s="18"/>
      <c r="V7181" s="18"/>
      <c r="W7181" s="18"/>
      <c r="X7181" s="18"/>
    </row>
    <row r="7182" spans="13:24">
      <c r="M7182" s="558">
        <f t="shared" si="341"/>
        <v>7180</v>
      </c>
      <c r="N7182" s="15">
        <f t="shared" si="339"/>
        <v>0.10121903749177399</v>
      </c>
      <c r="O7182" s="165">
        <f t="shared" si="340"/>
        <v>0.10121903749177399</v>
      </c>
      <c r="P7182" s="18"/>
      <c r="Q7182" s="18"/>
      <c r="R7182" s="18"/>
      <c r="S7182" s="18"/>
      <c r="T7182" s="18"/>
      <c r="U7182" s="18"/>
      <c r="V7182" s="18"/>
      <c r="W7182" s="18"/>
      <c r="X7182" s="18"/>
    </row>
    <row r="7183" spans="13:24">
      <c r="M7183" s="558">
        <f t="shared" si="341"/>
        <v>7181</v>
      </c>
      <c r="N7183" s="15">
        <f t="shared" si="339"/>
        <v>0.10116759904246715</v>
      </c>
      <c r="O7183" s="165">
        <f t="shared" si="340"/>
        <v>0.10116759904246715</v>
      </c>
      <c r="P7183" s="18"/>
      <c r="Q7183" s="18"/>
      <c r="R7183" s="18"/>
      <c r="S7183" s="18"/>
      <c r="T7183" s="18"/>
      <c r="U7183" s="18"/>
      <c r="V7183" s="18"/>
      <c r="W7183" s="18"/>
      <c r="X7183" s="18"/>
    </row>
    <row r="7184" spans="13:24">
      <c r="M7184" s="558">
        <f t="shared" si="341"/>
        <v>7182</v>
      </c>
      <c r="N7184" s="15">
        <f t="shared" si="339"/>
        <v>0.10111616067923061</v>
      </c>
      <c r="O7184" s="165">
        <f t="shared" si="340"/>
        <v>0.10111616067923061</v>
      </c>
      <c r="P7184" s="18"/>
      <c r="Q7184" s="18"/>
      <c r="R7184" s="18"/>
      <c r="S7184" s="18"/>
      <c r="T7184" s="18"/>
      <c r="U7184" s="18"/>
      <c r="V7184" s="18"/>
      <c r="W7184" s="18"/>
      <c r="X7184" s="18"/>
    </row>
    <row r="7185" spans="13:24">
      <c r="M7185" s="558">
        <f t="shared" si="341"/>
        <v>7183</v>
      </c>
      <c r="N7185" s="15">
        <f t="shared" si="339"/>
        <v>0.10106472240195635</v>
      </c>
      <c r="O7185" s="165">
        <f t="shared" si="340"/>
        <v>0.10106472240195635</v>
      </c>
      <c r="P7185" s="18"/>
      <c r="Q7185" s="18"/>
      <c r="R7185" s="18"/>
      <c r="S7185" s="18"/>
      <c r="T7185" s="18"/>
      <c r="U7185" s="18"/>
      <c r="V7185" s="18"/>
      <c r="W7185" s="18"/>
      <c r="X7185" s="18"/>
    </row>
    <row r="7186" spans="13:24">
      <c r="M7186" s="558">
        <f t="shared" si="341"/>
        <v>7184</v>
      </c>
      <c r="N7186" s="15">
        <f t="shared" si="339"/>
        <v>0.10101328421053649</v>
      </c>
      <c r="O7186" s="165">
        <f t="shared" si="340"/>
        <v>0.10101328421053649</v>
      </c>
      <c r="P7186" s="18"/>
      <c r="Q7186" s="18"/>
      <c r="R7186" s="18"/>
      <c r="S7186" s="18"/>
      <c r="T7186" s="18"/>
      <c r="U7186" s="18"/>
      <c r="V7186" s="18"/>
      <c r="W7186" s="18"/>
      <c r="X7186" s="18"/>
    </row>
    <row r="7187" spans="13:24">
      <c r="M7187" s="558">
        <f t="shared" si="341"/>
        <v>7185</v>
      </c>
      <c r="N7187" s="15">
        <f t="shared" si="339"/>
        <v>0.10096184610486328</v>
      </c>
      <c r="O7187" s="165">
        <f t="shared" si="340"/>
        <v>0.10096184610486328</v>
      </c>
      <c r="P7187" s="18"/>
      <c r="Q7187" s="18"/>
      <c r="R7187" s="18"/>
      <c r="S7187" s="18"/>
      <c r="T7187" s="18"/>
      <c r="U7187" s="18"/>
      <c r="V7187" s="18"/>
      <c r="W7187" s="18"/>
      <c r="X7187" s="18"/>
    </row>
    <row r="7188" spans="13:24">
      <c r="M7188" s="558">
        <f t="shared" si="341"/>
        <v>7186</v>
      </c>
      <c r="N7188" s="15">
        <f t="shared" si="339"/>
        <v>0.10091040808482914</v>
      </c>
      <c r="O7188" s="165">
        <f t="shared" si="340"/>
        <v>0.10091040808482914</v>
      </c>
      <c r="P7188" s="18"/>
      <c r="Q7188" s="18"/>
      <c r="R7188" s="18"/>
      <c r="S7188" s="18"/>
      <c r="T7188" s="18"/>
      <c r="U7188" s="18"/>
      <c r="V7188" s="18"/>
      <c r="W7188" s="18"/>
      <c r="X7188" s="18"/>
    </row>
    <row r="7189" spans="13:24">
      <c r="M7189" s="558">
        <f t="shared" si="341"/>
        <v>7187</v>
      </c>
      <c r="N7189" s="15">
        <f t="shared" si="339"/>
        <v>0.10085897015032659</v>
      </c>
      <c r="O7189" s="165">
        <f t="shared" si="340"/>
        <v>0.10085897015032659</v>
      </c>
      <c r="P7189" s="18"/>
      <c r="Q7189" s="18"/>
      <c r="R7189" s="18"/>
      <c r="S7189" s="18"/>
      <c r="T7189" s="18"/>
      <c r="U7189" s="18"/>
      <c r="V7189" s="18"/>
      <c r="W7189" s="18"/>
      <c r="X7189" s="18"/>
    </row>
    <row r="7190" spans="13:24">
      <c r="M7190" s="558">
        <f t="shared" si="341"/>
        <v>7188</v>
      </c>
      <c r="N7190" s="15">
        <f t="shared" si="339"/>
        <v>0.10080753230124828</v>
      </c>
      <c r="O7190" s="165">
        <f t="shared" si="340"/>
        <v>0.10080753230124828</v>
      </c>
      <c r="P7190" s="18"/>
      <c r="Q7190" s="18"/>
      <c r="R7190" s="18"/>
      <c r="S7190" s="18"/>
      <c r="T7190" s="18"/>
      <c r="U7190" s="18"/>
      <c r="V7190" s="18"/>
      <c r="W7190" s="18"/>
      <c r="X7190" s="18"/>
    </row>
    <row r="7191" spans="13:24">
      <c r="M7191" s="558">
        <f t="shared" si="341"/>
        <v>7189</v>
      </c>
      <c r="N7191" s="15">
        <f t="shared" si="339"/>
        <v>0.10075609453748703</v>
      </c>
      <c r="O7191" s="165">
        <f t="shared" si="340"/>
        <v>0.10075609453748703</v>
      </c>
      <c r="P7191" s="18"/>
      <c r="Q7191" s="18"/>
      <c r="R7191" s="18"/>
      <c r="S7191" s="18"/>
      <c r="T7191" s="18"/>
      <c r="U7191" s="18"/>
      <c r="V7191" s="18"/>
      <c r="W7191" s="18"/>
      <c r="X7191" s="18"/>
    </row>
    <row r="7192" spans="13:24">
      <c r="M7192" s="558">
        <f t="shared" si="341"/>
        <v>7190</v>
      </c>
      <c r="N7192" s="15">
        <f t="shared" si="339"/>
        <v>0.10070465685893576</v>
      </c>
      <c r="O7192" s="165">
        <f t="shared" si="340"/>
        <v>0.10070465685893576</v>
      </c>
      <c r="P7192" s="18"/>
      <c r="Q7192" s="18"/>
      <c r="R7192" s="18"/>
      <c r="S7192" s="18"/>
      <c r="T7192" s="18"/>
      <c r="U7192" s="18"/>
      <c r="V7192" s="18"/>
      <c r="W7192" s="18"/>
      <c r="X7192" s="18"/>
    </row>
    <row r="7193" spans="13:24">
      <c r="M7193" s="558">
        <f t="shared" si="341"/>
        <v>7191</v>
      </c>
      <c r="N7193" s="15">
        <f t="shared" si="339"/>
        <v>0.10065321926548755</v>
      </c>
      <c r="O7193" s="165">
        <f t="shared" si="340"/>
        <v>0.10065321926548755</v>
      </c>
      <c r="P7193" s="18"/>
      <c r="Q7193" s="18"/>
      <c r="R7193" s="18"/>
      <c r="S7193" s="18"/>
      <c r="T7193" s="18"/>
      <c r="U7193" s="18"/>
      <c r="V7193" s="18"/>
      <c r="W7193" s="18"/>
      <c r="X7193" s="18"/>
    </row>
    <row r="7194" spans="13:24">
      <c r="M7194" s="558">
        <f t="shared" si="341"/>
        <v>7192</v>
      </c>
      <c r="N7194" s="15">
        <f t="shared" si="339"/>
        <v>0.10060178175703559</v>
      </c>
      <c r="O7194" s="165">
        <f t="shared" si="340"/>
        <v>0.10060178175703559</v>
      </c>
      <c r="P7194" s="18"/>
      <c r="Q7194" s="18"/>
      <c r="R7194" s="18"/>
      <c r="S7194" s="18"/>
      <c r="T7194" s="18"/>
      <c r="U7194" s="18"/>
      <c r="V7194" s="18"/>
      <c r="W7194" s="18"/>
      <c r="X7194" s="18"/>
    </row>
    <row r="7195" spans="13:24">
      <c r="M7195" s="558">
        <f t="shared" si="341"/>
        <v>7193</v>
      </c>
      <c r="N7195" s="15">
        <f t="shared" si="339"/>
        <v>0.10055034433347322</v>
      </c>
      <c r="O7195" s="165">
        <f t="shared" si="340"/>
        <v>0.10055034433347322</v>
      </c>
      <c r="P7195" s="18"/>
      <c r="Q7195" s="18"/>
      <c r="R7195" s="18"/>
      <c r="S7195" s="18"/>
      <c r="T7195" s="18"/>
      <c r="U7195" s="18"/>
      <c r="V7195" s="18"/>
      <c r="W7195" s="18"/>
      <c r="X7195" s="18"/>
    </row>
    <row r="7196" spans="13:24">
      <c r="M7196" s="558">
        <f t="shared" si="341"/>
        <v>7194</v>
      </c>
      <c r="N7196" s="15">
        <f t="shared" si="339"/>
        <v>0.10049890699469391</v>
      </c>
      <c r="O7196" s="165">
        <f t="shared" si="340"/>
        <v>0.10049890699469391</v>
      </c>
      <c r="P7196" s="18"/>
      <c r="Q7196" s="18"/>
      <c r="R7196" s="18"/>
      <c r="S7196" s="18"/>
      <c r="T7196" s="18"/>
      <c r="U7196" s="18"/>
      <c r="V7196" s="18"/>
      <c r="W7196" s="18"/>
      <c r="X7196" s="18"/>
    </row>
    <row r="7197" spans="13:24">
      <c r="M7197" s="558">
        <f t="shared" si="341"/>
        <v>7195</v>
      </c>
      <c r="N7197" s="15">
        <f t="shared" si="339"/>
        <v>0.10044746974059127</v>
      </c>
      <c r="O7197" s="165">
        <f t="shared" si="340"/>
        <v>0.10044746974059127</v>
      </c>
      <c r="P7197" s="18"/>
      <c r="Q7197" s="18"/>
      <c r="R7197" s="18"/>
      <c r="S7197" s="18"/>
      <c r="T7197" s="18"/>
      <c r="U7197" s="18"/>
      <c r="V7197" s="18"/>
      <c r="W7197" s="18"/>
      <c r="X7197" s="18"/>
    </row>
    <row r="7198" spans="13:24">
      <c r="M7198" s="558">
        <f t="shared" si="341"/>
        <v>7196</v>
      </c>
      <c r="N7198" s="15">
        <f t="shared" si="339"/>
        <v>0.10039603257105903</v>
      </c>
      <c r="O7198" s="165">
        <f t="shared" si="340"/>
        <v>0.10039603257105903</v>
      </c>
      <c r="P7198" s="18"/>
      <c r="Q7198" s="18"/>
      <c r="R7198" s="18"/>
      <c r="S7198" s="18"/>
      <c r="T7198" s="18"/>
      <c r="U7198" s="18"/>
      <c r="V7198" s="18"/>
      <c r="W7198" s="18"/>
      <c r="X7198" s="18"/>
    </row>
    <row r="7199" spans="13:24">
      <c r="M7199" s="558">
        <f t="shared" si="341"/>
        <v>7197</v>
      </c>
      <c r="N7199" s="15">
        <f t="shared" si="339"/>
        <v>0.10034459548599108</v>
      </c>
      <c r="O7199" s="165">
        <f t="shared" si="340"/>
        <v>0.10034459548599108</v>
      </c>
      <c r="P7199" s="18"/>
      <c r="Q7199" s="18"/>
      <c r="R7199" s="18"/>
      <c r="S7199" s="18"/>
      <c r="T7199" s="18"/>
      <c r="U7199" s="18"/>
      <c r="V7199" s="18"/>
      <c r="W7199" s="18"/>
      <c r="X7199" s="18"/>
    </row>
    <row r="7200" spans="13:24">
      <c r="M7200" s="558">
        <f t="shared" si="341"/>
        <v>7198</v>
      </c>
      <c r="N7200" s="15">
        <f t="shared" si="339"/>
        <v>0.10029315848528141</v>
      </c>
      <c r="O7200" s="165">
        <f t="shared" si="340"/>
        <v>0.10029315848528141</v>
      </c>
      <c r="P7200" s="18"/>
      <c r="Q7200" s="18"/>
      <c r="R7200" s="18"/>
      <c r="S7200" s="18"/>
      <c r="T7200" s="18"/>
      <c r="U7200" s="18"/>
      <c r="V7200" s="18"/>
      <c r="W7200" s="18"/>
      <c r="X7200" s="18"/>
    </row>
    <row r="7201" spans="13:24">
      <c r="M7201" s="558">
        <f t="shared" si="341"/>
        <v>7199</v>
      </c>
      <c r="N7201" s="15">
        <f t="shared" si="339"/>
        <v>0.10024172156882415</v>
      </c>
      <c r="O7201" s="165">
        <f t="shared" si="340"/>
        <v>0.10024172156882415</v>
      </c>
      <c r="P7201" s="18"/>
      <c r="Q7201" s="18"/>
      <c r="R7201" s="18"/>
      <c r="S7201" s="18"/>
      <c r="T7201" s="18"/>
      <c r="U7201" s="18"/>
      <c r="V7201" s="18"/>
      <c r="W7201" s="18"/>
      <c r="X7201" s="18"/>
    </row>
    <row r="7202" spans="13:24">
      <c r="M7202" s="558">
        <f t="shared" si="341"/>
        <v>7200</v>
      </c>
      <c r="N7202" s="15">
        <f t="shared" si="339"/>
        <v>0.10019028473651358</v>
      </c>
      <c r="O7202" s="165">
        <f t="shared" si="340"/>
        <v>0.10019028473651358</v>
      </c>
      <c r="P7202" s="18"/>
      <c r="Q7202" s="18"/>
      <c r="R7202" s="18"/>
      <c r="S7202" s="18"/>
      <c r="T7202" s="18"/>
      <c r="U7202" s="18"/>
      <c r="V7202" s="18"/>
      <c r="W7202" s="18"/>
      <c r="X7202" s="18"/>
    </row>
    <row r="7203" spans="13:24">
      <c r="M7203" s="558">
        <f t="shared" si="341"/>
        <v>7201</v>
      </c>
      <c r="N7203" s="15">
        <f t="shared" si="339"/>
        <v>0.10013884798824409</v>
      </c>
      <c r="O7203" s="165">
        <f t="shared" si="340"/>
        <v>0.10013884798824409</v>
      </c>
      <c r="P7203" s="18"/>
      <c r="Q7203" s="18"/>
      <c r="R7203" s="18"/>
      <c r="S7203" s="18"/>
      <c r="T7203" s="18"/>
      <c r="U7203" s="18"/>
      <c r="V7203" s="18"/>
      <c r="W7203" s="18"/>
      <c r="X7203" s="18"/>
    </row>
    <row r="7204" spans="13:24">
      <c r="M7204" s="558">
        <f t="shared" si="341"/>
        <v>7202</v>
      </c>
      <c r="N7204" s="15">
        <f t="shared" si="339"/>
        <v>0.10008741132391023</v>
      </c>
      <c r="O7204" s="165">
        <f t="shared" si="340"/>
        <v>0.10008741132391023</v>
      </c>
      <c r="P7204" s="18"/>
      <c r="Q7204" s="18"/>
      <c r="R7204" s="18"/>
      <c r="S7204" s="18"/>
      <c r="T7204" s="18"/>
      <c r="U7204" s="18"/>
      <c r="V7204" s="18"/>
      <c r="W7204" s="18"/>
      <c r="X7204" s="18"/>
    </row>
    <row r="7205" spans="13:24">
      <c r="M7205" s="558">
        <f t="shared" si="341"/>
        <v>7203</v>
      </c>
      <c r="N7205" s="15">
        <f t="shared" si="339"/>
        <v>0.10003597474340666</v>
      </c>
      <c r="O7205" s="165">
        <f t="shared" si="340"/>
        <v>0.10003597474340666</v>
      </c>
      <c r="P7205" s="18"/>
      <c r="Q7205" s="18"/>
      <c r="R7205" s="18"/>
      <c r="S7205" s="18"/>
      <c r="T7205" s="18"/>
      <c r="U7205" s="18"/>
      <c r="V7205" s="18"/>
      <c r="W7205" s="18"/>
      <c r="X7205" s="18"/>
    </row>
    <row r="7206" spans="13:24">
      <c r="M7206" s="558">
        <f t="shared" si="341"/>
        <v>7204</v>
      </c>
      <c r="N7206" s="15">
        <f t="shared" si="339"/>
        <v>9.9984538246628188E-2</v>
      </c>
      <c r="O7206" s="165">
        <f t="shared" si="340"/>
        <v>9.9984538246628188E-2</v>
      </c>
      <c r="P7206" s="18"/>
      <c r="Q7206" s="18"/>
      <c r="R7206" s="18"/>
      <c r="S7206" s="18"/>
      <c r="T7206" s="18"/>
      <c r="U7206" s="18"/>
      <c r="V7206" s="18"/>
      <c r="W7206" s="18"/>
      <c r="X7206" s="18"/>
    </row>
    <row r="7207" spans="13:24">
      <c r="M7207" s="558">
        <f t="shared" si="341"/>
        <v>7205</v>
      </c>
      <c r="N7207" s="15">
        <f t="shared" si="339"/>
        <v>9.9933101833469734E-2</v>
      </c>
      <c r="O7207" s="165">
        <f t="shared" si="340"/>
        <v>9.9933101833469734E-2</v>
      </c>
      <c r="P7207" s="18"/>
      <c r="Q7207" s="18"/>
      <c r="R7207" s="18"/>
      <c r="S7207" s="18"/>
      <c r="T7207" s="18"/>
      <c r="U7207" s="18"/>
      <c r="V7207" s="18"/>
      <c r="W7207" s="18"/>
      <c r="X7207" s="18"/>
    </row>
    <row r="7208" spans="13:24">
      <c r="M7208" s="558">
        <f t="shared" si="341"/>
        <v>7206</v>
      </c>
      <c r="N7208" s="15">
        <f t="shared" si="339"/>
        <v>9.9881665503826364E-2</v>
      </c>
      <c r="O7208" s="165">
        <f t="shared" si="340"/>
        <v>9.9881665503826364E-2</v>
      </c>
      <c r="P7208" s="18"/>
      <c r="Q7208" s="18"/>
      <c r="R7208" s="18"/>
      <c r="S7208" s="18"/>
      <c r="T7208" s="18"/>
      <c r="U7208" s="18"/>
      <c r="V7208" s="18"/>
      <c r="W7208" s="18"/>
      <c r="X7208" s="18"/>
    </row>
    <row r="7209" spans="13:24">
      <c r="M7209" s="558">
        <f t="shared" si="341"/>
        <v>7207</v>
      </c>
      <c r="N7209" s="15">
        <f t="shared" si="339"/>
        <v>9.9830229257593286E-2</v>
      </c>
      <c r="O7209" s="165">
        <f t="shared" si="340"/>
        <v>9.9830229257593286E-2</v>
      </c>
      <c r="P7209" s="18"/>
      <c r="Q7209" s="18"/>
      <c r="R7209" s="18"/>
      <c r="S7209" s="18"/>
      <c r="T7209" s="18"/>
      <c r="U7209" s="18"/>
      <c r="V7209" s="18"/>
      <c r="W7209" s="18"/>
      <c r="X7209" s="18"/>
    </row>
    <row r="7210" spans="13:24">
      <c r="M7210" s="558">
        <f t="shared" si="341"/>
        <v>7208</v>
      </c>
      <c r="N7210" s="15">
        <f t="shared" si="339"/>
        <v>9.9778793094665807E-2</v>
      </c>
      <c r="O7210" s="165">
        <f t="shared" si="340"/>
        <v>9.9778793094665807E-2</v>
      </c>
      <c r="P7210" s="18"/>
      <c r="Q7210" s="18"/>
      <c r="R7210" s="18"/>
      <c r="S7210" s="18"/>
      <c r="T7210" s="18"/>
      <c r="U7210" s="18"/>
      <c r="V7210" s="18"/>
      <c r="W7210" s="18"/>
      <c r="X7210" s="18"/>
    </row>
    <row r="7211" spans="13:24">
      <c r="M7211" s="558">
        <f t="shared" si="341"/>
        <v>7209</v>
      </c>
      <c r="N7211" s="15">
        <f t="shared" si="339"/>
        <v>9.97273570149394E-2</v>
      </c>
      <c r="O7211" s="165">
        <f t="shared" si="340"/>
        <v>9.97273570149394E-2</v>
      </c>
      <c r="P7211" s="18"/>
      <c r="Q7211" s="18"/>
      <c r="R7211" s="18"/>
      <c r="S7211" s="18"/>
      <c r="T7211" s="18"/>
      <c r="U7211" s="18"/>
      <c r="V7211" s="18"/>
      <c r="W7211" s="18"/>
      <c r="X7211" s="18"/>
    </row>
    <row r="7212" spans="13:24">
      <c r="M7212" s="558">
        <f t="shared" si="341"/>
        <v>7210</v>
      </c>
      <c r="N7212" s="15">
        <f t="shared" si="339"/>
        <v>9.9675921018309646E-2</v>
      </c>
      <c r="O7212" s="165">
        <f t="shared" si="340"/>
        <v>9.9675921018309646E-2</v>
      </c>
      <c r="P7212" s="18"/>
      <c r="Q7212" s="18"/>
      <c r="R7212" s="18"/>
      <c r="S7212" s="18"/>
      <c r="T7212" s="18"/>
      <c r="U7212" s="18"/>
      <c r="V7212" s="18"/>
      <c r="W7212" s="18"/>
      <c r="X7212" s="18"/>
    </row>
    <row r="7213" spans="13:24">
      <c r="M7213" s="558">
        <f t="shared" si="341"/>
        <v>7211</v>
      </c>
      <c r="N7213" s="15">
        <f t="shared" si="339"/>
        <v>9.962448510467227E-2</v>
      </c>
      <c r="O7213" s="165">
        <f t="shared" si="340"/>
        <v>9.962448510467227E-2</v>
      </c>
      <c r="P7213" s="18"/>
      <c r="Q7213" s="18"/>
      <c r="R7213" s="18"/>
      <c r="S7213" s="18"/>
      <c r="T7213" s="18"/>
      <c r="U7213" s="18"/>
      <c r="V7213" s="18"/>
      <c r="W7213" s="18"/>
      <c r="X7213" s="18"/>
    </row>
    <row r="7214" spans="13:24">
      <c r="M7214" s="558">
        <f t="shared" si="341"/>
        <v>7212</v>
      </c>
      <c r="N7214" s="15">
        <f t="shared" si="339"/>
        <v>9.9573049273923131E-2</v>
      </c>
      <c r="O7214" s="165">
        <f t="shared" si="340"/>
        <v>9.9573049273923131E-2</v>
      </c>
      <c r="P7214" s="18"/>
      <c r="Q7214" s="18"/>
      <c r="R7214" s="18"/>
      <c r="S7214" s="18"/>
      <c r="T7214" s="18"/>
      <c r="U7214" s="18"/>
      <c r="V7214" s="18"/>
      <c r="W7214" s="18"/>
      <c r="X7214" s="18"/>
    </row>
    <row r="7215" spans="13:24">
      <c r="M7215" s="558">
        <f t="shared" si="341"/>
        <v>7213</v>
      </c>
      <c r="N7215" s="15">
        <f t="shared" si="339"/>
        <v>9.9521613525958202E-2</v>
      </c>
      <c r="O7215" s="165">
        <f t="shared" si="340"/>
        <v>9.9521613525958202E-2</v>
      </c>
      <c r="P7215" s="18"/>
      <c r="Q7215" s="18"/>
      <c r="R7215" s="18"/>
      <c r="S7215" s="18"/>
      <c r="T7215" s="18"/>
      <c r="U7215" s="18"/>
      <c r="V7215" s="18"/>
      <c r="W7215" s="18"/>
      <c r="X7215" s="18"/>
    </row>
    <row r="7216" spans="13:24">
      <c r="M7216" s="558">
        <f t="shared" si="341"/>
        <v>7214</v>
      </c>
      <c r="N7216" s="15">
        <f t="shared" si="339"/>
        <v>9.9470177860673581E-2</v>
      </c>
      <c r="O7216" s="165">
        <f t="shared" si="340"/>
        <v>9.9470177860673581E-2</v>
      </c>
      <c r="P7216" s="18"/>
      <c r="Q7216" s="18"/>
      <c r="R7216" s="18"/>
      <c r="S7216" s="18"/>
      <c r="T7216" s="18"/>
      <c r="U7216" s="18"/>
      <c r="V7216" s="18"/>
      <c r="W7216" s="18"/>
      <c r="X7216" s="18"/>
    </row>
    <row r="7217" spans="13:24">
      <c r="M7217" s="558">
        <f t="shared" si="341"/>
        <v>7215</v>
      </c>
      <c r="N7217" s="15">
        <f t="shared" si="339"/>
        <v>9.9418742277965544E-2</v>
      </c>
      <c r="O7217" s="165">
        <f t="shared" si="340"/>
        <v>9.9418742277965544E-2</v>
      </c>
      <c r="P7217" s="18"/>
      <c r="Q7217" s="18"/>
      <c r="R7217" s="18"/>
      <c r="S7217" s="18"/>
      <c r="T7217" s="18"/>
      <c r="U7217" s="18"/>
      <c r="V7217" s="18"/>
      <c r="W7217" s="18"/>
      <c r="X7217" s="18"/>
    </row>
    <row r="7218" spans="13:24">
      <c r="M7218" s="558">
        <f t="shared" si="341"/>
        <v>7216</v>
      </c>
      <c r="N7218" s="15">
        <f t="shared" si="339"/>
        <v>9.9367306777730438E-2</v>
      </c>
      <c r="O7218" s="165">
        <f t="shared" si="340"/>
        <v>9.9367306777730438E-2</v>
      </c>
      <c r="P7218" s="18"/>
      <c r="Q7218" s="18"/>
      <c r="R7218" s="18"/>
      <c r="S7218" s="18"/>
      <c r="T7218" s="18"/>
      <c r="U7218" s="18"/>
      <c r="V7218" s="18"/>
      <c r="W7218" s="18"/>
      <c r="X7218" s="18"/>
    </row>
    <row r="7219" spans="13:24">
      <c r="M7219" s="558">
        <f t="shared" si="341"/>
        <v>7217</v>
      </c>
      <c r="N7219" s="15">
        <f t="shared" si="339"/>
        <v>9.9315871359864763E-2</v>
      </c>
      <c r="O7219" s="165">
        <f t="shared" si="340"/>
        <v>9.9315871359864763E-2</v>
      </c>
      <c r="P7219" s="18"/>
      <c r="Q7219" s="18"/>
      <c r="R7219" s="18"/>
      <c r="S7219" s="18"/>
      <c r="T7219" s="18"/>
      <c r="U7219" s="18"/>
      <c r="V7219" s="18"/>
      <c r="W7219" s="18"/>
      <c r="X7219" s="18"/>
    </row>
    <row r="7220" spans="13:24">
      <c r="M7220" s="558">
        <f t="shared" si="341"/>
        <v>7218</v>
      </c>
      <c r="N7220" s="15">
        <f t="shared" si="339"/>
        <v>9.9264436024265185E-2</v>
      </c>
      <c r="O7220" s="165">
        <f t="shared" si="340"/>
        <v>9.9264436024265185E-2</v>
      </c>
      <c r="P7220" s="18"/>
      <c r="Q7220" s="18"/>
      <c r="R7220" s="18"/>
      <c r="S7220" s="18"/>
      <c r="T7220" s="18"/>
      <c r="U7220" s="18"/>
      <c r="V7220" s="18"/>
      <c r="W7220" s="18"/>
      <c r="X7220" s="18"/>
    </row>
    <row r="7221" spans="13:24">
      <c r="M7221" s="558">
        <f t="shared" si="341"/>
        <v>7219</v>
      </c>
      <c r="N7221" s="15">
        <f t="shared" si="339"/>
        <v>9.9213000770828425E-2</v>
      </c>
      <c r="O7221" s="165">
        <f t="shared" si="340"/>
        <v>9.9213000770828425E-2</v>
      </c>
      <c r="P7221" s="18"/>
      <c r="Q7221" s="18"/>
      <c r="R7221" s="18"/>
      <c r="S7221" s="18"/>
      <c r="T7221" s="18"/>
      <c r="U7221" s="18"/>
      <c r="V7221" s="18"/>
      <c r="W7221" s="18"/>
      <c r="X7221" s="18"/>
    </row>
    <row r="7222" spans="13:24">
      <c r="M7222" s="558">
        <f t="shared" si="341"/>
        <v>7220</v>
      </c>
      <c r="N7222" s="15">
        <f t="shared" si="339"/>
        <v>9.9161565599451398E-2</v>
      </c>
      <c r="O7222" s="165">
        <f t="shared" si="340"/>
        <v>9.9161565599451398E-2</v>
      </c>
      <c r="P7222" s="18"/>
      <c r="Q7222" s="18"/>
      <c r="R7222" s="18"/>
      <c r="S7222" s="18"/>
      <c r="T7222" s="18"/>
      <c r="U7222" s="18"/>
      <c r="V7222" s="18"/>
      <c r="W7222" s="18"/>
      <c r="X7222" s="18"/>
    </row>
    <row r="7223" spans="13:24">
      <c r="M7223" s="558">
        <f t="shared" si="341"/>
        <v>7221</v>
      </c>
      <c r="N7223" s="15">
        <f t="shared" si="339"/>
        <v>9.9110130510031133E-2</v>
      </c>
      <c r="O7223" s="165">
        <f t="shared" si="340"/>
        <v>9.9110130510031133E-2</v>
      </c>
      <c r="P7223" s="18"/>
      <c r="Q7223" s="18"/>
      <c r="R7223" s="18"/>
      <c r="S7223" s="18"/>
      <c r="T7223" s="18"/>
      <c r="U7223" s="18"/>
      <c r="V7223" s="18"/>
      <c r="W7223" s="18"/>
      <c r="X7223" s="18"/>
    </row>
    <row r="7224" spans="13:24">
      <c r="M7224" s="558">
        <f t="shared" si="341"/>
        <v>7222</v>
      </c>
      <c r="N7224" s="15">
        <f t="shared" si="339"/>
        <v>9.9058695502464753E-2</v>
      </c>
      <c r="O7224" s="165">
        <f t="shared" si="340"/>
        <v>9.9058695502464753E-2</v>
      </c>
      <c r="P7224" s="18"/>
      <c r="Q7224" s="18"/>
      <c r="R7224" s="18"/>
      <c r="S7224" s="18"/>
      <c r="T7224" s="18"/>
      <c r="U7224" s="18"/>
      <c r="V7224" s="18"/>
      <c r="W7224" s="18"/>
      <c r="X7224" s="18"/>
    </row>
    <row r="7225" spans="13:24">
      <c r="M7225" s="558">
        <f t="shared" si="341"/>
        <v>7223</v>
      </c>
      <c r="N7225" s="15">
        <f t="shared" si="339"/>
        <v>9.9007260576649575E-2</v>
      </c>
      <c r="O7225" s="165">
        <f t="shared" si="340"/>
        <v>9.9007260576649575E-2</v>
      </c>
      <c r="P7225" s="18"/>
      <c r="Q7225" s="18"/>
      <c r="R7225" s="18"/>
      <c r="S7225" s="18"/>
      <c r="T7225" s="18"/>
      <c r="U7225" s="18"/>
      <c r="V7225" s="18"/>
      <c r="W7225" s="18"/>
      <c r="X7225" s="18"/>
    </row>
    <row r="7226" spans="13:24">
      <c r="M7226" s="558">
        <f t="shared" si="341"/>
        <v>7224</v>
      </c>
      <c r="N7226" s="15">
        <f t="shared" si="339"/>
        <v>9.895582573248296E-2</v>
      </c>
      <c r="O7226" s="165">
        <f t="shared" si="340"/>
        <v>9.895582573248296E-2</v>
      </c>
      <c r="P7226" s="18"/>
      <c r="Q7226" s="18"/>
      <c r="R7226" s="18"/>
      <c r="S7226" s="18"/>
      <c r="T7226" s="18"/>
      <c r="U7226" s="18"/>
      <c r="V7226" s="18"/>
      <c r="W7226" s="18"/>
      <c r="X7226" s="18"/>
    </row>
    <row r="7227" spans="13:24">
      <c r="M7227" s="558">
        <f t="shared" si="341"/>
        <v>7225</v>
      </c>
      <c r="N7227" s="15">
        <f t="shared" si="339"/>
        <v>9.8904390969862491E-2</v>
      </c>
      <c r="O7227" s="165">
        <f t="shared" si="340"/>
        <v>9.8904390969862491E-2</v>
      </c>
      <c r="P7227" s="18"/>
      <c r="Q7227" s="18"/>
      <c r="R7227" s="18"/>
      <c r="S7227" s="18"/>
      <c r="T7227" s="18"/>
      <c r="U7227" s="18"/>
      <c r="V7227" s="18"/>
      <c r="W7227" s="18"/>
      <c r="X7227" s="18"/>
    </row>
    <row r="7228" spans="13:24">
      <c r="M7228" s="558">
        <f t="shared" si="341"/>
        <v>7226</v>
      </c>
      <c r="N7228" s="15">
        <f t="shared" si="339"/>
        <v>9.8852956288685817E-2</v>
      </c>
      <c r="O7228" s="165">
        <f t="shared" si="340"/>
        <v>9.8852956288685817E-2</v>
      </c>
      <c r="P7228" s="18"/>
      <c r="Q7228" s="18"/>
      <c r="R7228" s="18"/>
      <c r="S7228" s="18"/>
      <c r="T7228" s="18"/>
      <c r="U7228" s="18"/>
      <c r="V7228" s="18"/>
      <c r="W7228" s="18"/>
      <c r="X7228" s="18"/>
    </row>
    <row r="7229" spans="13:24">
      <c r="M7229" s="558">
        <f t="shared" si="341"/>
        <v>7227</v>
      </c>
      <c r="N7229" s="15">
        <f t="shared" si="339"/>
        <v>9.880152168885073E-2</v>
      </c>
      <c r="O7229" s="165">
        <f t="shared" si="340"/>
        <v>9.880152168885073E-2</v>
      </c>
      <c r="P7229" s="18"/>
      <c r="Q7229" s="18"/>
      <c r="R7229" s="18"/>
      <c r="S7229" s="18"/>
      <c r="T7229" s="18"/>
      <c r="U7229" s="18"/>
      <c r="V7229" s="18"/>
      <c r="W7229" s="18"/>
      <c r="X7229" s="18"/>
    </row>
    <row r="7230" spans="13:24">
      <c r="M7230" s="558">
        <f t="shared" si="341"/>
        <v>7228</v>
      </c>
      <c r="N7230" s="15">
        <f t="shared" si="339"/>
        <v>9.8750087170255157E-2</v>
      </c>
      <c r="O7230" s="165">
        <f t="shared" si="340"/>
        <v>9.8750087170255157E-2</v>
      </c>
      <c r="P7230" s="18"/>
      <c r="Q7230" s="18"/>
      <c r="R7230" s="18"/>
      <c r="S7230" s="18"/>
      <c r="T7230" s="18"/>
      <c r="U7230" s="18"/>
      <c r="V7230" s="18"/>
      <c r="W7230" s="18"/>
      <c r="X7230" s="18"/>
    </row>
    <row r="7231" spans="13:24">
      <c r="M7231" s="558">
        <f t="shared" si="341"/>
        <v>7229</v>
      </c>
      <c r="N7231" s="15">
        <f t="shared" si="339"/>
        <v>9.869865273279714E-2</v>
      </c>
      <c r="O7231" s="165">
        <f t="shared" si="340"/>
        <v>9.869865273279714E-2</v>
      </c>
      <c r="P7231" s="18"/>
      <c r="Q7231" s="18"/>
      <c r="R7231" s="18"/>
      <c r="S7231" s="18"/>
      <c r="T7231" s="18"/>
      <c r="U7231" s="18"/>
      <c r="V7231" s="18"/>
      <c r="W7231" s="18"/>
      <c r="X7231" s="18"/>
    </row>
    <row r="7232" spans="13:24">
      <c r="M7232" s="558">
        <f t="shared" si="341"/>
        <v>7230</v>
      </c>
      <c r="N7232" s="15">
        <f t="shared" si="339"/>
        <v>9.8647218376374871E-2</v>
      </c>
      <c r="O7232" s="165">
        <f t="shared" si="340"/>
        <v>9.8647218376374871E-2</v>
      </c>
      <c r="P7232" s="18"/>
      <c r="Q7232" s="18"/>
      <c r="R7232" s="18"/>
      <c r="S7232" s="18"/>
      <c r="T7232" s="18"/>
      <c r="U7232" s="18"/>
      <c r="V7232" s="18"/>
      <c r="W7232" s="18"/>
      <c r="X7232" s="18"/>
    </row>
    <row r="7233" spans="13:24">
      <c r="M7233" s="558">
        <f t="shared" si="341"/>
        <v>7231</v>
      </c>
      <c r="N7233" s="15">
        <f t="shared" si="339"/>
        <v>9.8595784100886652E-2</v>
      </c>
      <c r="O7233" s="165">
        <f t="shared" si="340"/>
        <v>9.8595784100886652E-2</v>
      </c>
      <c r="P7233" s="18"/>
      <c r="Q7233" s="18"/>
      <c r="R7233" s="18"/>
      <c r="S7233" s="18"/>
      <c r="T7233" s="18"/>
      <c r="U7233" s="18"/>
      <c r="V7233" s="18"/>
      <c r="W7233" s="18"/>
      <c r="X7233" s="18"/>
    </row>
    <row r="7234" spans="13:24">
      <c r="M7234" s="558">
        <f t="shared" si="341"/>
        <v>7232</v>
      </c>
      <c r="N7234" s="15">
        <f t="shared" si="339"/>
        <v>9.8544349906230913E-2</v>
      </c>
      <c r="O7234" s="165">
        <f t="shared" si="340"/>
        <v>9.8544349906230913E-2</v>
      </c>
      <c r="P7234" s="18"/>
      <c r="Q7234" s="18"/>
      <c r="R7234" s="18"/>
      <c r="S7234" s="18"/>
      <c r="T7234" s="18"/>
      <c r="U7234" s="18"/>
      <c r="V7234" s="18"/>
      <c r="W7234" s="18"/>
      <c r="X7234" s="18"/>
    </row>
    <row r="7235" spans="13:24">
      <c r="M7235" s="558">
        <f t="shared" si="341"/>
        <v>7233</v>
      </c>
      <c r="N7235" s="15">
        <f t="shared" si="339"/>
        <v>9.8492915792306221E-2</v>
      </c>
      <c r="O7235" s="165">
        <f t="shared" si="340"/>
        <v>9.8492915792306221E-2</v>
      </c>
      <c r="P7235" s="18"/>
      <c r="Q7235" s="18"/>
      <c r="R7235" s="18"/>
      <c r="S7235" s="18"/>
      <c r="T7235" s="18"/>
      <c r="U7235" s="18"/>
      <c r="V7235" s="18"/>
      <c r="W7235" s="18"/>
      <c r="X7235" s="18"/>
    </row>
    <row r="7236" spans="13:24">
      <c r="M7236" s="558">
        <f t="shared" si="341"/>
        <v>7234</v>
      </c>
      <c r="N7236" s="15">
        <f t="shared" ref="N7236:N7299" si="342">IF(M7236&lt;$B$31+1,$B$32+$B$33/$B$31*(8760-M7236)+$B$34*IF(M7236&lt;$B$36-$B$31/(2*$B$35),1,IF(M7236&lt;$B$36+$B$31/(2*$B$35),COS(PI()/2*(M7236-($B$36-$B$31/(2*$B$35)))*$B$35/$B$31)^2,0))+$B$37*EXP((8760-M7236)/8760*$B$38)/EXP($B$38)-(8760-$B$31)*$B$33/$B$31,0)</f>
        <v>9.8441481759011268E-2</v>
      </c>
      <c r="O7236" s="165">
        <f t="shared" ref="O7236:O7299" si="343">MIN(N7236,C$24)</f>
        <v>9.8441481759011268E-2</v>
      </c>
      <c r="P7236" s="18"/>
      <c r="Q7236" s="18"/>
      <c r="R7236" s="18"/>
      <c r="S7236" s="18"/>
      <c r="T7236" s="18"/>
      <c r="U7236" s="18"/>
      <c r="V7236" s="18"/>
      <c r="W7236" s="18"/>
      <c r="X7236" s="18"/>
    </row>
    <row r="7237" spans="13:24">
      <c r="M7237" s="558">
        <f t="shared" ref="M7237:M7300" si="344">M7236+1</f>
        <v>7235</v>
      </c>
      <c r="N7237" s="15">
        <f t="shared" si="342"/>
        <v>9.8390047806244857E-2</v>
      </c>
      <c r="O7237" s="165">
        <f t="shared" si="343"/>
        <v>9.8390047806244857E-2</v>
      </c>
      <c r="P7237" s="18"/>
      <c r="Q7237" s="18"/>
      <c r="R7237" s="18"/>
      <c r="S7237" s="18"/>
      <c r="T7237" s="18"/>
      <c r="U7237" s="18"/>
      <c r="V7237" s="18"/>
      <c r="W7237" s="18"/>
      <c r="X7237" s="18"/>
    </row>
    <row r="7238" spans="13:24">
      <c r="M7238" s="558">
        <f t="shared" si="344"/>
        <v>7236</v>
      </c>
      <c r="N7238" s="15">
        <f t="shared" si="342"/>
        <v>9.833861393390593E-2</v>
      </c>
      <c r="O7238" s="165">
        <f t="shared" si="343"/>
        <v>9.833861393390593E-2</v>
      </c>
      <c r="P7238" s="18"/>
      <c r="Q7238" s="18"/>
      <c r="R7238" s="18"/>
      <c r="S7238" s="18"/>
      <c r="T7238" s="18"/>
      <c r="U7238" s="18"/>
      <c r="V7238" s="18"/>
      <c r="W7238" s="18"/>
      <c r="X7238" s="18"/>
    </row>
    <row r="7239" spans="13:24">
      <c r="M7239" s="558">
        <f t="shared" si="344"/>
        <v>7237</v>
      </c>
      <c r="N7239" s="15">
        <f t="shared" si="342"/>
        <v>9.8287180141893582E-2</v>
      </c>
      <c r="O7239" s="165">
        <f t="shared" si="343"/>
        <v>9.8287180141893582E-2</v>
      </c>
      <c r="P7239" s="18"/>
      <c r="Q7239" s="18"/>
      <c r="R7239" s="18"/>
      <c r="S7239" s="18"/>
      <c r="T7239" s="18"/>
      <c r="U7239" s="18"/>
      <c r="V7239" s="18"/>
      <c r="W7239" s="18"/>
      <c r="X7239" s="18"/>
    </row>
    <row r="7240" spans="13:24">
      <c r="M7240" s="558">
        <f t="shared" si="344"/>
        <v>7238</v>
      </c>
      <c r="N7240" s="15">
        <f t="shared" si="342"/>
        <v>9.8235746430106977E-2</v>
      </c>
      <c r="O7240" s="165">
        <f t="shared" si="343"/>
        <v>9.8235746430106977E-2</v>
      </c>
      <c r="P7240" s="18"/>
      <c r="Q7240" s="18"/>
      <c r="R7240" s="18"/>
      <c r="S7240" s="18"/>
      <c r="T7240" s="18"/>
      <c r="U7240" s="18"/>
      <c r="V7240" s="18"/>
      <c r="W7240" s="18"/>
      <c r="X7240" s="18"/>
    </row>
    <row r="7241" spans="13:24">
      <c r="M7241" s="558">
        <f t="shared" si="344"/>
        <v>7239</v>
      </c>
      <c r="N7241" s="15">
        <f t="shared" si="342"/>
        <v>9.8184312798445472E-2</v>
      </c>
      <c r="O7241" s="165">
        <f t="shared" si="343"/>
        <v>9.8184312798445472E-2</v>
      </c>
      <c r="P7241" s="18"/>
      <c r="Q7241" s="18"/>
      <c r="R7241" s="18"/>
      <c r="S7241" s="18"/>
      <c r="T7241" s="18"/>
      <c r="U7241" s="18"/>
      <c r="V7241" s="18"/>
      <c r="W7241" s="18"/>
      <c r="X7241" s="18"/>
    </row>
    <row r="7242" spans="13:24">
      <c r="M7242" s="558">
        <f t="shared" si="344"/>
        <v>7240</v>
      </c>
      <c r="N7242" s="15">
        <f t="shared" si="342"/>
        <v>9.8132879246808469E-2</v>
      </c>
      <c r="O7242" s="165">
        <f t="shared" si="343"/>
        <v>9.8132879246808469E-2</v>
      </c>
      <c r="P7242" s="18"/>
      <c r="Q7242" s="18"/>
      <c r="R7242" s="18"/>
      <c r="S7242" s="18"/>
      <c r="T7242" s="18"/>
      <c r="U7242" s="18"/>
      <c r="V7242" s="18"/>
      <c r="W7242" s="18"/>
      <c r="X7242" s="18"/>
    </row>
    <row r="7243" spans="13:24">
      <c r="M7243" s="558">
        <f t="shared" si="344"/>
        <v>7241</v>
      </c>
      <c r="N7243" s="15">
        <f t="shared" si="342"/>
        <v>9.8081445775095602E-2</v>
      </c>
      <c r="O7243" s="165">
        <f t="shared" si="343"/>
        <v>9.8081445775095602E-2</v>
      </c>
      <c r="P7243" s="18"/>
      <c r="Q7243" s="18"/>
      <c r="R7243" s="18"/>
      <c r="S7243" s="18"/>
      <c r="T7243" s="18"/>
      <c r="U7243" s="18"/>
      <c r="V7243" s="18"/>
      <c r="W7243" s="18"/>
      <c r="X7243" s="18"/>
    </row>
    <row r="7244" spans="13:24">
      <c r="M7244" s="558">
        <f t="shared" si="344"/>
        <v>7242</v>
      </c>
      <c r="N7244" s="15">
        <f t="shared" si="342"/>
        <v>9.8030012383206536E-2</v>
      </c>
      <c r="O7244" s="165">
        <f t="shared" si="343"/>
        <v>9.8030012383206536E-2</v>
      </c>
      <c r="P7244" s="18"/>
      <c r="Q7244" s="18"/>
      <c r="R7244" s="18"/>
      <c r="S7244" s="18"/>
      <c r="T7244" s="18"/>
      <c r="U7244" s="18"/>
      <c r="V7244" s="18"/>
      <c r="W7244" s="18"/>
      <c r="X7244" s="18"/>
    </row>
    <row r="7245" spans="13:24">
      <c r="M7245" s="558">
        <f t="shared" si="344"/>
        <v>7243</v>
      </c>
      <c r="N7245" s="15">
        <f t="shared" si="342"/>
        <v>9.79785790710411E-2</v>
      </c>
      <c r="O7245" s="165">
        <f t="shared" si="343"/>
        <v>9.79785790710411E-2</v>
      </c>
      <c r="P7245" s="18"/>
      <c r="Q7245" s="18"/>
      <c r="R7245" s="18"/>
      <c r="S7245" s="18"/>
      <c r="T7245" s="18"/>
      <c r="U7245" s="18"/>
      <c r="V7245" s="18"/>
      <c r="W7245" s="18"/>
      <c r="X7245" s="18"/>
    </row>
    <row r="7246" spans="13:24">
      <c r="M7246" s="558">
        <f t="shared" si="344"/>
        <v>7244</v>
      </c>
      <c r="N7246" s="15">
        <f t="shared" si="342"/>
        <v>9.7927145838499263E-2</v>
      </c>
      <c r="O7246" s="165">
        <f t="shared" si="343"/>
        <v>9.7927145838499263E-2</v>
      </c>
      <c r="P7246" s="18"/>
      <c r="Q7246" s="18"/>
      <c r="R7246" s="18"/>
      <c r="S7246" s="18"/>
      <c r="T7246" s="18"/>
      <c r="U7246" s="18"/>
      <c r="V7246" s="18"/>
      <c r="W7246" s="18"/>
      <c r="X7246" s="18"/>
    </row>
    <row r="7247" spans="13:24">
      <c r="M7247" s="558">
        <f t="shared" si="344"/>
        <v>7245</v>
      </c>
      <c r="N7247" s="15">
        <f t="shared" si="342"/>
        <v>9.7875712685481092E-2</v>
      </c>
      <c r="O7247" s="165">
        <f t="shared" si="343"/>
        <v>9.7875712685481092E-2</v>
      </c>
      <c r="P7247" s="18"/>
      <c r="Q7247" s="18"/>
      <c r="R7247" s="18"/>
      <c r="S7247" s="18"/>
      <c r="T7247" s="18"/>
      <c r="U7247" s="18"/>
      <c r="V7247" s="18"/>
      <c r="W7247" s="18"/>
      <c r="X7247" s="18"/>
    </row>
    <row r="7248" spans="13:24">
      <c r="M7248" s="558">
        <f t="shared" si="344"/>
        <v>7246</v>
      </c>
      <c r="N7248" s="15">
        <f t="shared" si="342"/>
        <v>9.7824279611886791E-2</v>
      </c>
      <c r="O7248" s="165">
        <f t="shared" si="343"/>
        <v>9.7824279611886791E-2</v>
      </c>
      <c r="P7248" s="18"/>
      <c r="Q7248" s="18"/>
      <c r="R7248" s="18"/>
      <c r="S7248" s="18"/>
      <c r="T7248" s="18"/>
      <c r="U7248" s="18"/>
      <c r="V7248" s="18"/>
      <c r="W7248" s="18"/>
      <c r="X7248" s="18"/>
    </row>
    <row r="7249" spans="13:24">
      <c r="M7249" s="558">
        <f t="shared" si="344"/>
        <v>7247</v>
      </c>
      <c r="N7249" s="15">
        <f t="shared" si="342"/>
        <v>9.7772846617616704E-2</v>
      </c>
      <c r="O7249" s="165">
        <f t="shared" si="343"/>
        <v>9.7772846617616704E-2</v>
      </c>
      <c r="P7249" s="18"/>
      <c r="Q7249" s="18"/>
      <c r="R7249" s="18"/>
      <c r="S7249" s="18"/>
      <c r="T7249" s="18"/>
      <c r="U7249" s="18"/>
      <c r="V7249" s="18"/>
      <c r="W7249" s="18"/>
      <c r="X7249" s="18"/>
    </row>
    <row r="7250" spans="13:24">
      <c r="M7250" s="558">
        <f t="shared" si="344"/>
        <v>7248</v>
      </c>
      <c r="N7250" s="15">
        <f t="shared" si="342"/>
        <v>9.7721413702571258E-2</v>
      </c>
      <c r="O7250" s="165">
        <f t="shared" si="343"/>
        <v>9.7721413702571258E-2</v>
      </c>
      <c r="P7250" s="18"/>
      <c r="Q7250" s="18"/>
      <c r="R7250" s="18"/>
      <c r="S7250" s="18"/>
      <c r="T7250" s="18"/>
      <c r="U7250" s="18"/>
      <c r="V7250" s="18"/>
      <c r="W7250" s="18"/>
      <c r="X7250" s="18"/>
    </row>
    <row r="7251" spans="13:24">
      <c r="M7251" s="558">
        <f t="shared" si="344"/>
        <v>7249</v>
      </c>
      <c r="N7251" s="15">
        <f t="shared" si="342"/>
        <v>9.766998086665106E-2</v>
      </c>
      <c r="O7251" s="165">
        <f t="shared" si="343"/>
        <v>9.766998086665106E-2</v>
      </c>
      <c r="P7251" s="18"/>
      <c r="Q7251" s="18"/>
      <c r="R7251" s="18"/>
      <c r="S7251" s="18"/>
      <c r="T7251" s="18"/>
      <c r="U7251" s="18"/>
      <c r="V7251" s="18"/>
      <c r="W7251" s="18"/>
      <c r="X7251" s="18"/>
    </row>
    <row r="7252" spans="13:24">
      <c r="M7252" s="558">
        <f t="shared" si="344"/>
        <v>7250</v>
      </c>
      <c r="N7252" s="15">
        <f t="shared" si="342"/>
        <v>9.76185481097568E-2</v>
      </c>
      <c r="O7252" s="165">
        <f t="shared" si="343"/>
        <v>9.76185481097568E-2</v>
      </c>
      <c r="P7252" s="18"/>
      <c r="Q7252" s="18"/>
      <c r="R7252" s="18"/>
      <c r="S7252" s="18"/>
      <c r="T7252" s="18"/>
      <c r="U7252" s="18"/>
      <c r="V7252" s="18"/>
      <c r="W7252" s="18"/>
      <c r="X7252" s="18"/>
    </row>
    <row r="7253" spans="13:24">
      <c r="M7253" s="558">
        <f t="shared" si="344"/>
        <v>7251</v>
      </c>
      <c r="N7253" s="15">
        <f t="shared" si="342"/>
        <v>9.7567115431789309E-2</v>
      </c>
      <c r="O7253" s="165">
        <f t="shared" si="343"/>
        <v>9.7567115431789309E-2</v>
      </c>
      <c r="P7253" s="18"/>
      <c r="Q7253" s="18"/>
      <c r="R7253" s="18"/>
      <c r="S7253" s="18"/>
      <c r="T7253" s="18"/>
      <c r="U7253" s="18"/>
      <c r="V7253" s="18"/>
      <c r="W7253" s="18"/>
      <c r="X7253" s="18"/>
    </row>
    <row r="7254" spans="13:24">
      <c r="M7254" s="558">
        <f t="shared" si="344"/>
        <v>7252</v>
      </c>
      <c r="N7254" s="15">
        <f t="shared" si="342"/>
        <v>9.7515682832649539E-2</v>
      </c>
      <c r="O7254" s="165">
        <f t="shared" si="343"/>
        <v>9.7515682832649539E-2</v>
      </c>
      <c r="P7254" s="18"/>
      <c r="Q7254" s="18"/>
      <c r="R7254" s="18"/>
      <c r="S7254" s="18"/>
      <c r="T7254" s="18"/>
      <c r="U7254" s="18"/>
      <c r="V7254" s="18"/>
      <c r="W7254" s="18"/>
      <c r="X7254" s="18"/>
    </row>
    <row r="7255" spans="13:24">
      <c r="M7255" s="558">
        <f t="shared" si="344"/>
        <v>7253</v>
      </c>
      <c r="N7255" s="15">
        <f t="shared" si="342"/>
        <v>9.7464250312238571E-2</v>
      </c>
      <c r="O7255" s="165">
        <f t="shared" si="343"/>
        <v>9.7464250312238571E-2</v>
      </c>
      <c r="P7255" s="18"/>
      <c r="Q7255" s="18"/>
      <c r="R7255" s="18"/>
      <c r="S7255" s="18"/>
      <c r="T7255" s="18"/>
      <c r="U7255" s="18"/>
      <c r="V7255" s="18"/>
      <c r="W7255" s="18"/>
      <c r="X7255" s="18"/>
    </row>
    <row r="7256" spans="13:24">
      <c r="M7256" s="558">
        <f t="shared" si="344"/>
        <v>7254</v>
      </c>
      <c r="N7256" s="15">
        <f t="shared" si="342"/>
        <v>9.7412817870457594E-2</v>
      </c>
      <c r="O7256" s="165">
        <f t="shared" si="343"/>
        <v>9.7412817870457594E-2</v>
      </c>
      <c r="P7256" s="18"/>
      <c r="Q7256" s="18"/>
      <c r="R7256" s="18"/>
      <c r="S7256" s="18"/>
      <c r="T7256" s="18"/>
      <c r="U7256" s="18"/>
      <c r="V7256" s="18"/>
      <c r="W7256" s="18"/>
      <c r="X7256" s="18"/>
    </row>
    <row r="7257" spans="13:24">
      <c r="M7257" s="558">
        <f t="shared" si="344"/>
        <v>7255</v>
      </c>
      <c r="N7257" s="15">
        <f t="shared" si="342"/>
        <v>9.7361385507207951E-2</v>
      </c>
      <c r="O7257" s="165">
        <f t="shared" si="343"/>
        <v>9.7361385507207951E-2</v>
      </c>
      <c r="P7257" s="18"/>
      <c r="Q7257" s="18"/>
      <c r="R7257" s="18"/>
      <c r="S7257" s="18"/>
      <c r="T7257" s="18"/>
      <c r="U7257" s="18"/>
      <c r="V7257" s="18"/>
      <c r="W7257" s="18"/>
      <c r="X7257" s="18"/>
    </row>
    <row r="7258" spans="13:24">
      <c r="M7258" s="558">
        <f t="shared" si="344"/>
        <v>7256</v>
      </c>
      <c r="N7258" s="15">
        <f t="shared" si="342"/>
        <v>9.7309953222391082E-2</v>
      </c>
      <c r="O7258" s="165">
        <f t="shared" si="343"/>
        <v>9.7309953222391082E-2</v>
      </c>
      <c r="P7258" s="18"/>
      <c r="Q7258" s="18"/>
      <c r="R7258" s="18"/>
      <c r="S7258" s="18"/>
      <c r="T7258" s="18"/>
      <c r="U7258" s="18"/>
      <c r="V7258" s="18"/>
      <c r="W7258" s="18"/>
      <c r="X7258" s="18"/>
    </row>
    <row r="7259" spans="13:24">
      <c r="M7259" s="558">
        <f t="shared" si="344"/>
        <v>7257</v>
      </c>
      <c r="N7259" s="15">
        <f t="shared" si="342"/>
        <v>9.7258521015908567E-2</v>
      </c>
      <c r="O7259" s="165">
        <f t="shared" si="343"/>
        <v>9.7258521015908567E-2</v>
      </c>
      <c r="P7259" s="18"/>
      <c r="Q7259" s="18"/>
      <c r="R7259" s="18"/>
      <c r="S7259" s="18"/>
      <c r="T7259" s="18"/>
      <c r="U7259" s="18"/>
      <c r="V7259" s="18"/>
      <c r="W7259" s="18"/>
      <c r="X7259" s="18"/>
    </row>
    <row r="7260" spans="13:24">
      <c r="M7260" s="558">
        <f t="shared" si="344"/>
        <v>7258</v>
      </c>
      <c r="N7260" s="15">
        <f t="shared" si="342"/>
        <v>9.7207088887662094E-2</v>
      </c>
      <c r="O7260" s="165">
        <f t="shared" si="343"/>
        <v>9.7207088887662094E-2</v>
      </c>
      <c r="P7260" s="18"/>
      <c r="Q7260" s="18"/>
      <c r="R7260" s="18"/>
      <c r="S7260" s="18"/>
      <c r="T7260" s="18"/>
      <c r="U7260" s="18"/>
      <c r="V7260" s="18"/>
      <c r="W7260" s="18"/>
      <c r="X7260" s="18"/>
    </row>
    <row r="7261" spans="13:24">
      <c r="M7261" s="558">
        <f t="shared" si="344"/>
        <v>7259</v>
      </c>
      <c r="N7261" s="15">
        <f t="shared" si="342"/>
        <v>9.7155656837553492E-2</v>
      </c>
      <c r="O7261" s="165">
        <f t="shared" si="343"/>
        <v>9.7155656837553492E-2</v>
      </c>
      <c r="P7261" s="18"/>
      <c r="Q7261" s="18"/>
      <c r="R7261" s="18"/>
      <c r="S7261" s="18"/>
      <c r="T7261" s="18"/>
      <c r="U7261" s="18"/>
      <c r="V7261" s="18"/>
      <c r="W7261" s="18"/>
      <c r="X7261" s="18"/>
    </row>
    <row r="7262" spans="13:24">
      <c r="M7262" s="558">
        <f t="shared" si="344"/>
        <v>7260</v>
      </c>
      <c r="N7262" s="15">
        <f t="shared" si="342"/>
        <v>9.7104224865484715E-2</v>
      </c>
      <c r="O7262" s="165">
        <f t="shared" si="343"/>
        <v>9.7104224865484715E-2</v>
      </c>
      <c r="P7262" s="18"/>
      <c r="Q7262" s="18"/>
      <c r="R7262" s="18"/>
      <c r="S7262" s="18"/>
      <c r="T7262" s="18"/>
      <c r="U7262" s="18"/>
      <c r="V7262" s="18"/>
      <c r="W7262" s="18"/>
      <c r="X7262" s="18"/>
    </row>
    <row r="7263" spans="13:24">
      <c r="M7263" s="558">
        <f t="shared" si="344"/>
        <v>7261</v>
      </c>
      <c r="N7263" s="15">
        <f t="shared" si="342"/>
        <v>9.7052792971357799E-2</v>
      </c>
      <c r="O7263" s="165">
        <f t="shared" si="343"/>
        <v>9.7052792971357799E-2</v>
      </c>
      <c r="P7263" s="18"/>
      <c r="Q7263" s="18"/>
      <c r="R7263" s="18"/>
      <c r="S7263" s="18"/>
      <c r="T7263" s="18"/>
      <c r="U7263" s="18"/>
      <c r="V7263" s="18"/>
      <c r="W7263" s="18"/>
      <c r="X7263" s="18"/>
    </row>
    <row r="7264" spans="13:24">
      <c r="M7264" s="558">
        <f t="shared" si="344"/>
        <v>7262</v>
      </c>
      <c r="N7264" s="15">
        <f t="shared" si="342"/>
        <v>9.7001361155074947E-2</v>
      </c>
      <c r="O7264" s="165">
        <f t="shared" si="343"/>
        <v>9.7001361155074947E-2</v>
      </c>
      <c r="P7264" s="18"/>
      <c r="Q7264" s="18"/>
      <c r="R7264" s="18"/>
      <c r="S7264" s="18"/>
      <c r="T7264" s="18"/>
      <c r="U7264" s="18"/>
      <c r="V7264" s="18"/>
      <c r="W7264" s="18"/>
      <c r="X7264" s="18"/>
    </row>
    <row r="7265" spans="13:24">
      <c r="M7265" s="558">
        <f t="shared" si="344"/>
        <v>7263</v>
      </c>
      <c r="N7265" s="15">
        <f t="shared" si="342"/>
        <v>9.6949929416538475E-2</v>
      </c>
      <c r="O7265" s="165">
        <f t="shared" si="343"/>
        <v>9.6949929416538475E-2</v>
      </c>
      <c r="P7265" s="18"/>
      <c r="Q7265" s="18"/>
      <c r="R7265" s="18"/>
      <c r="S7265" s="18"/>
      <c r="T7265" s="18"/>
      <c r="U7265" s="18"/>
      <c r="V7265" s="18"/>
      <c r="W7265" s="18"/>
      <c r="X7265" s="18"/>
    </row>
    <row r="7266" spans="13:24">
      <c r="M7266" s="558">
        <f t="shared" si="344"/>
        <v>7264</v>
      </c>
      <c r="N7266" s="15">
        <f t="shared" si="342"/>
        <v>9.6898497755650806E-2</v>
      </c>
      <c r="O7266" s="165">
        <f t="shared" si="343"/>
        <v>9.6898497755650806E-2</v>
      </c>
      <c r="P7266" s="18"/>
      <c r="Q7266" s="18"/>
      <c r="R7266" s="18"/>
      <c r="S7266" s="18"/>
      <c r="T7266" s="18"/>
      <c r="U7266" s="18"/>
      <c r="V7266" s="18"/>
      <c r="W7266" s="18"/>
      <c r="X7266" s="18"/>
    </row>
    <row r="7267" spans="13:24">
      <c r="M7267" s="558">
        <f t="shared" si="344"/>
        <v>7265</v>
      </c>
      <c r="N7267" s="15">
        <f t="shared" si="342"/>
        <v>9.6847066172314519E-2</v>
      </c>
      <c r="O7267" s="165">
        <f t="shared" si="343"/>
        <v>9.6847066172314519E-2</v>
      </c>
      <c r="P7267" s="18"/>
      <c r="Q7267" s="18"/>
      <c r="R7267" s="18"/>
      <c r="S7267" s="18"/>
      <c r="T7267" s="18"/>
      <c r="U7267" s="18"/>
      <c r="V7267" s="18"/>
      <c r="W7267" s="18"/>
      <c r="X7267" s="18"/>
    </row>
    <row r="7268" spans="13:24">
      <c r="M7268" s="558">
        <f t="shared" si="344"/>
        <v>7266</v>
      </c>
      <c r="N7268" s="15">
        <f t="shared" si="342"/>
        <v>9.6795634666432276E-2</v>
      </c>
      <c r="O7268" s="165">
        <f t="shared" si="343"/>
        <v>9.6795634666432276E-2</v>
      </c>
      <c r="P7268" s="18"/>
      <c r="Q7268" s="18"/>
      <c r="R7268" s="18"/>
      <c r="S7268" s="18"/>
      <c r="T7268" s="18"/>
      <c r="U7268" s="18"/>
      <c r="V7268" s="18"/>
      <c r="W7268" s="18"/>
      <c r="X7268" s="18"/>
    </row>
    <row r="7269" spans="13:24">
      <c r="M7269" s="558">
        <f t="shared" si="344"/>
        <v>7267</v>
      </c>
      <c r="N7269" s="15">
        <f t="shared" si="342"/>
        <v>9.6744203237906889E-2</v>
      </c>
      <c r="O7269" s="165">
        <f t="shared" si="343"/>
        <v>9.6744203237906889E-2</v>
      </c>
      <c r="P7269" s="18"/>
      <c r="Q7269" s="18"/>
      <c r="R7269" s="18"/>
      <c r="S7269" s="18"/>
      <c r="T7269" s="18"/>
      <c r="U7269" s="18"/>
      <c r="V7269" s="18"/>
      <c r="W7269" s="18"/>
      <c r="X7269" s="18"/>
    </row>
    <row r="7270" spans="13:24">
      <c r="M7270" s="558">
        <f t="shared" si="344"/>
        <v>7268</v>
      </c>
      <c r="N7270" s="15">
        <f t="shared" si="342"/>
        <v>9.6692771886641271E-2</v>
      </c>
      <c r="O7270" s="165">
        <f t="shared" si="343"/>
        <v>9.6692771886641271E-2</v>
      </c>
      <c r="P7270" s="18"/>
      <c r="Q7270" s="18"/>
      <c r="R7270" s="18"/>
      <c r="S7270" s="18"/>
      <c r="T7270" s="18"/>
      <c r="U7270" s="18"/>
      <c r="V7270" s="18"/>
      <c r="W7270" s="18"/>
      <c r="X7270" s="18"/>
    </row>
    <row r="7271" spans="13:24">
      <c r="M7271" s="558">
        <f t="shared" si="344"/>
        <v>7269</v>
      </c>
      <c r="N7271" s="15">
        <f t="shared" si="342"/>
        <v>9.6641340612538471E-2</v>
      </c>
      <c r="O7271" s="165">
        <f t="shared" si="343"/>
        <v>9.6641340612538471E-2</v>
      </c>
      <c r="P7271" s="18"/>
      <c r="Q7271" s="18"/>
      <c r="R7271" s="18"/>
      <c r="S7271" s="18"/>
      <c r="T7271" s="18"/>
      <c r="U7271" s="18"/>
      <c r="V7271" s="18"/>
      <c r="W7271" s="18"/>
      <c r="X7271" s="18"/>
    </row>
    <row r="7272" spans="13:24">
      <c r="M7272" s="558">
        <f t="shared" si="344"/>
        <v>7270</v>
      </c>
      <c r="N7272" s="15">
        <f t="shared" si="342"/>
        <v>9.6589909415501635E-2</v>
      </c>
      <c r="O7272" s="165">
        <f t="shared" si="343"/>
        <v>9.6589909415501635E-2</v>
      </c>
      <c r="P7272" s="18"/>
      <c r="Q7272" s="18"/>
      <c r="R7272" s="18"/>
      <c r="S7272" s="18"/>
      <c r="T7272" s="18"/>
      <c r="U7272" s="18"/>
      <c r="V7272" s="18"/>
      <c r="W7272" s="18"/>
      <c r="X7272" s="18"/>
    </row>
    <row r="7273" spans="13:24">
      <c r="M7273" s="558">
        <f t="shared" si="344"/>
        <v>7271</v>
      </c>
      <c r="N7273" s="15">
        <f t="shared" si="342"/>
        <v>9.6538478295434091E-2</v>
      </c>
      <c r="O7273" s="165">
        <f t="shared" si="343"/>
        <v>9.6538478295434091E-2</v>
      </c>
      <c r="P7273" s="18"/>
      <c r="Q7273" s="18"/>
      <c r="R7273" s="18"/>
      <c r="S7273" s="18"/>
      <c r="T7273" s="18"/>
      <c r="U7273" s="18"/>
      <c r="V7273" s="18"/>
      <c r="W7273" s="18"/>
      <c r="X7273" s="18"/>
    </row>
    <row r="7274" spans="13:24">
      <c r="M7274" s="558">
        <f t="shared" si="344"/>
        <v>7272</v>
      </c>
      <c r="N7274" s="15">
        <f t="shared" si="342"/>
        <v>9.6487047252239222E-2</v>
      </c>
      <c r="O7274" s="165">
        <f t="shared" si="343"/>
        <v>9.6487047252239222E-2</v>
      </c>
      <c r="P7274" s="18"/>
      <c r="Q7274" s="18"/>
      <c r="R7274" s="18"/>
      <c r="S7274" s="18"/>
      <c r="T7274" s="18"/>
      <c r="U7274" s="18"/>
      <c r="V7274" s="18"/>
      <c r="W7274" s="18"/>
      <c r="X7274" s="18"/>
    </row>
    <row r="7275" spans="13:24">
      <c r="M7275" s="558">
        <f t="shared" si="344"/>
        <v>7273</v>
      </c>
      <c r="N7275" s="15">
        <f t="shared" si="342"/>
        <v>9.6435616285820577E-2</v>
      </c>
      <c r="O7275" s="165">
        <f t="shared" si="343"/>
        <v>9.6435616285820577E-2</v>
      </c>
      <c r="P7275" s="18"/>
      <c r="Q7275" s="18"/>
      <c r="R7275" s="18"/>
      <c r="S7275" s="18"/>
      <c r="T7275" s="18"/>
      <c r="U7275" s="18"/>
      <c r="V7275" s="18"/>
      <c r="W7275" s="18"/>
      <c r="X7275" s="18"/>
    </row>
    <row r="7276" spans="13:24">
      <c r="M7276" s="558">
        <f t="shared" si="344"/>
        <v>7274</v>
      </c>
      <c r="N7276" s="15">
        <f t="shared" si="342"/>
        <v>9.6384185396081803E-2</v>
      </c>
      <c r="O7276" s="165">
        <f t="shared" si="343"/>
        <v>9.6384185396081803E-2</v>
      </c>
      <c r="P7276" s="18"/>
      <c r="Q7276" s="18"/>
      <c r="R7276" s="18"/>
      <c r="S7276" s="18"/>
      <c r="T7276" s="18"/>
      <c r="U7276" s="18"/>
      <c r="V7276" s="18"/>
      <c r="W7276" s="18"/>
      <c r="X7276" s="18"/>
    </row>
    <row r="7277" spans="13:24">
      <c r="M7277" s="558">
        <f t="shared" si="344"/>
        <v>7275</v>
      </c>
      <c r="N7277" s="15">
        <f t="shared" si="342"/>
        <v>9.6332754582926658E-2</v>
      </c>
      <c r="O7277" s="165">
        <f t="shared" si="343"/>
        <v>9.6332754582926658E-2</v>
      </c>
      <c r="P7277" s="18"/>
      <c r="Q7277" s="18"/>
      <c r="R7277" s="18"/>
      <c r="S7277" s="18"/>
      <c r="T7277" s="18"/>
      <c r="U7277" s="18"/>
      <c r="V7277" s="18"/>
      <c r="W7277" s="18"/>
      <c r="X7277" s="18"/>
    </row>
    <row r="7278" spans="13:24">
      <c r="M7278" s="558">
        <f t="shared" si="344"/>
        <v>7276</v>
      </c>
      <c r="N7278" s="15">
        <f t="shared" si="342"/>
        <v>9.6281323846259051E-2</v>
      </c>
      <c r="O7278" s="165">
        <f t="shared" si="343"/>
        <v>9.6281323846259051E-2</v>
      </c>
      <c r="P7278" s="18"/>
      <c r="Q7278" s="18"/>
      <c r="R7278" s="18"/>
      <c r="S7278" s="18"/>
      <c r="T7278" s="18"/>
      <c r="U7278" s="18"/>
      <c r="V7278" s="18"/>
      <c r="W7278" s="18"/>
      <c r="X7278" s="18"/>
    </row>
    <row r="7279" spans="13:24">
      <c r="M7279" s="558">
        <f t="shared" si="344"/>
        <v>7277</v>
      </c>
      <c r="N7279" s="15">
        <f t="shared" si="342"/>
        <v>9.622989318598299E-2</v>
      </c>
      <c r="O7279" s="165">
        <f t="shared" si="343"/>
        <v>9.622989318598299E-2</v>
      </c>
      <c r="P7279" s="18"/>
      <c r="Q7279" s="18"/>
      <c r="R7279" s="18"/>
      <c r="S7279" s="18"/>
      <c r="T7279" s="18"/>
      <c r="U7279" s="18"/>
      <c r="V7279" s="18"/>
      <c r="W7279" s="18"/>
      <c r="X7279" s="18"/>
    </row>
    <row r="7280" spans="13:24">
      <c r="M7280" s="558">
        <f t="shared" si="344"/>
        <v>7278</v>
      </c>
      <c r="N7280" s="15">
        <f t="shared" si="342"/>
        <v>9.6178462602002607E-2</v>
      </c>
      <c r="O7280" s="165">
        <f t="shared" si="343"/>
        <v>9.6178462602002607E-2</v>
      </c>
      <c r="P7280" s="18"/>
      <c r="Q7280" s="18"/>
      <c r="R7280" s="18"/>
      <c r="S7280" s="18"/>
      <c r="T7280" s="18"/>
      <c r="U7280" s="18"/>
      <c r="V7280" s="18"/>
      <c r="W7280" s="18"/>
      <c r="X7280" s="18"/>
    </row>
    <row r="7281" spans="13:24">
      <c r="M7281" s="558">
        <f t="shared" si="344"/>
        <v>7279</v>
      </c>
      <c r="N7281" s="15">
        <f t="shared" si="342"/>
        <v>9.6127032094222173E-2</v>
      </c>
      <c r="O7281" s="165">
        <f t="shared" si="343"/>
        <v>9.6127032094222173E-2</v>
      </c>
      <c r="P7281" s="18"/>
      <c r="Q7281" s="18"/>
      <c r="R7281" s="18"/>
      <c r="S7281" s="18"/>
      <c r="T7281" s="18"/>
      <c r="U7281" s="18"/>
      <c r="V7281" s="18"/>
      <c r="W7281" s="18"/>
      <c r="X7281" s="18"/>
    </row>
    <row r="7282" spans="13:24">
      <c r="M7282" s="558">
        <f t="shared" si="344"/>
        <v>7280</v>
      </c>
      <c r="N7282" s="15">
        <f t="shared" si="342"/>
        <v>9.6075601662546042E-2</v>
      </c>
      <c r="O7282" s="165">
        <f t="shared" si="343"/>
        <v>9.6075601662546042E-2</v>
      </c>
      <c r="P7282" s="18"/>
      <c r="Q7282" s="18"/>
      <c r="R7282" s="18"/>
      <c r="S7282" s="18"/>
      <c r="T7282" s="18"/>
      <c r="U7282" s="18"/>
      <c r="V7282" s="18"/>
      <c r="W7282" s="18"/>
      <c r="X7282" s="18"/>
    </row>
    <row r="7283" spans="13:24">
      <c r="M7283" s="558">
        <f t="shared" si="344"/>
        <v>7281</v>
      </c>
      <c r="N7283" s="15">
        <f t="shared" si="342"/>
        <v>9.6024171306878708E-2</v>
      </c>
      <c r="O7283" s="165">
        <f t="shared" si="343"/>
        <v>9.6024171306878708E-2</v>
      </c>
      <c r="P7283" s="18"/>
      <c r="Q7283" s="18"/>
      <c r="R7283" s="18"/>
      <c r="S7283" s="18"/>
      <c r="T7283" s="18"/>
      <c r="U7283" s="18"/>
      <c r="V7283" s="18"/>
      <c r="W7283" s="18"/>
      <c r="X7283" s="18"/>
    </row>
    <row r="7284" spans="13:24">
      <c r="M7284" s="558">
        <f t="shared" si="344"/>
        <v>7282</v>
      </c>
      <c r="N7284" s="15">
        <f t="shared" si="342"/>
        <v>9.5972741027124817E-2</v>
      </c>
      <c r="O7284" s="165">
        <f t="shared" si="343"/>
        <v>9.5972741027124817E-2</v>
      </c>
      <c r="P7284" s="18"/>
      <c r="Q7284" s="18"/>
      <c r="R7284" s="18"/>
      <c r="S7284" s="18"/>
      <c r="T7284" s="18"/>
      <c r="U7284" s="18"/>
      <c r="V7284" s="18"/>
      <c r="W7284" s="18"/>
      <c r="X7284" s="18"/>
    </row>
    <row r="7285" spans="13:24">
      <c r="M7285" s="558">
        <f t="shared" si="344"/>
        <v>7283</v>
      </c>
      <c r="N7285" s="15">
        <f t="shared" si="342"/>
        <v>9.5921310823189068E-2</v>
      </c>
      <c r="O7285" s="165">
        <f t="shared" si="343"/>
        <v>9.5921310823189068E-2</v>
      </c>
      <c r="P7285" s="18"/>
      <c r="Q7285" s="18"/>
      <c r="R7285" s="18"/>
      <c r="S7285" s="18"/>
      <c r="T7285" s="18"/>
      <c r="U7285" s="18"/>
      <c r="V7285" s="18"/>
      <c r="W7285" s="18"/>
      <c r="X7285" s="18"/>
    </row>
    <row r="7286" spans="13:24">
      <c r="M7286" s="558">
        <f t="shared" si="344"/>
        <v>7284</v>
      </c>
      <c r="N7286" s="15">
        <f t="shared" si="342"/>
        <v>9.5869880694976331E-2</v>
      </c>
      <c r="O7286" s="165">
        <f t="shared" si="343"/>
        <v>9.5869880694976331E-2</v>
      </c>
      <c r="P7286" s="18"/>
      <c r="Q7286" s="18"/>
      <c r="R7286" s="18"/>
      <c r="S7286" s="18"/>
      <c r="T7286" s="18"/>
      <c r="U7286" s="18"/>
      <c r="V7286" s="18"/>
      <c r="W7286" s="18"/>
      <c r="X7286" s="18"/>
    </row>
    <row r="7287" spans="13:24">
      <c r="M7287" s="558">
        <f t="shared" si="344"/>
        <v>7285</v>
      </c>
      <c r="N7287" s="15">
        <f t="shared" si="342"/>
        <v>9.5818450642391584E-2</v>
      </c>
      <c r="O7287" s="165">
        <f t="shared" si="343"/>
        <v>9.5818450642391584E-2</v>
      </c>
      <c r="P7287" s="18"/>
      <c r="Q7287" s="18"/>
      <c r="R7287" s="18"/>
      <c r="S7287" s="18"/>
      <c r="T7287" s="18"/>
      <c r="U7287" s="18"/>
      <c r="V7287" s="18"/>
      <c r="W7287" s="18"/>
      <c r="X7287" s="18"/>
    </row>
    <row r="7288" spans="13:24">
      <c r="M7288" s="558">
        <f t="shared" si="344"/>
        <v>7286</v>
      </c>
      <c r="N7288" s="15">
        <f t="shared" si="342"/>
        <v>9.5767020665339903E-2</v>
      </c>
      <c r="O7288" s="165">
        <f t="shared" si="343"/>
        <v>9.5767020665339903E-2</v>
      </c>
      <c r="P7288" s="18"/>
      <c r="Q7288" s="18"/>
      <c r="R7288" s="18"/>
      <c r="S7288" s="18"/>
      <c r="T7288" s="18"/>
      <c r="U7288" s="18"/>
      <c r="V7288" s="18"/>
      <c r="W7288" s="18"/>
      <c r="X7288" s="18"/>
    </row>
    <row r="7289" spans="13:24">
      <c r="M7289" s="558">
        <f t="shared" si="344"/>
        <v>7287</v>
      </c>
      <c r="N7289" s="15">
        <f t="shared" si="342"/>
        <v>9.5715590763726516E-2</v>
      </c>
      <c r="O7289" s="165">
        <f t="shared" si="343"/>
        <v>9.5715590763726516E-2</v>
      </c>
      <c r="P7289" s="18"/>
      <c r="Q7289" s="18"/>
      <c r="R7289" s="18"/>
      <c r="S7289" s="18"/>
      <c r="T7289" s="18"/>
      <c r="U7289" s="18"/>
      <c r="V7289" s="18"/>
      <c r="W7289" s="18"/>
      <c r="X7289" s="18"/>
    </row>
    <row r="7290" spans="13:24">
      <c r="M7290" s="558">
        <f t="shared" si="344"/>
        <v>7288</v>
      </c>
      <c r="N7290" s="15">
        <f t="shared" si="342"/>
        <v>9.5664160937456763E-2</v>
      </c>
      <c r="O7290" s="165">
        <f t="shared" si="343"/>
        <v>9.5664160937456763E-2</v>
      </c>
      <c r="P7290" s="18"/>
      <c r="Q7290" s="18"/>
      <c r="R7290" s="18"/>
      <c r="S7290" s="18"/>
      <c r="T7290" s="18"/>
      <c r="U7290" s="18"/>
      <c r="V7290" s="18"/>
      <c r="W7290" s="18"/>
      <c r="X7290" s="18"/>
    </row>
    <row r="7291" spans="13:24">
      <c r="M7291" s="558">
        <f t="shared" si="344"/>
        <v>7289</v>
      </c>
      <c r="N7291" s="15">
        <f t="shared" si="342"/>
        <v>9.5612731186436067E-2</v>
      </c>
      <c r="O7291" s="165">
        <f t="shared" si="343"/>
        <v>9.5612731186436067E-2</v>
      </c>
      <c r="P7291" s="18"/>
      <c r="Q7291" s="18"/>
      <c r="R7291" s="18"/>
      <c r="S7291" s="18"/>
      <c r="T7291" s="18"/>
      <c r="U7291" s="18"/>
      <c r="V7291" s="18"/>
      <c r="W7291" s="18"/>
      <c r="X7291" s="18"/>
    </row>
    <row r="7292" spans="13:24">
      <c r="M7292" s="558">
        <f t="shared" si="344"/>
        <v>7290</v>
      </c>
      <c r="N7292" s="15">
        <f t="shared" si="342"/>
        <v>9.5561301510570018E-2</v>
      </c>
      <c r="O7292" s="165">
        <f t="shared" si="343"/>
        <v>9.5561301510570018E-2</v>
      </c>
      <c r="P7292" s="18"/>
      <c r="Q7292" s="18"/>
      <c r="R7292" s="18"/>
      <c r="S7292" s="18"/>
      <c r="T7292" s="18"/>
      <c r="U7292" s="18"/>
      <c r="V7292" s="18"/>
      <c r="W7292" s="18"/>
      <c r="X7292" s="18"/>
    </row>
    <row r="7293" spans="13:24">
      <c r="M7293" s="558">
        <f t="shared" si="344"/>
        <v>7291</v>
      </c>
      <c r="N7293" s="15">
        <f t="shared" si="342"/>
        <v>9.5509871909764302E-2</v>
      </c>
      <c r="O7293" s="165">
        <f t="shared" si="343"/>
        <v>9.5509871909764302E-2</v>
      </c>
      <c r="P7293" s="18"/>
      <c r="Q7293" s="18"/>
      <c r="R7293" s="18"/>
      <c r="S7293" s="18"/>
      <c r="T7293" s="18"/>
      <c r="U7293" s="18"/>
      <c r="V7293" s="18"/>
      <c r="W7293" s="18"/>
      <c r="X7293" s="18"/>
    </row>
    <row r="7294" spans="13:24">
      <c r="M7294" s="558">
        <f t="shared" si="344"/>
        <v>7292</v>
      </c>
      <c r="N7294" s="15">
        <f t="shared" si="342"/>
        <v>9.5458442383924702E-2</v>
      </c>
      <c r="O7294" s="165">
        <f t="shared" si="343"/>
        <v>9.5458442383924702E-2</v>
      </c>
      <c r="P7294" s="18"/>
      <c r="Q7294" s="18"/>
      <c r="R7294" s="18"/>
      <c r="S7294" s="18"/>
      <c r="T7294" s="18"/>
      <c r="U7294" s="18"/>
      <c r="V7294" s="18"/>
      <c r="W7294" s="18"/>
      <c r="X7294" s="18"/>
    </row>
    <row r="7295" spans="13:24">
      <c r="M7295" s="558">
        <f t="shared" si="344"/>
        <v>7293</v>
      </c>
      <c r="N7295" s="15">
        <f t="shared" si="342"/>
        <v>9.5407012932957169E-2</v>
      </c>
      <c r="O7295" s="165">
        <f t="shared" si="343"/>
        <v>9.5407012932957169E-2</v>
      </c>
      <c r="P7295" s="18"/>
      <c r="Q7295" s="18"/>
      <c r="R7295" s="18"/>
      <c r="S7295" s="18"/>
      <c r="T7295" s="18"/>
      <c r="U7295" s="18"/>
      <c r="V7295" s="18"/>
      <c r="W7295" s="18"/>
      <c r="X7295" s="18"/>
    </row>
    <row r="7296" spans="13:24">
      <c r="M7296" s="558">
        <f t="shared" si="344"/>
        <v>7294</v>
      </c>
      <c r="N7296" s="15">
        <f t="shared" si="342"/>
        <v>9.5355583556767723E-2</v>
      </c>
      <c r="O7296" s="165">
        <f t="shared" si="343"/>
        <v>9.5355583556767723E-2</v>
      </c>
      <c r="P7296" s="18"/>
      <c r="Q7296" s="18"/>
      <c r="R7296" s="18"/>
      <c r="S7296" s="18"/>
      <c r="T7296" s="18"/>
      <c r="U7296" s="18"/>
      <c r="V7296" s="18"/>
      <c r="W7296" s="18"/>
      <c r="X7296" s="18"/>
    </row>
    <row r="7297" spans="13:24">
      <c r="M7297" s="558">
        <f t="shared" si="344"/>
        <v>7295</v>
      </c>
      <c r="N7297" s="15">
        <f t="shared" si="342"/>
        <v>9.5304154255262549E-2</v>
      </c>
      <c r="O7297" s="165">
        <f t="shared" si="343"/>
        <v>9.5304154255262549E-2</v>
      </c>
      <c r="P7297" s="18"/>
      <c r="Q7297" s="18"/>
      <c r="R7297" s="18"/>
      <c r="S7297" s="18"/>
      <c r="T7297" s="18"/>
      <c r="U7297" s="18"/>
      <c r="V7297" s="18"/>
      <c r="W7297" s="18"/>
      <c r="X7297" s="18"/>
    </row>
    <row r="7298" spans="13:24">
      <c r="M7298" s="558">
        <f t="shared" si="344"/>
        <v>7296</v>
      </c>
      <c r="N7298" s="15">
        <f t="shared" si="342"/>
        <v>9.525272502834789E-2</v>
      </c>
      <c r="O7298" s="165">
        <f t="shared" si="343"/>
        <v>9.525272502834789E-2</v>
      </c>
      <c r="P7298" s="18"/>
      <c r="Q7298" s="18"/>
      <c r="R7298" s="18"/>
      <c r="S7298" s="18"/>
      <c r="T7298" s="18"/>
      <c r="U7298" s="18"/>
      <c r="V7298" s="18"/>
      <c r="W7298" s="18"/>
      <c r="X7298" s="18"/>
    </row>
    <row r="7299" spans="13:24">
      <c r="M7299" s="558">
        <f t="shared" si="344"/>
        <v>7297</v>
      </c>
      <c r="N7299" s="15">
        <f t="shared" si="342"/>
        <v>9.5201295875930167E-2</v>
      </c>
      <c r="O7299" s="165">
        <f t="shared" si="343"/>
        <v>9.5201295875930167E-2</v>
      </c>
      <c r="P7299" s="18"/>
      <c r="Q7299" s="18"/>
      <c r="R7299" s="18"/>
      <c r="S7299" s="18"/>
      <c r="T7299" s="18"/>
      <c r="U7299" s="18"/>
      <c r="V7299" s="18"/>
      <c r="W7299" s="18"/>
      <c r="X7299" s="18"/>
    </row>
    <row r="7300" spans="13:24">
      <c r="M7300" s="558">
        <f t="shared" si="344"/>
        <v>7298</v>
      </c>
      <c r="N7300" s="15">
        <f t="shared" ref="N7300:N7363" si="345">IF(M7300&lt;$B$31+1,$B$32+$B$33/$B$31*(8760-M7300)+$B$34*IF(M7300&lt;$B$36-$B$31/(2*$B$35),1,IF(M7300&lt;$B$36+$B$31/(2*$B$35),COS(PI()/2*(M7300-($B$36-$B$31/(2*$B$35)))*$B$35/$B$31)^2,0))+$B$37*EXP((8760-M7300)/8760*$B$38)/EXP($B$38)-(8760-$B$31)*$B$33/$B$31,0)</f>
        <v>9.5149866797915886E-2</v>
      </c>
      <c r="O7300" s="165">
        <f t="shared" ref="O7300:O7363" si="346">MIN(N7300,C$24)</f>
        <v>9.5149866797915886E-2</v>
      </c>
      <c r="P7300" s="18"/>
      <c r="Q7300" s="18"/>
      <c r="R7300" s="18"/>
      <c r="S7300" s="18"/>
      <c r="T7300" s="18"/>
      <c r="U7300" s="18"/>
      <c r="V7300" s="18"/>
      <c r="W7300" s="18"/>
      <c r="X7300" s="18"/>
    </row>
    <row r="7301" spans="13:24">
      <c r="M7301" s="558">
        <f t="shared" ref="M7301:M7364" si="347">M7300+1</f>
        <v>7299</v>
      </c>
      <c r="N7301" s="15">
        <f t="shared" si="345"/>
        <v>9.5098437794211677E-2</v>
      </c>
      <c r="O7301" s="165">
        <f t="shared" si="346"/>
        <v>9.5098437794211677E-2</v>
      </c>
      <c r="P7301" s="18"/>
      <c r="Q7301" s="18"/>
      <c r="R7301" s="18"/>
      <c r="S7301" s="18"/>
      <c r="T7301" s="18"/>
      <c r="U7301" s="18"/>
      <c r="V7301" s="18"/>
      <c r="W7301" s="18"/>
      <c r="X7301" s="18"/>
    </row>
    <row r="7302" spans="13:24">
      <c r="M7302" s="558">
        <f t="shared" si="347"/>
        <v>7300</v>
      </c>
      <c r="N7302" s="15">
        <f t="shared" si="345"/>
        <v>9.5047008864724281E-2</v>
      </c>
      <c r="O7302" s="165">
        <f t="shared" si="346"/>
        <v>9.5047008864724281E-2</v>
      </c>
      <c r="P7302" s="18"/>
      <c r="Q7302" s="18"/>
      <c r="R7302" s="18"/>
      <c r="S7302" s="18"/>
      <c r="T7302" s="18"/>
      <c r="U7302" s="18"/>
      <c r="V7302" s="18"/>
      <c r="W7302" s="18"/>
      <c r="X7302" s="18"/>
    </row>
    <row r="7303" spans="13:24">
      <c r="M7303" s="558">
        <f t="shared" si="347"/>
        <v>7301</v>
      </c>
      <c r="N7303" s="15">
        <f t="shared" si="345"/>
        <v>9.499558000936055E-2</v>
      </c>
      <c r="O7303" s="165">
        <f t="shared" si="346"/>
        <v>9.499558000936055E-2</v>
      </c>
      <c r="P7303" s="18"/>
      <c r="Q7303" s="18"/>
      <c r="R7303" s="18"/>
      <c r="S7303" s="18"/>
      <c r="T7303" s="18"/>
      <c r="U7303" s="18"/>
      <c r="V7303" s="18"/>
      <c r="W7303" s="18"/>
      <c r="X7303" s="18"/>
    </row>
    <row r="7304" spans="13:24">
      <c r="M7304" s="558">
        <f t="shared" si="347"/>
        <v>7302</v>
      </c>
      <c r="N7304" s="15">
        <f t="shared" si="345"/>
        <v>9.4944151228027504E-2</v>
      </c>
      <c r="O7304" s="165">
        <f t="shared" si="346"/>
        <v>9.4944151228027504E-2</v>
      </c>
      <c r="P7304" s="18"/>
      <c r="Q7304" s="18"/>
      <c r="R7304" s="18"/>
      <c r="S7304" s="18"/>
      <c r="T7304" s="18"/>
      <c r="U7304" s="18"/>
      <c r="V7304" s="18"/>
      <c r="W7304" s="18"/>
      <c r="X7304" s="18"/>
    </row>
    <row r="7305" spans="13:24">
      <c r="M7305" s="558">
        <f t="shared" si="347"/>
        <v>7303</v>
      </c>
      <c r="N7305" s="15">
        <f t="shared" si="345"/>
        <v>9.4892722520632217E-2</v>
      </c>
      <c r="O7305" s="165">
        <f t="shared" si="346"/>
        <v>9.4892722520632217E-2</v>
      </c>
      <c r="P7305" s="18"/>
      <c r="Q7305" s="18"/>
      <c r="R7305" s="18"/>
      <c r="S7305" s="18"/>
      <c r="T7305" s="18"/>
      <c r="U7305" s="18"/>
      <c r="V7305" s="18"/>
      <c r="W7305" s="18"/>
      <c r="X7305" s="18"/>
    </row>
    <row r="7306" spans="13:24">
      <c r="M7306" s="558">
        <f t="shared" si="347"/>
        <v>7304</v>
      </c>
      <c r="N7306" s="15">
        <f t="shared" si="345"/>
        <v>9.4841293887081887E-2</v>
      </c>
      <c r="O7306" s="165">
        <f t="shared" si="346"/>
        <v>9.4841293887081887E-2</v>
      </c>
      <c r="P7306" s="18"/>
      <c r="Q7306" s="18"/>
      <c r="R7306" s="18"/>
      <c r="S7306" s="18"/>
      <c r="T7306" s="18"/>
      <c r="U7306" s="18"/>
      <c r="V7306" s="18"/>
      <c r="W7306" s="18"/>
      <c r="X7306" s="18"/>
    </row>
    <row r="7307" spans="13:24">
      <c r="M7307" s="558">
        <f t="shared" si="347"/>
        <v>7305</v>
      </c>
      <c r="N7307" s="15">
        <f t="shared" si="345"/>
        <v>9.4789865327283881E-2</v>
      </c>
      <c r="O7307" s="165">
        <f t="shared" si="346"/>
        <v>9.4789865327283881E-2</v>
      </c>
      <c r="P7307" s="18"/>
      <c r="Q7307" s="18"/>
      <c r="R7307" s="18"/>
      <c r="S7307" s="18"/>
      <c r="T7307" s="18"/>
      <c r="U7307" s="18"/>
      <c r="V7307" s="18"/>
      <c r="W7307" s="18"/>
      <c r="X7307" s="18"/>
    </row>
    <row r="7308" spans="13:24">
      <c r="M7308" s="558">
        <f t="shared" si="347"/>
        <v>7306</v>
      </c>
      <c r="N7308" s="15">
        <f t="shared" si="345"/>
        <v>9.4738436841145607E-2</v>
      </c>
      <c r="O7308" s="165">
        <f t="shared" si="346"/>
        <v>9.4738436841145607E-2</v>
      </c>
      <c r="P7308" s="18"/>
      <c r="Q7308" s="18"/>
      <c r="R7308" s="18"/>
      <c r="S7308" s="18"/>
      <c r="T7308" s="18"/>
      <c r="U7308" s="18"/>
      <c r="V7308" s="18"/>
      <c r="W7308" s="18"/>
      <c r="X7308" s="18"/>
    </row>
    <row r="7309" spans="13:24">
      <c r="M7309" s="558">
        <f t="shared" si="347"/>
        <v>7307</v>
      </c>
      <c r="N7309" s="15">
        <f t="shared" si="345"/>
        <v>9.4687008428574665E-2</v>
      </c>
      <c r="O7309" s="165">
        <f t="shared" si="346"/>
        <v>9.4687008428574665E-2</v>
      </c>
      <c r="P7309" s="18"/>
      <c r="Q7309" s="18"/>
      <c r="R7309" s="18"/>
      <c r="S7309" s="18"/>
      <c r="T7309" s="18"/>
      <c r="U7309" s="18"/>
      <c r="V7309" s="18"/>
      <c r="W7309" s="18"/>
      <c r="X7309" s="18"/>
    </row>
    <row r="7310" spans="13:24">
      <c r="M7310" s="558">
        <f t="shared" si="347"/>
        <v>7308</v>
      </c>
      <c r="N7310" s="15">
        <f t="shared" si="345"/>
        <v>9.4635580089478699E-2</v>
      </c>
      <c r="O7310" s="165">
        <f t="shared" si="346"/>
        <v>9.4635580089478699E-2</v>
      </c>
      <c r="P7310" s="18"/>
      <c r="Q7310" s="18"/>
      <c r="R7310" s="18"/>
      <c r="S7310" s="18"/>
      <c r="T7310" s="18"/>
      <c r="U7310" s="18"/>
      <c r="V7310" s="18"/>
      <c r="W7310" s="18"/>
      <c r="X7310" s="18"/>
    </row>
    <row r="7311" spans="13:24">
      <c r="M7311" s="558">
        <f t="shared" si="347"/>
        <v>7309</v>
      </c>
      <c r="N7311" s="15">
        <f t="shared" si="345"/>
        <v>9.4584151823765519E-2</v>
      </c>
      <c r="O7311" s="165">
        <f t="shared" si="346"/>
        <v>9.4584151823765519E-2</v>
      </c>
      <c r="P7311" s="18"/>
      <c r="Q7311" s="18"/>
      <c r="R7311" s="18"/>
      <c r="S7311" s="18"/>
      <c r="T7311" s="18"/>
      <c r="U7311" s="18"/>
      <c r="V7311" s="18"/>
      <c r="W7311" s="18"/>
      <c r="X7311" s="18"/>
    </row>
    <row r="7312" spans="13:24">
      <c r="M7312" s="558">
        <f t="shared" si="347"/>
        <v>7310</v>
      </c>
      <c r="N7312" s="15">
        <f t="shared" si="345"/>
        <v>9.4532723631343046E-2</v>
      </c>
      <c r="O7312" s="165">
        <f t="shared" si="346"/>
        <v>9.4532723631343046E-2</v>
      </c>
      <c r="P7312" s="18"/>
      <c r="Q7312" s="18"/>
      <c r="R7312" s="18"/>
      <c r="S7312" s="18"/>
      <c r="T7312" s="18"/>
      <c r="U7312" s="18"/>
      <c r="V7312" s="18"/>
      <c r="W7312" s="18"/>
      <c r="X7312" s="18"/>
    </row>
    <row r="7313" spans="13:24">
      <c r="M7313" s="558">
        <f t="shared" si="347"/>
        <v>7311</v>
      </c>
      <c r="N7313" s="15">
        <f t="shared" si="345"/>
        <v>9.4481295512119298E-2</v>
      </c>
      <c r="O7313" s="165">
        <f t="shared" si="346"/>
        <v>9.4481295512119298E-2</v>
      </c>
      <c r="P7313" s="18"/>
      <c r="Q7313" s="18"/>
      <c r="R7313" s="18"/>
      <c r="S7313" s="18"/>
      <c r="T7313" s="18"/>
      <c r="U7313" s="18"/>
      <c r="V7313" s="18"/>
      <c r="W7313" s="18"/>
      <c r="X7313" s="18"/>
    </row>
    <row r="7314" spans="13:24">
      <c r="M7314" s="558">
        <f t="shared" si="347"/>
        <v>7312</v>
      </c>
      <c r="N7314" s="15">
        <f t="shared" si="345"/>
        <v>9.4429867466002418E-2</v>
      </c>
      <c r="O7314" s="165">
        <f t="shared" si="346"/>
        <v>9.4429867466002418E-2</v>
      </c>
      <c r="P7314" s="18"/>
      <c r="Q7314" s="18"/>
      <c r="R7314" s="18"/>
      <c r="S7314" s="18"/>
      <c r="T7314" s="18"/>
      <c r="U7314" s="18"/>
      <c r="V7314" s="18"/>
      <c r="W7314" s="18"/>
      <c r="X7314" s="18"/>
    </row>
    <row r="7315" spans="13:24">
      <c r="M7315" s="558">
        <f t="shared" si="347"/>
        <v>7313</v>
      </c>
      <c r="N7315" s="15">
        <f t="shared" si="345"/>
        <v>9.4378439492900645E-2</v>
      </c>
      <c r="O7315" s="165">
        <f t="shared" si="346"/>
        <v>9.4378439492900645E-2</v>
      </c>
      <c r="P7315" s="18"/>
      <c r="Q7315" s="18"/>
      <c r="R7315" s="18"/>
      <c r="S7315" s="18"/>
      <c r="T7315" s="18"/>
      <c r="U7315" s="18"/>
      <c r="V7315" s="18"/>
      <c r="W7315" s="18"/>
      <c r="X7315" s="18"/>
    </row>
    <row r="7316" spans="13:24">
      <c r="M7316" s="558">
        <f t="shared" si="347"/>
        <v>7314</v>
      </c>
      <c r="N7316" s="15">
        <f t="shared" si="345"/>
        <v>9.4327011592722373E-2</v>
      </c>
      <c r="O7316" s="165">
        <f t="shared" si="346"/>
        <v>9.4327011592722373E-2</v>
      </c>
      <c r="P7316" s="18"/>
      <c r="Q7316" s="18"/>
      <c r="R7316" s="18"/>
      <c r="S7316" s="18"/>
      <c r="T7316" s="18"/>
      <c r="U7316" s="18"/>
      <c r="V7316" s="18"/>
      <c r="W7316" s="18"/>
      <c r="X7316" s="18"/>
    </row>
    <row r="7317" spans="13:24">
      <c r="M7317" s="558">
        <f t="shared" si="347"/>
        <v>7315</v>
      </c>
      <c r="N7317" s="15">
        <f t="shared" si="345"/>
        <v>9.4275583765376092E-2</v>
      </c>
      <c r="O7317" s="165">
        <f t="shared" si="346"/>
        <v>9.4275583765376092E-2</v>
      </c>
      <c r="P7317" s="18"/>
      <c r="Q7317" s="18"/>
      <c r="R7317" s="18"/>
      <c r="S7317" s="18"/>
      <c r="T7317" s="18"/>
      <c r="U7317" s="18"/>
      <c r="V7317" s="18"/>
      <c r="W7317" s="18"/>
      <c r="X7317" s="18"/>
    </row>
    <row r="7318" spans="13:24">
      <c r="M7318" s="558">
        <f t="shared" si="347"/>
        <v>7316</v>
      </c>
      <c r="N7318" s="15">
        <f t="shared" si="345"/>
        <v>9.4224156010770374E-2</v>
      </c>
      <c r="O7318" s="165">
        <f t="shared" si="346"/>
        <v>9.4224156010770374E-2</v>
      </c>
      <c r="P7318" s="18"/>
      <c r="Q7318" s="18"/>
      <c r="R7318" s="18"/>
      <c r="S7318" s="18"/>
      <c r="T7318" s="18"/>
      <c r="U7318" s="18"/>
      <c r="V7318" s="18"/>
      <c r="W7318" s="18"/>
      <c r="X7318" s="18"/>
    </row>
    <row r="7319" spans="13:24">
      <c r="M7319" s="558">
        <f t="shared" si="347"/>
        <v>7317</v>
      </c>
      <c r="N7319" s="15">
        <f t="shared" si="345"/>
        <v>9.4172728328813959E-2</v>
      </c>
      <c r="O7319" s="165">
        <f t="shared" si="346"/>
        <v>9.4172728328813959E-2</v>
      </c>
      <c r="P7319" s="18"/>
      <c r="Q7319" s="18"/>
      <c r="R7319" s="18"/>
      <c r="S7319" s="18"/>
      <c r="T7319" s="18"/>
      <c r="U7319" s="18"/>
      <c r="V7319" s="18"/>
      <c r="W7319" s="18"/>
      <c r="X7319" s="18"/>
    </row>
    <row r="7320" spans="13:24">
      <c r="M7320" s="558">
        <f t="shared" si="347"/>
        <v>7318</v>
      </c>
      <c r="N7320" s="15">
        <f t="shared" si="345"/>
        <v>9.4121300719415685E-2</v>
      </c>
      <c r="O7320" s="165">
        <f t="shared" si="346"/>
        <v>9.4121300719415685E-2</v>
      </c>
      <c r="P7320" s="18"/>
      <c r="Q7320" s="18"/>
      <c r="R7320" s="18"/>
      <c r="S7320" s="18"/>
      <c r="T7320" s="18"/>
      <c r="U7320" s="18"/>
      <c r="V7320" s="18"/>
      <c r="W7320" s="18"/>
      <c r="X7320" s="18"/>
    </row>
    <row r="7321" spans="13:24">
      <c r="M7321" s="558">
        <f t="shared" si="347"/>
        <v>7319</v>
      </c>
      <c r="N7321" s="15">
        <f t="shared" si="345"/>
        <v>9.4069873182484484E-2</v>
      </c>
      <c r="O7321" s="165">
        <f t="shared" si="346"/>
        <v>9.4069873182484484E-2</v>
      </c>
      <c r="P7321" s="18"/>
      <c r="Q7321" s="18"/>
      <c r="R7321" s="18"/>
      <c r="S7321" s="18"/>
      <c r="T7321" s="18"/>
      <c r="U7321" s="18"/>
      <c r="V7321" s="18"/>
      <c r="W7321" s="18"/>
      <c r="X7321" s="18"/>
    </row>
    <row r="7322" spans="13:24">
      <c r="M7322" s="558">
        <f t="shared" si="347"/>
        <v>7320</v>
      </c>
      <c r="N7322" s="15">
        <f t="shared" si="345"/>
        <v>9.4018445717929403E-2</v>
      </c>
      <c r="O7322" s="165">
        <f t="shared" si="346"/>
        <v>9.4018445717929403E-2</v>
      </c>
      <c r="P7322" s="18"/>
      <c r="Q7322" s="18"/>
      <c r="R7322" s="18"/>
      <c r="S7322" s="18"/>
      <c r="T7322" s="18"/>
      <c r="U7322" s="18"/>
      <c r="V7322" s="18"/>
      <c r="W7322" s="18"/>
      <c r="X7322" s="18"/>
    </row>
    <row r="7323" spans="13:24">
      <c r="M7323" s="558">
        <f t="shared" si="347"/>
        <v>7321</v>
      </c>
      <c r="N7323" s="15">
        <f t="shared" si="345"/>
        <v>9.3967018325659651E-2</v>
      </c>
      <c r="O7323" s="165">
        <f t="shared" si="346"/>
        <v>9.3967018325659651E-2</v>
      </c>
      <c r="P7323" s="18"/>
      <c r="Q7323" s="18"/>
      <c r="R7323" s="18"/>
      <c r="S7323" s="18"/>
      <c r="T7323" s="18"/>
      <c r="U7323" s="18"/>
      <c r="V7323" s="18"/>
      <c r="W7323" s="18"/>
      <c r="X7323" s="18"/>
    </row>
    <row r="7324" spans="13:24">
      <c r="M7324" s="558">
        <f t="shared" si="347"/>
        <v>7322</v>
      </c>
      <c r="N7324" s="15">
        <f t="shared" si="345"/>
        <v>9.3915591005584484E-2</v>
      </c>
      <c r="O7324" s="165">
        <f t="shared" si="346"/>
        <v>9.3915591005584484E-2</v>
      </c>
      <c r="P7324" s="18"/>
      <c r="Q7324" s="18"/>
      <c r="R7324" s="18"/>
      <c r="S7324" s="18"/>
      <c r="T7324" s="18"/>
      <c r="U7324" s="18"/>
      <c r="V7324" s="18"/>
      <c r="W7324" s="18"/>
      <c r="X7324" s="18"/>
    </row>
    <row r="7325" spans="13:24">
      <c r="M7325" s="558">
        <f t="shared" si="347"/>
        <v>7323</v>
      </c>
      <c r="N7325" s="15">
        <f t="shared" si="345"/>
        <v>9.386416375761332E-2</v>
      </c>
      <c r="O7325" s="165">
        <f t="shared" si="346"/>
        <v>9.386416375761332E-2</v>
      </c>
      <c r="P7325" s="18"/>
      <c r="Q7325" s="18"/>
      <c r="R7325" s="18"/>
      <c r="S7325" s="18"/>
      <c r="T7325" s="18"/>
      <c r="U7325" s="18"/>
      <c r="V7325" s="18"/>
      <c r="W7325" s="18"/>
      <c r="X7325" s="18"/>
    </row>
    <row r="7326" spans="13:24">
      <c r="M7326" s="558">
        <f t="shared" si="347"/>
        <v>7324</v>
      </c>
      <c r="N7326" s="15">
        <f t="shared" si="345"/>
        <v>9.3812736581655662E-2</v>
      </c>
      <c r="O7326" s="165">
        <f t="shared" si="346"/>
        <v>9.3812736581655662E-2</v>
      </c>
      <c r="P7326" s="18"/>
      <c r="Q7326" s="18"/>
      <c r="R7326" s="18"/>
      <c r="S7326" s="18"/>
      <c r="T7326" s="18"/>
      <c r="U7326" s="18"/>
      <c r="V7326" s="18"/>
      <c r="W7326" s="18"/>
      <c r="X7326" s="18"/>
    </row>
    <row r="7327" spans="13:24">
      <c r="M7327" s="558">
        <f t="shared" si="347"/>
        <v>7325</v>
      </c>
      <c r="N7327" s="15">
        <f t="shared" si="345"/>
        <v>9.3761309477621152E-2</v>
      </c>
      <c r="O7327" s="165">
        <f t="shared" si="346"/>
        <v>9.3761309477621152E-2</v>
      </c>
      <c r="P7327" s="18"/>
      <c r="Q7327" s="18"/>
      <c r="R7327" s="18"/>
      <c r="S7327" s="18"/>
      <c r="T7327" s="18"/>
      <c r="U7327" s="18"/>
      <c r="V7327" s="18"/>
      <c r="W7327" s="18"/>
      <c r="X7327" s="18"/>
    </row>
    <row r="7328" spans="13:24">
      <c r="M7328" s="558">
        <f t="shared" si="347"/>
        <v>7326</v>
      </c>
      <c r="N7328" s="15">
        <f t="shared" si="345"/>
        <v>9.3709882445419529E-2</v>
      </c>
      <c r="O7328" s="165">
        <f t="shared" si="346"/>
        <v>9.3709882445419529E-2</v>
      </c>
      <c r="P7328" s="18"/>
      <c r="Q7328" s="18"/>
      <c r="R7328" s="18"/>
      <c r="S7328" s="18"/>
      <c r="T7328" s="18"/>
      <c r="U7328" s="18"/>
      <c r="V7328" s="18"/>
      <c r="W7328" s="18"/>
      <c r="X7328" s="18"/>
    </row>
    <row r="7329" spans="13:24">
      <c r="M7329" s="558">
        <f t="shared" si="347"/>
        <v>7327</v>
      </c>
      <c r="N7329" s="15">
        <f t="shared" si="345"/>
        <v>9.3658455484960643E-2</v>
      </c>
      <c r="O7329" s="165">
        <f t="shared" si="346"/>
        <v>9.3658455484960643E-2</v>
      </c>
      <c r="P7329" s="18"/>
      <c r="Q7329" s="18"/>
      <c r="R7329" s="18"/>
      <c r="S7329" s="18"/>
      <c r="T7329" s="18"/>
      <c r="U7329" s="18"/>
      <c r="V7329" s="18"/>
      <c r="W7329" s="18"/>
      <c r="X7329" s="18"/>
    </row>
    <row r="7330" spans="13:24">
      <c r="M7330" s="558">
        <f t="shared" si="347"/>
        <v>7328</v>
      </c>
      <c r="N7330" s="15">
        <f t="shared" si="345"/>
        <v>9.3607028596154454E-2</v>
      </c>
      <c r="O7330" s="165">
        <f t="shared" si="346"/>
        <v>9.3607028596154454E-2</v>
      </c>
      <c r="P7330" s="18"/>
      <c r="Q7330" s="18"/>
      <c r="R7330" s="18"/>
      <c r="S7330" s="18"/>
      <c r="T7330" s="18"/>
      <c r="U7330" s="18"/>
      <c r="V7330" s="18"/>
      <c r="W7330" s="18"/>
      <c r="X7330" s="18"/>
    </row>
    <row r="7331" spans="13:24">
      <c r="M7331" s="558">
        <f t="shared" si="347"/>
        <v>7329</v>
      </c>
      <c r="N7331" s="15">
        <f t="shared" si="345"/>
        <v>9.3555601778911077E-2</v>
      </c>
      <c r="O7331" s="165">
        <f t="shared" si="346"/>
        <v>9.3555601778911077E-2</v>
      </c>
      <c r="P7331" s="18"/>
      <c r="Q7331" s="18"/>
      <c r="R7331" s="18"/>
      <c r="S7331" s="18"/>
      <c r="T7331" s="18"/>
      <c r="U7331" s="18"/>
      <c r="V7331" s="18"/>
      <c r="W7331" s="18"/>
      <c r="X7331" s="18"/>
    </row>
    <row r="7332" spans="13:24">
      <c r="M7332" s="558">
        <f t="shared" si="347"/>
        <v>7330</v>
      </c>
      <c r="N7332" s="15">
        <f t="shared" si="345"/>
        <v>9.3504175033140666E-2</v>
      </c>
      <c r="O7332" s="165">
        <f t="shared" si="346"/>
        <v>9.3504175033140666E-2</v>
      </c>
      <c r="P7332" s="18"/>
      <c r="Q7332" s="18"/>
      <c r="R7332" s="18"/>
      <c r="S7332" s="18"/>
      <c r="T7332" s="18"/>
      <c r="U7332" s="18"/>
      <c r="V7332" s="18"/>
      <c r="W7332" s="18"/>
      <c r="X7332" s="18"/>
    </row>
    <row r="7333" spans="13:24">
      <c r="M7333" s="558">
        <f t="shared" si="347"/>
        <v>7331</v>
      </c>
      <c r="N7333" s="15">
        <f t="shared" si="345"/>
        <v>9.3452748358753543E-2</v>
      </c>
      <c r="O7333" s="165">
        <f t="shared" si="346"/>
        <v>9.3452748358753543E-2</v>
      </c>
      <c r="P7333" s="18"/>
      <c r="Q7333" s="18"/>
      <c r="R7333" s="18"/>
      <c r="S7333" s="18"/>
      <c r="T7333" s="18"/>
      <c r="U7333" s="18"/>
      <c r="V7333" s="18"/>
      <c r="W7333" s="18"/>
      <c r="X7333" s="18"/>
    </row>
    <row r="7334" spans="13:24">
      <c r="M7334" s="558">
        <f t="shared" si="347"/>
        <v>7332</v>
      </c>
      <c r="N7334" s="15">
        <f t="shared" si="345"/>
        <v>9.3401321755660141E-2</v>
      </c>
      <c r="O7334" s="165">
        <f t="shared" si="346"/>
        <v>9.3401321755660141E-2</v>
      </c>
      <c r="P7334" s="18"/>
      <c r="Q7334" s="18"/>
      <c r="R7334" s="18"/>
      <c r="S7334" s="18"/>
      <c r="T7334" s="18"/>
      <c r="U7334" s="18"/>
      <c r="V7334" s="18"/>
      <c r="W7334" s="18"/>
      <c r="X7334" s="18"/>
    </row>
    <row r="7335" spans="13:24">
      <c r="M7335" s="558">
        <f t="shared" si="347"/>
        <v>7333</v>
      </c>
      <c r="N7335" s="15">
        <f t="shared" si="345"/>
        <v>9.3349895223770976E-2</v>
      </c>
      <c r="O7335" s="165">
        <f t="shared" si="346"/>
        <v>9.3349895223770976E-2</v>
      </c>
      <c r="P7335" s="18"/>
      <c r="Q7335" s="18"/>
      <c r="R7335" s="18"/>
      <c r="S7335" s="18"/>
      <c r="T7335" s="18"/>
      <c r="U7335" s="18"/>
      <c r="V7335" s="18"/>
      <c r="W7335" s="18"/>
      <c r="X7335" s="18"/>
    </row>
    <row r="7336" spans="13:24">
      <c r="M7336" s="558">
        <f t="shared" si="347"/>
        <v>7334</v>
      </c>
      <c r="N7336" s="15">
        <f t="shared" si="345"/>
        <v>9.3298468762996703E-2</v>
      </c>
      <c r="O7336" s="165">
        <f t="shared" si="346"/>
        <v>9.3298468762996703E-2</v>
      </c>
      <c r="P7336" s="18"/>
      <c r="Q7336" s="18"/>
      <c r="R7336" s="18"/>
      <c r="S7336" s="18"/>
      <c r="T7336" s="18"/>
      <c r="U7336" s="18"/>
      <c r="V7336" s="18"/>
      <c r="W7336" s="18"/>
      <c r="X7336" s="18"/>
    </row>
    <row r="7337" spans="13:24">
      <c r="M7337" s="558">
        <f t="shared" si="347"/>
        <v>7335</v>
      </c>
      <c r="N7337" s="15">
        <f t="shared" si="345"/>
        <v>9.3247042373248087E-2</v>
      </c>
      <c r="O7337" s="165">
        <f t="shared" si="346"/>
        <v>9.3247042373248087E-2</v>
      </c>
      <c r="P7337" s="18"/>
      <c r="Q7337" s="18"/>
      <c r="R7337" s="18"/>
      <c r="S7337" s="18"/>
      <c r="T7337" s="18"/>
      <c r="U7337" s="18"/>
      <c r="V7337" s="18"/>
      <c r="W7337" s="18"/>
      <c r="X7337" s="18"/>
    </row>
    <row r="7338" spans="13:24">
      <c r="M7338" s="558">
        <f t="shared" si="347"/>
        <v>7336</v>
      </c>
      <c r="N7338" s="15">
        <f t="shared" si="345"/>
        <v>9.3195616054435965E-2</v>
      </c>
      <c r="O7338" s="165">
        <f t="shared" si="346"/>
        <v>9.3195616054435965E-2</v>
      </c>
      <c r="P7338" s="18"/>
      <c r="Q7338" s="18"/>
      <c r="R7338" s="18"/>
      <c r="S7338" s="18"/>
      <c r="T7338" s="18"/>
      <c r="U7338" s="18"/>
      <c r="V7338" s="18"/>
      <c r="W7338" s="18"/>
      <c r="X7338" s="18"/>
    </row>
    <row r="7339" spans="13:24">
      <c r="M7339" s="558">
        <f t="shared" si="347"/>
        <v>7337</v>
      </c>
      <c r="N7339" s="15">
        <f t="shared" si="345"/>
        <v>9.314418980647135E-2</v>
      </c>
      <c r="O7339" s="165">
        <f t="shared" si="346"/>
        <v>9.314418980647135E-2</v>
      </c>
      <c r="P7339" s="18"/>
      <c r="Q7339" s="18"/>
      <c r="R7339" s="18"/>
      <c r="S7339" s="18"/>
      <c r="T7339" s="18"/>
      <c r="U7339" s="18"/>
      <c r="V7339" s="18"/>
      <c r="W7339" s="18"/>
      <c r="X7339" s="18"/>
    </row>
    <row r="7340" spans="13:24">
      <c r="M7340" s="558">
        <f t="shared" si="347"/>
        <v>7338</v>
      </c>
      <c r="N7340" s="15">
        <f t="shared" si="345"/>
        <v>9.3092763629265315E-2</v>
      </c>
      <c r="O7340" s="165">
        <f t="shared" si="346"/>
        <v>9.3092763629265315E-2</v>
      </c>
      <c r="P7340" s="18"/>
      <c r="Q7340" s="18"/>
      <c r="R7340" s="18"/>
      <c r="S7340" s="18"/>
      <c r="T7340" s="18"/>
      <c r="U7340" s="18"/>
      <c r="V7340" s="18"/>
      <c r="W7340" s="18"/>
      <c r="X7340" s="18"/>
    </row>
    <row r="7341" spans="13:24">
      <c r="M7341" s="558">
        <f t="shared" si="347"/>
        <v>7339</v>
      </c>
      <c r="N7341" s="15">
        <f t="shared" si="345"/>
        <v>9.3041337522729056E-2</v>
      </c>
      <c r="O7341" s="165">
        <f t="shared" si="346"/>
        <v>9.3041337522729056E-2</v>
      </c>
      <c r="P7341" s="18"/>
      <c r="Q7341" s="18"/>
      <c r="R7341" s="18"/>
      <c r="S7341" s="18"/>
      <c r="T7341" s="18"/>
      <c r="U7341" s="18"/>
      <c r="V7341" s="18"/>
      <c r="W7341" s="18"/>
      <c r="X7341" s="18"/>
    </row>
    <row r="7342" spans="13:24">
      <c r="M7342" s="558">
        <f t="shared" si="347"/>
        <v>7340</v>
      </c>
      <c r="N7342" s="15">
        <f t="shared" si="345"/>
        <v>9.2989911486773921E-2</v>
      </c>
      <c r="O7342" s="165">
        <f t="shared" si="346"/>
        <v>9.2989911486773921E-2</v>
      </c>
      <c r="P7342" s="18"/>
      <c r="Q7342" s="18"/>
      <c r="R7342" s="18"/>
      <c r="S7342" s="18"/>
      <c r="T7342" s="18"/>
      <c r="U7342" s="18"/>
      <c r="V7342" s="18"/>
      <c r="W7342" s="18"/>
      <c r="X7342" s="18"/>
    </row>
    <row r="7343" spans="13:24">
      <c r="M7343" s="558">
        <f t="shared" si="347"/>
        <v>7341</v>
      </c>
      <c r="N7343" s="15">
        <f t="shared" si="345"/>
        <v>9.2938485521311301E-2</v>
      </c>
      <c r="O7343" s="165">
        <f t="shared" si="346"/>
        <v>9.2938485521311301E-2</v>
      </c>
      <c r="P7343" s="18"/>
      <c r="Q7343" s="18"/>
      <c r="R7343" s="18"/>
      <c r="S7343" s="18"/>
      <c r="T7343" s="18"/>
      <c r="U7343" s="18"/>
      <c r="V7343" s="18"/>
      <c r="W7343" s="18"/>
      <c r="X7343" s="18"/>
    </row>
    <row r="7344" spans="13:24">
      <c r="M7344" s="558">
        <f t="shared" si="347"/>
        <v>7342</v>
      </c>
      <c r="N7344" s="15">
        <f t="shared" si="345"/>
        <v>9.2887059626252766E-2</v>
      </c>
      <c r="O7344" s="165">
        <f t="shared" si="346"/>
        <v>9.2887059626252766E-2</v>
      </c>
      <c r="P7344" s="18"/>
      <c r="Q7344" s="18"/>
      <c r="R7344" s="18"/>
      <c r="S7344" s="18"/>
      <c r="T7344" s="18"/>
      <c r="U7344" s="18"/>
      <c r="V7344" s="18"/>
      <c r="W7344" s="18"/>
      <c r="X7344" s="18"/>
    </row>
    <row r="7345" spans="13:24">
      <c r="M7345" s="558">
        <f t="shared" si="347"/>
        <v>7343</v>
      </c>
      <c r="N7345" s="15">
        <f t="shared" si="345"/>
        <v>9.2835633801509929E-2</v>
      </c>
      <c r="O7345" s="165">
        <f t="shared" si="346"/>
        <v>9.2835633801509929E-2</v>
      </c>
      <c r="P7345" s="18"/>
      <c r="Q7345" s="18"/>
      <c r="R7345" s="18"/>
      <c r="S7345" s="18"/>
      <c r="T7345" s="18"/>
      <c r="U7345" s="18"/>
      <c r="V7345" s="18"/>
      <c r="W7345" s="18"/>
      <c r="X7345" s="18"/>
    </row>
    <row r="7346" spans="13:24">
      <c r="M7346" s="558">
        <f t="shared" si="347"/>
        <v>7344</v>
      </c>
      <c r="N7346" s="15">
        <f t="shared" si="345"/>
        <v>9.2784208046994582E-2</v>
      </c>
      <c r="O7346" s="165">
        <f t="shared" si="346"/>
        <v>9.2784208046994582E-2</v>
      </c>
      <c r="P7346" s="18"/>
      <c r="Q7346" s="18"/>
      <c r="R7346" s="18"/>
      <c r="S7346" s="18"/>
      <c r="T7346" s="18"/>
      <c r="U7346" s="18"/>
      <c r="V7346" s="18"/>
      <c r="W7346" s="18"/>
      <c r="X7346" s="18"/>
    </row>
    <row r="7347" spans="13:24">
      <c r="M7347" s="558">
        <f t="shared" si="347"/>
        <v>7345</v>
      </c>
      <c r="N7347" s="15">
        <f t="shared" si="345"/>
        <v>9.2732782362618574E-2</v>
      </c>
      <c r="O7347" s="165">
        <f t="shared" si="346"/>
        <v>9.2732782362618574E-2</v>
      </c>
      <c r="P7347" s="18"/>
      <c r="Q7347" s="18"/>
      <c r="R7347" s="18"/>
      <c r="S7347" s="18"/>
      <c r="T7347" s="18"/>
      <c r="U7347" s="18"/>
      <c r="V7347" s="18"/>
      <c r="W7347" s="18"/>
      <c r="X7347" s="18"/>
    </row>
    <row r="7348" spans="13:24">
      <c r="M7348" s="558">
        <f t="shared" si="347"/>
        <v>7346</v>
      </c>
      <c r="N7348" s="15">
        <f t="shared" si="345"/>
        <v>9.2681356748293892E-2</v>
      </c>
      <c r="O7348" s="165">
        <f t="shared" si="346"/>
        <v>9.2681356748293892E-2</v>
      </c>
      <c r="P7348" s="18"/>
      <c r="Q7348" s="18"/>
      <c r="R7348" s="18"/>
      <c r="S7348" s="18"/>
      <c r="T7348" s="18"/>
      <c r="U7348" s="18"/>
      <c r="V7348" s="18"/>
      <c r="W7348" s="18"/>
      <c r="X7348" s="18"/>
    </row>
    <row r="7349" spans="13:24">
      <c r="M7349" s="558">
        <f t="shared" si="347"/>
        <v>7347</v>
      </c>
      <c r="N7349" s="15">
        <f t="shared" si="345"/>
        <v>9.2629931203932619E-2</v>
      </c>
      <c r="O7349" s="165">
        <f t="shared" si="346"/>
        <v>9.2629931203932619E-2</v>
      </c>
      <c r="P7349" s="18"/>
      <c r="Q7349" s="18"/>
      <c r="R7349" s="18"/>
      <c r="S7349" s="18"/>
      <c r="T7349" s="18"/>
      <c r="U7349" s="18"/>
      <c r="V7349" s="18"/>
      <c r="W7349" s="18"/>
      <c r="X7349" s="18"/>
    </row>
    <row r="7350" spans="13:24">
      <c r="M7350" s="558">
        <f t="shared" si="347"/>
        <v>7348</v>
      </c>
      <c r="N7350" s="15">
        <f t="shared" si="345"/>
        <v>9.257850572944698E-2</v>
      </c>
      <c r="O7350" s="165">
        <f t="shared" si="346"/>
        <v>9.257850572944698E-2</v>
      </c>
      <c r="P7350" s="18"/>
      <c r="Q7350" s="18"/>
      <c r="R7350" s="18"/>
      <c r="S7350" s="18"/>
      <c r="T7350" s="18"/>
      <c r="U7350" s="18"/>
      <c r="V7350" s="18"/>
      <c r="W7350" s="18"/>
      <c r="X7350" s="18"/>
    </row>
    <row r="7351" spans="13:24">
      <c r="M7351" s="558">
        <f t="shared" si="347"/>
        <v>7349</v>
      </c>
      <c r="N7351" s="15">
        <f t="shared" si="345"/>
        <v>9.2527080324749267E-2</v>
      </c>
      <c r="O7351" s="165">
        <f t="shared" si="346"/>
        <v>9.2527080324749267E-2</v>
      </c>
      <c r="P7351" s="18"/>
      <c r="Q7351" s="18"/>
      <c r="R7351" s="18"/>
      <c r="S7351" s="18"/>
      <c r="T7351" s="18"/>
      <c r="U7351" s="18"/>
      <c r="V7351" s="18"/>
      <c r="W7351" s="18"/>
      <c r="X7351" s="18"/>
    </row>
    <row r="7352" spans="13:24">
      <c r="M7352" s="558">
        <f t="shared" si="347"/>
        <v>7350</v>
      </c>
      <c r="N7352" s="15">
        <f t="shared" si="345"/>
        <v>9.247565498975191E-2</v>
      </c>
      <c r="O7352" s="165">
        <f t="shared" si="346"/>
        <v>9.247565498975191E-2</v>
      </c>
      <c r="P7352" s="18"/>
      <c r="Q7352" s="18"/>
      <c r="R7352" s="18"/>
      <c r="S7352" s="18"/>
      <c r="T7352" s="18"/>
      <c r="U7352" s="18"/>
      <c r="V7352" s="18"/>
      <c r="W7352" s="18"/>
      <c r="X7352" s="18"/>
    </row>
    <row r="7353" spans="13:24">
      <c r="M7353" s="558">
        <f t="shared" si="347"/>
        <v>7351</v>
      </c>
      <c r="N7353" s="15">
        <f t="shared" si="345"/>
        <v>9.2424229724367438E-2</v>
      </c>
      <c r="O7353" s="165">
        <f t="shared" si="346"/>
        <v>9.2424229724367438E-2</v>
      </c>
      <c r="P7353" s="18"/>
      <c r="Q7353" s="18"/>
      <c r="R7353" s="18"/>
      <c r="S7353" s="18"/>
      <c r="T7353" s="18"/>
      <c r="U7353" s="18"/>
      <c r="V7353" s="18"/>
      <c r="W7353" s="18"/>
      <c r="X7353" s="18"/>
    </row>
    <row r="7354" spans="13:24">
      <c r="M7354" s="558">
        <f t="shared" si="347"/>
        <v>7352</v>
      </c>
      <c r="N7354" s="15">
        <f t="shared" si="345"/>
        <v>9.237280452850849E-2</v>
      </c>
      <c r="O7354" s="165">
        <f t="shared" si="346"/>
        <v>9.237280452850849E-2</v>
      </c>
      <c r="P7354" s="18"/>
      <c r="Q7354" s="18"/>
      <c r="R7354" s="18"/>
      <c r="S7354" s="18"/>
      <c r="T7354" s="18"/>
      <c r="U7354" s="18"/>
      <c r="V7354" s="18"/>
      <c r="W7354" s="18"/>
      <c r="X7354" s="18"/>
    </row>
    <row r="7355" spans="13:24">
      <c r="M7355" s="558">
        <f t="shared" si="347"/>
        <v>7353</v>
      </c>
      <c r="N7355" s="15">
        <f t="shared" si="345"/>
        <v>9.2321379402087816E-2</v>
      </c>
      <c r="O7355" s="165">
        <f t="shared" si="346"/>
        <v>9.2321379402087816E-2</v>
      </c>
      <c r="P7355" s="18"/>
      <c r="Q7355" s="18"/>
      <c r="R7355" s="18"/>
      <c r="S7355" s="18"/>
      <c r="T7355" s="18"/>
      <c r="U7355" s="18"/>
      <c r="V7355" s="18"/>
      <c r="W7355" s="18"/>
      <c r="X7355" s="18"/>
    </row>
    <row r="7356" spans="13:24">
      <c r="M7356" s="558">
        <f t="shared" si="347"/>
        <v>7354</v>
      </c>
      <c r="N7356" s="15">
        <f t="shared" si="345"/>
        <v>9.2269954345018293E-2</v>
      </c>
      <c r="O7356" s="165">
        <f t="shared" si="346"/>
        <v>9.2269954345018293E-2</v>
      </c>
      <c r="P7356" s="18"/>
      <c r="Q7356" s="18"/>
      <c r="R7356" s="18"/>
      <c r="S7356" s="18"/>
      <c r="T7356" s="18"/>
      <c r="U7356" s="18"/>
      <c r="V7356" s="18"/>
      <c r="W7356" s="18"/>
      <c r="X7356" s="18"/>
    </row>
    <row r="7357" spans="13:24">
      <c r="M7357" s="558">
        <f t="shared" si="347"/>
        <v>7355</v>
      </c>
      <c r="N7357" s="15">
        <f t="shared" si="345"/>
        <v>9.2218529357212864E-2</v>
      </c>
      <c r="O7357" s="165">
        <f t="shared" si="346"/>
        <v>9.2218529357212864E-2</v>
      </c>
      <c r="P7357" s="18"/>
      <c r="Q7357" s="18"/>
      <c r="R7357" s="18"/>
      <c r="S7357" s="18"/>
      <c r="T7357" s="18"/>
      <c r="U7357" s="18"/>
      <c r="V7357" s="18"/>
      <c r="W7357" s="18"/>
      <c r="X7357" s="18"/>
    </row>
    <row r="7358" spans="13:24">
      <c r="M7358" s="558">
        <f t="shared" si="347"/>
        <v>7356</v>
      </c>
      <c r="N7358" s="15">
        <f t="shared" si="345"/>
        <v>9.2167104438584627E-2</v>
      </c>
      <c r="O7358" s="165">
        <f t="shared" si="346"/>
        <v>9.2167104438584627E-2</v>
      </c>
      <c r="P7358" s="18"/>
      <c r="Q7358" s="18"/>
      <c r="R7358" s="18"/>
      <c r="S7358" s="18"/>
      <c r="T7358" s="18"/>
      <c r="U7358" s="18"/>
      <c r="V7358" s="18"/>
      <c r="W7358" s="18"/>
      <c r="X7358" s="18"/>
    </row>
    <row r="7359" spans="13:24">
      <c r="M7359" s="558">
        <f t="shared" si="347"/>
        <v>7357</v>
      </c>
      <c r="N7359" s="15">
        <f t="shared" si="345"/>
        <v>9.2115679589046762E-2</v>
      </c>
      <c r="O7359" s="165">
        <f t="shared" si="346"/>
        <v>9.2115679589046762E-2</v>
      </c>
      <c r="P7359" s="18"/>
      <c r="Q7359" s="18"/>
      <c r="R7359" s="18"/>
      <c r="S7359" s="18"/>
      <c r="T7359" s="18"/>
      <c r="U7359" s="18"/>
      <c r="V7359" s="18"/>
      <c r="W7359" s="18"/>
      <c r="X7359" s="18"/>
    </row>
    <row r="7360" spans="13:24">
      <c r="M7360" s="558">
        <f t="shared" si="347"/>
        <v>7358</v>
      </c>
      <c r="N7360" s="15">
        <f t="shared" si="345"/>
        <v>9.2064254808512574E-2</v>
      </c>
      <c r="O7360" s="165">
        <f t="shared" si="346"/>
        <v>9.2064254808512574E-2</v>
      </c>
      <c r="P7360" s="18"/>
      <c r="Q7360" s="18"/>
      <c r="R7360" s="18"/>
      <c r="S7360" s="18"/>
      <c r="T7360" s="18"/>
      <c r="U7360" s="18"/>
      <c r="V7360" s="18"/>
      <c r="W7360" s="18"/>
      <c r="X7360" s="18"/>
    </row>
    <row r="7361" spans="13:24">
      <c r="M7361" s="558">
        <f t="shared" si="347"/>
        <v>7359</v>
      </c>
      <c r="N7361" s="15">
        <f t="shared" si="345"/>
        <v>9.2012830096895454E-2</v>
      </c>
      <c r="O7361" s="165">
        <f t="shared" si="346"/>
        <v>9.2012830096895454E-2</v>
      </c>
      <c r="P7361" s="18"/>
      <c r="Q7361" s="18"/>
      <c r="R7361" s="18"/>
      <c r="S7361" s="18"/>
      <c r="T7361" s="18"/>
      <c r="U7361" s="18"/>
      <c r="V7361" s="18"/>
      <c r="W7361" s="18"/>
      <c r="X7361" s="18"/>
    </row>
    <row r="7362" spans="13:24">
      <c r="M7362" s="558">
        <f t="shared" si="347"/>
        <v>7360</v>
      </c>
      <c r="N7362" s="15">
        <f t="shared" si="345"/>
        <v>9.1961405454108927E-2</v>
      </c>
      <c r="O7362" s="165">
        <f t="shared" si="346"/>
        <v>9.1961405454108927E-2</v>
      </c>
      <c r="P7362" s="18"/>
      <c r="Q7362" s="18"/>
      <c r="R7362" s="18"/>
      <c r="S7362" s="18"/>
      <c r="T7362" s="18"/>
      <c r="U7362" s="18"/>
      <c r="V7362" s="18"/>
      <c r="W7362" s="18"/>
      <c r="X7362" s="18"/>
    </row>
    <row r="7363" spans="13:24">
      <c r="M7363" s="558">
        <f t="shared" si="347"/>
        <v>7361</v>
      </c>
      <c r="N7363" s="15">
        <f t="shared" si="345"/>
        <v>9.1909980880066633E-2</v>
      </c>
      <c r="O7363" s="165">
        <f t="shared" si="346"/>
        <v>9.1909980880066633E-2</v>
      </c>
      <c r="P7363" s="18"/>
      <c r="Q7363" s="18"/>
      <c r="R7363" s="18"/>
      <c r="S7363" s="18"/>
      <c r="T7363" s="18"/>
      <c r="U7363" s="18"/>
      <c r="V7363" s="18"/>
      <c r="W7363" s="18"/>
      <c r="X7363" s="18"/>
    </row>
    <row r="7364" spans="13:24">
      <c r="M7364" s="558">
        <f t="shared" si="347"/>
        <v>7362</v>
      </c>
      <c r="N7364" s="15">
        <f t="shared" ref="N7364:N7427" si="348">IF(M7364&lt;$B$31+1,$B$32+$B$33/$B$31*(8760-M7364)+$B$34*IF(M7364&lt;$B$36-$B$31/(2*$B$35),1,IF(M7364&lt;$B$36+$B$31/(2*$B$35),COS(PI()/2*(M7364-($B$36-$B$31/(2*$B$35)))*$B$35/$B$31)^2,0))+$B$37*EXP((8760-M7364)/8760*$B$38)/EXP($B$38)-(8760-$B$31)*$B$33/$B$31,0)</f>
        <v>9.1858556374682251E-2</v>
      </c>
      <c r="O7364" s="165">
        <f t="shared" ref="O7364:O7427" si="349">MIN(N7364,C$24)</f>
        <v>9.1858556374682251E-2</v>
      </c>
      <c r="P7364" s="18"/>
      <c r="Q7364" s="18"/>
      <c r="R7364" s="18"/>
      <c r="S7364" s="18"/>
      <c r="T7364" s="18"/>
      <c r="U7364" s="18"/>
      <c r="V7364" s="18"/>
      <c r="W7364" s="18"/>
      <c r="X7364" s="18"/>
    </row>
    <row r="7365" spans="13:24">
      <c r="M7365" s="558">
        <f t="shared" ref="M7365:M7428" si="350">M7364+1</f>
        <v>7363</v>
      </c>
      <c r="N7365" s="15">
        <f t="shared" si="348"/>
        <v>9.1807131937869685E-2</v>
      </c>
      <c r="O7365" s="165">
        <f t="shared" si="349"/>
        <v>9.1807131937869685E-2</v>
      </c>
      <c r="P7365" s="18"/>
      <c r="Q7365" s="18"/>
      <c r="R7365" s="18"/>
      <c r="S7365" s="18"/>
      <c r="T7365" s="18"/>
      <c r="U7365" s="18"/>
      <c r="V7365" s="18"/>
      <c r="W7365" s="18"/>
      <c r="X7365" s="18"/>
    </row>
    <row r="7366" spans="13:24">
      <c r="M7366" s="558">
        <f t="shared" si="350"/>
        <v>7364</v>
      </c>
      <c r="N7366" s="15">
        <f t="shared" si="348"/>
        <v>9.1755707569542849E-2</v>
      </c>
      <c r="O7366" s="165">
        <f t="shared" si="349"/>
        <v>9.1755707569542849E-2</v>
      </c>
      <c r="P7366" s="18"/>
      <c r="Q7366" s="18"/>
      <c r="R7366" s="18"/>
      <c r="S7366" s="18"/>
      <c r="T7366" s="18"/>
      <c r="U7366" s="18"/>
      <c r="V7366" s="18"/>
      <c r="W7366" s="18"/>
      <c r="X7366" s="18"/>
    </row>
    <row r="7367" spans="13:24">
      <c r="M7367" s="558">
        <f t="shared" si="350"/>
        <v>7365</v>
      </c>
      <c r="N7367" s="15">
        <f t="shared" si="348"/>
        <v>9.1704283269615799E-2</v>
      </c>
      <c r="O7367" s="165">
        <f t="shared" si="349"/>
        <v>9.1704283269615799E-2</v>
      </c>
      <c r="P7367" s="18"/>
      <c r="Q7367" s="18"/>
      <c r="R7367" s="18"/>
      <c r="S7367" s="18"/>
      <c r="T7367" s="18"/>
      <c r="U7367" s="18"/>
      <c r="V7367" s="18"/>
      <c r="W7367" s="18"/>
      <c r="X7367" s="18"/>
    </row>
    <row r="7368" spans="13:24">
      <c r="M7368" s="558">
        <f t="shared" si="350"/>
        <v>7366</v>
      </c>
      <c r="N7368" s="15">
        <f t="shared" si="348"/>
        <v>9.1652859038002715E-2</v>
      </c>
      <c r="O7368" s="165">
        <f t="shared" si="349"/>
        <v>9.1652859038002715E-2</v>
      </c>
      <c r="P7368" s="18"/>
      <c r="Q7368" s="18"/>
      <c r="R7368" s="18"/>
      <c r="S7368" s="18"/>
      <c r="T7368" s="18"/>
      <c r="U7368" s="18"/>
      <c r="V7368" s="18"/>
      <c r="W7368" s="18"/>
      <c r="X7368" s="18"/>
    </row>
    <row r="7369" spans="13:24">
      <c r="M7369" s="558">
        <f t="shared" si="350"/>
        <v>7367</v>
      </c>
      <c r="N7369" s="15">
        <f t="shared" si="348"/>
        <v>9.1601434874617846E-2</v>
      </c>
      <c r="O7369" s="165">
        <f t="shared" si="349"/>
        <v>9.1601434874617846E-2</v>
      </c>
      <c r="P7369" s="18"/>
      <c r="Q7369" s="18"/>
      <c r="R7369" s="18"/>
      <c r="S7369" s="18"/>
      <c r="T7369" s="18"/>
      <c r="U7369" s="18"/>
      <c r="V7369" s="18"/>
      <c r="W7369" s="18"/>
      <c r="X7369" s="18"/>
    </row>
    <row r="7370" spans="13:24">
      <c r="M7370" s="558">
        <f t="shared" si="350"/>
        <v>7368</v>
      </c>
      <c r="N7370" s="15">
        <f t="shared" si="348"/>
        <v>9.1550010779375579E-2</v>
      </c>
      <c r="O7370" s="165">
        <f t="shared" si="349"/>
        <v>9.1550010779375579E-2</v>
      </c>
      <c r="P7370" s="18"/>
      <c r="Q7370" s="18"/>
      <c r="R7370" s="18"/>
      <c r="S7370" s="18"/>
      <c r="T7370" s="18"/>
      <c r="U7370" s="18"/>
      <c r="V7370" s="18"/>
      <c r="W7370" s="18"/>
      <c r="X7370" s="18"/>
    </row>
    <row r="7371" spans="13:24">
      <c r="M7371" s="558">
        <f t="shared" si="350"/>
        <v>7369</v>
      </c>
      <c r="N7371" s="15">
        <f t="shared" si="348"/>
        <v>9.1498586752190414E-2</v>
      </c>
      <c r="O7371" s="165">
        <f t="shared" si="349"/>
        <v>9.1498586752190414E-2</v>
      </c>
      <c r="P7371" s="18"/>
      <c r="Q7371" s="18"/>
      <c r="R7371" s="18"/>
      <c r="S7371" s="18"/>
      <c r="T7371" s="18"/>
      <c r="U7371" s="18"/>
      <c r="V7371" s="18"/>
      <c r="W7371" s="18"/>
      <c r="X7371" s="18"/>
    </row>
    <row r="7372" spans="13:24">
      <c r="M7372" s="558">
        <f t="shared" si="350"/>
        <v>7370</v>
      </c>
      <c r="N7372" s="15">
        <f t="shared" si="348"/>
        <v>9.1447162792976933E-2</v>
      </c>
      <c r="O7372" s="165">
        <f t="shared" si="349"/>
        <v>9.1447162792976933E-2</v>
      </c>
      <c r="P7372" s="18"/>
      <c r="Q7372" s="18"/>
      <c r="R7372" s="18"/>
      <c r="S7372" s="18"/>
      <c r="T7372" s="18"/>
      <c r="U7372" s="18"/>
      <c r="V7372" s="18"/>
      <c r="W7372" s="18"/>
      <c r="X7372" s="18"/>
    </row>
    <row r="7373" spans="13:24">
      <c r="M7373" s="558">
        <f t="shared" si="350"/>
        <v>7371</v>
      </c>
      <c r="N7373" s="15">
        <f t="shared" si="348"/>
        <v>9.1395738901649828E-2</v>
      </c>
      <c r="O7373" s="165">
        <f t="shared" si="349"/>
        <v>9.1395738901649828E-2</v>
      </c>
      <c r="P7373" s="18"/>
      <c r="Q7373" s="18"/>
      <c r="R7373" s="18"/>
      <c r="S7373" s="18"/>
      <c r="T7373" s="18"/>
      <c r="U7373" s="18"/>
      <c r="V7373" s="18"/>
      <c r="W7373" s="18"/>
      <c r="X7373" s="18"/>
    </row>
    <row r="7374" spans="13:24">
      <c r="M7374" s="558">
        <f t="shared" si="350"/>
        <v>7372</v>
      </c>
      <c r="N7374" s="15">
        <f t="shared" si="348"/>
        <v>9.1344315078123933E-2</v>
      </c>
      <c r="O7374" s="165">
        <f t="shared" si="349"/>
        <v>9.1344315078123933E-2</v>
      </c>
      <c r="P7374" s="18"/>
      <c r="Q7374" s="18"/>
      <c r="R7374" s="18"/>
      <c r="S7374" s="18"/>
      <c r="T7374" s="18"/>
      <c r="U7374" s="18"/>
      <c r="V7374" s="18"/>
      <c r="W7374" s="18"/>
      <c r="X7374" s="18"/>
    </row>
    <row r="7375" spans="13:24">
      <c r="M7375" s="558">
        <f t="shared" si="350"/>
        <v>7373</v>
      </c>
      <c r="N7375" s="15">
        <f t="shared" si="348"/>
        <v>9.1292891322314135E-2</v>
      </c>
      <c r="O7375" s="165">
        <f t="shared" si="349"/>
        <v>9.1292891322314135E-2</v>
      </c>
      <c r="P7375" s="18"/>
      <c r="Q7375" s="18"/>
      <c r="R7375" s="18"/>
      <c r="S7375" s="18"/>
      <c r="T7375" s="18"/>
      <c r="U7375" s="18"/>
      <c r="V7375" s="18"/>
      <c r="W7375" s="18"/>
      <c r="X7375" s="18"/>
    </row>
    <row r="7376" spans="13:24">
      <c r="M7376" s="558">
        <f t="shared" si="350"/>
        <v>7374</v>
      </c>
      <c r="N7376" s="15">
        <f t="shared" si="348"/>
        <v>9.1241467634135473E-2</v>
      </c>
      <c r="O7376" s="165">
        <f t="shared" si="349"/>
        <v>9.1241467634135473E-2</v>
      </c>
      <c r="P7376" s="18"/>
      <c r="Q7376" s="18"/>
      <c r="R7376" s="18"/>
      <c r="S7376" s="18"/>
      <c r="T7376" s="18"/>
      <c r="U7376" s="18"/>
      <c r="V7376" s="18"/>
      <c r="W7376" s="18"/>
      <c r="X7376" s="18"/>
    </row>
    <row r="7377" spans="13:24">
      <c r="M7377" s="558">
        <f t="shared" si="350"/>
        <v>7375</v>
      </c>
      <c r="N7377" s="15">
        <f t="shared" si="348"/>
        <v>9.1190044013503072E-2</v>
      </c>
      <c r="O7377" s="165">
        <f t="shared" si="349"/>
        <v>9.1190044013503072E-2</v>
      </c>
      <c r="P7377" s="18"/>
      <c r="Q7377" s="18"/>
      <c r="R7377" s="18"/>
      <c r="S7377" s="18"/>
      <c r="T7377" s="18"/>
      <c r="U7377" s="18"/>
      <c r="V7377" s="18"/>
      <c r="W7377" s="18"/>
      <c r="X7377" s="18"/>
    </row>
    <row r="7378" spans="13:24">
      <c r="M7378" s="558">
        <f t="shared" si="350"/>
        <v>7376</v>
      </c>
      <c r="N7378" s="15">
        <f t="shared" si="348"/>
        <v>9.1138620460332165E-2</v>
      </c>
      <c r="O7378" s="165">
        <f t="shared" si="349"/>
        <v>9.1138620460332165E-2</v>
      </c>
      <c r="P7378" s="18"/>
      <c r="Q7378" s="18"/>
      <c r="R7378" s="18"/>
      <c r="S7378" s="18"/>
      <c r="T7378" s="18"/>
      <c r="U7378" s="18"/>
      <c r="V7378" s="18"/>
      <c r="W7378" s="18"/>
      <c r="X7378" s="18"/>
    </row>
    <row r="7379" spans="13:24">
      <c r="M7379" s="558">
        <f t="shared" si="350"/>
        <v>7377</v>
      </c>
      <c r="N7379" s="15">
        <f t="shared" si="348"/>
        <v>9.1087196974538071E-2</v>
      </c>
      <c r="O7379" s="165">
        <f t="shared" si="349"/>
        <v>9.1087196974538071E-2</v>
      </c>
      <c r="P7379" s="18"/>
      <c r="Q7379" s="18"/>
      <c r="R7379" s="18"/>
      <c r="S7379" s="18"/>
      <c r="T7379" s="18"/>
      <c r="U7379" s="18"/>
      <c r="V7379" s="18"/>
      <c r="W7379" s="18"/>
      <c r="X7379" s="18"/>
    </row>
    <row r="7380" spans="13:24">
      <c r="M7380" s="558">
        <f t="shared" si="350"/>
        <v>7378</v>
      </c>
      <c r="N7380" s="15">
        <f t="shared" si="348"/>
        <v>9.1035773556036287E-2</v>
      </c>
      <c r="O7380" s="165">
        <f t="shared" si="349"/>
        <v>9.1035773556036287E-2</v>
      </c>
      <c r="P7380" s="18"/>
      <c r="Q7380" s="18"/>
      <c r="R7380" s="18"/>
      <c r="S7380" s="18"/>
      <c r="T7380" s="18"/>
      <c r="U7380" s="18"/>
      <c r="V7380" s="18"/>
      <c r="W7380" s="18"/>
      <c r="X7380" s="18"/>
    </row>
    <row r="7381" spans="13:24">
      <c r="M7381" s="558">
        <f t="shared" si="350"/>
        <v>7379</v>
      </c>
      <c r="N7381" s="15">
        <f t="shared" si="348"/>
        <v>9.0984350204742326E-2</v>
      </c>
      <c r="O7381" s="165">
        <f t="shared" si="349"/>
        <v>9.0984350204742326E-2</v>
      </c>
      <c r="P7381" s="18"/>
      <c r="Q7381" s="18"/>
      <c r="R7381" s="18"/>
      <c r="S7381" s="18"/>
      <c r="T7381" s="18"/>
      <c r="U7381" s="18"/>
      <c r="V7381" s="18"/>
      <c r="W7381" s="18"/>
      <c r="X7381" s="18"/>
    </row>
    <row r="7382" spans="13:24">
      <c r="M7382" s="558">
        <f t="shared" si="350"/>
        <v>7380</v>
      </c>
      <c r="N7382" s="15">
        <f t="shared" si="348"/>
        <v>9.0932926920571866E-2</v>
      </c>
      <c r="O7382" s="165">
        <f t="shared" si="349"/>
        <v>9.0932926920571866E-2</v>
      </c>
      <c r="P7382" s="18"/>
      <c r="Q7382" s="18"/>
      <c r="R7382" s="18"/>
      <c r="S7382" s="18"/>
      <c r="T7382" s="18"/>
      <c r="U7382" s="18"/>
      <c r="V7382" s="18"/>
      <c r="W7382" s="18"/>
      <c r="X7382" s="18"/>
    </row>
    <row r="7383" spans="13:24">
      <c r="M7383" s="558">
        <f t="shared" si="350"/>
        <v>7381</v>
      </c>
      <c r="N7383" s="15">
        <f t="shared" si="348"/>
        <v>9.0881503703440683E-2</v>
      </c>
      <c r="O7383" s="165">
        <f t="shared" si="349"/>
        <v>9.0881503703440683E-2</v>
      </c>
      <c r="P7383" s="18"/>
      <c r="Q7383" s="18"/>
      <c r="R7383" s="18"/>
      <c r="S7383" s="18"/>
      <c r="T7383" s="18"/>
      <c r="U7383" s="18"/>
      <c r="V7383" s="18"/>
      <c r="W7383" s="18"/>
      <c r="X7383" s="18"/>
    </row>
    <row r="7384" spans="13:24">
      <c r="M7384" s="558">
        <f t="shared" si="350"/>
        <v>7382</v>
      </c>
      <c r="N7384" s="15">
        <f t="shared" si="348"/>
        <v>9.0830080553264608E-2</v>
      </c>
      <c r="O7384" s="165">
        <f t="shared" si="349"/>
        <v>9.0830080553264608E-2</v>
      </c>
      <c r="P7384" s="18"/>
      <c r="Q7384" s="18"/>
      <c r="R7384" s="18"/>
      <c r="S7384" s="18"/>
      <c r="T7384" s="18"/>
      <c r="U7384" s="18"/>
      <c r="V7384" s="18"/>
      <c r="W7384" s="18"/>
      <c r="X7384" s="18"/>
    </row>
    <row r="7385" spans="13:24">
      <c r="M7385" s="558">
        <f t="shared" si="350"/>
        <v>7383</v>
      </c>
      <c r="N7385" s="15">
        <f t="shared" si="348"/>
        <v>9.0778657469959653E-2</v>
      </c>
      <c r="O7385" s="165">
        <f t="shared" si="349"/>
        <v>9.0778657469959653E-2</v>
      </c>
      <c r="P7385" s="18"/>
      <c r="Q7385" s="18"/>
      <c r="R7385" s="18"/>
      <c r="S7385" s="18"/>
      <c r="T7385" s="18"/>
      <c r="U7385" s="18"/>
      <c r="V7385" s="18"/>
      <c r="W7385" s="18"/>
      <c r="X7385" s="18"/>
    </row>
    <row r="7386" spans="13:24">
      <c r="M7386" s="558">
        <f t="shared" si="350"/>
        <v>7384</v>
      </c>
      <c r="N7386" s="15">
        <f t="shared" si="348"/>
        <v>9.0727234453441899E-2</v>
      </c>
      <c r="O7386" s="165">
        <f t="shared" si="349"/>
        <v>9.0727234453441899E-2</v>
      </c>
      <c r="P7386" s="18"/>
      <c r="Q7386" s="18"/>
      <c r="R7386" s="18"/>
      <c r="S7386" s="18"/>
      <c r="T7386" s="18"/>
      <c r="U7386" s="18"/>
      <c r="V7386" s="18"/>
      <c r="W7386" s="18"/>
      <c r="X7386" s="18"/>
    </row>
    <row r="7387" spans="13:24">
      <c r="M7387" s="558">
        <f t="shared" si="350"/>
        <v>7385</v>
      </c>
      <c r="N7387" s="15">
        <f t="shared" si="348"/>
        <v>9.067581150362751E-2</v>
      </c>
      <c r="O7387" s="165">
        <f t="shared" si="349"/>
        <v>9.067581150362751E-2</v>
      </c>
      <c r="P7387" s="18"/>
      <c r="Q7387" s="18"/>
      <c r="R7387" s="18"/>
      <c r="S7387" s="18"/>
      <c r="T7387" s="18"/>
      <c r="U7387" s="18"/>
      <c r="V7387" s="18"/>
      <c r="W7387" s="18"/>
      <c r="X7387" s="18"/>
    </row>
    <row r="7388" spans="13:24">
      <c r="M7388" s="558">
        <f t="shared" si="350"/>
        <v>7386</v>
      </c>
      <c r="N7388" s="15">
        <f t="shared" si="348"/>
        <v>9.0624388620432803E-2</v>
      </c>
      <c r="O7388" s="165">
        <f t="shared" si="349"/>
        <v>9.0624388620432803E-2</v>
      </c>
      <c r="P7388" s="18"/>
      <c r="Q7388" s="18"/>
      <c r="R7388" s="18"/>
      <c r="S7388" s="18"/>
      <c r="T7388" s="18"/>
      <c r="U7388" s="18"/>
      <c r="V7388" s="18"/>
      <c r="W7388" s="18"/>
      <c r="X7388" s="18"/>
    </row>
    <row r="7389" spans="13:24">
      <c r="M7389" s="558">
        <f t="shared" si="350"/>
        <v>7387</v>
      </c>
      <c r="N7389" s="15">
        <f t="shared" si="348"/>
        <v>9.0572965803774164E-2</v>
      </c>
      <c r="O7389" s="165">
        <f t="shared" si="349"/>
        <v>9.0572965803774164E-2</v>
      </c>
      <c r="P7389" s="18"/>
      <c r="Q7389" s="18"/>
      <c r="R7389" s="18"/>
      <c r="S7389" s="18"/>
      <c r="T7389" s="18"/>
      <c r="U7389" s="18"/>
      <c r="V7389" s="18"/>
      <c r="W7389" s="18"/>
      <c r="X7389" s="18"/>
    </row>
    <row r="7390" spans="13:24">
      <c r="M7390" s="558">
        <f t="shared" si="350"/>
        <v>7388</v>
      </c>
      <c r="N7390" s="15">
        <f t="shared" si="348"/>
        <v>9.052154305356809E-2</v>
      </c>
      <c r="O7390" s="165">
        <f t="shared" si="349"/>
        <v>9.052154305356809E-2</v>
      </c>
      <c r="P7390" s="18"/>
      <c r="Q7390" s="18"/>
      <c r="R7390" s="18"/>
      <c r="S7390" s="18"/>
      <c r="T7390" s="18"/>
      <c r="U7390" s="18"/>
      <c r="V7390" s="18"/>
      <c r="W7390" s="18"/>
      <c r="X7390" s="18"/>
    </row>
    <row r="7391" spans="13:24">
      <c r="M7391" s="558">
        <f t="shared" si="350"/>
        <v>7389</v>
      </c>
      <c r="N7391" s="15">
        <f t="shared" si="348"/>
        <v>9.0470120369731191E-2</v>
      </c>
      <c r="O7391" s="165">
        <f t="shared" si="349"/>
        <v>9.0470120369731191E-2</v>
      </c>
      <c r="P7391" s="18"/>
      <c r="Q7391" s="18"/>
      <c r="R7391" s="18"/>
      <c r="S7391" s="18"/>
      <c r="T7391" s="18"/>
      <c r="U7391" s="18"/>
      <c r="V7391" s="18"/>
      <c r="W7391" s="18"/>
      <c r="X7391" s="18"/>
    </row>
    <row r="7392" spans="13:24">
      <c r="M7392" s="558">
        <f t="shared" si="350"/>
        <v>7390</v>
      </c>
      <c r="N7392" s="15">
        <f t="shared" si="348"/>
        <v>9.0418697752180199E-2</v>
      </c>
      <c r="O7392" s="165">
        <f t="shared" si="349"/>
        <v>9.0418697752180199E-2</v>
      </c>
      <c r="P7392" s="18"/>
      <c r="Q7392" s="18"/>
      <c r="R7392" s="18"/>
      <c r="S7392" s="18"/>
      <c r="T7392" s="18"/>
      <c r="U7392" s="18"/>
      <c r="V7392" s="18"/>
      <c r="W7392" s="18"/>
      <c r="X7392" s="18"/>
    </row>
    <row r="7393" spans="13:24">
      <c r="M7393" s="558">
        <f t="shared" si="350"/>
        <v>7391</v>
      </c>
      <c r="N7393" s="15">
        <f t="shared" si="348"/>
        <v>9.0367275200831904E-2</v>
      </c>
      <c r="O7393" s="165">
        <f t="shared" si="349"/>
        <v>9.0367275200831904E-2</v>
      </c>
      <c r="P7393" s="18"/>
      <c r="Q7393" s="18"/>
      <c r="R7393" s="18"/>
      <c r="S7393" s="18"/>
      <c r="T7393" s="18"/>
      <c r="U7393" s="18"/>
      <c r="V7393" s="18"/>
      <c r="W7393" s="18"/>
      <c r="X7393" s="18"/>
    </row>
    <row r="7394" spans="13:24">
      <c r="M7394" s="558">
        <f t="shared" si="350"/>
        <v>7392</v>
      </c>
      <c r="N7394" s="15">
        <f t="shared" si="348"/>
        <v>9.0315852715603231E-2</v>
      </c>
      <c r="O7394" s="165">
        <f t="shared" si="349"/>
        <v>9.0315852715603231E-2</v>
      </c>
      <c r="P7394" s="18"/>
      <c r="Q7394" s="18"/>
      <c r="R7394" s="18"/>
      <c r="S7394" s="18"/>
      <c r="T7394" s="18"/>
      <c r="U7394" s="18"/>
      <c r="V7394" s="18"/>
      <c r="W7394" s="18"/>
      <c r="X7394" s="18"/>
    </row>
    <row r="7395" spans="13:24">
      <c r="M7395" s="558">
        <f t="shared" si="350"/>
        <v>7393</v>
      </c>
      <c r="N7395" s="15">
        <f t="shared" si="348"/>
        <v>9.0264430296411208E-2</v>
      </c>
      <c r="O7395" s="165">
        <f t="shared" si="349"/>
        <v>9.0264430296411208E-2</v>
      </c>
      <c r="P7395" s="18"/>
      <c r="Q7395" s="18"/>
      <c r="R7395" s="18"/>
      <c r="S7395" s="18"/>
      <c r="T7395" s="18"/>
      <c r="U7395" s="18"/>
      <c r="V7395" s="18"/>
      <c r="W7395" s="18"/>
      <c r="X7395" s="18"/>
    </row>
    <row r="7396" spans="13:24">
      <c r="M7396" s="558">
        <f t="shared" si="350"/>
        <v>7394</v>
      </c>
      <c r="N7396" s="15">
        <f t="shared" si="348"/>
        <v>9.0213007943172982E-2</v>
      </c>
      <c r="O7396" s="165">
        <f t="shared" si="349"/>
        <v>9.0213007943172982E-2</v>
      </c>
      <c r="P7396" s="18"/>
      <c r="Q7396" s="18"/>
      <c r="R7396" s="18"/>
      <c r="S7396" s="18"/>
      <c r="T7396" s="18"/>
      <c r="U7396" s="18"/>
      <c r="V7396" s="18"/>
      <c r="W7396" s="18"/>
      <c r="X7396" s="18"/>
    </row>
    <row r="7397" spans="13:24">
      <c r="M7397" s="558">
        <f t="shared" si="350"/>
        <v>7395</v>
      </c>
      <c r="N7397" s="15">
        <f t="shared" si="348"/>
        <v>9.0161585655805773E-2</v>
      </c>
      <c r="O7397" s="165">
        <f t="shared" si="349"/>
        <v>9.0161585655805773E-2</v>
      </c>
      <c r="P7397" s="18"/>
      <c r="Q7397" s="18"/>
      <c r="R7397" s="18"/>
      <c r="S7397" s="18"/>
      <c r="T7397" s="18"/>
      <c r="U7397" s="18"/>
      <c r="V7397" s="18"/>
      <c r="W7397" s="18"/>
      <c r="X7397" s="18"/>
    </row>
    <row r="7398" spans="13:24">
      <c r="M7398" s="558">
        <f t="shared" si="350"/>
        <v>7396</v>
      </c>
      <c r="N7398" s="15">
        <f t="shared" si="348"/>
        <v>9.0110163434226911E-2</v>
      </c>
      <c r="O7398" s="165">
        <f t="shared" si="349"/>
        <v>9.0110163434226911E-2</v>
      </c>
      <c r="P7398" s="18"/>
      <c r="Q7398" s="18"/>
      <c r="R7398" s="18"/>
      <c r="S7398" s="18"/>
      <c r="T7398" s="18"/>
      <c r="U7398" s="18"/>
      <c r="V7398" s="18"/>
      <c r="W7398" s="18"/>
      <c r="X7398" s="18"/>
    </row>
    <row r="7399" spans="13:24">
      <c r="M7399" s="558">
        <f t="shared" si="350"/>
        <v>7397</v>
      </c>
      <c r="N7399" s="15">
        <f t="shared" si="348"/>
        <v>9.0058741278353852E-2</v>
      </c>
      <c r="O7399" s="165">
        <f t="shared" si="349"/>
        <v>9.0058741278353852E-2</v>
      </c>
      <c r="P7399" s="18"/>
      <c r="Q7399" s="18"/>
      <c r="R7399" s="18"/>
      <c r="S7399" s="18"/>
      <c r="T7399" s="18"/>
      <c r="U7399" s="18"/>
      <c r="V7399" s="18"/>
      <c r="W7399" s="18"/>
      <c r="X7399" s="18"/>
    </row>
    <row r="7400" spans="13:24">
      <c r="M7400" s="558">
        <f t="shared" si="350"/>
        <v>7398</v>
      </c>
      <c r="N7400" s="15">
        <f t="shared" si="348"/>
        <v>9.0007319188104132E-2</v>
      </c>
      <c r="O7400" s="165">
        <f t="shared" si="349"/>
        <v>9.0007319188104132E-2</v>
      </c>
      <c r="P7400" s="18"/>
      <c r="Q7400" s="18"/>
      <c r="R7400" s="18"/>
      <c r="S7400" s="18"/>
      <c r="T7400" s="18"/>
      <c r="U7400" s="18"/>
      <c r="V7400" s="18"/>
      <c r="W7400" s="18"/>
      <c r="X7400" s="18"/>
    </row>
    <row r="7401" spans="13:24">
      <c r="M7401" s="558">
        <f t="shared" si="350"/>
        <v>7399</v>
      </c>
      <c r="N7401" s="15">
        <f t="shared" si="348"/>
        <v>8.9955897163395387E-2</v>
      </c>
      <c r="O7401" s="165">
        <f t="shared" si="349"/>
        <v>8.9955897163395387E-2</v>
      </c>
      <c r="P7401" s="18"/>
      <c r="Q7401" s="18"/>
      <c r="R7401" s="18"/>
      <c r="S7401" s="18"/>
      <c r="T7401" s="18"/>
      <c r="U7401" s="18"/>
      <c r="V7401" s="18"/>
      <c r="W7401" s="18"/>
      <c r="X7401" s="18"/>
    </row>
    <row r="7402" spans="13:24">
      <c r="M7402" s="558">
        <f t="shared" si="350"/>
        <v>7400</v>
      </c>
      <c r="N7402" s="15">
        <f t="shared" si="348"/>
        <v>8.9904475204145393E-2</v>
      </c>
      <c r="O7402" s="165">
        <f t="shared" si="349"/>
        <v>8.9904475204145393E-2</v>
      </c>
      <c r="P7402" s="18"/>
      <c r="Q7402" s="18"/>
      <c r="R7402" s="18"/>
      <c r="S7402" s="18"/>
      <c r="T7402" s="18"/>
      <c r="U7402" s="18"/>
      <c r="V7402" s="18"/>
      <c r="W7402" s="18"/>
      <c r="X7402" s="18"/>
    </row>
    <row r="7403" spans="13:24">
      <c r="M7403" s="558">
        <f t="shared" si="350"/>
        <v>7401</v>
      </c>
      <c r="N7403" s="15">
        <f t="shared" si="348"/>
        <v>8.9853053310271991E-2</v>
      </c>
      <c r="O7403" s="165">
        <f t="shared" si="349"/>
        <v>8.9853053310271991E-2</v>
      </c>
      <c r="P7403" s="18"/>
      <c r="Q7403" s="18"/>
      <c r="R7403" s="18"/>
      <c r="S7403" s="18"/>
      <c r="T7403" s="18"/>
      <c r="U7403" s="18"/>
      <c r="V7403" s="18"/>
      <c r="W7403" s="18"/>
      <c r="X7403" s="18"/>
    </row>
    <row r="7404" spans="13:24">
      <c r="M7404" s="558">
        <f t="shared" si="350"/>
        <v>7402</v>
      </c>
      <c r="N7404" s="15">
        <f t="shared" si="348"/>
        <v>8.9801631481693123E-2</v>
      </c>
      <c r="O7404" s="165">
        <f t="shared" si="349"/>
        <v>8.9801631481693123E-2</v>
      </c>
      <c r="P7404" s="18"/>
      <c r="Q7404" s="18"/>
      <c r="R7404" s="18"/>
      <c r="S7404" s="18"/>
      <c r="T7404" s="18"/>
      <c r="U7404" s="18"/>
      <c r="V7404" s="18"/>
      <c r="W7404" s="18"/>
      <c r="X7404" s="18"/>
    </row>
    <row r="7405" spans="13:24">
      <c r="M7405" s="558">
        <f t="shared" si="350"/>
        <v>7403</v>
      </c>
      <c r="N7405" s="15">
        <f t="shared" si="348"/>
        <v>8.9750209718326882E-2</v>
      </c>
      <c r="O7405" s="165">
        <f t="shared" si="349"/>
        <v>8.9750209718326882E-2</v>
      </c>
      <c r="P7405" s="18"/>
      <c r="Q7405" s="18"/>
      <c r="R7405" s="18"/>
      <c r="S7405" s="18"/>
      <c r="T7405" s="18"/>
      <c r="U7405" s="18"/>
      <c r="V7405" s="18"/>
      <c r="W7405" s="18"/>
      <c r="X7405" s="18"/>
    </row>
    <row r="7406" spans="13:24">
      <c r="M7406" s="558">
        <f t="shared" si="350"/>
        <v>7404</v>
      </c>
      <c r="N7406" s="15">
        <f t="shared" si="348"/>
        <v>8.9698788020091416E-2</v>
      </c>
      <c r="O7406" s="165">
        <f t="shared" si="349"/>
        <v>8.9698788020091416E-2</v>
      </c>
      <c r="P7406" s="18"/>
      <c r="Q7406" s="18"/>
      <c r="R7406" s="18"/>
      <c r="S7406" s="18"/>
      <c r="T7406" s="18"/>
      <c r="U7406" s="18"/>
      <c r="V7406" s="18"/>
      <c r="W7406" s="18"/>
      <c r="X7406" s="18"/>
    </row>
    <row r="7407" spans="13:24">
      <c r="M7407" s="558">
        <f t="shared" si="350"/>
        <v>7405</v>
      </c>
      <c r="N7407" s="15">
        <f t="shared" si="348"/>
        <v>8.9647366386904986E-2</v>
      </c>
      <c r="O7407" s="165">
        <f t="shared" si="349"/>
        <v>8.9647366386904986E-2</v>
      </c>
      <c r="P7407" s="18"/>
      <c r="Q7407" s="18"/>
      <c r="R7407" s="18"/>
      <c r="S7407" s="18"/>
      <c r="T7407" s="18"/>
      <c r="U7407" s="18"/>
      <c r="V7407" s="18"/>
      <c r="W7407" s="18"/>
      <c r="X7407" s="18"/>
    </row>
    <row r="7408" spans="13:24">
      <c r="M7408" s="558">
        <f t="shared" si="350"/>
        <v>7406</v>
      </c>
      <c r="N7408" s="15">
        <f t="shared" si="348"/>
        <v>8.9595944818685963E-2</v>
      </c>
      <c r="O7408" s="165">
        <f t="shared" si="349"/>
        <v>8.9595944818685963E-2</v>
      </c>
      <c r="P7408" s="18"/>
      <c r="Q7408" s="18"/>
      <c r="R7408" s="18"/>
      <c r="S7408" s="18"/>
      <c r="T7408" s="18"/>
      <c r="U7408" s="18"/>
      <c r="V7408" s="18"/>
      <c r="W7408" s="18"/>
      <c r="X7408" s="18"/>
    </row>
    <row r="7409" spans="13:24">
      <c r="M7409" s="558">
        <f t="shared" si="350"/>
        <v>7407</v>
      </c>
      <c r="N7409" s="15">
        <f t="shared" si="348"/>
        <v>8.9544523315352828E-2</v>
      </c>
      <c r="O7409" s="165">
        <f t="shared" si="349"/>
        <v>8.9544523315352828E-2</v>
      </c>
      <c r="P7409" s="18"/>
      <c r="Q7409" s="18"/>
      <c r="R7409" s="18"/>
      <c r="S7409" s="18"/>
      <c r="T7409" s="18"/>
      <c r="U7409" s="18"/>
      <c r="V7409" s="18"/>
      <c r="W7409" s="18"/>
      <c r="X7409" s="18"/>
    </row>
    <row r="7410" spans="13:24">
      <c r="M7410" s="558">
        <f t="shared" si="350"/>
        <v>7408</v>
      </c>
      <c r="N7410" s="15">
        <f t="shared" si="348"/>
        <v>8.9493101876824119E-2</v>
      </c>
      <c r="O7410" s="165">
        <f t="shared" si="349"/>
        <v>8.9493101876824119E-2</v>
      </c>
      <c r="P7410" s="18"/>
      <c r="Q7410" s="18"/>
      <c r="R7410" s="18"/>
      <c r="S7410" s="18"/>
      <c r="T7410" s="18"/>
      <c r="U7410" s="18"/>
      <c r="V7410" s="18"/>
      <c r="W7410" s="18"/>
      <c r="X7410" s="18"/>
    </row>
    <row r="7411" spans="13:24">
      <c r="M7411" s="558">
        <f t="shared" si="350"/>
        <v>7409</v>
      </c>
      <c r="N7411" s="15">
        <f t="shared" si="348"/>
        <v>8.9441680503018567E-2</v>
      </c>
      <c r="O7411" s="165">
        <f t="shared" si="349"/>
        <v>8.9441680503018567E-2</v>
      </c>
      <c r="P7411" s="18"/>
      <c r="Q7411" s="18"/>
      <c r="R7411" s="18"/>
      <c r="S7411" s="18"/>
      <c r="T7411" s="18"/>
      <c r="U7411" s="18"/>
      <c r="V7411" s="18"/>
      <c r="W7411" s="18"/>
      <c r="X7411" s="18"/>
    </row>
    <row r="7412" spans="13:24">
      <c r="M7412" s="558">
        <f t="shared" si="350"/>
        <v>7410</v>
      </c>
      <c r="N7412" s="15">
        <f t="shared" si="348"/>
        <v>8.9390259193854918E-2</v>
      </c>
      <c r="O7412" s="165">
        <f t="shared" si="349"/>
        <v>8.9390259193854918E-2</v>
      </c>
      <c r="P7412" s="18"/>
      <c r="Q7412" s="18"/>
      <c r="R7412" s="18"/>
      <c r="S7412" s="18"/>
      <c r="T7412" s="18"/>
      <c r="U7412" s="18"/>
      <c r="V7412" s="18"/>
      <c r="W7412" s="18"/>
      <c r="X7412" s="18"/>
    </row>
    <row r="7413" spans="13:24">
      <c r="M7413" s="558">
        <f t="shared" si="350"/>
        <v>7411</v>
      </c>
      <c r="N7413" s="15">
        <f t="shared" si="348"/>
        <v>8.9338837949252042E-2</v>
      </c>
      <c r="O7413" s="165">
        <f t="shared" si="349"/>
        <v>8.9338837949252042E-2</v>
      </c>
      <c r="P7413" s="18"/>
      <c r="Q7413" s="18"/>
      <c r="R7413" s="18"/>
      <c r="S7413" s="18"/>
      <c r="T7413" s="18"/>
      <c r="U7413" s="18"/>
      <c r="V7413" s="18"/>
      <c r="W7413" s="18"/>
      <c r="X7413" s="18"/>
    </row>
    <row r="7414" spans="13:24">
      <c r="M7414" s="558">
        <f t="shared" si="350"/>
        <v>7412</v>
      </c>
      <c r="N7414" s="15">
        <f t="shared" si="348"/>
        <v>8.9287416769128949E-2</v>
      </c>
      <c r="O7414" s="165">
        <f t="shared" si="349"/>
        <v>8.9287416769128949E-2</v>
      </c>
      <c r="P7414" s="18"/>
      <c r="Q7414" s="18"/>
      <c r="R7414" s="18"/>
      <c r="S7414" s="18"/>
      <c r="T7414" s="18"/>
      <c r="U7414" s="18"/>
      <c r="V7414" s="18"/>
      <c r="W7414" s="18"/>
      <c r="X7414" s="18"/>
    </row>
    <row r="7415" spans="13:24">
      <c r="M7415" s="558">
        <f t="shared" si="350"/>
        <v>7413</v>
      </c>
      <c r="N7415" s="15">
        <f t="shared" si="348"/>
        <v>8.9235995653404704E-2</v>
      </c>
      <c r="O7415" s="165">
        <f t="shared" si="349"/>
        <v>8.9235995653404704E-2</v>
      </c>
      <c r="P7415" s="18"/>
      <c r="Q7415" s="18"/>
      <c r="R7415" s="18"/>
      <c r="S7415" s="18"/>
      <c r="T7415" s="18"/>
      <c r="U7415" s="18"/>
      <c r="V7415" s="18"/>
      <c r="W7415" s="18"/>
      <c r="X7415" s="18"/>
    </row>
    <row r="7416" spans="13:24">
      <c r="M7416" s="558">
        <f t="shared" si="350"/>
        <v>7414</v>
      </c>
      <c r="N7416" s="15">
        <f t="shared" si="348"/>
        <v>8.9184574601998495E-2</v>
      </c>
      <c r="O7416" s="165">
        <f t="shared" si="349"/>
        <v>8.9184574601998495E-2</v>
      </c>
      <c r="P7416" s="18"/>
      <c r="Q7416" s="18"/>
      <c r="R7416" s="18"/>
      <c r="S7416" s="18"/>
      <c r="T7416" s="18"/>
      <c r="U7416" s="18"/>
      <c r="V7416" s="18"/>
      <c r="W7416" s="18"/>
      <c r="X7416" s="18"/>
    </row>
    <row r="7417" spans="13:24">
      <c r="M7417" s="558">
        <f t="shared" si="350"/>
        <v>7415</v>
      </c>
      <c r="N7417" s="15">
        <f t="shared" si="348"/>
        <v>8.9133153614829611E-2</v>
      </c>
      <c r="O7417" s="165">
        <f t="shared" si="349"/>
        <v>8.9133153614829611E-2</v>
      </c>
      <c r="P7417" s="18"/>
      <c r="Q7417" s="18"/>
      <c r="R7417" s="18"/>
      <c r="S7417" s="18"/>
      <c r="T7417" s="18"/>
      <c r="U7417" s="18"/>
      <c r="V7417" s="18"/>
      <c r="W7417" s="18"/>
      <c r="X7417" s="18"/>
    </row>
    <row r="7418" spans="13:24">
      <c r="M7418" s="558">
        <f t="shared" si="350"/>
        <v>7416</v>
      </c>
      <c r="N7418" s="15">
        <f t="shared" si="348"/>
        <v>8.9081732691817433E-2</v>
      </c>
      <c r="O7418" s="165">
        <f t="shared" si="349"/>
        <v>8.9081732691817433E-2</v>
      </c>
      <c r="P7418" s="18"/>
      <c r="Q7418" s="18"/>
      <c r="R7418" s="18"/>
      <c r="S7418" s="18"/>
      <c r="T7418" s="18"/>
      <c r="U7418" s="18"/>
      <c r="V7418" s="18"/>
      <c r="W7418" s="18"/>
      <c r="X7418" s="18"/>
    </row>
    <row r="7419" spans="13:24">
      <c r="M7419" s="558">
        <f t="shared" si="350"/>
        <v>7417</v>
      </c>
      <c r="N7419" s="15">
        <f t="shared" si="348"/>
        <v>8.9030311832881459E-2</v>
      </c>
      <c r="O7419" s="165">
        <f t="shared" si="349"/>
        <v>8.9030311832881459E-2</v>
      </c>
      <c r="P7419" s="18"/>
      <c r="Q7419" s="18"/>
      <c r="R7419" s="18"/>
      <c r="S7419" s="18"/>
      <c r="T7419" s="18"/>
      <c r="U7419" s="18"/>
      <c r="V7419" s="18"/>
      <c r="W7419" s="18"/>
      <c r="X7419" s="18"/>
    </row>
    <row r="7420" spans="13:24">
      <c r="M7420" s="558">
        <f t="shared" si="350"/>
        <v>7418</v>
      </c>
      <c r="N7420" s="15">
        <f t="shared" si="348"/>
        <v>8.8978891037941266E-2</v>
      </c>
      <c r="O7420" s="165">
        <f t="shared" si="349"/>
        <v>8.8978891037941266E-2</v>
      </c>
      <c r="P7420" s="18"/>
      <c r="Q7420" s="18"/>
      <c r="R7420" s="18"/>
      <c r="S7420" s="18"/>
      <c r="T7420" s="18"/>
      <c r="U7420" s="18"/>
      <c r="V7420" s="18"/>
      <c r="W7420" s="18"/>
      <c r="X7420" s="18"/>
    </row>
    <row r="7421" spans="13:24">
      <c r="M7421" s="558">
        <f t="shared" si="350"/>
        <v>7419</v>
      </c>
      <c r="N7421" s="15">
        <f t="shared" si="348"/>
        <v>8.8927470306916542E-2</v>
      </c>
      <c r="O7421" s="165">
        <f t="shared" si="349"/>
        <v>8.8927470306916542E-2</v>
      </c>
      <c r="P7421" s="18"/>
      <c r="Q7421" s="18"/>
      <c r="R7421" s="18"/>
      <c r="S7421" s="18"/>
      <c r="T7421" s="18"/>
      <c r="U7421" s="18"/>
      <c r="V7421" s="18"/>
      <c r="W7421" s="18"/>
      <c r="X7421" s="18"/>
    </row>
    <row r="7422" spans="13:24">
      <c r="M7422" s="558">
        <f t="shared" si="350"/>
        <v>7420</v>
      </c>
      <c r="N7422" s="15">
        <f t="shared" si="348"/>
        <v>8.8876049639727089E-2</v>
      </c>
      <c r="O7422" s="165">
        <f t="shared" si="349"/>
        <v>8.8876049639727089E-2</v>
      </c>
      <c r="P7422" s="18"/>
      <c r="Q7422" s="18"/>
      <c r="R7422" s="18"/>
      <c r="S7422" s="18"/>
      <c r="T7422" s="18"/>
      <c r="U7422" s="18"/>
      <c r="V7422" s="18"/>
      <c r="W7422" s="18"/>
      <c r="X7422" s="18"/>
    </row>
    <row r="7423" spans="13:24">
      <c r="M7423" s="558">
        <f t="shared" si="350"/>
        <v>7421</v>
      </c>
      <c r="N7423" s="15">
        <f t="shared" si="348"/>
        <v>8.8824629036292804E-2</v>
      </c>
      <c r="O7423" s="165">
        <f t="shared" si="349"/>
        <v>8.8824629036292804E-2</v>
      </c>
      <c r="P7423" s="18"/>
      <c r="Q7423" s="18"/>
      <c r="R7423" s="18"/>
      <c r="S7423" s="18"/>
      <c r="T7423" s="18"/>
      <c r="U7423" s="18"/>
      <c r="V7423" s="18"/>
      <c r="W7423" s="18"/>
      <c r="X7423" s="18"/>
    </row>
    <row r="7424" spans="13:24">
      <c r="M7424" s="558">
        <f t="shared" si="350"/>
        <v>7422</v>
      </c>
      <c r="N7424" s="15">
        <f t="shared" si="348"/>
        <v>8.8773208496533668E-2</v>
      </c>
      <c r="O7424" s="165">
        <f t="shared" si="349"/>
        <v>8.8773208496533668E-2</v>
      </c>
      <c r="P7424" s="18"/>
      <c r="Q7424" s="18"/>
      <c r="R7424" s="18"/>
      <c r="S7424" s="18"/>
      <c r="T7424" s="18"/>
      <c r="U7424" s="18"/>
      <c r="V7424" s="18"/>
      <c r="W7424" s="18"/>
      <c r="X7424" s="18"/>
    </row>
    <row r="7425" spans="13:24">
      <c r="M7425" s="558">
        <f t="shared" si="350"/>
        <v>7423</v>
      </c>
      <c r="N7425" s="15">
        <f t="shared" si="348"/>
        <v>8.8721788020369771E-2</v>
      </c>
      <c r="O7425" s="165">
        <f t="shared" si="349"/>
        <v>8.8721788020369771E-2</v>
      </c>
      <c r="P7425" s="18"/>
      <c r="Q7425" s="18"/>
      <c r="R7425" s="18"/>
      <c r="S7425" s="18"/>
      <c r="T7425" s="18"/>
      <c r="U7425" s="18"/>
      <c r="V7425" s="18"/>
      <c r="W7425" s="18"/>
      <c r="X7425" s="18"/>
    </row>
    <row r="7426" spans="13:24">
      <c r="M7426" s="558">
        <f t="shared" si="350"/>
        <v>7424</v>
      </c>
      <c r="N7426" s="15">
        <f t="shared" si="348"/>
        <v>8.8670367607721318E-2</v>
      </c>
      <c r="O7426" s="165">
        <f t="shared" si="349"/>
        <v>8.8670367607721318E-2</v>
      </c>
      <c r="P7426" s="18"/>
      <c r="Q7426" s="18"/>
      <c r="R7426" s="18"/>
      <c r="S7426" s="18"/>
      <c r="T7426" s="18"/>
      <c r="U7426" s="18"/>
      <c r="V7426" s="18"/>
      <c r="W7426" s="18"/>
      <c r="X7426" s="18"/>
    </row>
    <row r="7427" spans="13:24">
      <c r="M7427" s="558">
        <f t="shared" si="350"/>
        <v>7425</v>
      </c>
      <c r="N7427" s="15">
        <f t="shared" si="348"/>
        <v>8.8618947258508607E-2</v>
      </c>
      <c r="O7427" s="165">
        <f t="shared" si="349"/>
        <v>8.8618947258508607E-2</v>
      </c>
      <c r="P7427" s="18"/>
      <c r="Q7427" s="18"/>
      <c r="R7427" s="18"/>
      <c r="S7427" s="18"/>
      <c r="T7427" s="18"/>
      <c r="U7427" s="18"/>
      <c r="V7427" s="18"/>
      <c r="W7427" s="18"/>
      <c r="X7427" s="18"/>
    </row>
    <row r="7428" spans="13:24">
      <c r="M7428" s="558">
        <f t="shared" si="350"/>
        <v>7426</v>
      </c>
      <c r="N7428" s="15">
        <f t="shared" ref="N7428:N7491" si="351">IF(M7428&lt;$B$31+1,$B$32+$B$33/$B$31*(8760-M7428)+$B$34*IF(M7428&lt;$B$36-$B$31/(2*$B$35),1,IF(M7428&lt;$B$36+$B$31/(2*$B$35),COS(PI()/2*(M7428-($B$36-$B$31/(2*$B$35)))*$B$35/$B$31)^2,0))+$B$37*EXP((8760-M7428)/8760*$B$38)/EXP($B$38)-(8760-$B$31)*$B$33/$B$31,0)</f>
        <v>8.8567526972652008E-2</v>
      </c>
      <c r="O7428" s="165">
        <f t="shared" ref="O7428:O7491" si="352">MIN(N7428,C$24)</f>
        <v>8.8567526972652008E-2</v>
      </c>
      <c r="P7428" s="18"/>
      <c r="Q7428" s="18"/>
      <c r="R7428" s="18"/>
      <c r="S7428" s="18"/>
      <c r="T7428" s="18"/>
      <c r="U7428" s="18"/>
      <c r="V7428" s="18"/>
      <c r="W7428" s="18"/>
      <c r="X7428" s="18"/>
    </row>
    <row r="7429" spans="13:24">
      <c r="M7429" s="558">
        <f t="shared" ref="M7429:M7492" si="353">M7428+1</f>
        <v>7427</v>
      </c>
      <c r="N7429" s="15">
        <f t="shared" si="351"/>
        <v>8.8516106750072043E-2</v>
      </c>
      <c r="O7429" s="165">
        <f t="shared" si="352"/>
        <v>8.8516106750072043E-2</v>
      </c>
      <c r="P7429" s="18"/>
      <c r="Q7429" s="18"/>
      <c r="R7429" s="18"/>
      <c r="S7429" s="18"/>
      <c r="T7429" s="18"/>
      <c r="U7429" s="18"/>
      <c r="V7429" s="18"/>
      <c r="W7429" s="18"/>
      <c r="X7429" s="18"/>
    </row>
    <row r="7430" spans="13:24">
      <c r="M7430" s="558">
        <f t="shared" si="353"/>
        <v>7428</v>
      </c>
      <c r="N7430" s="15">
        <f t="shared" si="351"/>
        <v>8.8464686590689276E-2</v>
      </c>
      <c r="O7430" s="165">
        <f t="shared" si="352"/>
        <v>8.8464686590689276E-2</v>
      </c>
      <c r="P7430" s="18"/>
      <c r="Q7430" s="18"/>
      <c r="R7430" s="18"/>
      <c r="S7430" s="18"/>
      <c r="T7430" s="18"/>
      <c r="U7430" s="18"/>
      <c r="V7430" s="18"/>
      <c r="W7430" s="18"/>
      <c r="X7430" s="18"/>
    </row>
    <row r="7431" spans="13:24">
      <c r="M7431" s="558">
        <f t="shared" si="353"/>
        <v>7429</v>
      </c>
      <c r="N7431" s="15">
        <f t="shared" si="351"/>
        <v>8.8413266494424422E-2</v>
      </c>
      <c r="O7431" s="165">
        <f t="shared" si="352"/>
        <v>8.8413266494424422E-2</v>
      </c>
      <c r="P7431" s="18"/>
      <c r="Q7431" s="18"/>
      <c r="R7431" s="18"/>
      <c r="S7431" s="18"/>
      <c r="T7431" s="18"/>
      <c r="U7431" s="18"/>
      <c r="V7431" s="18"/>
      <c r="W7431" s="18"/>
      <c r="X7431" s="18"/>
    </row>
    <row r="7432" spans="13:24">
      <c r="M7432" s="558">
        <f t="shared" si="353"/>
        <v>7430</v>
      </c>
      <c r="N7432" s="15">
        <f t="shared" si="351"/>
        <v>8.8361846461198254E-2</v>
      </c>
      <c r="O7432" s="165">
        <f t="shared" si="352"/>
        <v>8.8361846461198254E-2</v>
      </c>
      <c r="P7432" s="18"/>
      <c r="Q7432" s="18"/>
      <c r="R7432" s="18"/>
      <c r="S7432" s="18"/>
      <c r="T7432" s="18"/>
      <c r="U7432" s="18"/>
      <c r="V7432" s="18"/>
      <c r="W7432" s="18"/>
      <c r="X7432" s="18"/>
    </row>
    <row r="7433" spans="13:24">
      <c r="M7433" s="558">
        <f t="shared" si="353"/>
        <v>7431</v>
      </c>
      <c r="N7433" s="15">
        <f t="shared" si="351"/>
        <v>8.8310426490931682E-2</v>
      </c>
      <c r="O7433" s="165">
        <f t="shared" si="352"/>
        <v>8.8310426490931682E-2</v>
      </c>
      <c r="P7433" s="18"/>
      <c r="Q7433" s="18"/>
      <c r="R7433" s="18"/>
      <c r="S7433" s="18"/>
      <c r="T7433" s="18"/>
      <c r="U7433" s="18"/>
      <c r="V7433" s="18"/>
      <c r="W7433" s="18"/>
      <c r="X7433" s="18"/>
    </row>
    <row r="7434" spans="13:24">
      <c r="M7434" s="558">
        <f t="shared" si="353"/>
        <v>7432</v>
      </c>
      <c r="N7434" s="15">
        <f t="shared" si="351"/>
        <v>8.8259006583545685E-2</v>
      </c>
      <c r="O7434" s="165">
        <f t="shared" si="352"/>
        <v>8.8259006583545685E-2</v>
      </c>
      <c r="P7434" s="18"/>
      <c r="Q7434" s="18"/>
      <c r="R7434" s="18"/>
      <c r="S7434" s="18"/>
      <c r="T7434" s="18"/>
      <c r="U7434" s="18"/>
      <c r="V7434" s="18"/>
      <c r="W7434" s="18"/>
      <c r="X7434" s="18"/>
    </row>
    <row r="7435" spans="13:24">
      <c r="M7435" s="558">
        <f t="shared" si="353"/>
        <v>7433</v>
      </c>
      <c r="N7435" s="15">
        <f t="shared" si="351"/>
        <v>8.8207586738961355E-2</v>
      </c>
      <c r="O7435" s="165">
        <f t="shared" si="352"/>
        <v>8.8207586738961355E-2</v>
      </c>
      <c r="P7435" s="18"/>
      <c r="Q7435" s="18"/>
      <c r="R7435" s="18"/>
      <c r="S7435" s="18"/>
      <c r="T7435" s="18"/>
      <c r="U7435" s="18"/>
      <c r="V7435" s="18"/>
      <c r="W7435" s="18"/>
      <c r="X7435" s="18"/>
    </row>
    <row r="7436" spans="13:24">
      <c r="M7436" s="558">
        <f t="shared" si="353"/>
        <v>7434</v>
      </c>
      <c r="N7436" s="15">
        <f t="shared" si="351"/>
        <v>8.8156166957099893E-2</v>
      </c>
      <c r="O7436" s="165">
        <f t="shared" si="352"/>
        <v>8.8156166957099893E-2</v>
      </c>
      <c r="P7436" s="18"/>
      <c r="Q7436" s="18"/>
      <c r="R7436" s="18"/>
      <c r="S7436" s="18"/>
      <c r="T7436" s="18"/>
      <c r="U7436" s="18"/>
      <c r="V7436" s="18"/>
      <c r="W7436" s="18"/>
      <c r="X7436" s="18"/>
    </row>
    <row r="7437" spans="13:24">
      <c r="M7437" s="558">
        <f t="shared" si="353"/>
        <v>7435</v>
      </c>
      <c r="N7437" s="15">
        <f t="shared" si="351"/>
        <v>8.8104747237882558E-2</v>
      </c>
      <c r="O7437" s="165">
        <f t="shared" si="352"/>
        <v>8.8104747237882558E-2</v>
      </c>
      <c r="P7437" s="18"/>
      <c r="Q7437" s="18"/>
      <c r="R7437" s="18"/>
      <c r="S7437" s="18"/>
      <c r="T7437" s="18"/>
      <c r="U7437" s="18"/>
      <c r="V7437" s="18"/>
      <c r="W7437" s="18"/>
      <c r="X7437" s="18"/>
    </row>
    <row r="7438" spans="13:24">
      <c r="M7438" s="558">
        <f t="shared" si="353"/>
        <v>7436</v>
      </c>
      <c r="N7438" s="15">
        <f t="shared" si="351"/>
        <v>8.8053327581230773E-2</v>
      </c>
      <c r="O7438" s="165">
        <f t="shared" si="352"/>
        <v>8.8053327581230773E-2</v>
      </c>
      <c r="P7438" s="18"/>
      <c r="Q7438" s="18"/>
      <c r="R7438" s="18"/>
      <c r="S7438" s="18"/>
      <c r="T7438" s="18"/>
      <c r="U7438" s="18"/>
      <c r="V7438" s="18"/>
      <c r="W7438" s="18"/>
      <c r="X7438" s="18"/>
    </row>
    <row r="7439" spans="13:24">
      <c r="M7439" s="558">
        <f t="shared" si="353"/>
        <v>7437</v>
      </c>
      <c r="N7439" s="15">
        <f t="shared" si="351"/>
        <v>8.8001907987065989E-2</v>
      </c>
      <c r="O7439" s="165">
        <f t="shared" si="352"/>
        <v>8.8001907987065989E-2</v>
      </c>
      <c r="P7439" s="18"/>
      <c r="Q7439" s="18"/>
      <c r="R7439" s="18"/>
      <c r="S7439" s="18"/>
      <c r="T7439" s="18"/>
      <c r="U7439" s="18"/>
      <c r="V7439" s="18"/>
      <c r="W7439" s="18"/>
      <c r="X7439" s="18"/>
    </row>
    <row r="7440" spans="13:24">
      <c r="M7440" s="558">
        <f t="shared" si="353"/>
        <v>7438</v>
      </c>
      <c r="N7440" s="15">
        <f t="shared" si="351"/>
        <v>8.7950488455309797E-2</v>
      </c>
      <c r="O7440" s="165">
        <f t="shared" si="352"/>
        <v>8.7950488455309797E-2</v>
      </c>
      <c r="P7440" s="18"/>
      <c r="Q7440" s="18"/>
      <c r="R7440" s="18"/>
      <c r="S7440" s="18"/>
      <c r="T7440" s="18"/>
      <c r="U7440" s="18"/>
      <c r="V7440" s="18"/>
      <c r="W7440" s="18"/>
      <c r="X7440" s="18"/>
    </row>
    <row r="7441" spans="13:24">
      <c r="M7441" s="558">
        <f t="shared" si="353"/>
        <v>7439</v>
      </c>
      <c r="N7441" s="15">
        <f t="shared" si="351"/>
        <v>8.7899068985883899E-2</v>
      </c>
      <c r="O7441" s="165">
        <f t="shared" si="352"/>
        <v>8.7899068985883899E-2</v>
      </c>
      <c r="P7441" s="18"/>
      <c r="Q7441" s="18"/>
      <c r="R7441" s="18"/>
      <c r="S7441" s="18"/>
      <c r="T7441" s="18"/>
      <c r="U7441" s="18"/>
      <c r="V7441" s="18"/>
      <c r="W7441" s="18"/>
      <c r="X7441" s="18"/>
    </row>
    <row r="7442" spans="13:24">
      <c r="M7442" s="558">
        <f t="shared" si="353"/>
        <v>7440</v>
      </c>
      <c r="N7442" s="15">
        <f t="shared" si="351"/>
        <v>8.784764957871008E-2</v>
      </c>
      <c r="O7442" s="165">
        <f t="shared" si="352"/>
        <v>8.784764957871008E-2</v>
      </c>
      <c r="P7442" s="18"/>
      <c r="Q7442" s="18"/>
      <c r="R7442" s="18"/>
      <c r="S7442" s="18"/>
      <c r="T7442" s="18"/>
      <c r="U7442" s="18"/>
      <c r="V7442" s="18"/>
      <c r="W7442" s="18"/>
      <c r="X7442" s="18"/>
    </row>
    <row r="7443" spans="13:24">
      <c r="M7443" s="558">
        <f t="shared" si="353"/>
        <v>7441</v>
      </c>
      <c r="N7443" s="15">
        <f t="shared" si="351"/>
        <v>8.7796230233710193E-2</v>
      </c>
      <c r="O7443" s="165">
        <f t="shared" si="352"/>
        <v>8.7796230233710193E-2</v>
      </c>
      <c r="P7443" s="18"/>
      <c r="Q7443" s="18"/>
      <c r="R7443" s="18"/>
      <c r="S7443" s="18"/>
      <c r="T7443" s="18"/>
      <c r="U7443" s="18"/>
      <c r="V7443" s="18"/>
      <c r="W7443" s="18"/>
      <c r="X7443" s="18"/>
    </row>
    <row r="7444" spans="13:24">
      <c r="M7444" s="558">
        <f t="shared" si="353"/>
        <v>7442</v>
      </c>
      <c r="N7444" s="15">
        <f t="shared" si="351"/>
        <v>8.7744810950806218E-2</v>
      </c>
      <c r="O7444" s="165">
        <f t="shared" si="352"/>
        <v>8.7744810950806218E-2</v>
      </c>
      <c r="P7444" s="18"/>
      <c r="Q7444" s="18"/>
      <c r="R7444" s="18"/>
      <c r="S7444" s="18"/>
      <c r="T7444" s="18"/>
      <c r="U7444" s="18"/>
      <c r="V7444" s="18"/>
      <c r="W7444" s="18"/>
      <c r="X7444" s="18"/>
    </row>
    <row r="7445" spans="13:24">
      <c r="M7445" s="558">
        <f t="shared" si="353"/>
        <v>7443</v>
      </c>
      <c r="N7445" s="15">
        <f t="shared" si="351"/>
        <v>8.7693391729920245E-2</v>
      </c>
      <c r="O7445" s="165">
        <f t="shared" si="352"/>
        <v>8.7693391729920245E-2</v>
      </c>
      <c r="P7445" s="18"/>
      <c r="Q7445" s="18"/>
      <c r="R7445" s="18"/>
      <c r="S7445" s="18"/>
      <c r="T7445" s="18"/>
      <c r="U7445" s="18"/>
      <c r="V7445" s="18"/>
      <c r="W7445" s="18"/>
      <c r="X7445" s="18"/>
    </row>
    <row r="7446" spans="13:24">
      <c r="M7446" s="558">
        <f t="shared" si="353"/>
        <v>7444</v>
      </c>
      <c r="N7446" s="15">
        <f t="shared" si="351"/>
        <v>8.7641972570974433E-2</v>
      </c>
      <c r="O7446" s="165">
        <f t="shared" si="352"/>
        <v>8.7641972570974433E-2</v>
      </c>
      <c r="P7446" s="18"/>
      <c r="Q7446" s="18"/>
      <c r="R7446" s="18"/>
      <c r="S7446" s="18"/>
      <c r="T7446" s="18"/>
      <c r="U7446" s="18"/>
      <c r="V7446" s="18"/>
      <c r="W7446" s="18"/>
      <c r="X7446" s="18"/>
    </row>
    <row r="7447" spans="13:24">
      <c r="M7447" s="558">
        <f t="shared" si="353"/>
        <v>7445</v>
      </c>
      <c r="N7447" s="15">
        <f t="shared" si="351"/>
        <v>8.7590553473891067E-2</v>
      </c>
      <c r="O7447" s="165">
        <f t="shared" si="352"/>
        <v>8.7590553473891067E-2</v>
      </c>
      <c r="P7447" s="18"/>
      <c r="Q7447" s="18"/>
      <c r="R7447" s="18"/>
      <c r="S7447" s="18"/>
      <c r="T7447" s="18"/>
      <c r="U7447" s="18"/>
      <c r="V7447" s="18"/>
      <c r="W7447" s="18"/>
      <c r="X7447" s="18"/>
    </row>
    <row r="7448" spans="13:24">
      <c r="M7448" s="558">
        <f t="shared" si="353"/>
        <v>7446</v>
      </c>
      <c r="N7448" s="15">
        <f t="shared" si="351"/>
        <v>8.7539134438592486E-2</v>
      </c>
      <c r="O7448" s="165">
        <f t="shared" si="352"/>
        <v>8.7539134438592486E-2</v>
      </c>
      <c r="P7448" s="18"/>
      <c r="Q7448" s="18"/>
      <c r="R7448" s="18"/>
      <c r="S7448" s="18"/>
      <c r="T7448" s="18"/>
      <c r="U7448" s="18"/>
      <c r="V7448" s="18"/>
      <c r="W7448" s="18"/>
      <c r="X7448" s="18"/>
    </row>
    <row r="7449" spans="13:24">
      <c r="M7449" s="558">
        <f t="shared" si="353"/>
        <v>7447</v>
      </c>
      <c r="N7449" s="15">
        <f t="shared" si="351"/>
        <v>8.7487715465001184E-2</v>
      </c>
      <c r="O7449" s="165">
        <f t="shared" si="352"/>
        <v>8.7487715465001184E-2</v>
      </c>
      <c r="P7449" s="18"/>
      <c r="Q7449" s="18"/>
      <c r="R7449" s="18"/>
      <c r="S7449" s="18"/>
      <c r="T7449" s="18"/>
      <c r="U7449" s="18"/>
      <c r="V7449" s="18"/>
      <c r="W7449" s="18"/>
      <c r="X7449" s="18"/>
    </row>
    <row r="7450" spans="13:24">
      <c r="M7450" s="558">
        <f t="shared" si="353"/>
        <v>7448</v>
      </c>
      <c r="N7450" s="15">
        <f t="shared" si="351"/>
        <v>8.7436296553039722E-2</v>
      </c>
      <c r="O7450" s="165">
        <f t="shared" si="352"/>
        <v>8.7436296553039722E-2</v>
      </c>
      <c r="P7450" s="18"/>
      <c r="Q7450" s="18"/>
      <c r="R7450" s="18"/>
      <c r="S7450" s="18"/>
      <c r="T7450" s="18"/>
      <c r="U7450" s="18"/>
      <c r="V7450" s="18"/>
      <c r="W7450" s="18"/>
      <c r="X7450" s="18"/>
    </row>
    <row r="7451" spans="13:24">
      <c r="M7451" s="558">
        <f t="shared" si="353"/>
        <v>7449</v>
      </c>
      <c r="N7451" s="15">
        <f t="shared" si="351"/>
        <v>8.7384877702630731E-2</v>
      </c>
      <c r="O7451" s="165">
        <f t="shared" si="352"/>
        <v>8.7384877702630731E-2</v>
      </c>
      <c r="P7451" s="18"/>
      <c r="Q7451" s="18"/>
      <c r="R7451" s="18"/>
      <c r="S7451" s="18"/>
      <c r="T7451" s="18"/>
      <c r="U7451" s="18"/>
      <c r="V7451" s="18"/>
      <c r="W7451" s="18"/>
      <c r="X7451" s="18"/>
    </row>
    <row r="7452" spans="13:24">
      <c r="M7452" s="558">
        <f t="shared" si="353"/>
        <v>7450</v>
      </c>
      <c r="N7452" s="15">
        <f t="shared" si="351"/>
        <v>8.733345891369701E-2</v>
      </c>
      <c r="O7452" s="165">
        <f t="shared" si="352"/>
        <v>8.733345891369701E-2</v>
      </c>
      <c r="P7452" s="18"/>
      <c r="Q7452" s="18"/>
      <c r="R7452" s="18"/>
      <c r="S7452" s="18"/>
      <c r="T7452" s="18"/>
      <c r="U7452" s="18"/>
      <c r="V7452" s="18"/>
      <c r="W7452" s="18"/>
      <c r="X7452" s="18"/>
    </row>
    <row r="7453" spans="13:24">
      <c r="M7453" s="558">
        <f t="shared" si="353"/>
        <v>7451</v>
      </c>
      <c r="N7453" s="15">
        <f t="shared" si="351"/>
        <v>8.7282040186161369E-2</v>
      </c>
      <c r="O7453" s="165">
        <f t="shared" si="352"/>
        <v>8.7282040186161369E-2</v>
      </c>
      <c r="P7453" s="18"/>
      <c r="Q7453" s="18"/>
      <c r="R7453" s="18"/>
      <c r="S7453" s="18"/>
      <c r="T7453" s="18"/>
      <c r="U7453" s="18"/>
      <c r="V7453" s="18"/>
      <c r="W7453" s="18"/>
      <c r="X7453" s="18"/>
    </row>
    <row r="7454" spans="13:24">
      <c r="M7454" s="558">
        <f t="shared" si="353"/>
        <v>7452</v>
      </c>
      <c r="N7454" s="15">
        <f t="shared" si="351"/>
        <v>8.7230621519946788E-2</v>
      </c>
      <c r="O7454" s="165">
        <f t="shared" si="352"/>
        <v>8.7230621519946788E-2</v>
      </c>
      <c r="P7454" s="18"/>
      <c r="Q7454" s="18"/>
      <c r="R7454" s="18"/>
      <c r="S7454" s="18"/>
      <c r="T7454" s="18"/>
      <c r="U7454" s="18"/>
      <c r="V7454" s="18"/>
      <c r="W7454" s="18"/>
      <c r="X7454" s="18"/>
    </row>
    <row r="7455" spans="13:24">
      <c r="M7455" s="558">
        <f t="shared" si="353"/>
        <v>7453</v>
      </c>
      <c r="N7455" s="15">
        <f t="shared" si="351"/>
        <v>8.71792029149763E-2</v>
      </c>
      <c r="O7455" s="165">
        <f t="shared" si="352"/>
        <v>8.71792029149763E-2</v>
      </c>
      <c r="P7455" s="18"/>
      <c r="Q7455" s="18"/>
      <c r="R7455" s="18"/>
      <c r="S7455" s="18"/>
      <c r="T7455" s="18"/>
      <c r="U7455" s="18"/>
      <c r="V7455" s="18"/>
      <c r="W7455" s="18"/>
      <c r="X7455" s="18"/>
    </row>
    <row r="7456" spans="13:24">
      <c r="M7456" s="558">
        <f t="shared" si="353"/>
        <v>7454</v>
      </c>
      <c r="N7456" s="15">
        <f t="shared" si="351"/>
        <v>8.712778437117305E-2</v>
      </c>
      <c r="O7456" s="165">
        <f t="shared" si="352"/>
        <v>8.712778437117305E-2</v>
      </c>
      <c r="P7456" s="18"/>
      <c r="Q7456" s="18"/>
      <c r="R7456" s="18"/>
      <c r="S7456" s="18"/>
      <c r="T7456" s="18"/>
      <c r="U7456" s="18"/>
      <c r="V7456" s="18"/>
      <c r="W7456" s="18"/>
      <c r="X7456" s="18"/>
    </row>
    <row r="7457" spans="13:24">
      <c r="M7457" s="558">
        <f t="shared" si="353"/>
        <v>7455</v>
      </c>
      <c r="N7457" s="15">
        <f t="shared" si="351"/>
        <v>8.707636588846028E-2</v>
      </c>
      <c r="O7457" s="165">
        <f t="shared" si="352"/>
        <v>8.707636588846028E-2</v>
      </c>
      <c r="P7457" s="18"/>
      <c r="Q7457" s="18"/>
      <c r="R7457" s="18"/>
      <c r="S7457" s="18"/>
      <c r="T7457" s="18"/>
      <c r="U7457" s="18"/>
      <c r="V7457" s="18"/>
      <c r="W7457" s="18"/>
      <c r="X7457" s="18"/>
    </row>
    <row r="7458" spans="13:24">
      <c r="M7458" s="558">
        <f t="shared" si="353"/>
        <v>7456</v>
      </c>
      <c r="N7458" s="15">
        <f t="shared" si="351"/>
        <v>8.7024947466761343E-2</v>
      </c>
      <c r="O7458" s="165">
        <f t="shared" si="352"/>
        <v>8.7024947466761343E-2</v>
      </c>
      <c r="P7458" s="18"/>
      <c r="Q7458" s="18"/>
      <c r="R7458" s="18"/>
      <c r="S7458" s="18"/>
      <c r="T7458" s="18"/>
      <c r="U7458" s="18"/>
      <c r="V7458" s="18"/>
      <c r="W7458" s="18"/>
      <c r="X7458" s="18"/>
    </row>
    <row r="7459" spans="13:24">
      <c r="M7459" s="558">
        <f t="shared" si="353"/>
        <v>7457</v>
      </c>
      <c r="N7459" s="15">
        <f t="shared" si="351"/>
        <v>8.6973529105999647E-2</v>
      </c>
      <c r="O7459" s="165">
        <f t="shared" si="352"/>
        <v>8.6973529105999647E-2</v>
      </c>
      <c r="P7459" s="18"/>
      <c r="Q7459" s="18"/>
      <c r="R7459" s="18"/>
      <c r="S7459" s="18"/>
      <c r="T7459" s="18"/>
      <c r="U7459" s="18"/>
      <c r="V7459" s="18"/>
      <c r="W7459" s="18"/>
      <c r="X7459" s="18"/>
    </row>
    <row r="7460" spans="13:24">
      <c r="M7460" s="558">
        <f t="shared" si="353"/>
        <v>7458</v>
      </c>
      <c r="N7460" s="15">
        <f t="shared" si="351"/>
        <v>8.6922110806098726E-2</v>
      </c>
      <c r="O7460" s="165">
        <f t="shared" si="352"/>
        <v>8.6922110806098726E-2</v>
      </c>
      <c r="P7460" s="18"/>
      <c r="Q7460" s="18"/>
      <c r="R7460" s="18"/>
      <c r="S7460" s="18"/>
      <c r="T7460" s="18"/>
      <c r="U7460" s="18"/>
      <c r="V7460" s="18"/>
      <c r="W7460" s="18"/>
      <c r="X7460" s="18"/>
    </row>
    <row r="7461" spans="13:24">
      <c r="M7461" s="558">
        <f t="shared" si="353"/>
        <v>7459</v>
      </c>
      <c r="N7461" s="15">
        <f t="shared" si="351"/>
        <v>8.6870692566982224E-2</v>
      </c>
      <c r="O7461" s="165">
        <f t="shared" si="352"/>
        <v>8.6870692566982224E-2</v>
      </c>
      <c r="P7461" s="18"/>
      <c r="Q7461" s="18"/>
      <c r="R7461" s="18"/>
      <c r="S7461" s="18"/>
      <c r="T7461" s="18"/>
      <c r="U7461" s="18"/>
      <c r="V7461" s="18"/>
      <c r="W7461" s="18"/>
      <c r="X7461" s="18"/>
    </row>
    <row r="7462" spans="13:24">
      <c r="M7462" s="558">
        <f t="shared" si="353"/>
        <v>7460</v>
      </c>
      <c r="N7462" s="15">
        <f t="shared" si="351"/>
        <v>8.6819274388573842E-2</v>
      </c>
      <c r="O7462" s="165">
        <f t="shared" si="352"/>
        <v>8.6819274388573842E-2</v>
      </c>
      <c r="P7462" s="18"/>
      <c r="Q7462" s="18"/>
      <c r="R7462" s="18"/>
      <c r="S7462" s="18"/>
      <c r="T7462" s="18"/>
      <c r="U7462" s="18"/>
      <c r="V7462" s="18"/>
      <c r="W7462" s="18"/>
      <c r="X7462" s="18"/>
    </row>
    <row r="7463" spans="13:24">
      <c r="M7463" s="558">
        <f t="shared" si="353"/>
        <v>7461</v>
      </c>
      <c r="N7463" s="15">
        <f t="shared" si="351"/>
        <v>8.6767856270797389E-2</v>
      </c>
      <c r="O7463" s="165">
        <f t="shared" si="352"/>
        <v>8.6767856270797389E-2</v>
      </c>
      <c r="P7463" s="18"/>
      <c r="Q7463" s="18"/>
      <c r="R7463" s="18"/>
      <c r="S7463" s="18"/>
      <c r="T7463" s="18"/>
      <c r="U7463" s="18"/>
      <c r="V7463" s="18"/>
      <c r="W7463" s="18"/>
      <c r="X7463" s="18"/>
    </row>
    <row r="7464" spans="13:24">
      <c r="M7464" s="558">
        <f t="shared" si="353"/>
        <v>7462</v>
      </c>
      <c r="N7464" s="15">
        <f t="shared" si="351"/>
        <v>8.6716438213576788E-2</v>
      </c>
      <c r="O7464" s="165">
        <f t="shared" si="352"/>
        <v>8.6716438213576788E-2</v>
      </c>
      <c r="P7464" s="18"/>
      <c r="Q7464" s="18"/>
      <c r="R7464" s="18"/>
      <c r="S7464" s="18"/>
      <c r="T7464" s="18"/>
      <c r="U7464" s="18"/>
      <c r="V7464" s="18"/>
      <c r="W7464" s="18"/>
      <c r="X7464" s="18"/>
    </row>
    <row r="7465" spans="13:24">
      <c r="M7465" s="558">
        <f t="shared" si="353"/>
        <v>7463</v>
      </c>
      <c r="N7465" s="15">
        <f t="shared" si="351"/>
        <v>8.6665020216836058E-2</v>
      </c>
      <c r="O7465" s="165">
        <f t="shared" si="352"/>
        <v>8.6665020216836058E-2</v>
      </c>
      <c r="P7465" s="18"/>
      <c r="Q7465" s="18"/>
      <c r="R7465" s="18"/>
      <c r="S7465" s="18"/>
      <c r="T7465" s="18"/>
      <c r="U7465" s="18"/>
      <c r="V7465" s="18"/>
      <c r="W7465" s="18"/>
      <c r="X7465" s="18"/>
    </row>
    <row r="7466" spans="13:24">
      <c r="M7466" s="558">
        <f t="shared" si="353"/>
        <v>7464</v>
      </c>
      <c r="N7466" s="15">
        <f t="shared" si="351"/>
        <v>8.6613602280499288E-2</v>
      </c>
      <c r="O7466" s="165">
        <f t="shared" si="352"/>
        <v>8.6613602280499288E-2</v>
      </c>
      <c r="P7466" s="18"/>
      <c r="Q7466" s="18"/>
      <c r="R7466" s="18"/>
      <c r="S7466" s="18"/>
      <c r="T7466" s="18"/>
      <c r="U7466" s="18"/>
      <c r="V7466" s="18"/>
      <c r="W7466" s="18"/>
      <c r="X7466" s="18"/>
    </row>
    <row r="7467" spans="13:24">
      <c r="M7467" s="558">
        <f t="shared" si="353"/>
        <v>7465</v>
      </c>
      <c r="N7467" s="15">
        <f t="shared" si="351"/>
        <v>8.6562184404490664E-2</v>
      </c>
      <c r="O7467" s="165">
        <f t="shared" si="352"/>
        <v>8.6562184404490664E-2</v>
      </c>
      <c r="P7467" s="18"/>
      <c r="Q7467" s="18"/>
      <c r="R7467" s="18"/>
      <c r="S7467" s="18"/>
      <c r="T7467" s="18"/>
      <c r="U7467" s="18"/>
      <c r="V7467" s="18"/>
      <c r="W7467" s="18"/>
      <c r="X7467" s="18"/>
    </row>
    <row r="7468" spans="13:24">
      <c r="M7468" s="558">
        <f t="shared" si="353"/>
        <v>7466</v>
      </c>
      <c r="N7468" s="15">
        <f t="shared" si="351"/>
        <v>8.6510766588734508E-2</v>
      </c>
      <c r="O7468" s="165">
        <f t="shared" si="352"/>
        <v>8.6510766588734508E-2</v>
      </c>
      <c r="P7468" s="18"/>
      <c r="Q7468" s="18"/>
      <c r="R7468" s="18"/>
      <c r="S7468" s="18"/>
      <c r="T7468" s="18"/>
      <c r="U7468" s="18"/>
      <c r="V7468" s="18"/>
      <c r="W7468" s="18"/>
      <c r="X7468" s="18"/>
    </row>
    <row r="7469" spans="13:24">
      <c r="M7469" s="558">
        <f t="shared" si="353"/>
        <v>7467</v>
      </c>
      <c r="N7469" s="15">
        <f t="shared" si="351"/>
        <v>8.6459348833155189E-2</v>
      </c>
      <c r="O7469" s="165">
        <f t="shared" si="352"/>
        <v>8.6459348833155189E-2</v>
      </c>
      <c r="P7469" s="18"/>
      <c r="Q7469" s="18"/>
      <c r="R7469" s="18"/>
      <c r="S7469" s="18"/>
      <c r="T7469" s="18"/>
      <c r="U7469" s="18"/>
      <c r="V7469" s="18"/>
      <c r="W7469" s="18"/>
      <c r="X7469" s="18"/>
    </row>
    <row r="7470" spans="13:24">
      <c r="M7470" s="558">
        <f t="shared" si="353"/>
        <v>7468</v>
      </c>
      <c r="N7470" s="15">
        <f t="shared" si="351"/>
        <v>8.6407931137677196E-2</v>
      </c>
      <c r="O7470" s="165">
        <f t="shared" si="352"/>
        <v>8.6407931137677196E-2</v>
      </c>
      <c r="P7470" s="18"/>
      <c r="Q7470" s="18"/>
      <c r="R7470" s="18"/>
      <c r="S7470" s="18"/>
      <c r="T7470" s="18"/>
      <c r="U7470" s="18"/>
      <c r="V7470" s="18"/>
      <c r="W7470" s="18"/>
      <c r="X7470" s="18"/>
    </row>
    <row r="7471" spans="13:24">
      <c r="M7471" s="558">
        <f t="shared" si="353"/>
        <v>7469</v>
      </c>
      <c r="N7471" s="15">
        <f t="shared" si="351"/>
        <v>8.6356513502225077E-2</v>
      </c>
      <c r="O7471" s="165">
        <f t="shared" si="352"/>
        <v>8.6356513502225077E-2</v>
      </c>
      <c r="P7471" s="18"/>
      <c r="Q7471" s="18"/>
      <c r="R7471" s="18"/>
      <c r="S7471" s="18"/>
      <c r="T7471" s="18"/>
      <c r="U7471" s="18"/>
      <c r="V7471" s="18"/>
      <c r="W7471" s="18"/>
      <c r="X7471" s="18"/>
    </row>
    <row r="7472" spans="13:24">
      <c r="M7472" s="558">
        <f t="shared" si="353"/>
        <v>7470</v>
      </c>
      <c r="N7472" s="15">
        <f t="shared" si="351"/>
        <v>8.6305095926723557E-2</v>
      </c>
      <c r="O7472" s="165">
        <f t="shared" si="352"/>
        <v>8.6305095926723557E-2</v>
      </c>
      <c r="P7472" s="18"/>
      <c r="Q7472" s="18"/>
      <c r="R7472" s="18"/>
      <c r="S7472" s="18"/>
      <c r="T7472" s="18"/>
      <c r="U7472" s="18"/>
      <c r="V7472" s="18"/>
      <c r="W7472" s="18"/>
      <c r="X7472" s="18"/>
    </row>
    <row r="7473" spans="13:24">
      <c r="M7473" s="558">
        <f t="shared" si="353"/>
        <v>7471</v>
      </c>
      <c r="N7473" s="15">
        <f t="shared" si="351"/>
        <v>8.6253678411097379E-2</v>
      </c>
      <c r="O7473" s="165">
        <f t="shared" si="352"/>
        <v>8.6253678411097379E-2</v>
      </c>
      <c r="P7473" s="18"/>
      <c r="Q7473" s="18"/>
      <c r="R7473" s="18"/>
      <c r="S7473" s="18"/>
      <c r="T7473" s="18"/>
      <c r="U7473" s="18"/>
      <c r="V7473" s="18"/>
      <c r="W7473" s="18"/>
      <c r="X7473" s="18"/>
    </row>
    <row r="7474" spans="13:24">
      <c r="M7474" s="558">
        <f t="shared" si="353"/>
        <v>7472</v>
      </c>
      <c r="N7474" s="15">
        <f t="shared" si="351"/>
        <v>8.6202260955271406E-2</v>
      </c>
      <c r="O7474" s="165">
        <f t="shared" si="352"/>
        <v>8.6202260955271406E-2</v>
      </c>
      <c r="P7474" s="18"/>
      <c r="Q7474" s="18"/>
      <c r="R7474" s="18"/>
      <c r="S7474" s="18"/>
      <c r="T7474" s="18"/>
      <c r="U7474" s="18"/>
      <c r="V7474" s="18"/>
      <c r="W7474" s="18"/>
      <c r="X7474" s="18"/>
    </row>
    <row r="7475" spans="13:24">
      <c r="M7475" s="558">
        <f t="shared" si="353"/>
        <v>7473</v>
      </c>
      <c r="N7475" s="15">
        <f t="shared" si="351"/>
        <v>8.6150843559170576E-2</v>
      </c>
      <c r="O7475" s="165">
        <f t="shared" si="352"/>
        <v>8.6150843559170576E-2</v>
      </c>
      <c r="P7475" s="18"/>
      <c r="Q7475" s="18"/>
      <c r="R7475" s="18"/>
      <c r="S7475" s="18"/>
      <c r="T7475" s="18"/>
      <c r="U7475" s="18"/>
      <c r="V7475" s="18"/>
      <c r="W7475" s="18"/>
      <c r="X7475" s="18"/>
    </row>
    <row r="7476" spans="13:24">
      <c r="M7476" s="558">
        <f t="shared" si="353"/>
        <v>7474</v>
      </c>
      <c r="N7476" s="15">
        <f t="shared" si="351"/>
        <v>8.609942622271996E-2</v>
      </c>
      <c r="O7476" s="165">
        <f t="shared" si="352"/>
        <v>8.609942622271996E-2</v>
      </c>
      <c r="P7476" s="18"/>
      <c r="Q7476" s="18"/>
      <c r="R7476" s="18"/>
      <c r="S7476" s="18"/>
      <c r="T7476" s="18"/>
      <c r="U7476" s="18"/>
      <c r="V7476" s="18"/>
      <c r="W7476" s="18"/>
      <c r="X7476" s="18"/>
    </row>
    <row r="7477" spans="13:24">
      <c r="M7477" s="558">
        <f t="shared" si="353"/>
        <v>7475</v>
      </c>
      <c r="N7477" s="15">
        <f t="shared" si="351"/>
        <v>8.6048008945844703E-2</v>
      </c>
      <c r="O7477" s="165">
        <f t="shared" si="352"/>
        <v>8.6048008945844703E-2</v>
      </c>
      <c r="P7477" s="18"/>
      <c r="Q7477" s="18"/>
      <c r="R7477" s="18"/>
      <c r="S7477" s="18"/>
      <c r="T7477" s="18"/>
      <c r="U7477" s="18"/>
      <c r="V7477" s="18"/>
      <c r="W7477" s="18"/>
      <c r="X7477" s="18"/>
    </row>
    <row r="7478" spans="13:24">
      <c r="M7478" s="558">
        <f t="shared" si="353"/>
        <v>7476</v>
      </c>
      <c r="N7478" s="15">
        <f t="shared" si="351"/>
        <v>8.5996591728470018E-2</v>
      </c>
      <c r="O7478" s="165">
        <f t="shared" si="352"/>
        <v>8.5996591728470018E-2</v>
      </c>
      <c r="P7478" s="18"/>
      <c r="Q7478" s="18"/>
      <c r="R7478" s="18"/>
      <c r="S7478" s="18"/>
      <c r="T7478" s="18"/>
      <c r="U7478" s="18"/>
      <c r="V7478" s="18"/>
      <c r="W7478" s="18"/>
      <c r="X7478" s="18"/>
    </row>
    <row r="7479" spans="13:24">
      <c r="M7479" s="558">
        <f t="shared" si="353"/>
        <v>7477</v>
      </c>
      <c r="N7479" s="15">
        <f t="shared" si="351"/>
        <v>8.5945174570521268E-2</v>
      </c>
      <c r="O7479" s="165">
        <f t="shared" si="352"/>
        <v>8.5945174570521268E-2</v>
      </c>
      <c r="P7479" s="18"/>
      <c r="Q7479" s="18"/>
      <c r="R7479" s="18"/>
      <c r="S7479" s="18"/>
      <c r="T7479" s="18"/>
      <c r="U7479" s="18"/>
      <c r="V7479" s="18"/>
      <c r="W7479" s="18"/>
      <c r="X7479" s="18"/>
    </row>
    <row r="7480" spans="13:24">
      <c r="M7480" s="558">
        <f t="shared" si="353"/>
        <v>7478</v>
      </c>
      <c r="N7480" s="15">
        <f t="shared" si="351"/>
        <v>8.5893757471923862E-2</v>
      </c>
      <c r="O7480" s="165">
        <f t="shared" si="352"/>
        <v>8.5893757471923862E-2</v>
      </c>
      <c r="P7480" s="18"/>
      <c r="Q7480" s="18"/>
      <c r="R7480" s="18"/>
      <c r="S7480" s="18"/>
      <c r="T7480" s="18"/>
      <c r="U7480" s="18"/>
      <c r="V7480" s="18"/>
      <c r="W7480" s="18"/>
      <c r="X7480" s="18"/>
    </row>
    <row r="7481" spans="13:24">
      <c r="M7481" s="558">
        <f t="shared" si="353"/>
        <v>7479</v>
      </c>
      <c r="N7481" s="15">
        <f t="shared" si="351"/>
        <v>8.5842340432603303E-2</v>
      </c>
      <c r="O7481" s="165">
        <f t="shared" si="352"/>
        <v>8.5842340432603303E-2</v>
      </c>
      <c r="P7481" s="18"/>
      <c r="Q7481" s="18"/>
      <c r="R7481" s="18"/>
      <c r="S7481" s="18"/>
      <c r="T7481" s="18"/>
      <c r="U7481" s="18"/>
      <c r="V7481" s="18"/>
      <c r="W7481" s="18"/>
      <c r="X7481" s="18"/>
    </row>
    <row r="7482" spans="13:24">
      <c r="M7482" s="558">
        <f t="shared" si="353"/>
        <v>7480</v>
      </c>
      <c r="N7482" s="15">
        <f t="shared" si="351"/>
        <v>8.5790923452485235E-2</v>
      </c>
      <c r="O7482" s="165">
        <f t="shared" si="352"/>
        <v>8.5790923452485235E-2</v>
      </c>
      <c r="P7482" s="18"/>
      <c r="Q7482" s="18"/>
      <c r="R7482" s="18"/>
      <c r="S7482" s="18"/>
      <c r="T7482" s="18"/>
      <c r="U7482" s="18"/>
      <c r="V7482" s="18"/>
      <c r="W7482" s="18"/>
      <c r="X7482" s="18"/>
    </row>
    <row r="7483" spans="13:24">
      <c r="M7483" s="558">
        <f t="shared" si="353"/>
        <v>7481</v>
      </c>
      <c r="N7483" s="15">
        <f t="shared" si="351"/>
        <v>8.5739506531495355E-2</v>
      </c>
      <c r="O7483" s="165">
        <f t="shared" si="352"/>
        <v>8.5739506531495355E-2</v>
      </c>
      <c r="P7483" s="18"/>
      <c r="Q7483" s="18"/>
      <c r="R7483" s="18"/>
      <c r="S7483" s="18"/>
      <c r="T7483" s="18"/>
      <c r="U7483" s="18"/>
      <c r="V7483" s="18"/>
      <c r="W7483" s="18"/>
      <c r="X7483" s="18"/>
    </row>
    <row r="7484" spans="13:24">
      <c r="M7484" s="558">
        <f t="shared" si="353"/>
        <v>7482</v>
      </c>
      <c r="N7484" s="15">
        <f t="shared" si="351"/>
        <v>8.5688089669559445E-2</v>
      </c>
      <c r="O7484" s="165">
        <f t="shared" si="352"/>
        <v>8.5688089669559445E-2</v>
      </c>
      <c r="P7484" s="18"/>
      <c r="Q7484" s="18"/>
      <c r="R7484" s="18"/>
      <c r="S7484" s="18"/>
      <c r="T7484" s="18"/>
      <c r="U7484" s="18"/>
      <c r="V7484" s="18"/>
      <c r="W7484" s="18"/>
      <c r="X7484" s="18"/>
    </row>
    <row r="7485" spans="13:24">
      <c r="M7485" s="558">
        <f t="shared" si="353"/>
        <v>7483</v>
      </c>
      <c r="N7485" s="15">
        <f t="shared" si="351"/>
        <v>8.5636672866603411E-2</v>
      </c>
      <c r="O7485" s="165">
        <f t="shared" si="352"/>
        <v>8.5636672866603411E-2</v>
      </c>
      <c r="P7485" s="18"/>
      <c r="Q7485" s="18"/>
      <c r="R7485" s="18"/>
      <c r="S7485" s="18"/>
      <c r="T7485" s="18"/>
      <c r="U7485" s="18"/>
      <c r="V7485" s="18"/>
      <c r="W7485" s="18"/>
      <c r="X7485" s="18"/>
    </row>
    <row r="7486" spans="13:24">
      <c r="M7486" s="558">
        <f t="shared" si="353"/>
        <v>7484</v>
      </c>
      <c r="N7486" s="15">
        <f t="shared" si="351"/>
        <v>8.5585256122553216E-2</v>
      </c>
      <c r="O7486" s="165">
        <f t="shared" si="352"/>
        <v>8.5585256122553216E-2</v>
      </c>
      <c r="P7486" s="18"/>
      <c r="Q7486" s="18"/>
      <c r="R7486" s="18"/>
      <c r="S7486" s="18"/>
      <c r="T7486" s="18"/>
      <c r="U7486" s="18"/>
      <c r="V7486" s="18"/>
      <c r="W7486" s="18"/>
      <c r="X7486" s="18"/>
    </row>
    <row r="7487" spans="13:24">
      <c r="M7487" s="558">
        <f t="shared" si="353"/>
        <v>7485</v>
      </c>
      <c r="N7487" s="15">
        <f t="shared" si="351"/>
        <v>8.5533839437334988E-2</v>
      </c>
      <c r="O7487" s="165">
        <f t="shared" si="352"/>
        <v>8.5533839437334988E-2</v>
      </c>
      <c r="P7487" s="18"/>
      <c r="Q7487" s="18"/>
      <c r="R7487" s="18"/>
      <c r="S7487" s="18"/>
      <c r="T7487" s="18"/>
      <c r="U7487" s="18"/>
      <c r="V7487" s="18"/>
      <c r="W7487" s="18"/>
      <c r="X7487" s="18"/>
    </row>
    <row r="7488" spans="13:24">
      <c r="M7488" s="558">
        <f t="shared" si="353"/>
        <v>7486</v>
      </c>
      <c r="N7488" s="15">
        <f t="shared" si="351"/>
        <v>8.5482422810874842E-2</v>
      </c>
      <c r="O7488" s="165">
        <f t="shared" si="352"/>
        <v>8.5482422810874842E-2</v>
      </c>
      <c r="P7488" s="18"/>
      <c r="Q7488" s="18"/>
      <c r="R7488" s="18"/>
      <c r="S7488" s="18"/>
      <c r="T7488" s="18"/>
      <c r="U7488" s="18"/>
      <c r="V7488" s="18"/>
      <c r="W7488" s="18"/>
      <c r="X7488" s="18"/>
    </row>
    <row r="7489" spans="13:24">
      <c r="M7489" s="558">
        <f t="shared" si="353"/>
        <v>7487</v>
      </c>
      <c r="N7489" s="15">
        <f t="shared" si="351"/>
        <v>8.5431006243099086E-2</v>
      </c>
      <c r="O7489" s="165">
        <f t="shared" si="352"/>
        <v>8.5431006243099086E-2</v>
      </c>
      <c r="P7489" s="18"/>
      <c r="Q7489" s="18"/>
      <c r="R7489" s="18"/>
      <c r="S7489" s="18"/>
      <c r="T7489" s="18"/>
      <c r="U7489" s="18"/>
      <c r="V7489" s="18"/>
      <c r="W7489" s="18"/>
      <c r="X7489" s="18"/>
    </row>
    <row r="7490" spans="13:24">
      <c r="M7490" s="558">
        <f t="shared" si="353"/>
        <v>7488</v>
      </c>
      <c r="N7490" s="15">
        <f t="shared" si="351"/>
        <v>8.5379589733934044E-2</v>
      </c>
      <c r="O7490" s="165">
        <f t="shared" si="352"/>
        <v>8.5379589733934044E-2</v>
      </c>
      <c r="P7490" s="18"/>
      <c r="Q7490" s="18"/>
      <c r="R7490" s="18"/>
      <c r="S7490" s="18"/>
      <c r="T7490" s="18"/>
      <c r="U7490" s="18"/>
      <c r="V7490" s="18"/>
      <c r="W7490" s="18"/>
      <c r="X7490" s="18"/>
    </row>
    <row r="7491" spans="13:24">
      <c r="M7491" s="558">
        <f t="shared" si="353"/>
        <v>7489</v>
      </c>
      <c r="N7491" s="15">
        <f t="shared" si="351"/>
        <v>8.5328173283306177E-2</v>
      </c>
      <c r="O7491" s="165">
        <f t="shared" si="352"/>
        <v>8.5328173283306177E-2</v>
      </c>
      <c r="P7491" s="18"/>
      <c r="Q7491" s="18"/>
      <c r="R7491" s="18"/>
      <c r="S7491" s="18"/>
      <c r="T7491" s="18"/>
      <c r="U7491" s="18"/>
      <c r="V7491" s="18"/>
      <c r="W7491" s="18"/>
      <c r="X7491" s="18"/>
    </row>
    <row r="7492" spans="13:24">
      <c r="M7492" s="558">
        <f t="shared" si="353"/>
        <v>7490</v>
      </c>
      <c r="N7492" s="15">
        <f t="shared" ref="N7492:N7555" si="354">IF(M7492&lt;$B$31+1,$B$32+$B$33/$B$31*(8760-M7492)+$B$34*IF(M7492&lt;$B$36-$B$31/(2*$B$35),1,IF(M7492&lt;$B$36+$B$31/(2*$B$35),COS(PI()/2*(M7492-($B$36-$B$31/(2*$B$35)))*$B$35/$B$31)^2,0))+$B$37*EXP((8760-M7492)/8760*$B$38)/EXP($B$38)-(8760-$B$31)*$B$33/$B$31,0)</f>
        <v>8.527675689114203E-2</v>
      </c>
      <c r="O7492" s="165">
        <f t="shared" ref="O7492:O7555" si="355">MIN(N7492,C$24)</f>
        <v>8.527675689114203E-2</v>
      </c>
      <c r="P7492" s="18"/>
      <c r="Q7492" s="18"/>
      <c r="R7492" s="18"/>
      <c r="S7492" s="18"/>
      <c r="T7492" s="18"/>
      <c r="U7492" s="18"/>
      <c r="V7492" s="18"/>
      <c r="W7492" s="18"/>
      <c r="X7492" s="18"/>
    </row>
    <row r="7493" spans="13:24">
      <c r="M7493" s="558">
        <f t="shared" ref="M7493:M7556" si="356">M7492+1</f>
        <v>7491</v>
      </c>
      <c r="N7493" s="15">
        <f t="shared" si="354"/>
        <v>8.5225340557368232E-2</v>
      </c>
      <c r="O7493" s="165">
        <f t="shared" si="355"/>
        <v>8.5225340557368232E-2</v>
      </c>
      <c r="P7493" s="18"/>
      <c r="Q7493" s="18"/>
      <c r="R7493" s="18"/>
      <c r="S7493" s="18"/>
      <c r="T7493" s="18"/>
      <c r="U7493" s="18"/>
      <c r="V7493" s="18"/>
      <c r="W7493" s="18"/>
      <c r="X7493" s="18"/>
    </row>
    <row r="7494" spans="13:24">
      <c r="M7494" s="558">
        <f t="shared" si="356"/>
        <v>7492</v>
      </c>
      <c r="N7494" s="15">
        <f t="shared" si="354"/>
        <v>8.5173924281911492E-2</v>
      </c>
      <c r="O7494" s="165">
        <f t="shared" si="355"/>
        <v>8.5173924281911492E-2</v>
      </c>
      <c r="P7494" s="18"/>
      <c r="Q7494" s="18"/>
      <c r="R7494" s="18"/>
      <c r="S7494" s="18"/>
      <c r="T7494" s="18"/>
      <c r="U7494" s="18"/>
      <c r="V7494" s="18"/>
      <c r="W7494" s="18"/>
      <c r="X7494" s="18"/>
    </row>
    <row r="7495" spans="13:24">
      <c r="M7495" s="558">
        <f t="shared" si="356"/>
        <v>7493</v>
      </c>
      <c r="N7495" s="15">
        <f t="shared" si="354"/>
        <v>8.5122508064698663E-2</v>
      </c>
      <c r="O7495" s="165">
        <f t="shared" si="355"/>
        <v>8.5122508064698663E-2</v>
      </c>
      <c r="P7495" s="18"/>
      <c r="Q7495" s="18"/>
      <c r="R7495" s="18"/>
      <c r="S7495" s="18"/>
      <c r="T7495" s="18"/>
      <c r="U7495" s="18"/>
      <c r="V7495" s="18"/>
      <c r="W7495" s="18"/>
      <c r="X7495" s="18"/>
    </row>
    <row r="7496" spans="13:24">
      <c r="M7496" s="558">
        <f t="shared" si="356"/>
        <v>7494</v>
      </c>
      <c r="N7496" s="15">
        <f t="shared" si="354"/>
        <v>8.5071091905656607E-2</v>
      </c>
      <c r="O7496" s="165">
        <f t="shared" si="355"/>
        <v>8.5071091905656607E-2</v>
      </c>
      <c r="P7496" s="18"/>
      <c r="Q7496" s="18"/>
      <c r="R7496" s="18"/>
      <c r="S7496" s="18"/>
      <c r="T7496" s="18"/>
      <c r="U7496" s="18"/>
      <c r="V7496" s="18"/>
      <c r="W7496" s="18"/>
      <c r="X7496" s="18"/>
    </row>
    <row r="7497" spans="13:24">
      <c r="M7497" s="558">
        <f t="shared" si="356"/>
        <v>7495</v>
      </c>
      <c r="N7497" s="15">
        <f t="shared" si="354"/>
        <v>8.5019675804712369E-2</v>
      </c>
      <c r="O7497" s="165">
        <f t="shared" si="355"/>
        <v>8.5019675804712369E-2</v>
      </c>
      <c r="P7497" s="18"/>
      <c r="Q7497" s="18"/>
      <c r="R7497" s="18"/>
      <c r="S7497" s="18"/>
      <c r="T7497" s="18"/>
      <c r="U7497" s="18"/>
      <c r="V7497" s="18"/>
      <c r="W7497" s="18"/>
      <c r="X7497" s="18"/>
    </row>
    <row r="7498" spans="13:24">
      <c r="M7498" s="558">
        <f t="shared" si="356"/>
        <v>7496</v>
      </c>
      <c r="N7498" s="15">
        <f t="shared" si="354"/>
        <v>8.4968259761793008E-2</v>
      </c>
      <c r="O7498" s="165">
        <f t="shared" si="355"/>
        <v>8.4968259761793008E-2</v>
      </c>
      <c r="P7498" s="18"/>
      <c r="Q7498" s="18"/>
      <c r="R7498" s="18"/>
      <c r="S7498" s="18"/>
      <c r="T7498" s="18"/>
      <c r="U7498" s="18"/>
      <c r="V7498" s="18"/>
      <c r="W7498" s="18"/>
      <c r="X7498" s="18"/>
    </row>
    <row r="7499" spans="13:24">
      <c r="M7499" s="558">
        <f t="shared" si="356"/>
        <v>7497</v>
      </c>
      <c r="N7499" s="15">
        <f t="shared" si="354"/>
        <v>8.4916843776825721E-2</v>
      </c>
      <c r="O7499" s="165">
        <f t="shared" si="355"/>
        <v>8.4916843776825721E-2</v>
      </c>
      <c r="P7499" s="18"/>
      <c r="Q7499" s="18"/>
      <c r="R7499" s="18"/>
      <c r="S7499" s="18"/>
      <c r="T7499" s="18"/>
      <c r="U7499" s="18"/>
      <c r="V7499" s="18"/>
      <c r="W7499" s="18"/>
      <c r="X7499" s="18"/>
    </row>
    <row r="7500" spans="13:24">
      <c r="M7500" s="558">
        <f t="shared" si="356"/>
        <v>7498</v>
      </c>
      <c r="N7500" s="15">
        <f t="shared" si="354"/>
        <v>8.4865427849737787E-2</v>
      </c>
      <c r="O7500" s="165">
        <f t="shared" si="355"/>
        <v>8.4865427849737787E-2</v>
      </c>
      <c r="P7500" s="18"/>
      <c r="Q7500" s="18"/>
      <c r="R7500" s="18"/>
      <c r="S7500" s="18"/>
      <c r="T7500" s="18"/>
      <c r="U7500" s="18"/>
      <c r="V7500" s="18"/>
      <c r="W7500" s="18"/>
      <c r="X7500" s="18"/>
    </row>
    <row r="7501" spans="13:24">
      <c r="M7501" s="558">
        <f t="shared" si="356"/>
        <v>7499</v>
      </c>
      <c r="N7501" s="15">
        <f t="shared" si="354"/>
        <v>8.4814011980456558E-2</v>
      </c>
      <c r="O7501" s="165">
        <f t="shared" si="355"/>
        <v>8.4814011980456558E-2</v>
      </c>
      <c r="P7501" s="18"/>
      <c r="Q7501" s="18"/>
      <c r="R7501" s="18"/>
      <c r="S7501" s="18"/>
      <c r="T7501" s="18"/>
      <c r="U7501" s="18"/>
      <c r="V7501" s="18"/>
      <c r="W7501" s="18"/>
      <c r="X7501" s="18"/>
    </row>
    <row r="7502" spans="13:24">
      <c r="M7502" s="558">
        <f t="shared" si="356"/>
        <v>7500</v>
      </c>
      <c r="N7502" s="15">
        <f t="shared" si="354"/>
        <v>8.4762596168909493E-2</v>
      </c>
      <c r="O7502" s="165">
        <f t="shared" si="355"/>
        <v>8.4762596168909493E-2</v>
      </c>
      <c r="P7502" s="18"/>
      <c r="Q7502" s="18"/>
      <c r="R7502" s="18"/>
      <c r="S7502" s="18"/>
      <c r="T7502" s="18"/>
      <c r="U7502" s="18"/>
      <c r="V7502" s="18"/>
      <c r="W7502" s="18"/>
      <c r="X7502" s="18"/>
    </row>
    <row r="7503" spans="13:24">
      <c r="M7503" s="558">
        <f t="shared" si="356"/>
        <v>7501</v>
      </c>
      <c r="N7503" s="15">
        <f t="shared" si="354"/>
        <v>8.4711180415024165E-2</v>
      </c>
      <c r="O7503" s="165">
        <f t="shared" si="355"/>
        <v>8.4711180415024165E-2</v>
      </c>
      <c r="P7503" s="18"/>
      <c r="Q7503" s="18"/>
      <c r="R7503" s="18"/>
      <c r="S7503" s="18"/>
      <c r="T7503" s="18"/>
      <c r="U7503" s="18"/>
      <c r="V7503" s="18"/>
      <c r="W7503" s="18"/>
      <c r="X7503" s="18"/>
    </row>
    <row r="7504" spans="13:24">
      <c r="M7504" s="558">
        <f t="shared" si="356"/>
        <v>7502</v>
      </c>
      <c r="N7504" s="15">
        <f t="shared" si="354"/>
        <v>8.4659764718728187E-2</v>
      </c>
      <c r="O7504" s="165">
        <f t="shared" si="355"/>
        <v>8.4659764718728187E-2</v>
      </c>
      <c r="P7504" s="18"/>
      <c r="Q7504" s="18"/>
      <c r="R7504" s="18"/>
      <c r="S7504" s="18"/>
      <c r="T7504" s="18"/>
      <c r="U7504" s="18"/>
      <c r="V7504" s="18"/>
      <c r="W7504" s="18"/>
      <c r="X7504" s="18"/>
    </row>
    <row r="7505" spans="13:24">
      <c r="M7505" s="558">
        <f t="shared" si="356"/>
        <v>7503</v>
      </c>
      <c r="N7505" s="15">
        <f t="shared" si="354"/>
        <v>8.4608349079949297E-2</v>
      </c>
      <c r="O7505" s="165">
        <f t="shared" si="355"/>
        <v>8.4608349079949297E-2</v>
      </c>
      <c r="P7505" s="18"/>
      <c r="Q7505" s="18"/>
      <c r="R7505" s="18"/>
      <c r="S7505" s="18"/>
      <c r="T7505" s="18"/>
      <c r="U7505" s="18"/>
      <c r="V7505" s="18"/>
      <c r="W7505" s="18"/>
      <c r="X7505" s="18"/>
    </row>
    <row r="7506" spans="13:24">
      <c r="M7506" s="558">
        <f t="shared" si="356"/>
        <v>7504</v>
      </c>
      <c r="N7506" s="15">
        <f t="shared" si="354"/>
        <v>8.455693349861533E-2</v>
      </c>
      <c r="O7506" s="165">
        <f t="shared" si="355"/>
        <v>8.455693349861533E-2</v>
      </c>
      <c r="P7506" s="18"/>
      <c r="Q7506" s="18"/>
      <c r="R7506" s="18"/>
      <c r="S7506" s="18"/>
      <c r="T7506" s="18"/>
      <c r="U7506" s="18"/>
      <c r="V7506" s="18"/>
      <c r="W7506" s="18"/>
      <c r="X7506" s="18"/>
    </row>
    <row r="7507" spans="13:24">
      <c r="M7507" s="558">
        <f t="shared" si="356"/>
        <v>7505</v>
      </c>
      <c r="N7507" s="15">
        <f t="shared" si="354"/>
        <v>8.4505517974654165E-2</v>
      </c>
      <c r="O7507" s="165">
        <f t="shared" si="355"/>
        <v>8.4505517974654165E-2</v>
      </c>
      <c r="P7507" s="18"/>
      <c r="Q7507" s="18"/>
      <c r="R7507" s="18"/>
      <c r="S7507" s="18"/>
      <c r="T7507" s="18"/>
      <c r="U7507" s="18"/>
      <c r="V7507" s="18"/>
      <c r="W7507" s="18"/>
      <c r="X7507" s="18"/>
    </row>
    <row r="7508" spans="13:24">
      <c r="M7508" s="558">
        <f t="shared" si="356"/>
        <v>7506</v>
      </c>
      <c r="N7508" s="15">
        <f t="shared" si="354"/>
        <v>8.4454102507993831E-2</v>
      </c>
      <c r="O7508" s="165">
        <f t="shared" si="355"/>
        <v>8.4454102507993831E-2</v>
      </c>
      <c r="P7508" s="18"/>
      <c r="Q7508" s="18"/>
      <c r="R7508" s="18"/>
      <c r="S7508" s="18"/>
      <c r="T7508" s="18"/>
      <c r="U7508" s="18"/>
      <c r="V7508" s="18"/>
      <c r="W7508" s="18"/>
      <c r="X7508" s="18"/>
    </row>
    <row r="7509" spans="13:24">
      <c r="M7509" s="558">
        <f t="shared" si="356"/>
        <v>7507</v>
      </c>
      <c r="N7509" s="15">
        <f t="shared" si="354"/>
        <v>8.4402687098562412E-2</v>
      </c>
      <c r="O7509" s="165">
        <f t="shared" si="355"/>
        <v>8.4402687098562412E-2</v>
      </c>
      <c r="P7509" s="18"/>
      <c r="Q7509" s="18"/>
      <c r="R7509" s="18"/>
      <c r="S7509" s="18"/>
      <c r="T7509" s="18"/>
      <c r="U7509" s="18"/>
      <c r="V7509" s="18"/>
      <c r="W7509" s="18"/>
      <c r="X7509" s="18"/>
    </row>
    <row r="7510" spans="13:24">
      <c r="M7510" s="558">
        <f t="shared" si="356"/>
        <v>7508</v>
      </c>
      <c r="N7510" s="15">
        <f t="shared" si="354"/>
        <v>8.4351271746288092E-2</v>
      </c>
      <c r="O7510" s="165">
        <f t="shared" si="355"/>
        <v>8.4351271746288092E-2</v>
      </c>
      <c r="P7510" s="18"/>
      <c r="Q7510" s="18"/>
      <c r="R7510" s="18"/>
      <c r="S7510" s="18"/>
      <c r="T7510" s="18"/>
      <c r="U7510" s="18"/>
      <c r="V7510" s="18"/>
      <c r="W7510" s="18"/>
      <c r="X7510" s="18"/>
    </row>
    <row r="7511" spans="13:24">
      <c r="M7511" s="558">
        <f t="shared" si="356"/>
        <v>7509</v>
      </c>
      <c r="N7511" s="15">
        <f t="shared" si="354"/>
        <v>8.4299856451099137E-2</v>
      </c>
      <c r="O7511" s="165">
        <f t="shared" si="355"/>
        <v>8.4299856451099137E-2</v>
      </c>
      <c r="P7511" s="18"/>
      <c r="Q7511" s="18"/>
      <c r="R7511" s="18"/>
      <c r="S7511" s="18"/>
      <c r="T7511" s="18"/>
      <c r="U7511" s="18"/>
      <c r="V7511" s="18"/>
      <c r="W7511" s="18"/>
      <c r="X7511" s="18"/>
    </row>
    <row r="7512" spans="13:24">
      <c r="M7512" s="558">
        <f t="shared" si="356"/>
        <v>7510</v>
      </c>
      <c r="N7512" s="15">
        <f t="shared" si="354"/>
        <v>8.4248441212923908E-2</v>
      </c>
      <c r="O7512" s="165">
        <f t="shared" si="355"/>
        <v>8.4248441212923908E-2</v>
      </c>
      <c r="P7512" s="18"/>
      <c r="Q7512" s="18"/>
      <c r="R7512" s="18"/>
      <c r="S7512" s="18"/>
      <c r="T7512" s="18"/>
      <c r="U7512" s="18"/>
      <c r="V7512" s="18"/>
      <c r="W7512" s="18"/>
      <c r="X7512" s="18"/>
    </row>
    <row r="7513" spans="13:24">
      <c r="M7513" s="558">
        <f t="shared" si="356"/>
        <v>7511</v>
      </c>
      <c r="N7513" s="15">
        <f t="shared" si="354"/>
        <v>8.4197026031690866E-2</v>
      </c>
      <c r="O7513" s="165">
        <f t="shared" si="355"/>
        <v>8.4197026031690866E-2</v>
      </c>
      <c r="P7513" s="18"/>
      <c r="Q7513" s="18"/>
      <c r="R7513" s="18"/>
      <c r="S7513" s="18"/>
      <c r="T7513" s="18"/>
      <c r="U7513" s="18"/>
      <c r="V7513" s="18"/>
      <c r="W7513" s="18"/>
      <c r="X7513" s="18"/>
    </row>
    <row r="7514" spans="13:24">
      <c r="M7514" s="558">
        <f t="shared" si="356"/>
        <v>7512</v>
      </c>
      <c r="N7514" s="15">
        <f t="shared" si="354"/>
        <v>8.4145610907328555E-2</v>
      </c>
      <c r="O7514" s="165">
        <f t="shared" si="355"/>
        <v>8.4145610907328555E-2</v>
      </c>
      <c r="P7514" s="18"/>
      <c r="Q7514" s="18"/>
      <c r="R7514" s="18"/>
      <c r="S7514" s="18"/>
      <c r="T7514" s="18"/>
      <c r="U7514" s="18"/>
      <c r="V7514" s="18"/>
      <c r="W7514" s="18"/>
      <c r="X7514" s="18"/>
    </row>
    <row r="7515" spans="13:24">
      <c r="M7515" s="558">
        <f t="shared" si="356"/>
        <v>7513</v>
      </c>
      <c r="N7515" s="15">
        <f t="shared" si="354"/>
        <v>8.4094195839765601E-2</v>
      </c>
      <c r="O7515" s="165">
        <f t="shared" si="355"/>
        <v>8.4094195839765601E-2</v>
      </c>
      <c r="P7515" s="18"/>
      <c r="Q7515" s="18"/>
      <c r="R7515" s="18"/>
      <c r="S7515" s="18"/>
      <c r="T7515" s="18"/>
      <c r="U7515" s="18"/>
      <c r="V7515" s="18"/>
      <c r="W7515" s="18"/>
      <c r="X7515" s="18"/>
    </row>
    <row r="7516" spans="13:24">
      <c r="M7516" s="558">
        <f t="shared" si="356"/>
        <v>7514</v>
      </c>
      <c r="N7516" s="15">
        <f t="shared" si="354"/>
        <v>8.4042780828930727E-2</v>
      </c>
      <c r="O7516" s="165">
        <f t="shared" si="355"/>
        <v>8.4042780828930727E-2</v>
      </c>
      <c r="P7516" s="18"/>
      <c r="Q7516" s="18"/>
      <c r="R7516" s="18"/>
      <c r="S7516" s="18"/>
      <c r="T7516" s="18"/>
      <c r="U7516" s="18"/>
      <c r="V7516" s="18"/>
      <c r="W7516" s="18"/>
      <c r="X7516" s="18"/>
    </row>
    <row r="7517" spans="13:24">
      <c r="M7517" s="558">
        <f t="shared" si="356"/>
        <v>7515</v>
      </c>
      <c r="N7517" s="15">
        <f t="shared" si="354"/>
        <v>8.3991365874752727E-2</v>
      </c>
      <c r="O7517" s="165">
        <f t="shared" si="355"/>
        <v>8.3991365874752727E-2</v>
      </c>
      <c r="P7517" s="18"/>
      <c r="Q7517" s="18"/>
      <c r="R7517" s="18"/>
      <c r="S7517" s="18"/>
      <c r="T7517" s="18"/>
      <c r="U7517" s="18"/>
      <c r="V7517" s="18"/>
      <c r="W7517" s="18"/>
      <c r="X7517" s="18"/>
    </row>
    <row r="7518" spans="13:24">
      <c r="M7518" s="558">
        <f t="shared" si="356"/>
        <v>7516</v>
      </c>
      <c r="N7518" s="15">
        <f t="shared" si="354"/>
        <v>8.3939950977160518E-2</v>
      </c>
      <c r="O7518" s="165">
        <f t="shared" si="355"/>
        <v>8.3939950977160518E-2</v>
      </c>
      <c r="P7518" s="18"/>
      <c r="Q7518" s="18"/>
      <c r="R7518" s="18"/>
      <c r="S7518" s="18"/>
      <c r="T7518" s="18"/>
      <c r="U7518" s="18"/>
      <c r="V7518" s="18"/>
      <c r="W7518" s="18"/>
      <c r="X7518" s="18"/>
    </row>
    <row r="7519" spans="13:24">
      <c r="M7519" s="558">
        <f t="shared" si="356"/>
        <v>7517</v>
      </c>
      <c r="N7519" s="15">
        <f t="shared" si="354"/>
        <v>8.3888536136083103E-2</v>
      </c>
      <c r="O7519" s="165">
        <f t="shared" si="355"/>
        <v>8.3888536136083103E-2</v>
      </c>
      <c r="P7519" s="18"/>
      <c r="Q7519" s="18"/>
      <c r="R7519" s="18"/>
      <c r="S7519" s="18"/>
      <c r="T7519" s="18"/>
      <c r="U7519" s="18"/>
      <c r="V7519" s="18"/>
      <c r="W7519" s="18"/>
      <c r="X7519" s="18"/>
    </row>
    <row r="7520" spans="13:24">
      <c r="M7520" s="558">
        <f t="shared" si="356"/>
        <v>7518</v>
      </c>
      <c r="N7520" s="15">
        <f t="shared" si="354"/>
        <v>8.3837121351449551E-2</v>
      </c>
      <c r="O7520" s="165">
        <f t="shared" si="355"/>
        <v>8.3837121351449551E-2</v>
      </c>
      <c r="P7520" s="18"/>
      <c r="Q7520" s="18"/>
      <c r="R7520" s="18"/>
      <c r="S7520" s="18"/>
      <c r="T7520" s="18"/>
      <c r="U7520" s="18"/>
      <c r="V7520" s="18"/>
      <c r="W7520" s="18"/>
      <c r="X7520" s="18"/>
    </row>
    <row r="7521" spans="13:24">
      <c r="M7521" s="558">
        <f t="shared" si="356"/>
        <v>7519</v>
      </c>
      <c r="N7521" s="15">
        <f t="shared" si="354"/>
        <v>8.3785706623189016E-2</v>
      </c>
      <c r="O7521" s="165">
        <f t="shared" si="355"/>
        <v>8.3785706623189016E-2</v>
      </c>
      <c r="P7521" s="18"/>
      <c r="Q7521" s="18"/>
      <c r="R7521" s="18"/>
      <c r="S7521" s="18"/>
      <c r="T7521" s="18"/>
      <c r="U7521" s="18"/>
      <c r="V7521" s="18"/>
      <c r="W7521" s="18"/>
      <c r="X7521" s="18"/>
    </row>
    <row r="7522" spans="13:24">
      <c r="M7522" s="558">
        <f t="shared" si="356"/>
        <v>7520</v>
      </c>
      <c r="N7522" s="15">
        <f t="shared" si="354"/>
        <v>8.3734291951230763E-2</v>
      </c>
      <c r="O7522" s="165">
        <f t="shared" si="355"/>
        <v>8.3734291951230763E-2</v>
      </c>
      <c r="P7522" s="18"/>
      <c r="Q7522" s="18"/>
      <c r="R7522" s="18"/>
      <c r="S7522" s="18"/>
      <c r="T7522" s="18"/>
      <c r="U7522" s="18"/>
      <c r="V7522" s="18"/>
      <c r="W7522" s="18"/>
      <c r="X7522" s="18"/>
    </row>
    <row r="7523" spans="13:24">
      <c r="M7523" s="558">
        <f t="shared" si="356"/>
        <v>7521</v>
      </c>
      <c r="N7523" s="15">
        <f t="shared" si="354"/>
        <v>8.3682877335504127E-2</v>
      </c>
      <c r="O7523" s="165">
        <f t="shared" si="355"/>
        <v>8.3682877335504127E-2</v>
      </c>
      <c r="P7523" s="18"/>
      <c r="Q7523" s="18"/>
      <c r="R7523" s="18"/>
      <c r="S7523" s="18"/>
      <c r="T7523" s="18"/>
      <c r="U7523" s="18"/>
      <c r="V7523" s="18"/>
      <c r="W7523" s="18"/>
      <c r="X7523" s="18"/>
    </row>
    <row r="7524" spans="13:24">
      <c r="M7524" s="558">
        <f t="shared" si="356"/>
        <v>7522</v>
      </c>
      <c r="N7524" s="15">
        <f t="shared" si="354"/>
        <v>8.3631462775938567E-2</v>
      </c>
      <c r="O7524" s="165">
        <f t="shared" si="355"/>
        <v>8.3631462775938567E-2</v>
      </c>
      <c r="P7524" s="18"/>
      <c r="Q7524" s="18"/>
      <c r="R7524" s="18"/>
      <c r="S7524" s="18"/>
      <c r="T7524" s="18"/>
      <c r="U7524" s="18"/>
      <c r="V7524" s="18"/>
      <c r="W7524" s="18"/>
      <c r="X7524" s="18"/>
    </row>
    <row r="7525" spans="13:24">
      <c r="M7525" s="558">
        <f t="shared" si="356"/>
        <v>7523</v>
      </c>
      <c r="N7525" s="15">
        <f t="shared" si="354"/>
        <v>8.3580048272463583E-2</v>
      </c>
      <c r="O7525" s="165">
        <f t="shared" si="355"/>
        <v>8.3580048272463583E-2</v>
      </c>
      <c r="P7525" s="18"/>
      <c r="Q7525" s="18"/>
      <c r="R7525" s="18"/>
      <c r="S7525" s="18"/>
      <c r="T7525" s="18"/>
      <c r="U7525" s="18"/>
      <c r="V7525" s="18"/>
      <c r="W7525" s="18"/>
      <c r="X7525" s="18"/>
    </row>
    <row r="7526" spans="13:24">
      <c r="M7526" s="558">
        <f t="shared" si="356"/>
        <v>7524</v>
      </c>
      <c r="N7526" s="15">
        <f t="shared" si="354"/>
        <v>8.3528633825008802E-2</v>
      </c>
      <c r="O7526" s="165">
        <f t="shared" si="355"/>
        <v>8.3528633825008802E-2</v>
      </c>
      <c r="P7526" s="18"/>
      <c r="Q7526" s="18"/>
      <c r="R7526" s="18"/>
      <c r="S7526" s="18"/>
      <c r="T7526" s="18"/>
      <c r="U7526" s="18"/>
      <c r="V7526" s="18"/>
      <c r="W7526" s="18"/>
      <c r="X7526" s="18"/>
    </row>
    <row r="7527" spans="13:24">
      <c r="M7527" s="558">
        <f t="shared" si="356"/>
        <v>7525</v>
      </c>
      <c r="N7527" s="15">
        <f t="shared" si="354"/>
        <v>8.3477219433503905E-2</v>
      </c>
      <c r="O7527" s="165">
        <f t="shared" si="355"/>
        <v>8.3477219433503905E-2</v>
      </c>
      <c r="P7527" s="18"/>
      <c r="Q7527" s="18"/>
      <c r="R7527" s="18"/>
      <c r="S7527" s="18"/>
      <c r="T7527" s="18"/>
      <c r="U7527" s="18"/>
      <c r="V7527" s="18"/>
      <c r="W7527" s="18"/>
      <c r="X7527" s="18"/>
    </row>
    <row r="7528" spans="13:24">
      <c r="M7528" s="558">
        <f t="shared" si="356"/>
        <v>7526</v>
      </c>
      <c r="N7528" s="15">
        <f t="shared" si="354"/>
        <v>8.3425805097878683E-2</v>
      </c>
      <c r="O7528" s="165">
        <f t="shared" si="355"/>
        <v>8.3425805097878683E-2</v>
      </c>
      <c r="P7528" s="18"/>
      <c r="Q7528" s="18"/>
      <c r="R7528" s="18"/>
      <c r="S7528" s="18"/>
      <c r="T7528" s="18"/>
      <c r="U7528" s="18"/>
      <c r="V7528" s="18"/>
      <c r="W7528" s="18"/>
      <c r="X7528" s="18"/>
    </row>
    <row r="7529" spans="13:24">
      <c r="M7529" s="558">
        <f t="shared" si="356"/>
        <v>7527</v>
      </c>
      <c r="N7529" s="15">
        <f t="shared" si="354"/>
        <v>8.3374390818063027E-2</v>
      </c>
      <c r="O7529" s="165">
        <f t="shared" si="355"/>
        <v>8.3374390818063027E-2</v>
      </c>
      <c r="P7529" s="18"/>
      <c r="Q7529" s="18"/>
      <c r="R7529" s="18"/>
      <c r="S7529" s="18"/>
      <c r="T7529" s="18"/>
      <c r="U7529" s="18"/>
      <c r="V7529" s="18"/>
      <c r="W7529" s="18"/>
      <c r="X7529" s="18"/>
    </row>
    <row r="7530" spans="13:24">
      <c r="M7530" s="558">
        <f t="shared" si="356"/>
        <v>7528</v>
      </c>
      <c r="N7530" s="15">
        <f t="shared" si="354"/>
        <v>8.3322976593986881E-2</v>
      </c>
      <c r="O7530" s="165">
        <f t="shared" si="355"/>
        <v>8.3322976593986881E-2</v>
      </c>
      <c r="P7530" s="18"/>
      <c r="Q7530" s="18"/>
      <c r="R7530" s="18"/>
      <c r="S7530" s="18"/>
      <c r="T7530" s="18"/>
      <c r="U7530" s="18"/>
      <c r="V7530" s="18"/>
      <c r="W7530" s="18"/>
      <c r="X7530" s="18"/>
    </row>
    <row r="7531" spans="13:24">
      <c r="M7531" s="558">
        <f t="shared" si="356"/>
        <v>7529</v>
      </c>
      <c r="N7531" s="15">
        <f t="shared" si="354"/>
        <v>8.3271562425580314E-2</v>
      </c>
      <c r="O7531" s="165">
        <f t="shared" si="355"/>
        <v>8.3271562425580314E-2</v>
      </c>
      <c r="P7531" s="18"/>
      <c r="Q7531" s="18"/>
      <c r="R7531" s="18"/>
      <c r="S7531" s="18"/>
      <c r="T7531" s="18"/>
      <c r="U7531" s="18"/>
      <c r="V7531" s="18"/>
      <c r="W7531" s="18"/>
      <c r="X7531" s="18"/>
    </row>
    <row r="7532" spans="13:24">
      <c r="M7532" s="558">
        <f t="shared" si="356"/>
        <v>7530</v>
      </c>
      <c r="N7532" s="15">
        <f t="shared" si="354"/>
        <v>8.322014831277344E-2</v>
      </c>
      <c r="O7532" s="165">
        <f t="shared" si="355"/>
        <v>8.322014831277344E-2</v>
      </c>
      <c r="P7532" s="18"/>
      <c r="Q7532" s="18"/>
      <c r="R7532" s="18"/>
      <c r="S7532" s="18"/>
      <c r="T7532" s="18"/>
      <c r="U7532" s="18"/>
      <c r="V7532" s="18"/>
      <c r="W7532" s="18"/>
      <c r="X7532" s="18"/>
    </row>
    <row r="7533" spans="13:24">
      <c r="M7533" s="558">
        <f t="shared" si="356"/>
        <v>7531</v>
      </c>
      <c r="N7533" s="15">
        <f t="shared" si="354"/>
        <v>8.3168734255496521E-2</v>
      </c>
      <c r="O7533" s="165">
        <f t="shared" si="355"/>
        <v>8.3168734255496521E-2</v>
      </c>
      <c r="P7533" s="18"/>
      <c r="Q7533" s="18"/>
      <c r="R7533" s="18"/>
      <c r="S7533" s="18"/>
      <c r="T7533" s="18"/>
      <c r="U7533" s="18"/>
      <c r="V7533" s="18"/>
      <c r="W7533" s="18"/>
      <c r="X7533" s="18"/>
    </row>
    <row r="7534" spans="13:24">
      <c r="M7534" s="558">
        <f t="shared" si="356"/>
        <v>7532</v>
      </c>
      <c r="N7534" s="15">
        <f t="shared" si="354"/>
        <v>8.3117320253679849E-2</v>
      </c>
      <c r="O7534" s="165">
        <f t="shared" si="355"/>
        <v>8.3117320253679849E-2</v>
      </c>
      <c r="P7534" s="18"/>
      <c r="Q7534" s="18"/>
      <c r="R7534" s="18"/>
      <c r="S7534" s="18"/>
      <c r="T7534" s="18"/>
      <c r="U7534" s="18"/>
      <c r="V7534" s="18"/>
      <c r="W7534" s="18"/>
      <c r="X7534" s="18"/>
    </row>
    <row r="7535" spans="13:24">
      <c r="M7535" s="558">
        <f t="shared" si="356"/>
        <v>7533</v>
      </c>
      <c r="N7535" s="15">
        <f t="shared" si="354"/>
        <v>8.3065906307253828E-2</v>
      </c>
      <c r="O7535" s="165">
        <f t="shared" si="355"/>
        <v>8.3065906307253828E-2</v>
      </c>
      <c r="P7535" s="18"/>
      <c r="Q7535" s="18"/>
      <c r="R7535" s="18"/>
      <c r="S7535" s="18"/>
      <c r="T7535" s="18"/>
      <c r="U7535" s="18"/>
      <c r="V7535" s="18"/>
      <c r="W7535" s="18"/>
      <c r="X7535" s="18"/>
    </row>
    <row r="7536" spans="13:24">
      <c r="M7536" s="558">
        <f t="shared" si="356"/>
        <v>7534</v>
      </c>
      <c r="N7536" s="15">
        <f t="shared" si="354"/>
        <v>8.3014492416148958E-2</v>
      </c>
      <c r="O7536" s="165">
        <f t="shared" si="355"/>
        <v>8.3014492416148958E-2</v>
      </c>
      <c r="P7536" s="18"/>
      <c r="Q7536" s="18"/>
      <c r="R7536" s="18"/>
      <c r="S7536" s="18"/>
      <c r="T7536" s="18"/>
      <c r="U7536" s="18"/>
      <c r="V7536" s="18"/>
      <c r="W7536" s="18"/>
      <c r="X7536" s="18"/>
    </row>
    <row r="7537" spans="13:24">
      <c r="M7537" s="558">
        <f t="shared" si="356"/>
        <v>7535</v>
      </c>
      <c r="N7537" s="15">
        <f t="shared" si="354"/>
        <v>8.2963078580295793E-2</v>
      </c>
      <c r="O7537" s="165">
        <f t="shared" si="355"/>
        <v>8.2963078580295793E-2</v>
      </c>
      <c r="P7537" s="18"/>
      <c r="Q7537" s="18"/>
      <c r="R7537" s="18"/>
      <c r="S7537" s="18"/>
      <c r="T7537" s="18"/>
      <c r="U7537" s="18"/>
      <c r="V7537" s="18"/>
      <c r="W7537" s="18"/>
      <c r="X7537" s="18"/>
    </row>
    <row r="7538" spans="13:24">
      <c r="M7538" s="558">
        <f t="shared" si="356"/>
        <v>7536</v>
      </c>
      <c r="N7538" s="15">
        <f t="shared" si="354"/>
        <v>8.2911664799625029E-2</v>
      </c>
      <c r="O7538" s="165">
        <f t="shared" si="355"/>
        <v>8.2911664799625029E-2</v>
      </c>
      <c r="P7538" s="18"/>
      <c r="Q7538" s="18"/>
      <c r="R7538" s="18"/>
      <c r="S7538" s="18"/>
      <c r="T7538" s="18"/>
      <c r="U7538" s="18"/>
      <c r="V7538" s="18"/>
      <c r="W7538" s="18"/>
      <c r="X7538" s="18"/>
    </row>
    <row r="7539" spans="13:24">
      <c r="M7539" s="558">
        <f t="shared" si="356"/>
        <v>7537</v>
      </c>
      <c r="N7539" s="15">
        <f t="shared" si="354"/>
        <v>8.2860251074067387E-2</v>
      </c>
      <c r="O7539" s="165">
        <f t="shared" si="355"/>
        <v>8.2860251074067387E-2</v>
      </c>
      <c r="P7539" s="18"/>
      <c r="Q7539" s="18"/>
      <c r="R7539" s="18"/>
      <c r="S7539" s="18"/>
      <c r="T7539" s="18"/>
      <c r="U7539" s="18"/>
      <c r="V7539" s="18"/>
      <c r="W7539" s="18"/>
      <c r="X7539" s="18"/>
    </row>
    <row r="7540" spans="13:24">
      <c r="M7540" s="558">
        <f t="shared" si="356"/>
        <v>7538</v>
      </c>
      <c r="N7540" s="15">
        <f t="shared" si="354"/>
        <v>8.2808837403553714E-2</v>
      </c>
      <c r="O7540" s="165">
        <f t="shared" si="355"/>
        <v>8.2808837403553714E-2</v>
      </c>
      <c r="P7540" s="18"/>
      <c r="Q7540" s="18"/>
      <c r="R7540" s="18"/>
      <c r="S7540" s="18"/>
      <c r="T7540" s="18"/>
      <c r="U7540" s="18"/>
      <c r="V7540" s="18"/>
      <c r="W7540" s="18"/>
      <c r="X7540" s="18"/>
    </row>
    <row r="7541" spans="13:24">
      <c r="M7541" s="558">
        <f t="shared" si="356"/>
        <v>7539</v>
      </c>
      <c r="N7541" s="15">
        <f t="shared" si="354"/>
        <v>8.2757423788014928E-2</v>
      </c>
      <c r="O7541" s="165">
        <f t="shared" si="355"/>
        <v>8.2757423788014928E-2</v>
      </c>
      <c r="P7541" s="18"/>
      <c r="Q7541" s="18"/>
      <c r="R7541" s="18"/>
      <c r="S7541" s="18"/>
      <c r="T7541" s="18"/>
      <c r="U7541" s="18"/>
      <c r="V7541" s="18"/>
      <c r="W7541" s="18"/>
      <c r="X7541" s="18"/>
    </row>
    <row r="7542" spans="13:24">
      <c r="M7542" s="558">
        <f t="shared" si="356"/>
        <v>7540</v>
      </c>
      <c r="N7542" s="15">
        <f t="shared" si="354"/>
        <v>8.2706010227382054E-2</v>
      </c>
      <c r="O7542" s="165">
        <f t="shared" si="355"/>
        <v>8.2706010227382054E-2</v>
      </c>
      <c r="P7542" s="18"/>
      <c r="Q7542" s="18"/>
      <c r="R7542" s="18"/>
      <c r="S7542" s="18"/>
      <c r="T7542" s="18"/>
      <c r="U7542" s="18"/>
      <c r="V7542" s="18"/>
      <c r="W7542" s="18"/>
      <c r="X7542" s="18"/>
    </row>
    <row r="7543" spans="13:24">
      <c r="M7543" s="558">
        <f t="shared" si="356"/>
        <v>7541</v>
      </c>
      <c r="N7543" s="15">
        <f t="shared" si="354"/>
        <v>8.265459672158619E-2</v>
      </c>
      <c r="O7543" s="165">
        <f t="shared" si="355"/>
        <v>8.265459672158619E-2</v>
      </c>
      <c r="P7543" s="18"/>
      <c r="Q7543" s="18"/>
      <c r="R7543" s="18"/>
      <c r="S7543" s="18"/>
      <c r="T7543" s="18"/>
      <c r="U7543" s="18"/>
      <c r="V7543" s="18"/>
      <c r="W7543" s="18"/>
      <c r="X7543" s="18"/>
    </row>
    <row r="7544" spans="13:24">
      <c r="M7544" s="558">
        <f t="shared" si="356"/>
        <v>7542</v>
      </c>
      <c r="N7544" s="15">
        <f t="shared" si="354"/>
        <v>8.2603183270558503E-2</v>
      </c>
      <c r="O7544" s="165">
        <f t="shared" si="355"/>
        <v>8.2603183270558503E-2</v>
      </c>
      <c r="P7544" s="18"/>
      <c r="Q7544" s="18"/>
      <c r="R7544" s="18"/>
      <c r="S7544" s="18"/>
      <c r="T7544" s="18"/>
      <c r="U7544" s="18"/>
      <c r="V7544" s="18"/>
      <c r="W7544" s="18"/>
      <c r="X7544" s="18"/>
    </row>
    <row r="7545" spans="13:24">
      <c r="M7545" s="558">
        <f t="shared" si="356"/>
        <v>7543</v>
      </c>
      <c r="N7545" s="15">
        <f t="shared" si="354"/>
        <v>8.2551769874230282E-2</v>
      </c>
      <c r="O7545" s="165">
        <f t="shared" si="355"/>
        <v>8.2551769874230282E-2</v>
      </c>
      <c r="P7545" s="18"/>
      <c r="Q7545" s="18"/>
      <c r="R7545" s="18"/>
      <c r="S7545" s="18"/>
      <c r="T7545" s="18"/>
      <c r="U7545" s="18"/>
      <c r="V7545" s="18"/>
      <c r="W7545" s="18"/>
      <c r="X7545" s="18"/>
    </row>
    <row r="7546" spans="13:24">
      <c r="M7546" s="558">
        <f t="shared" si="356"/>
        <v>7544</v>
      </c>
      <c r="N7546" s="15">
        <f t="shared" si="354"/>
        <v>8.2500356532532848E-2</v>
      </c>
      <c r="O7546" s="165">
        <f t="shared" si="355"/>
        <v>8.2500356532532848E-2</v>
      </c>
      <c r="P7546" s="18"/>
      <c r="Q7546" s="18"/>
      <c r="R7546" s="18"/>
      <c r="S7546" s="18"/>
      <c r="T7546" s="18"/>
      <c r="U7546" s="18"/>
      <c r="V7546" s="18"/>
      <c r="W7546" s="18"/>
      <c r="X7546" s="18"/>
    </row>
    <row r="7547" spans="13:24">
      <c r="M7547" s="558">
        <f t="shared" si="356"/>
        <v>7545</v>
      </c>
      <c r="N7547" s="15">
        <f t="shared" si="354"/>
        <v>8.2448943245397699E-2</v>
      </c>
      <c r="O7547" s="165">
        <f t="shared" si="355"/>
        <v>8.2448943245397699E-2</v>
      </c>
      <c r="P7547" s="18"/>
      <c r="Q7547" s="18"/>
      <c r="R7547" s="18"/>
      <c r="S7547" s="18"/>
      <c r="T7547" s="18"/>
      <c r="U7547" s="18"/>
      <c r="V7547" s="18"/>
      <c r="W7547" s="18"/>
      <c r="X7547" s="18"/>
    </row>
    <row r="7548" spans="13:24">
      <c r="M7548" s="558">
        <f t="shared" si="356"/>
        <v>7546</v>
      </c>
      <c r="N7548" s="15">
        <f t="shared" si="354"/>
        <v>8.239753001275632E-2</v>
      </c>
      <c r="O7548" s="165">
        <f t="shared" si="355"/>
        <v>8.239753001275632E-2</v>
      </c>
      <c r="P7548" s="18"/>
      <c r="Q7548" s="18"/>
      <c r="R7548" s="18"/>
      <c r="S7548" s="18"/>
      <c r="T7548" s="18"/>
      <c r="U7548" s="18"/>
      <c r="V7548" s="18"/>
      <c r="W7548" s="18"/>
      <c r="X7548" s="18"/>
    </row>
    <row r="7549" spans="13:24">
      <c r="M7549" s="558">
        <f t="shared" si="356"/>
        <v>7547</v>
      </c>
      <c r="N7549" s="15">
        <f t="shared" si="354"/>
        <v>8.234611683454035E-2</v>
      </c>
      <c r="O7549" s="165">
        <f t="shared" si="355"/>
        <v>8.234611683454035E-2</v>
      </c>
      <c r="P7549" s="18"/>
      <c r="Q7549" s="18"/>
      <c r="R7549" s="18"/>
      <c r="S7549" s="18"/>
      <c r="T7549" s="18"/>
      <c r="U7549" s="18"/>
      <c r="V7549" s="18"/>
      <c r="W7549" s="18"/>
      <c r="X7549" s="18"/>
    </row>
    <row r="7550" spans="13:24">
      <c r="M7550" s="558">
        <f t="shared" si="356"/>
        <v>7548</v>
      </c>
      <c r="N7550" s="15">
        <f t="shared" si="354"/>
        <v>8.2294703710681483E-2</v>
      </c>
      <c r="O7550" s="165">
        <f t="shared" si="355"/>
        <v>8.2294703710681483E-2</v>
      </c>
      <c r="P7550" s="18"/>
      <c r="Q7550" s="18"/>
      <c r="R7550" s="18"/>
      <c r="S7550" s="18"/>
      <c r="T7550" s="18"/>
      <c r="U7550" s="18"/>
      <c r="V7550" s="18"/>
      <c r="W7550" s="18"/>
      <c r="X7550" s="18"/>
    </row>
    <row r="7551" spans="13:24">
      <c r="M7551" s="558">
        <f t="shared" si="356"/>
        <v>7549</v>
      </c>
      <c r="N7551" s="15">
        <f t="shared" si="354"/>
        <v>8.2243290641111494E-2</v>
      </c>
      <c r="O7551" s="165">
        <f t="shared" si="355"/>
        <v>8.2243290641111494E-2</v>
      </c>
      <c r="P7551" s="18"/>
      <c r="Q7551" s="18"/>
      <c r="R7551" s="18"/>
      <c r="S7551" s="18"/>
      <c r="T7551" s="18"/>
      <c r="U7551" s="18"/>
      <c r="V7551" s="18"/>
      <c r="W7551" s="18"/>
      <c r="X7551" s="18"/>
    </row>
    <row r="7552" spans="13:24">
      <c r="M7552" s="558">
        <f t="shared" si="356"/>
        <v>7550</v>
      </c>
      <c r="N7552" s="15">
        <f t="shared" si="354"/>
        <v>8.2191877625762272E-2</v>
      </c>
      <c r="O7552" s="165">
        <f t="shared" si="355"/>
        <v>8.2191877625762272E-2</v>
      </c>
      <c r="P7552" s="18"/>
      <c r="Q7552" s="18"/>
      <c r="R7552" s="18"/>
      <c r="S7552" s="18"/>
      <c r="T7552" s="18"/>
      <c r="U7552" s="18"/>
      <c r="V7552" s="18"/>
      <c r="W7552" s="18"/>
      <c r="X7552" s="18"/>
    </row>
    <row r="7553" spans="13:24">
      <c r="M7553" s="558">
        <f t="shared" si="356"/>
        <v>7551</v>
      </c>
      <c r="N7553" s="15">
        <f t="shared" si="354"/>
        <v>8.214046466456576E-2</v>
      </c>
      <c r="O7553" s="165">
        <f t="shared" si="355"/>
        <v>8.214046466456576E-2</v>
      </c>
      <c r="P7553" s="18"/>
      <c r="Q7553" s="18"/>
      <c r="R7553" s="18"/>
      <c r="S7553" s="18"/>
      <c r="T7553" s="18"/>
      <c r="U7553" s="18"/>
      <c r="V7553" s="18"/>
      <c r="W7553" s="18"/>
      <c r="X7553" s="18"/>
    </row>
    <row r="7554" spans="13:24">
      <c r="M7554" s="558">
        <f t="shared" si="356"/>
        <v>7552</v>
      </c>
      <c r="N7554" s="15">
        <f t="shared" si="354"/>
        <v>8.2089051757454012E-2</v>
      </c>
      <c r="O7554" s="165">
        <f t="shared" si="355"/>
        <v>8.2089051757454012E-2</v>
      </c>
      <c r="P7554" s="18"/>
      <c r="Q7554" s="18"/>
      <c r="R7554" s="18"/>
      <c r="S7554" s="18"/>
      <c r="T7554" s="18"/>
      <c r="U7554" s="18"/>
      <c r="V7554" s="18"/>
      <c r="W7554" s="18"/>
      <c r="X7554" s="18"/>
    </row>
    <row r="7555" spans="13:24">
      <c r="M7555" s="558">
        <f t="shared" si="356"/>
        <v>7553</v>
      </c>
      <c r="N7555" s="15">
        <f t="shared" si="354"/>
        <v>8.2037638904359139E-2</v>
      </c>
      <c r="O7555" s="165">
        <f t="shared" si="355"/>
        <v>8.2037638904359139E-2</v>
      </c>
      <c r="P7555" s="18"/>
      <c r="Q7555" s="18"/>
      <c r="R7555" s="18"/>
      <c r="S7555" s="18"/>
      <c r="T7555" s="18"/>
      <c r="U7555" s="18"/>
      <c r="V7555" s="18"/>
      <c r="W7555" s="18"/>
      <c r="X7555" s="18"/>
    </row>
    <row r="7556" spans="13:24">
      <c r="M7556" s="558">
        <f t="shared" si="356"/>
        <v>7554</v>
      </c>
      <c r="N7556" s="15">
        <f t="shared" ref="N7556:N7619" si="357">IF(M7556&lt;$B$31+1,$B$32+$B$33/$B$31*(8760-M7556)+$B$34*IF(M7556&lt;$B$36-$B$31/(2*$B$35),1,IF(M7556&lt;$B$36+$B$31/(2*$B$35),COS(PI()/2*(M7556-($B$36-$B$31/(2*$B$35)))*$B$35/$B$31)^2,0))+$B$37*EXP((8760-M7556)/8760*$B$38)/EXP($B$38)-(8760-$B$31)*$B$33/$B$31,0)</f>
        <v>8.1986226105213375E-2</v>
      </c>
      <c r="O7556" s="165">
        <f t="shared" ref="O7556:O7619" si="358">MIN(N7556,C$24)</f>
        <v>8.1986226105213375E-2</v>
      </c>
      <c r="P7556" s="18"/>
      <c r="Q7556" s="18"/>
      <c r="R7556" s="18"/>
      <c r="S7556" s="18"/>
      <c r="T7556" s="18"/>
      <c r="U7556" s="18"/>
      <c r="V7556" s="18"/>
      <c r="W7556" s="18"/>
      <c r="X7556" s="18"/>
    </row>
    <row r="7557" spans="13:24">
      <c r="M7557" s="558">
        <f t="shared" ref="M7557:M7620" si="359">M7556+1</f>
        <v>7555</v>
      </c>
      <c r="N7557" s="15">
        <f t="shared" si="357"/>
        <v>8.193481335994901E-2</v>
      </c>
      <c r="O7557" s="165">
        <f t="shared" si="358"/>
        <v>8.193481335994901E-2</v>
      </c>
      <c r="P7557" s="18"/>
      <c r="Q7557" s="18"/>
      <c r="R7557" s="18"/>
      <c r="S7557" s="18"/>
      <c r="T7557" s="18"/>
      <c r="U7557" s="18"/>
      <c r="V7557" s="18"/>
      <c r="W7557" s="18"/>
      <c r="X7557" s="18"/>
    </row>
    <row r="7558" spans="13:24">
      <c r="M7558" s="558">
        <f t="shared" si="359"/>
        <v>7556</v>
      </c>
      <c r="N7558" s="15">
        <f t="shared" si="357"/>
        <v>8.1883400668498418E-2</v>
      </c>
      <c r="O7558" s="165">
        <f t="shared" si="358"/>
        <v>8.1883400668498418E-2</v>
      </c>
      <c r="P7558" s="18"/>
      <c r="Q7558" s="18"/>
      <c r="R7558" s="18"/>
      <c r="S7558" s="18"/>
      <c r="T7558" s="18"/>
      <c r="U7558" s="18"/>
      <c r="V7558" s="18"/>
      <c r="W7558" s="18"/>
      <c r="X7558" s="18"/>
    </row>
    <row r="7559" spans="13:24">
      <c r="M7559" s="558">
        <f t="shared" si="359"/>
        <v>7557</v>
      </c>
      <c r="N7559" s="15">
        <f t="shared" si="357"/>
        <v>8.183198803079407E-2</v>
      </c>
      <c r="O7559" s="165">
        <f t="shared" si="358"/>
        <v>8.183198803079407E-2</v>
      </c>
      <c r="P7559" s="18"/>
      <c r="Q7559" s="18"/>
      <c r="R7559" s="18"/>
      <c r="S7559" s="18"/>
      <c r="T7559" s="18"/>
      <c r="U7559" s="18"/>
      <c r="V7559" s="18"/>
      <c r="W7559" s="18"/>
      <c r="X7559" s="18"/>
    </row>
    <row r="7560" spans="13:24">
      <c r="M7560" s="558">
        <f t="shared" si="359"/>
        <v>7558</v>
      </c>
      <c r="N7560" s="15">
        <f t="shared" si="357"/>
        <v>8.1780575446768533E-2</v>
      </c>
      <c r="O7560" s="165">
        <f t="shared" si="358"/>
        <v>8.1780575446768533E-2</v>
      </c>
      <c r="P7560" s="18"/>
      <c r="Q7560" s="18"/>
      <c r="R7560" s="18"/>
      <c r="S7560" s="18"/>
      <c r="T7560" s="18"/>
      <c r="U7560" s="18"/>
      <c r="V7560" s="18"/>
      <c r="W7560" s="18"/>
      <c r="X7560" s="18"/>
    </row>
    <row r="7561" spans="13:24">
      <c r="M7561" s="558">
        <f t="shared" si="359"/>
        <v>7559</v>
      </c>
      <c r="N7561" s="15">
        <f t="shared" si="357"/>
        <v>8.1729162916354431E-2</v>
      </c>
      <c r="O7561" s="165">
        <f t="shared" si="358"/>
        <v>8.1729162916354431E-2</v>
      </c>
      <c r="P7561" s="18"/>
      <c r="Q7561" s="18"/>
      <c r="R7561" s="18"/>
      <c r="S7561" s="18"/>
      <c r="T7561" s="18"/>
      <c r="U7561" s="18"/>
      <c r="V7561" s="18"/>
      <c r="W7561" s="18"/>
      <c r="X7561" s="18"/>
    </row>
    <row r="7562" spans="13:24">
      <c r="M7562" s="558">
        <f t="shared" si="359"/>
        <v>7560</v>
      </c>
      <c r="N7562" s="15">
        <f t="shared" si="357"/>
        <v>8.1677750439484484E-2</v>
      </c>
      <c r="O7562" s="165">
        <f t="shared" si="358"/>
        <v>8.1677750439484484E-2</v>
      </c>
      <c r="P7562" s="18"/>
      <c r="Q7562" s="18"/>
      <c r="R7562" s="18"/>
      <c r="S7562" s="18"/>
      <c r="T7562" s="18"/>
      <c r="U7562" s="18"/>
      <c r="V7562" s="18"/>
      <c r="W7562" s="18"/>
      <c r="X7562" s="18"/>
    </row>
    <row r="7563" spans="13:24">
      <c r="M7563" s="558">
        <f t="shared" si="359"/>
        <v>7561</v>
      </c>
      <c r="N7563" s="15">
        <f t="shared" si="357"/>
        <v>8.1626338016091524E-2</v>
      </c>
      <c r="O7563" s="165">
        <f t="shared" si="358"/>
        <v>8.1626338016091524E-2</v>
      </c>
      <c r="P7563" s="18"/>
      <c r="Q7563" s="18"/>
      <c r="R7563" s="18"/>
      <c r="S7563" s="18"/>
      <c r="T7563" s="18"/>
      <c r="U7563" s="18"/>
      <c r="V7563" s="18"/>
      <c r="W7563" s="18"/>
      <c r="X7563" s="18"/>
    </row>
    <row r="7564" spans="13:24">
      <c r="M7564" s="558">
        <f t="shared" si="359"/>
        <v>7562</v>
      </c>
      <c r="N7564" s="15">
        <f t="shared" si="357"/>
        <v>8.1574925646108409E-2</v>
      </c>
      <c r="O7564" s="165">
        <f t="shared" si="358"/>
        <v>8.1574925646108409E-2</v>
      </c>
      <c r="P7564" s="18"/>
      <c r="Q7564" s="18"/>
      <c r="R7564" s="18"/>
      <c r="S7564" s="18"/>
      <c r="T7564" s="18"/>
      <c r="U7564" s="18"/>
      <c r="V7564" s="18"/>
      <c r="W7564" s="18"/>
      <c r="X7564" s="18"/>
    </row>
    <row r="7565" spans="13:24">
      <c r="M7565" s="558">
        <f t="shared" si="359"/>
        <v>7563</v>
      </c>
      <c r="N7565" s="15">
        <f t="shared" si="357"/>
        <v>8.1523513329468125E-2</v>
      </c>
      <c r="O7565" s="165">
        <f t="shared" si="358"/>
        <v>8.1523513329468125E-2</v>
      </c>
      <c r="P7565" s="18"/>
      <c r="Q7565" s="18"/>
      <c r="R7565" s="18"/>
      <c r="S7565" s="18"/>
      <c r="T7565" s="18"/>
      <c r="U7565" s="18"/>
      <c r="V7565" s="18"/>
      <c r="W7565" s="18"/>
      <c r="X7565" s="18"/>
    </row>
    <row r="7566" spans="13:24">
      <c r="M7566" s="558">
        <f t="shared" si="359"/>
        <v>7564</v>
      </c>
      <c r="N7566" s="15">
        <f t="shared" si="357"/>
        <v>8.1472101066103739E-2</v>
      </c>
      <c r="O7566" s="165">
        <f t="shared" si="358"/>
        <v>8.1472101066103739E-2</v>
      </c>
      <c r="P7566" s="18"/>
      <c r="Q7566" s="18"/>
      <c r="R7566" s="18"/>
      <c r="S7566" s="18"/>
      <c r="T7566" s="18"/>
      <c r="U7566" s="18"/>
      <c r="V7566" s="18"/>
      <c r="W7566" s="18"/>
      <c r="X7566" s="18"/>
    </row>
    <row r="7567" spans="13:24">
      <c r="M7567" s="558">
        <f t="shared" si="359"/>
        <v>7565</v>
      </c>
      <c r="N7567" s="15">
        <f t="shared" si="357"/>
        <v>8.1420688855948387E-2</v>
      </c>
      <c r="O7567" s="165">
        <f t="shared" si="358"/>
        <v>8.1420688855948387E-2</v>
      </c>
      <c r="P7567" s="18"/>
      <c r="Q7567" s="18"/>
      <c r="R7567" s="18"/>
      <c r="S7567" s="18"/>
      <c r="T7567" s="18"/>
      <c r="U7567" s="18"/>
      <c r="V7567" s="18"/>
      <c r="W7567" s="18"/>
      <c r="X7567" s="18"/>
    </row>
    <row r="7568" spans="13:24">
      <c r="M7568" s="558">
        <f t="shared" si="359"/>
        <v>7566</v>
      </c>
      <c r="N7568" s="15">
        <f t="shared" si="357"/>
        <v>8.1369276698935289E-2</v>
      </c>
      <c r="O7568" s="165">
        <f t="shared" si="358"/>
        <v>8.1369276698935289E-2</v>
      </c>
      <c r="P7568" s="18"/>
      <c r="Q7568" s="18"/>
      <c r="R7568" s="18"/>
      <c r="S7568" s="18"/>
      <c r="T7568" s="18"/>
      <c r="U7568" s="18"/>
      <c r="V7568" s="18"/>
      <c r="W7568" s="18"/>
      <c r="X7568" s="18"/>
    </row>
    <row r="7569" spans="13:24">
      <c r="M7569" s="558">
        <f t="shared" si="359"/>
        <v>7567</v>
      </c>
      <c r="N7569" s="15">
        <f t="shared" si="357"/>
        <v>8.1317864594997777E-2</v>
      </c>
      <c r="O7569" s="165">
        <f t="shared" si="358"/>
        <v>8.1317864594997777E-2</v>
      </c>
      <c r="P7569" s="18"/>
      <c r="Q7569" s="18"/>
      <c r="R7569" s="18"/>
      <c r="S7569" s="18"/>
      <c r="T7569" s="18"/>
      <c r="U7569" s="18"/>
      <c r="V7569" s="18"/>
      <c r="W7569" s="18"/>
      <c r="X7569" s="18"/>
    </row>
    <row r="7570" spans="13:24">
      <c r="M7570" s="558">
        <f t="shared" si="359"/>
        <v>7568</v>
      </c>
      <c r="N7570" s="15">
        <f t="shared" si="357"/>
        <v>8.1266452544069223E-2</v>
      </c>
      <c r="O7570" s="165">
        <f t="shared" si="358"/>
        <v>8.1266452544069223E-2</v>
      </c>
      <c r="P7570" s="18"/>
      <c r="Q7570" s="18"/>
      <c r="R7570" s="18"/>
      <c r="S7570" s="18"/>
      <c r="T7570" s="18"/>
      <c r="U7570" s="18"/>
      <c r="V7570" s="18"/>
      <c r="W7570" s="18"/>
      <c r="X7570" s="18"/>
    </row>
    <row r="7571" spans="13:24">
      <c r="M7571" s="558">
        <f t="shared" si="359"/>
        <v>7569</v>
      </c>
      <c r="N7571" s="15">
        <f t="shared" si="357"/>
        <v>8.1215040546083125E-2</v>
      </c>
      <c r="O7571" s="165">
        <f t="shared" si="358"/>
        <v>8.1215040546083125E-2</v>
      </c>
      <c r="P7571" s="18"/>
      <c r="Q7571" s="18"/>
      <c r="R7571" s="18"/>
      <c r="S7571" s="18"/>
      <c r="T7571" s="18"/>
      <c r="U7571" s="18"/>
      <c r="V7571" s="18"/>
      <c r="W7571" s="18"/>
      <c r="X7571" s="18"/>
    </row>
    <row r="7572" spans="13:24">
      <c r="M7572" s="558">
        <f t="shared" si="359"/>
        <v>7570</v>
      </c>
      <c r="N7572" s="15">
        <f t="shared" si="357"/>
        <v>8.1163628600973023E-2</v>
      </c>
      <c r="O7572" s="165">
        <f t="shared" si="358"/>
        <v>8.1163628600973023E-2</v>
      </c>
      <c r="P7572" s="18"/>
      <c r="Q7572" s="18"/>
      <c r="R7572" s="18"/>
      <c r="S7572" s="18"/>
      <c r="T7572" s="18"/>
      <c r="U7572" s="18"/>
      <c r="V7572" s="18"/>
      <c r="W7572" s="18"/>
      <c r="X7572" s="18"/>
    </row>
    <row r="7573" spans="13:24">
      <c r="M7573" s="558">
        <f t="shared" si="359"/>
        <v>7571</v>
      </c>
      <c r="N7573" s="15">
        <f t="shared" si="357"/>
        <v>8.1112216708672566E-2</v>
      </c>
      <c r="O7573" s="165">
        <f t="shared" si="358"/>
        <v>8.1112216708672566E-2</v>
      </c>
      <c r="P7573" s="18"/>
      <c r="Q7573" s="18"/>
      <c r="R7573" s="18"/>
      <c r="S7573" s="18"/>
      <c r="T7573" s="18"/>
      <c r="U7573" s="18"/>
      <c r="V7573" s="18"/>
      <c r="W7573" s="18"/>
      <c r="X7573" s="18"/>
    </row>
    <row r="7574" spans="13:24">
      <c r="M7574" s="558">
        <f t="shared" si="359"/>
        <v>7572</v>
      </c>
      <c r="N7574" s="15">
        <f t="shared" si="357"/>
        <v>8.1060804869115488E-2</v>
      </c>
      <c r="O7574" s="165">
        <f t="shared" si="358"/>
        <v>8.1060804869115488E-2</v>
      </c>
      <c r="P7574" s="18"/>
      <c r="Q7574" s="18"/>
      <c r="R7574" s="18"/>
      <c r="S7574" s="18"/>
      <c r="T7574" s="18"/>
      <c r="U7574" s="18"/>
      <c r="V7574" s="18"/>
      <c r="W7574" s="18"/>
      <c r="X7574" s="18"/>
    </row>
    <row r="7575" spans="13:24">
      <c r="M7575" s="558">
        <f t="shared" si="359"/>
        <v>7573</v>
      </c>
      <c r="N7575" s="15">
        <f t="shared" si="357"/>
        <v>8.1009393082235606E-2</v>
      </c>
      <c r="O7575" s="165">
        <f t="shared" si="358"/>
        <v>8.1009393082235606E-2</v>
      </c>
      <c r="P7575" s="18"/>
      <c r="Q7575" s="18"/>
      <c r="R7575" s="18"/>
      <c r="S7575" s="18"/>
      <c r="T7575" s="18"/>
      <c r="U7575" s="18"/>
      <c r="V7575" s="18"/>
      <c r="W7575" s="18"/>
      <c r="X7575" s="18"/>
    </row>
    <row r="7576" spans="13:24">
      <c r="M7576" s="558">
        <f t="shared" si="359"/>
        <v>7574</v>
      </c>
      <c r="N7576" s="15">
        <f t="shared" si="357"/>
        <v>8.095798134796682E-2</v>
      </c>
      <c r="O7576" s="165">
        <f t="shared" si="358"/>
        <v>8.095798134796682E-2</v>
      </c>
      <c r="P7576" s="18"/>
      <c r="Q7576" s="18"/>
      <c r="R7576" s="18"/>
      <c r="S7576" s="18"/>
      <c r="T7576" s="18"/>
      <c r="U7576" s="18"/>
      <c r="V7576" s="18"/>
      <c r="W7576" s="18"/>
      <c r="X7576" s="18"/>
    </row>
    <row r="7577" spans="13:24">
      <c r="M7577" s="558">
        <f t="shared" si="359"/>
        <v>7575</v>
      </c>
      <c r="N7577" s="15">
        <f t="shared" si="357"/>
        <v>8.0906569666243086E-2</v>
      </c>
      <c r="O7577" s="165">
        <f t="shared" si="358"/>
        <v>8.0906569666243086E-2</v>
      </c>
      <c r="P7577" s="18"/>
      <c r="Q7577" s="18"/>
      <c r="R7577" s="18"/>
      <c r="S7577" s="18"/>
      <c r="T7577" s="18"/>
      <c r="U7577" s="18"/>
      <c r="V7577" s="18"/>
      <c r="W7577" s="18"/>
      <c r="X7577" s="18"/>
    </row>
    <row r="7578" spans="13:24">
      <c r="M7578" s="558">
        <f t="shared" si="359"/>
        <v>7576</v>
      </c>
      <c r="N7578" s="15">
        <f t="shared" si="357"/>
        <v>8.0855158036998484E-2</v>
      </c>
      <c r="O7578" s="165">
        <f t="shared" si="358"/>
        <v>8.0855158036998484E-2</v>
      </c>
      <c r="P7578" s="18"/>
      <c r="Q7578" s="18"/>
      <c r="R7578" s="18"/>
      <c r="S7578" s="18"/>
      <c r="T7578" s="18"/>
      <c r="U7578" s="18"/>
      <c r="V7578" s="18"/>
      <c r="W7578" s="18"/>
      <c r="X7578" s="18"/>
    </row>
    <row r="7579" spans="13:24">
      <c r="M7579" s="558">
        <f t="shared" si="359"/>
        <v>7577</v>
      </c>
      <c r="N7579" s="15">
        <f t="shared" si="357"/>
        <v>8.0803746460167136E-2</v>
      </c>
      <c r="O7579" s="165">
        <f t="shared" si="358"/>
        <v>8.0803746460167136E-2</v>
      </c>
      <c r="P7579" s="18"/>
      <c r="Q7579" s="18"/>
      <c r="R7579" s="18"/>
      <c r="S7579" s="18"/>
      <c r="T7579" s="18"/>
      <c r="U7579" s="18"/>
      <c r="V7579" s="18"/>
      <c r="W7579" s="18"/>
      <c r="X7579" s="18"/>
    </row>
    <row r="7580" spans="13:24">
      <c r="M7580" s="558">
        <f t="shared" si="359"/>
        <v>7578</v>
      </c>
      <c r="N7580" s="15">
        <f t="shared" si="357"/>
        <v>8.075233493568329E-2</v>
      </c>
      <c r="O7580" s="165">
        <f t="shared" si="358"/>
        <v>8.075233493568329E-2</v>
      </c>
      <c r="P7580" s="18"/>
      <c r="Q7580" s="18"/>
      <c r="R7580" s="18"/>
      <c r="S7580" s="18"/>
      <c r="T7580" s="18"/>
      <c r="U7580" s="18"/>
      <c r="V7580" s="18"/>
      <c r="W7580" s="18"/>
      <c r="X7580" s="18"/>
    </row>
    <row r="7581" spans="13:24">
      <c r="M7581" s="558">
        <f t="shared" si="359"/>
        <v>7579</v>
      </c>
      <c r="N7581" s="15">
        <f t="shared" si="357"/>
        <v>8.0700923463481233E-2</v>
      </c>
      <c r="O7581" s="165">
        <f t="shared" si="358"/>
        <v>8.0700923463481233E-2</v>
      </c>
      <c r="P7581" s="18"/>
      <c r="Q7581" s="18"/>
      <c r="R7581" s="18"/>
      <c r="S7581" s="18"/>
      <c r="T7581" s="18"/>
      <c r="U7581" s="18"/>
      <c r="V7581" s="18"/>
      <c r="W7581" s="18"/>
      <c r="X7581" s="18"/>
    </row>
    <row r="7582" spans="13:24">
      <c r="M7582" s="558">
        <f t="shared" si="359"/>
        <v>7580</v>
      </c>
      <c r="N7582" s="15">
        <f t="shared" si="357"/>
        <v>8.064951204349538E-2</v>
      </c>
      <c r="O7582" s="165">
        <f t="shared" si="358"/>
        <v>8.064951204349538E-2</v>
      </c>
      <c r="P7582" s="18"/>
      <c r="Q7582" s="18"/>
      <c r="R7582" s="18"/>
      <c r="S7582" s="18"/>
      <c r="T7582" s="18"/>
      <c r="U7582" s="18"/>
      <c r="V7582" s="18"/>
      <c r="W7582" s="18"/>
      <c r="X7582" s="18"/>
    </row>
    <row r="7583" spans="13:24">
      <c r="M7583" s="558">
        <f t="shared" si="359"/>
        <v>7581</v>
      </c>
      <c r="N7583" s="15">
        <f t="shared" si="357"/>
        <v>8.0598100675660173E-2</v>
      </c>
      <c r="O7583" s="165">
        <f t="shared" si="358"/>
        <v>8.0598100675660173E-2</v>
      </c>
      <c r="P7583" s="18"/>
      <c r="Q7583" s="18"/>
      <c r="R7583" s="18"/>
      <c r="S7583" s="18"/>
      <c r="T7583" s="18"/>
      <c r="U7583" s="18"/>
      <c r="V7583" s="18"/>
      <c r="W7583" s="18"/>
      <c r="X7583" s="18"/>
    </row>
    <row r="7584" spans="13:24">
      <c r="M7584" s="558">
        <f t="shared" si="359"/>
        <v>7582</v>
      </c>
      <c r="N7584" s="15">
        <f t="shared" si="357"/>
        <v>8.0546689359910204E-2</v>
      </c>
      <c r="O7584" s="165">
        <f t="shared" si="358"/>
        <v>8.0546689359910204E-2</v>
      </c>
      <c r="P7584" s="18"/>
      <c r="Q7584" s="18"/>
      <c r="R7584" s="18"/>
      <c r="S7584" s="18"/>
      <c r="T7584" s="18"/>
      <c r="U7584" s="18"/>
      <c r="V7584" s="18"/>
      <c r="W7584" s="18"/>
      <c r="X7584" s="18"/>
    </row>
    <row r="7585" spans="13:24">
      <c r="M7585" s="558">
        <f t="shared" si="359"/>
        <v>7583</v>
      </c>
      <c r="N7585" s="15">
        <f t="shared" si="357"/>
        <v>8.0495278096180067E-2</v>
      </c>
      <c r="O7585" s="165">
        <f t="shared" si="358"/>
        <v>8.0495278096180067E-2</v>
      </c>
      <c r="P7585" s="18"/>
      <c r="Q7585" s="18"/>
      <c r="R7585" s="18"/>
      <c r="S7585" s="18"/>
      <c r="T7585" s="18"/>
      <c r="U7585" s="18"/>
      <c r="V7585" s="18"/>
      <c r="W7585" s="18"/>
      <c r="X7585" s="18"/>
    </row>
    <row r="7586" spans="13:24">
      <c r="M7586" s="558">
        <f t="shared" si="359"/>
        <v>7584</v>
      </c>
      <c r="N7586" s="15">
        <f t="shared" si="357"/>
        <v>8.0443866884404525E-2</v>
      </c>
      <c r="O7586" s="165">
        <f t="shared" si="358"/>
        <v>8.0443866884404525E-2</v>
      </c>
      <c r="P7586" s="18"/>
      <c r="Q7586" s="18"/>
      <c r="R7586" s="18"/>
      <c r="S7586" s="18"/>
      <c r="T7586" s="18"/>
      <c r="U7586" s="18"/>
      <c r="V7586" s="18"/>
      <c r="W7586" s="18"/>
      <c r="X7586" s="18"/>
    </row>
    <row r="7587" spans="13:24">
      <c r="M7587" s="558">
        <f t="shared" si="359"/>
        <v>7585</v>
      </c>
      <c r="N7587" s="15">
        <f t="shared" si="357"/>
        <v>8.039245572451835E-2</v>
      </c>
      <c r="O7587" s="165">
        <f t="shared" si="358"/>
        <v>8.039245572451835E-2</v>
      </c>
      <c r="P7587" s="18"/>
      <c r="Q7587" s="18"/>
      <c r="R7587" s="18"/>
      <c r="S7587" s="18"/>
      <c r="T7587" s="18"/>
      <c r="U7587" s="18"/>
      <c r="V7587" s="18"/>
      <c r="W7587" s="18"/>
      <c r="X7587" s="18"/>
    </row>
    <row r="7588" spans="13:24">
      <c r="M7588" s="558">
        <f t="shared" si="359"/>
        <v>7586</v>
      </c>
      <c r="N7588" s="15">
        <f t="shared" si="357"/>
        <v>8.0341044616456428E-2</v>
      </c>
      <c r="O7588" s="165">
        <f t="shared" si="358"/>
        <v>8.0341044616456428E-2</v>
      </c>
      <c r="P7588" s="18"/>
      <c r="Q7588" s="18"/>
      <c r="R7588" s="18"/>
      <c r="S7588" s="18"/>
      <c r="T7588" s="18"/>
      <c r="U7588" s="18"/>
      <c r="V7588" s="18"/>
      <c r="W7588" s="18"/>
      <c r="X7588" s="18"/>
    </row>
    <row r="7589" spans="13:24">
      <c r="M7589" s="558">
        <f t="shared" si="359"/>
        <v>7587</v>
      </c>
      <c r="N7589" s="15">
        <f t="shared" si="357"/>
        <v>8.0289633560153714E-2</v>
      </c>
      <c r="O7589" s="165">
        <f t="shared" si="358"/>
        <v>8.0289633560153714E-2</v>
      </c>
      <c r="P7589" s="18"/>
      <c r="Q7589" s="18"/>
      <c r="R7589" s="18"/>
      <c r="S7589" s="18"/>
      <c r="T7589" s="18"/>
      <c r="U7589" s="18"/>
      <c r="V7589" s="18"/>
      <c r="W7589" s="18"/>
      <c r="X7589" s="18"/>
    </row>
    <row r="7590" spans="13:24">
      <c r="M7590" s="558">
        <f t="shared" si="359"/>
        <v>7588</v>
      </c>
      <c r="N7590" s="15">
        <f t="shared" si="357"/>
        <v>8.0238222555545288E-2</v>
      </c>
      <c r="O7590" s="165">
        <f t="shared" si="358"/>
        <v>8.0238222555545288E-2</v>
      </c>
      <c r="P7590" s="18"/>
      <c r="Q7590" s="18"/>
      <c r="R7590" s="18"/>
      <c r="S7590" s="18"/>
      <c r="T7590" s="18"/>
      <c r="U7590" s="18"/>
      <c r="V7590" s="18"/>
      <c r="W7590" s="18"/>
      <c r="X7590" s="18"/>
    </row>
    <row r="7591" spans="13:24">
      <c r="M7591" s="558">
        <f t="shared" si="359"/>
        <v>7589</v>
      </c>
      <c r="N7591" s="15">
        <f t="shared" si="357"/>
        <v>8.0186811602566271E-2</v>
      </c>
      <c r="O7591" s="165">
        <f t="shared" si="358"/>
        <v>8.0186811602566271E-2</v>
      </c>
      <c r="P7591" s="18"/>
      <c r="Q7591" s="18"/>
      <c r="R7591" s="18"/>
      <c r="S7591" s="18"/>
      <c r="T7591" s="18"/>
      <c r="U7591" s="18"/>
      <c r="V7591" s="18"/>
      <c r="W7591" s="18"/>
      <c r="X7591" s="18"/>
    </row>
    <row r="7592" spans="13:24">
      <c r="M7592" s="558">
        <f t="shared" si="359"/>
        <v>7590</v>
      </c>
      <c r="N7592" s="15">
        <f t="shared" si="357"/>
        <v>8.013540070115184E-2</v>
      </c>
      <c r="O7592" s="165">
        <f t="shared" si="358"/>
        <v>8.013540070115184E-2</v>
      </c>
      <c r="P7592" s="18"/>
      <c r="Q7592" s="18"/>
      <c r="R7592" s="18"/>
      <c r="S7592" s="18"/>
      <c r="T7592" s="18"/>
      <c r="U7592" s="18"/>
      <c r="V7592" s="18"/>
      <c r="W7592" s="18"/>
      <c r="X7592" s="18"/>
    </row>
    <row r="7593" spans="13:24">
      <c r="M7593" s="558">
        <f t="shared" si="359"/>
        <v>7591</v>
      </c>
      <c r="N7593" s="15">
        <f t="shared" si="357"/>
        <v>8.0083989851237325E-2</v>
      </c>
      <c r="O7593" s="165">
        <f t="shared" si="358"/>
        <v>8.0083989851237325E-2</v>
      </c>
      <c r="P7593" s="18"/>
      <c r="Q7593" s="18"/>
      <c r="R7593" s="18"/>
      <c r="S7593" s="18"/>
      <c r="T7593" s="18"/>
      <c r="U7593" s="18"/>
      <c r="V7593" s="18"/>
      <c r="W7593" s="18"/>
      <c r="X7593" s="18"/>
    </row>
    <row r="7594" spans="13:24">
      <c r="M7594" s="558">
        <f t="shared" si="359"/>
        <v>7592</v>
      </c>
      <c r="N7594" s="15">
        <f t="shared" si="357"/>
        <v>8.0032579052758068E-2</v>
      </c>
      <c r="O7594" s="165">
        <f t="shared" si="358"/>
        <v>8.0032579052758068E-2</v>
      </c>
      <c r="P7594" s="18"/>
      <c r="Q7594" s="18"/>
      <c r="R7594" s="18"/>
      <c r="S7594" s="18"/>
      <c r="T7594" s="18"/>
      <c r="U7594" s="18"/>
      <c r="V7594" s="18"/>
      <c r="W7594" s="18"/>
      <c r="X7594" s="18"/>
    </row>
    <row r="7595" spans="13:24">
      <c r="M7595" s="558">
        <f t="shared" si="359"/>
        <v>7593</v>
      </c>
      <c r="N7595" s="15">
        <f t="shared" si="357"/>
        <v>7.9981168305649539E-2</v>
      </c>
      <c r="O7595" s="165">
        <f t="shared" si="358"/>
        <v>7.9981168305649539E-2</v>
      </c>
      <c r="P7595" s="18"/>
      <c r="Q7595" s="18"/>
      <c r="R7595" s="18"/>
      <c r="S7595" s="18"/>
      <c r="T7595" s="18"/>
      <c r="U7595" s="18"/>
      <c r="V7595" s="18"/>
      <c r="W7595" s="18"/>
      <c r="X7595" s="18"/>
    </row>
    <row r="7596" spans="13:24">
      <c r="M7596" s="558">
        <f t="shared" si="359"/>
        <v>7594</v>
      </c>
      <c r="N7596" s="15">
        <f t="shared" si="357"/>
        <v>7.992975760984726E-2</v>
      </c>
      <c r="O7596" s="165">
        <f t="shared" si="358"/>
        <v>7.992975760984726E-2</v>
      </c>
      <c r="P7596" s="18"/>
      <c r="Q7596" s="18"/>
      <c r="R7596" s="18"/>
      <c r="S7596" s="18"/>
      <c r="T7596" s="18"/>
      <c r="U7596" s="18"/>
      <c r="V7596" s="18"/>
      <c r="W7596" s="18"/>
      <c r="X7596" s="18"/>
    </row>
    <row r="7597" spans="13:24">
      <c r="M7597" s="558">
        <f t="shared" si="359"/>
        <v>7595</v>
      </c>
      <c r="N7597" s="15">
        <f t="shared" si="357"/>
        <v>7.9878346965286853E-2</v>
      </c>
      <c r="O7597" s="165">
        <f t="shared" si="358"/>
        <v>7.9878346965286853E-2</v>
      </c>
      <c r="P7597" s="18"/>
      <c r="Q7597" s="18"/>
      <c r="R7597" s="18"/>
      <c r="S7597" s="18"/>
      <c r="T7597" s="18"/>
      <c r="U7597" s="18"/>
      <c r="V7597" s="18"/>
      <c r="W7597" s="18"/>
      <c r="X7597" s="18"/>
    </row>
    <row r="7598" spans="13:24">
      <c r="M7598" s="558">
        <f t="shared" si="359"/>
        <v>7596</v>
      </c>
      <c r="N7598" s="15">
        <f t="shared" si="357"/>
        <v>7.9826936371904009E-2</v>
      </c>
      <c r="O7598" s="165">
        <f t="shared" si="358"/>
        <v>7.9826936371904009E-2</v>
      </c>
      <c r="P7598" s="18"/>
      <c r="Q7598" s="18"/>
      <c r="R7598" s="18"/>
      <c r="S7598" s="18"/>
      <c r="T7598" s="18"/>
      <c r="U7598" s="18"/>
      <c r="V7598" s="18"/>
      <c r="W7598" s="18"/>
      <c r="X7598" s="18"/>
    </row>
    <row r="7599" spans="13:24">
      <c r="M7599" s="558">
        <f t="shared" si="359"/>
        <v>7597</v>
      </c>
      <c r="N7599" s="15">
        <f t="shared" si="357"/>
        <v>7.9775525829634514E-2</v>
      </c>
      <c r="O7599" s="165">
        <f t="shared" si="358"/>
        <v>7.9775525829634514E-2</v>
      </c>
      <c r="P7599" s="18"/>
      <c r="Q7599" s="18"/>
      <c r="R7599" s="18"/>
      <c r="S7599" s="18"/>
      <c r="T7599" s="18"/>
      <c r="U7599" s="18"/>
      <c r="V7599" s="18"/>
      <c r="W7599" s="18"/>
      <c r="X7599" s="18"/>
    </row>
    <row r="7600" spans="13:24">
      <c r="M7600" s="558">
        <f t="shared" si="359"/>
        <v>7598</v>
      </c>
      <c r="N7600" s="15">
        <f t="shared" si="357"/>
        <v>7.9724115338414211E-2</v>
      </c>
      <c r="O7600" s="165">
        <f t="shared" si="358"/>
        <v>7.9724115338414211E-2</v>
      </c>
      <c r="P7600" s="18"/>
      <c r="Q7600" s="18"/>
      <c r="R7600" s="18"/>
      <c r="S7600" s="18"/>
      <c r="T7600" s="18"/>
      <c r="U7600" s="18"/>
      <c r="V7600" s="18"/>
      <c r="W7600" s="18"/>
      <c r="X7600" s="18"/>
    </row>
    <row r="7601" spans="13:24">
      <c r="M7601" s="558">
        <f t="shared" si="359"/>
        <v>7599</v>
      </c>
      <c r="N7601" s="15">
        <f t="shared" si="357"/>
        <v>7.9672704898179042E-2</v>
      </c>
      <c r="O7601" s="165">
        <f t="shared" si="358"/>
        <v>7.9672704898179042E-2</v>
      </c>
      <c r="P7601" s="18"/>
      <c r="Q7601" s="18"/>
      <c r="R7601" s="18"/>
      <c r="S7601" s="18"/>
      <c r="T7601" s="18"/>
      <c r="U7601" s="18"/>
      <c r="V7601" s="18"/>
      <c r="W7601" s="18"/>
      <c r="X7601" s="18"/>
    </row>
    <row r="7602" spans="13:24">
      <c r="M7602" s="558">
        <f t="shared" si="359"/>
        <v>7600</v>
      </c>
      <c r="N7602" s="15">
        <f t="shared" si="357"/>
        <v>7.9621294508865043E-2</v>
      </c>
      <c r="O7602" s="165">
        <f t="shared" si="358"/>
        <v>7.9621294508865043E-2</v>
      </c>
      <c r="P7602" s="18"/>
      <c r="Q7602" s="18"/>
      <c r="R7602" s="18"/>
      <c r="S7602" s="18"/>
      <c r="T7602" s="18"/>
      <c r="U7602" s="18"/>
      <c r="V7602" s="18"/>
      <c r="W7602" s="18"/>
      <c r="X7602" s="18"/>
    </row>
    <row r="7603" spans="13:24">
      <c r="M7603" s="558">
        <f t="shared" si="359"/>
        <v>7601</v>
      </c>
      <c r="N7603" s="15">
        <f t="shared" si="357"/>
        <v>7.9569884170408278E-2</v>
      </c>
      <c r="O7603" s="165">
        <f t="shared" si="358"/>
        <v>7.9569884170408278E-2</v>
      </c>
      <c r="P7603" s="18"/>
      <c r="Q7603" s="18"/>
      <c r="R7603" s="18"/>
      <c r="S7603" s="18"/>
      <c r="T7603" s="18"/>
      <c r="U7603" s="18"/>
      <c r="V7603" s="18"/>
      <c r="W7603" s="18"/>
      <c r="X7603" s="18"/>
    </row>
    <row r="7604" spans="13:24">
      <c r="M7604" s="558">
        <f t="shared" si="359"/>
        <v>7602</v>
      </c>
      <c r="N7604" s="15">
        <f t="shared" si="357"/>
        <v>7.9518473882744953E-2</v>
      </c>
      <c r="O7604" s="165">
        <f t="shared" si="358"/>
        <v>7.9518473882744953E-2</v>
      </c>
      <c r="P7604" s="18"/>
      <c r="Q7604" s="18"/>
      <c r="R7604" s="18"/>
      <c r="S7604" s="18"/>
      <c r="T7604" s="18"/>
      <c r="U7604" s="18"/>
      <c r="V7604" s="18"/>
      <c r="W7604" s="18"/>
      <c r="X7604" s="18"/>
    </row>
    <row r="7605" spans="13:24">
      <c r="M7605" s="558">
        <f t="shared" si="359"/>
        <v>7603</v>
      </c>
      <c r="N7605" s="15">
        <f t="shared" si="357"/>
        <v>7.9467063645811312E-2</v>
      </c>
      <c r="O7605" s="165">
        <f t="shared" si="358"/>
        <v>7.9467063645811312E-2</v>
      </c>
      <c r="P7605" s="18"/>
      <c r="Q7605" s="18"/>
      <c r="R7605" s="18"/>
      <c r="S7605" s="18"/>
      <c r="T7605" s="18"/>
      <c r="U7605" s="18"/>
      <c r="V7605" s="18"/>
      <c r="W7605" s="18"/>
      <c r="X7605" s="18"/>
    </row>
    <row r="7606" spans="13:24">
      <c r="M7606" s="558">
        <f t="shared" si="359"/>
        <v>7604</v>
      </c>
      <c r="N7606" s="15">
        <f t="shared" si="357"/>
        <v>7.9415653459543697E-2</v>
      </c>
      <c r="O7606" s="165">
        <f t="shared" si="358"/>
        <v>7.9415653459543697E-2</v>
      </c>
      <c r="P7606" s="18"/>
      <c r="Q7606" s="18"/>
      <c r="R7606" s="18"/>
      <c r="S7606" s="18"/>
      <c r="T7606" s="18"/>
      <c r="U7606" s="18"/>
      <c r="V7606" s="18"/>
      <c r="W7606" s="18"/>
      <c r="X7606" s="18"/>
    </row>
    <row r="7607" spans="13:24">
      <c r="M7607" s="558">
        <f t="shared" si="359"/>
        <v>7605</v>
      </c>
      <c r="N7607" s="15">
        <f t="shared" si="357"/>
        <v>7.9364243323878536E-2</v>
      </c>
      <c r="O7607" s="165">
        <f t="shared" si="358"/>
        <v>7.9364243323878536E-2</v>
      </c>
      <c r="P7607" s="18"/>
      <c r="Q7607" s="18"/>
      <c r="R7607" s="18"/>
      <c r="S7607" s="18"/>
      <c r="T7607" s="18"/>
      <c r="U7607" s="18"/>
      <c r="V7607" s="18"/>
      <c r="W7607" s="18"/>
      <c r="X7607" s="18"/>
    </row>
    <row r="7608" spans="13:24">
      <c r="M7608" s="558">
        <f t="shared" si="359"/>
        <v>7606</v>
      </c>
      <c r="N7608" s="15">
        <f t="shared" si="357"/>
        <v>7.9312833238752309E-2</v>
      </c>
      <c r="O7608" s="165">
        <f t="shared" si="358"/>
        <v>7.9312833238752309E-2</v>
      </c>
      <c r="P7608" s="18"/>
      <c r="Q7608" s="18"/>
      <c r="R7608" s="18"/>
      <c r="S7608" s="18"/>
      <c r="T7608" s="18"/>
      <c r="U7608" s="18"/>
      <c r="V7608" s="18"/>
      <c r="W7608" s="18"/>
      <c r="X7608" s="18"/>
    </row>
    <row r="7609" spans="13:24">
      <c r="M7609" s="558">
        <f t="shared" si="359"/>
        <v>7607</v>
      </c>
      <c r="N7609" s="15">
        <f t="shared" si="357"/>
        <v>7.9261423204101608E-2</v>
      </c>
      <c r="O7609" s="165">
        <f t="shared" si="358"/>
        <v>7.9261423204101608E-2</v>
      </c>
      <c r="P7609" s="18"/>
      <c r="Q7609" s="18"/>
      <c r="R7609" s="18"/>
      <c r="S7609" s="18"/>
      <c r="T7609" s="18"/>
      <c r="U7609" s="18"/>
      <c r="V7609" s="18"/>
      <c r="W7609" s="18"/>
      <c r="X7609" s="18"/>
    </row>
    <row r="7610" spans="13:24">
      <c r="M7610" s="558">
        <f t="shared" si="359"/>
        <v>7608</v>
      </c>
      <c r="N7610" s="15">
        <f t="shared" si="357"/>
        <v>7.9210013219863096E-2</v>
      </c>
      <c r="O7610" s="165">
        <f t="shared" si="358"/>
        <v>7.9210013219863096E-2</v>
      </c>
      <c r="P7610" s="18"/>
      <c r="Q7610" s="18"/>
      <c r="R7610" s="18"/>
      <c r="S7610" s="18"/>
      <c r="T7610" s="18"/>
      <c r="U7610" s="18"/>
      <c r="V7610" s="18"/>
      <c r="W7610" s="18"/>
      <c r="X7610" s="18"/>
    </row>
    <row r="7611" spans="13:24">
      <c r="M7611" s="558">
        <f t="shared" si="359"/>
        <v>7609</v>
      </c>
      <c r="N7611" s="15">
        <f t="shared" si="357"/>
        <v>7.9158603285973489E-2</v>
      </c>
      <c r="O7611" s="165">
        <f t="shared" si="358"/>
        <v>7.9158603285973489E-2</v>
      </c>
      <c r="P7611" s="18"/>
      <c r="Q7611" s="18"/>
      <c r="R7611" s="18"/>
      <c r="S7611" s="18"/>
      <c r="T7611" s="18"/>
      <c r="U7611" s="18"/>
      <c r="V7611" s="18"/>
      <c r="W7611" s="18"/>
      <c r="X7611" s="18"/>
    </row>
    <row r="7612" spans="13:24">
      <c r="M7612" s="558">
        <f t="shared" si="359"/>
        <v>7610</v>
      </c>
      <c r="N7612" s="15">
        <f t="shared" si="357"/>
        <v>7.9107193402369602E-2</v>
      </c>
      <c r="O7612" s="165">
        <f t="shared" si="358"/>
        <v>7.9107193402369602E-2</v>
      </c>
      <c r="P7612" s="18"/>
      <c r="Q7612" s="18"/>
      <c r="R7612" s="18"/>
      <c r="S7612" s="18"/>
      <c r="T7612" s="18"/>
      <c r="U7612" s="18"/>
      <c r="V7612" s="18"/>
      <c r="W7612" s="18"/>
      <c r="X7612" s="18"/>
    </row>
    <row r="7613" spans="13:24">
      <c r="M7613" s="558">
        <f t="shared" si="359"/>
        <v>7611</v>
      </c>
      <c r="N7613" s="15">
        <f t="shared" si="357"/>
        <v>7.9055783568988361E-2</v>
      </c>
      <c r="O7613" s="165">
        <f t="shared" si="358"/>
        <v>7.9055783568988361E-2</v>
      </c>
      <c r="P7613" s="18"/>
      <c r="Q7613" s="18"/>
      <c r="R7613" s="18"/>
      <c r="S7613" s="18"/>
      <c r="T7613" s="18"/>
      <c r="U7613" s="18"/>
      <c r="V7613" s="18"/>
      <c r="W7613" s="18"/>
      <c r="X7613" s="18"/>
    </row>
    <row r="7614" spans="13:24">
      <c r="M7614" s="558">
        <f t="shared" si="359"/>
        <v>7612</v>
      </c>
      <c r="N7614" s="15">
        <f t="shared" si="357"/>
        <v>7.9004373785766704E-2</v>
      </c>
      <c r="O7614" s="165">
        <f t="shared" si="358"/>
        <v>7.9004373785766704E-2</v>
      </c>
      <c r="P7614" s="18"/>
      <c r="Q7614" s="18"/>
      <c r="R7614" s="18"/>
      <c r="S7614" s="18"/>
      <c r="T7614" s="18"/>
      <c r="U7614" s="18"/>
      <c r="V7614" s="18"/>
      <c r="W7614" s="18"/>
      <c r="X7614" s="18"/>
    </row>
    <row r="7615" spans="13:24">
      <c r="M7615" s="558">
        <f t="shared" si="359"/>
        <v>7613</v>
      </c>
      <c r="N7615" s="15">
        <f t="shared" si="357"/>
        <v>7.8952964052641711E-2</v>
      </c>
      <c r="O7615" s="165">
        <f t="shared" si="358"/>
        <v>7.8952964052641711E-2</v>
      </c>
      <c r="P7615" s="18"/>
      <c r="Q7615" s="18"/>
      <c r="R7615" s="18"/>
      <c r="S7615" s="18"/>
      <c r="T7615" s="18"/>
      <c r="U7615" s="18"/>
      <c r="V7615" s="18"/>
      <c r="W7615" s="18"/>
      <c r="X7615" s="18"/>
    </row>
    <row r="7616" spans="13:24">
      <c r="M7616" s="558">
        <f t="shared" si="359"/>
        <v>7614</v>
      </c>
      <c r="N7616" s="15">
        <f t="shared" si="357"/>
        <v>7.8901554369550514E-2</v>
      </c>
      <c r="O7616" s="165">
        <f t="shared" si="358"/>
        <v>7.8901554369550514E-2</v>
      </c>
      <c r="P7616" s="18"/>
      <c r="Q7616" s="18"/>
      <c r="R7616" s="18"/>
      <c r="S7616" s="18"/>
      <c r="T7616" s="18"/>
      <c r="U7616" s="18"/>
      <c r="V7616" s="18"/>
      <c r="W7616" s="18"/>
      <c r="X7616" s="18"/>
    </row>
    <row r="7617" spans="13:24">
      <c r="M7617" s="558">
        <f t="shared" si="359"/>
        <v>7615</v>
      </c>
      <c r="N7617" s="15">
        <f t="shared" si="357"/>
        <v>7.8850144736430303E-2</v>
      </c>
      <c r="O7617" s="165">
        <f t="shared" si="358"/>
        <v>7.8850144736430303E-2</v>
      </c>
      <c r="P7617" s="18"/>
      <c r="Q7617" s="18"/>
      <c r="R7617" s="18"/>
      <c r="S7617" s="18"/>
      <c r="T7617" s="18"/>
      <c r="U7617" s="18"/>
      <c r="V7617" s="18"/>
      <c r="W7617" s="18"/>
      <c r="X7617" s="18"/>
    </row>
    <row r="7618" spans="13:24">
      <c r="M7618" s="558">
        <f t="shared" si="359"/>
        <v>7616</v>
      </c>
      <c r="N7618" s="15">
        <f t="shared" si="357"/>
        <v>7.8798735153218391E-2</v>
      </c>
      <c r="O7618" s="165">
        <f t="shared" si="358"/>
        <v>7.8798735153218391E-2</v>
      </c>
      <c r="P7618" s="18"/>
      <c r="Q7618" s="18"/>
      <c r="R7618" s="18"/>
      <c r="S7618" s="18"/>
      <c r="T7618" s="18"/>
      <c r="U7618" s="18"/>
      <c r="V7618" s="18"/>
      <c r="W7618" s="18"/>
      <c r="X7618" s="18"/>
    </row>
    <row r="7619" spans="13:24">
      <c r="M7619" s="558">
        <f t="shared" si="359"/>
        <v>7617</v>
      </c>
      <c r="N7619" s="15">
        <f t="shared" si="357"/>
        <v>7.8747325619852135E-2</v>
      </c>
      <c r="O7619" s="165">
        <f t="shared" si="358"/>
        <v>7.8747325619852135E-2</v>
      </c>
      <c r="P7619" s="18"/>
      <c r="Q7619" s="18"/>
      <c r="R7619" s="18"/>
      <c r="S7619" s="18"/>
      <c r="T7619" s="18"/>
      <c r="U7619" s="18"/>
      <c r="V7619" s="18"/>
      <c r="W7619" s="18"/>
      <c r="X7619" s="18"/>
    </row>
    <row r="7620" spans="13:24">
      <c r="M7620" s="558">
        <f t="shared" si="359"/>
        <v>7618</v>
      </c>
      <c r="N7620" s="15">
        <f t="shared" ref="N7620:N7683" si="360">IF(M7620&lt;$B$31+1,$B$32+$B$33/$B$31*(8760-M7620)+$B$34*IF(M7620&lt;$B$36-$B$31/(2*$B$35),1,IF(M7620&lt;$B$36+$B$31/(2*$B$35),COS(PI()/2*(M7620-($B$36-$B$31/(2*$B$35)))*$B$35/$B$31)^2,0))+$B$37*EXP((8760-M7620)/8760*$B$38)/EXP($B$38)-(8760-$B$31)*$B$33/$B$31,0)</f>
        <v>7.8695916136268973E-2</v>
      </c>
      <c r="O7620" s="165">
        <f t="shared" ref="O7620:O7683" si="361">MIN(N7620,C$24)</f>
        <v>7.8695916136268973E-2</v>
      </c>
      <c r="P7620" s="18"/>
      <c r="Q7620" s="18"/>
      <c r="R7620" s="18"/>
      <c r="S7620" s="18"/>
      <c r="T7620" s="18"/>
      <c r="U7620" s="18"/>
      <c r="V7620" s="18"/>
      <c r="W7620" s="18"/>
      <c r="X7620" s="18"/>
    </row>
    <row r="7621" spans="13:24">
      <c r="M7621" s="558">
        <f t="shared" ref="M7621:M7684" si="362">M7620+1</f>
        <v>7619</v>
      </c>
      <c r="N7621" s="15">
        <f t="shared" si="360"/>
        <v>7.8644506702406455E-2</v>
      </c>
      <c r="O7621" s="165">
        <f t="shared" si="361"/>
        <v>7.8644506702406455E-2</v>
      </c>
      <c r="P7621" s="18"/>
      <c r="Q7621" s="18"/>
      <c r="R7621" s="18"/>
      <c r="S7621" s="18"/>
      <c r="T7621" s="18"/>
      <c r="U7621" s="18"/>
      <c r="V7621" s="18"/>
      <c r="W7621" s="18"/>
      <c r="X7621" s="18"/>
    </row>
    <row r="7622" spans="13:24">
      <c r="M7622" s="558">
        <f t="shared" si="362"/>
        <v>7620</v>
      </c>
      <c r="N7622" s="15">
        <f t="shared" si="360"/>
        <v>7.8593097318202174E-2</v>
      </c>
      <c r="O7622" s="165">
        <f t="shared" si="361"/>
        <v>7.8593097318202174E-2</v>
      </c>
      <c r="P7622" s="18"/>
      <c r="Q7622" s="18"/>
      <c r="R7622" s="18"/>
      <c r="S7622" s="18"/>
      <c r="T7622" s="18"/>
      <c r="U7622" s="18"/>
      <c r="V7622" s="18"/>
      <c r="W7622" s="18"/>
      <c r="X7622" s="18"/>
    </row>
    <row r="7623" spans="13:24">
      <c r="M7623" s="558">
        <f t="shared" si="362"/>
        <v>7621</v>
      </c>
      <c r="N7623" s="15">
        <f t="shared" si="360"/>
        <v>7.8541687983593816E-2</v>
      </c>
      <c r="O7623" s="165">
        <f t="shared" si="361"/>
        <v>7.8541687983593816E-2</v>
      </c>
      <c r="P7623" s="18"/>
      <c r="Q7623" s="18"/>
      <c r="R7623" s="18"/>
      <c r="S7623" s="18"/>
      <c r="T7623" s="18"/>
      <c r="U7623" s="18"/>
      <c r="V7623" s="18"/>
      <c r="W7623" s="18"/>
      <c r="X7623" s="18"/>
    </row>
    <row r="7624" spans="13:24">
      <c r="M7624" s="558">
        <f t="shared" si="362"/>
        <v>7622</v>
      </c>
      <c r="N7624" s="15">
        <f t="shared" si="360"/>
        <v>7.8490278698519142E-2</v>
      </c>
      <c r="O7624" s="165">
        <f t="shared" si="361"/>
        <v>7.8490278698519142E-2</v>
      </c>
      <c r="P7624" s="18"/>
      <c r="Q7624" s="18"/>
      <c r="R7624" s="18"/>
      <c r="S7624" s="18"/>
      <c r="T7624" s="18"/>
      <c r="U7624" s="18"/>
      <c r="V7624" s="18"/>
      <c r="W7624" s="18"/>
      <c r="X7624" s="18"/>
    </row>
    <row r="7625" spans="13:24">
      <c r="M7625" s="558">
        <f t="shared" si="362"/>
        <v>7623</v>
      </c>
      <c r="N7625" s="15">
        <f t="shared" si="360"/>
        <v>7.8438869462915978E-2</v>
      </c>
      <c r="O7625" s="165">
        <f t="shared" si="361"/>
        <v>7.8438869462915978E-2</v>
      </c>
      <c r="P7625" s="18"/>
      <c r="Q7625" s="18"/>
      <c r="R7625" s="18"/>
      <c r="S7625" s="18"/>
      <c r="T7625" s="18"/>
      <c r="U7625" s="18"/>
      <c r="V7625" s="18"/>
      <c r="W7625" s="18"/>
      <c r="X7625" s="18"/>
    </row>
    <row r="7626" spans="13:24">
      <c r="M7626" s="558">
        <f t="shared" si="362"/>
        <v>7624</v>
      </c>
      <c r="N7626" s="15">
        <f t="shared" si="360"/>
        <v>7.8387460276722262E-2</v>
      </c>
      <c r="O7626" s="165">
        <f t="shared" si="361"/>
        <v>7.8387460276722262E-2</v>
      </c>
      <c r="P7626" s="18"/>
      <c r="Q7626" s="18"/>
      <c r="R7626" s="18"/>
      <c r="S7626" s="18"/>
      <c r="T7626" s="18"/>
      <c r="U7626" s="18"/>
      <c r="V7626" s="18"/>
      <c r="W7626" s="18"/>
      <c r="X7626" s="18"/>
    </row>
    <row r="7627" spans="13:24">
      <c r="M7627" s="558">
        <f t="shared" si="362"/>
        <v>7625</v>
      </c>
      <c r="N7627" s="15">
        <f t="shared" si="360"/>
        <v>7.8336051139875976E-2</v>
      </c>
      <c r="O7627" s="165">
        <f t="shared" si="361"/>
        <v>7.8336051139875976E-2</v>
      </c>
      <c r="P7627" s="18"/>
      <c r="Q7627" s="18"/>
      <c r="R7627" s="18"/>
      <c r="S7627" s="18"/>
      <c r="T7627" s="18"/>
      <c r="U7627" s="18"/>
      <c r="V7627" s="18"/>
      <c r="W7627" s="18"/>
      <c r="X7627" s="18"/>
    </row>
    <row r="7628" spans="13:24">
      <c r="M7628" s="558">
        <f t="shared" si="362"/>
        <v>7626</v>
      </c>
      <c r="N7628" s="15">
        <f t="shared" si="360"/>
        <v>7.8284642052315195E-2</v>
      </c>
      <c r="O7628" s="165">
        <f t="shared" si="361"/>
        <v>7.8284642052315195E-2</v>
      </c>
      <c r="P7628" s="18"/>
      <c r="Q7628" s="18"/>
      <c r="R7628" s="18"/>
      <c r="S7628" s="18"/>
      <c r="T7628" s="18"/>
      <c r="U7628" s="18"/>
      <c r="V7628" s="18"/>
      <c r="W7628" s="18"/>
      <c r="X7628" s="18"/>
    </row>
    <row r="7629" spans="13:24">
      <c r="M7629" s="558">
        <f t="shared" si="362"/>
        <v>7627</v>
      </c>
      <c r="N7629" s="15">
        <f t="shared" si="360"/>
        <v>7.8233233013978068E-2</v>
      </c>
      <c r="O7629" s="165">
        <f t="shared" si="361"/>
        <v>7.8233233013978068E-2</v>
      </c>
      <c r="P7629" s="18"/>
      <c r="Q7629" s="18"/>
      <c r="R7629" s="18"/>
      <c r="S7629" s="18"/>
      <c r="T7629" s="18"/>
      <c r="U7629" s="18"/>
      <c r="V7629" s="18"/>
      <c r="W7629" s="18"/>
      <c r="X7629" s="18"/>
    </row>
    <row r="7630" spans="13:24">
      <c r="M7630" s="558">
        <f t="shared" si="362"/>
        <v>7628</v>
      </c>
      <c r="N7630" s="15">
        <f t="shared" si="360"/>
        <v>7.8181824024802823E-2</v>
      </c>
      <c r="O7630" s="165">
        <f t="shared" si="361"/>
        <v>7.8181824024802823E-2</v>
      </c>
      <c r="P7630" s="18"/>
      <c r="Q7630" s="18"/>
      <c r="R7630" s="18"/>
      <c r="S7630" s="18"/>
      <c r="T7630" s="18"/>
      <c r="U7630" s="18"/>
      <c r="V7630" s="18"/>
      <c r="W7630" s="18"/>
      <c r="X7630" s="18"/>
    </row>
    <row r="7631" spans="13:24">
      <c r="M7631" s="558">
        <f t="shared" si="362"/>
        <v>7629</v>
      </c>
      <c r="N7631" s="15">
        <f t="shared" si="360"/>
        <v>7.8130415084727775E-2</v>
      </c>
      <c r="O7631" s="165">
        <f t="shared" si="361"/>
        <v>7.8130415084727775E-2</v>
      </c>
      <c r="P7631" s="18"/>
      <c r="Q7631" s="18"/>
      <c r="R7631" s="18"/>
      <c r="S7631" s="18"/>
      <c r="T7631" s="18"/>
      <c r="U7631" s="18"/>
      <c r="V7631" s="18"/>
      <c r="W7631" s="18"/>
      <c r="X7631" s="18"/>
    </row>
    <row r="7632" spans="13:24">
      <c r="M7632" s="558">
        <f t="shared" si="362"/>
        <v>7630</v>
      </c>
      <c r="N7632" s="15">
        <f t="shared" si="360"/>
        <v>7.8079006193691305E-2</v>
      </c>
      <c r="O7632" s="165">
        <f t="shared" si="361"/>
        <v>7.8079006193691305E-2</v>
      </c>
      <c r="P7632" s="18"/>
      <c r="Q7632" s="18"/>
      <c r="R7632" s="18"/>
      <c r="S7632" s="18"/>
      <c r="T7632" s="18"/>
      <c r="U7632" s="18"/>
      <c r="V7632" s="18"/>
      <c r="W7632" s="18"/>
      <c r="X7632" s="18"/>
    </row>
    <row r="7633" spans="13:24">
      <c r="M7633" s="558">
        <f t="shared" si="362"/>
        <v>7631</v>
      </c>
      <c r="N7633" s="15">
        <f t="shared" si="360"/>
        <v>7.8027597351631867E-2</v>
      </c>
      <c r="O7633" s="165">
        <f t="shared" si="361"/>
        <v>7.8027597351631867E-2</v>
      </c>
      <c r="P7633" s="18"/>
      <c r="Q7633" s="18"/>
      <c r="R7633" s="18"/>
      <c r="S7633" s="18"/>
      <c r="T7633" s="18"/>
      <c r="U7633" s="18"/>
      <c r="V7633" s="18"/>
      <c r="W7633" s="18"/>
      <c r="X7633" s="18"/>
    </row>
    <row r="7634" spans="13:24">
      <c r="M7634" s="558">
        <f t="shared" si="362"/>
        <v>7632</v>
      </c>
      <c r="N7634" s="15">
        <f t="shared" si="360"/>
        <v>7.7976188558487994E-2</v>
      </c>
      <c r="O7634" s="165">
        <f t="shared" si="361"/>
        <v>7.7976188558487994E-2</v>
      </c>
      <c r="P7634" s="18"/>
      <c r="Q7634" s="18"/>
      <c r="R7634" s="18"/>
      <c r="S7634" s="18"/>
      <c r="T7634" s="18"/>
      <c r="U7634" s="18"/>
      <c r="V7634" s="18"/>
      <c r="W7634" s="18"/>
      <c r="X7634" s="18"/>
    </row>
    <row r="7635" spans="13:24">
      <c r="M7635" s="558">
        <f t="shared" si="362"/>
        <v>7633</v>
      </c>
      <c r="N7635" s="15">
        <f t="shared" si="360"/>
        <v>7.7924779814198292E-2</v>
      </c>
      <c r="O7635" s="165">
        <f t="shared" si="361"/>
        <v>7.7924779814198292E-2</v>
      </c>
      <c r="P7635" s="18"/>
      <c r="Q7635" s="18"/>
      <c r="R7635" s="18"/>
      <c r="S7635" s="18"/>
      <c r="T7635" s="18"/>
      <c r="U7635" s="18"/>
      <c r="V7635" s="18"/>
      <c r="W7635" s="18"/>
      <c r="X7635" s="18"/>
    </row>
    <row r="7636" spans="13:24">
      <c r="M7636" s="558">
        <f t="shared" si="362"/>
        <v>7634</v>
      </c>
      <c r="N7636" s="15">
        <f t="shared" si="360"/>
        <v>7.787337111870149E-2</v>
      </c>
      <c r="O7636" s="165">
        <f t="shared" si="361"/>
        <v>7.787337111870149E-2</v>
      </c>
      <c r="P7636" s="18"/>
      <c r="Q7636" s="18"/>
      <c r="R7636" s="18"/>
      <c r="S7636" s="18"/>
      <c r="T7636" s="18"/>
      <c r="U7636" s="18"/>
      <c r="V7636" s="18"/>
      <c r="W7636" s="18"/>
      <c r="X7636" s="18"/>
    </row>
    <row r="7637" spans="13:24">
      <c r="M7637" s="558">
        <f t="shared" si="362"/>
        <v>7635</v>
      </c>
      <c r="N7637" s="15">
        <f t="shared" si="360"/>
        <v>7.7821962471936332E-2</v>
      </c>
      <c r="O7637" s="165">
        <f t="shared" si="361"/>
        <v>7.7821962471936332E-2</v>
      </c>
      <c r="P7637" s="18"/>
      <c r="Q7637" s="18"/>
      <c r="R7637" s="18"/>
      <c r="S7637" s="18"/>
      <c r="T7637" s="18"/>
      <c r="U7637" s="18"/>
      <c r="V7637" s="18"/>
      <c r="W7637" s="18"/>
      <c r="X7637" s="18"/>
    </row>
    <row r="7638" spans="13:24">
      <c r="M7638" s="558">
        <f t="shared" si="362"/>
        <v>7636</v>
      </c>
      <c r="N7638" s="15">
        <f t="shared" si="360"/>
        <v>7.7770553873841672E-2</v>
      </c>
      <c r="O7638" s="165">
        <f t="shared" si="361"/>
        <v>7.7770553873841672E-2</v>
      </c>
      <c r="P7638" s="18"/>
      <c r="Q7638" s="18"/>
      <c r="R7638" s="18"/>
      <c r="S7638" s="18"/>
      <c r="T7638" s="18"/>
      <c r="U7638" s="18"/>
      <c r="V7638" s="18"/>
      <c r="W7638" s="18"/>
      <c r="X7638" s="18"/>
    </row>
    <row r="7639" spans="13:24">
      <c r="M7639" s="558">
        <f t="shared" si="362"/>
        <v>7637</v>
      </c>
      <c r="N7639" s="15">
        <f t="shared" si="360"/>
        <v>7.7719145324356434E-2</v>
      </c>
      <c r="O7639" s="165">
        <f t="shared" si="361"/>
        <v>7.7719145324356434E-2</v>
      </c>
      <c r="P7639" s="18"/>
      <c r="Q7639" s="18"/>
      <c r="R7639" s="18"/>
      <c r="S7639" s="18"/>
      <c r="T7639" s="18"/>
      <c r="U7639" s="18"/>
      <c r="V7639" s="18"/>
      <c r="W7639" s="18"/>
      <c r="X7639" s="18"/>
    </row>
    <row r="7640" spans="13:24">
      <c r="M7640" s="558">
        <f t="shared" si="362"/>
        <v>7638</v>
      </c>
      <c r="N7640" s="15">
        <f t="shared" si="360"/>
        <v>7.7667736823419598E-2</v>
      </c>
      <c r="O7640" s="165">
        <f t="shared" si="361"/>
        <v>7.7667736823419598E-2</v>
      </c>
      <c r="P7640" s="18"/>
      <c r="Q7640" s="18"/>
      <c r="R7640" s="18"/>
      <c r="S7640" s="18"/>
      <c r="T7640" s="18"/>
      <c r="U7640" s="18"/>
      <c r="V7640" s="18"/>
      <c r="W7640" s="18"/>
      <c r="X7640" s="18"/>
    </row>
    <row r="7641" spans="13:24">
      <c r="M7641" s="558">
        <f t="shared" si="362"/>
        <v>7639</v>
      </c>
      <c r="N7641" s="15">
        <f t="shared" si="360"/>
        <v>7.7616328370970253E-2</v>
      </c>
      <c r="O7641" s="165">
        <f t="shared" si="361"/>
        <v>7.7616328370970253E-2</v>
      </c>
      <c r="P7641" s="18"/>
      <c r="Q7641" s="18"/>
      <c r="R7641" s="18"/>
      <c r="S7641" s="18"/>
      <c r="T7641" s="18"/>
      <c r="U7641" s="18"/>
      <c r="V7641" s="18"/>
      <c r="W7641" s="18"/>
      <c r="X7641" s="18"/>
    </row>
    <row r="7642" spans="13:24">
      <c r="M7642" s="558">
        <f t="shared" si="362"/>
        <v>7640</v>
      </c>
      <c r="N7642" s="15">
        <f t="shared" si="360"/>
        <v>7.756491996694756E-2</v>
      </c>
      <c r="O7642" s="165">
        <f t="shared" si="361"/>
        <v>7.756491996694756E-2</v>
      </c>
      <c r="P7642" s="18"/>
      <c r="Q7642" s="18"/>
      <c r="R7642" s="18"/>
      <c r="S7642" s="18"/>
      <c r="T7642" s="18"/>
      <c r="U7642" s="18"/>
      <c r="V7642" s="18"/>
      <c r="W7642" s="18"/>
      <c r="X7642" s="18"/>
    </row>
    <row r="7643" spans="13:24">
      <c r="M7643" s="558">
        <f t="shared" si="362"/>
        <v>7641</v>
      </c>
      <c r="N7643" s="15">
        <f t="shared" si="360"/>
        <v>7.7513511611290734E-2</v>
      </c>
      <c r="O7643" s="165">
        <f t="shared" si="361"/>
        <v>7.7513511611290734E-2</v>
      </c>
      <c r="P7643" s="18"/>
      <c r="Q7643" s="18"/>
      <c r="R7643" s="18"/>
      <c r="S7643" s="18"/>
      <c r="T7643" s="18"/>
      <c r="U7643" s="18"/>
      <c r="V7643" s="18"/>
      <c r="W7643" s="18"/>
      <c r="X7643" s="18"/>
    </row>
    <row r="7644" spans="13:24">
      <c r="M7644" s="558">
        <f t="shared" si="362"/>
        <v>7642</v>
      </c>
      <c r="N7644" s="15">
        <f t="shared" si="360"/>
        <v>7.7462103303939087E-2</v>
      </c>
      <c r="O7644" s="165">
        <f t="shared" si="361"/>
        <v>7.7462103303939087E-2</v>
      </c>
      <c r="P7644" s="18"/>
      <c r="Q7644" s="18"/>
      <c r="R7644" s="18"/>
      <c r="S7644" s="18"/>
      <c r="T7644" s="18"/>
      <c r="U7644" s="18"/>
      <c r="V7644" s="18"/>
      <c r="W7644" s="18"/>
      <c r="X7644" s="18"/>
    </row>
    <row r="7645" spans="13:24">
      <c r="M7645" s="558">
        <f t="shared" si="362"/>
        <v>7643</v>
      </c>
      <c r="N7645" s="15">
        <f t="shared" si="360"/>
        <v>7.7410695044831987E-2</v>
      </c>
      <c r="O7645" s="165">
        <f t="shared" si="361"/>
        <v>7.7410695044831987E-2</v>
      </c>
      <c r="P7645" s="18"/>
      <c r="Q7645" s="18"/>
      <c r="R7645" s="18"/>
      <c r="S7645" s="18"/>
      <c r="T7645" s="18"/>
      <c r="U7645" s="18"/>
      <c r="V7645" s="18"/>
      <c r="W7645" s="18"/>
      <c r="X7645" s="18"/>
    </row>
    <row r="7646" spans="13:24">
      <c r="M7646" s="558">
        <f t="shared" si="362"/>
        <v>7644</v>
      </c>
      <c r="N7646" s="15">
        <f t="shared" si="360"/>
        <v>7.7359286833908913E-2</v>
      </c>
      <c r="O7646" s="165">
        <f t="shared" si="361"/>
        <v>7.7359286833908913E-2</v>
      </c>
      <c r="P7646" s="18"/>
      <c r="Q7646" s="18"/>
      <c r="R7646" s="18"/>
      <c r="S7646" s="18"/>
      <c r="T7646" s="18"/>
      <c r="U7646" s="18"/>
      <c r="V7646" s="18"/>
      <c r="W7646" s="18"/>
      <c r="X7646" s="18"/>
    </row>
    <row r="7647" spans="13:24">
      <c r="M7647" s="558">
        <f t="shared" si="362"/>
        <v>7645</v>
      </c>
      <c r="N7647" s="15">
        <f t="shared" si="360"/>
        <v>7.7307878671109373E-2</v>
      </c>
      <c r="O7647" s="165">
        <f t="shared" si="361"/>
        <v>7.7307878671109373E-2</v>
      </c>
      <c r="P7647" s="18"/>
      <c r="Q7647" s="18"/>
      <c r="R7647" s="18"/>
      <c r="S7647" s="18"/>
      <c r="T7647" s="18"/>
      <c r="U7647" s="18"/>
      <c r="V7647" s="18"/>
      <c r="W7647" s="18"/>
      <c r="X7647" s="18"/>
    </row>
    <row r="7648" spans="13:24">
      <c r="M7648" s="558">
        <f t="shared" si="362"/>
        <v>7646</v>
      </c>
      <c r="N7648" s="15">
        <f t="shared" si="360"/>
        <v>7.7256470556372997E-2</v>
      </c>
      <c r="O7648" s="165">
        <f t="shared" si="361"/>
        <v>7.7256470556372997E-2</v>
      </c>
      <c r="P7648" s="18"/>
      <c r="Q7648" s="18"/>
      <c r="R7648" s="18"/>
      <c r="S7648" s="18"/>
      <c r="T7648" s="18"/>
      <c r="U7648" s="18"/>
      <c r="V7648" s="18"/>
      <c r="W7648" s="18"/>
      <c r="X7648" s="18"/>
    </row>
    <row r="7649" spans="13:24">
      <c r="M7649" s="558">
        <f t="shared" si="362"/>
        <v>7647</v>
      </c>
      <c r="N7649" s="15">
        <f t="shared" si="360"/>
        <v>7.7205062489639459E-2</v>
      </c>
      <c r="O7649" s="165">
        <f t="shared" si="361"/>
        <v>7.7205062489639459E-2</v>
      </c>
      <c r="P7649" s="18"/>
      <c r="Q7649" s="18"/>
      <c r="R7649" s="18"/>
      <c r="S7649" s="18"/>
      <c r="T7649" s="18"/>
      <c r="U7649" s="18"/>
      <c r="V7649" s="18"/>
      <c r="W7649" s="18"/>
      <c r="X7649" s="18"/>
    </row>
    <row r="7650" spans="13:24">
      <c r="M7650" s="558">
        <f t="shared" si="362"/>
        <v>7648</v>
      </c>
      <c r="N7650" s="15">
        <f t="shared" si="360"/>
        <v>7.7153654470848515E-2</v>
      </c>
      <c r="O7650" s="165">
        <f t="shared" si="361"/>
        <v>7.7153654470848515E-2</v>
      </c>
      <c r="P7650" s="18"/>
      <c r="Q7650" s="18"/>
      <c r="R7650" s="18"/>
      <c r="S7650" s="18"/>
      <c r="T7650" s="18"/>
      <c r="U7650" s="18"/>
      <c r="V7650" s="18"/>
      <c r="W7650" s="18"/>
      <c r="X7650" s="18"/>
    </row>
    <row r="7651" spans="13:24">
      <c r="M7651" s="558">
        <f t="shared" si="362"/>
        <v>7649</v>
      </c>
      <c r="N7651" s="15">
        <f t="shared" si="360"/>
        <v>7.7102246499940005E-2</v>
      </c>
      <c r="O7651" s="165">
        <f t="shared" si="361"/>
        <v>7.7102246499940005E-2</v>
      </c>
      <c r="P7651" s="18"/>
      <c r="Q7651" s="18"/>
      <c r="R7651" s="18"/>
      <c r="S7651" s="18"/>
      <c r="T7651" s="18"/>
      <c r="U7651" s="18"/>
      <c r="V7651" s="18"/>
      <c r="W7651" s="18"/>
      <c r="X7651" s="18"/>
    </row>
    <row r="7652" spans="13:24">
      <c r="M7652" s="558">
        <f t="shared" si="362"/>
        <v>7650</v>
      </c>
      <c r="N7652" s="15">
        <f t="shared" si="360"/>
        <v>7.7050838576853853E-2</v>
      </c>
      <c r="O7652" s="165">
        <f t="shared" si="361"/>
        <v>7.7050838576853853E-2</v>
      </c>
      <c r="P7652" s="18"/>
      <c r="Q7652" s="18"/>
      <c r="R7652" s="18"/>
      <c r="S7652" s="18"/>
      <c r="T7652" s="18"/>
      <c r="U7652" s="18"/>
      <c r="V7652" s="18"/>
      <c r="W7652" s="18"/>
      <c r="X7652" s="18"/>
    </row>
    <row r="7653" spans="13:24">
      <c r="M7653" s="558">
        <f t="shared" si="362"/>
        <v>7651</v>
      </c>
      <c r="N7653" s="15">
        <f t="shared" si="360"/>
        <v>7.6999430701530022E-2</v>
      </c>
      <c r="O7653" s="165">
        <f t="shared" si="361"/>
        <v>7.6999430701530022E-2</v>
      </c>
      <c r="P7653" s="18"/>
      <c r="Q7653" s="18"/>
      <c r="R7653" s="18"/>
      <c r="S7653" s="18"/>
      <c r="T7653" s="18"/>
      <c r="U7653" s="18"/>
      <c r="V7653" s="18"/>
      <c r="W7653" s="18"/>
      <c r="X7653" s="18"/>
    </row>
    <row r="7654" spans="13:24">
      <c r="M7654" s="558">
        <f t="shared" si="362"/>
        <v>7652</v>
      </c>
      <c r="N7654" s="15">
        <f t="shared" si="360"/>
        <v>7.6948022873908603E-2</v>
      </c>
      <c r="O7654" s="165">
        <f t="shared" si="361"/>
        <v>7.6948022873908603E-2</v>
      </c>
      <c r="P7654" s="18"/>
      <c r="Q7654" s="18"/>
      <c r="R7654" s="18"/>
      <c r="S7654" s="18"/>
      <c r="T7654" s="18"/>
      <c r="U7654" s="18"/>
      <c r="V7654" s="18"/>
      <c r="W7654" s="18"/>
      <c r="X7654" s="18"/>
    </row>
    <row r="7655" spans="13:24">
      <c r="M7655" s="558">
        <f t="shared" si="362"/>
        <v>7653</v>
      </c>
      <c r="N7655" s="15">
        <f t="shared" si="360"/>
        <v>7.6896615093929713E-2</v>
      </c>
      <c r="O7655" s="165">
        <f t="shared" si="361"/>
        <v>7.6896615093929713E-2</v>
      </c>
      <c r="P7655" s="18"/>
      <c r="Q7655" s="18"/>
      <c r="R7655" s="18"/>
      <c r="S7655" s="18"/>
      <c r="T7655" s="18"/>
      <c r="U7655" s="18"/>
      <c r="V7655" s="18"/>
      <c r="W7655" s="18"/>
      <c r="X7655" s="18"/>
    </row>
    <row r="7656" spans="13:24">
      <c r="M7656" s="558">
        <f t="shared" si="362"/>
        <v>7654</v>
      </c>
      <c r="N7656" s="15">
        <f t="shared" si="360"/>
        <v>7.6845207361533566E-2</v>
      </c>
      <c r="O7656" s="165">
        <f t="shared" si="361"/>
        <v>7.6845207361533566E-2</v>
      </c>
      <c r="P7656" s="18"/>
      <c r="Q7656" s="18"/>
      <c r="R7656" s="18"/>
      <c r="S7656" s="18"/>
      <c r="T7656" s="18"/>
      <c r="U7656" s="18"/>
      <c r="V7656" s="18"/>
      <c r="W7656" s="18"/>
      <c r="X7656" s="18"/>
    </row>
    <row r="7657" spans="13:24">
      <c r="M7657" s="558">
        <f t="shared" si="362"/>
        <v>7655</v>
      </c>
      <c r="N7657" s="15">
        <f t="shared" si="360"/>
        <v>7.679379967666046E-2</v>
      </c>
      <c r="O7657" s="165">
        <f t="shared" si="361"/>
        <v>7.679379967666046E-2</v>
      </c>
      <c r="P7657" s="18"/>
      <c r="Q7657" s="18"/>
      <c r="R7657" s="18"/>
      <c r="S7657" s="18"/>
      <c r="T7657" s="18"/>
      <c r="U7657" s="18"/>
      <c r="V7657" s="18"/>
      <c r="W7657" s="18"/>
      <c r="X7657" s="18"/>
    </row>
    <row r="7658" spans="13:24">
      <c r="M7658" s="558">
        <f t="shared" si="362"/>
        <v>7656</v>
      </c>
      <c r="N7658" s="15">
        <f t="shared" si="360"/>
        <v>7.6742392039250748E-2</v>
      </c>
      <c r="O7658" s="165">
        <f t="shared" si="361"/>
        <v>7.6742392039250748E-2</v>
      </c>
      <c r="P7658" s="18"/>
      <c r="Q7658" s="18"/>
      <c r="R7658" s="18"/>
      <c r="S7658" s="18"/>
      <c r="T7658" s="18"/>
      <c r="U7658" s="18"/>
      <c r="V7658" s="18"/>
      <c r="W7658" s="18"/>
      <c r="X7658" s="18"/>
    </row>
    <row r="7659" spans="13:24">
      <c r="M7659" s="558">
        <f t="shared" si="362"/>
        <v>7657</v>
      </c>
      <c r="N7659" s="15">
        <f t="shared" si="360"/>
        <v>7.6690984449244867E-2</v>
      </c>
      <c r="O7659" s="165">
        <f t="shared" si="361"/>
        <v>7.6690984449244867E-2</v>
      </c>
      <c r="P7659" s="18"/>
      <c r="Q7659" s="18"/>
      <c r="R7659" s="18"/>
      <c r="S7659" s="18"/>
      <c r="T7659" s="18"/>
      <c r="U7659" s="18"/>
      <c r="V7659" s="18"/>
      <c r="W7659" s="18"/>
      <c r="X7659" s="18"/>
    </row>
    <row r="7660" spans="13:24">
      <c r="M7660" s="558">
        <f t="shared" si="362"/>
        <v>7658</v>
      </c>
      <c r="N7660" s="15">
        <f t="shared" si="360"/>
        <v>7.6639576906583337E-2</v>
      </c>
      <c r="O7660" s="165">
        <f t="shared" si="361"/>
        <v>7.6639576906583337E-2</v>
      </c>
      <c r="P7660" s="18"/>
      <c r="Q7660" s="18"/>
      <c r="R7660" s="18"/>
      <c r="S7660" s="18"/>
      <c r="T7660" s="18"/>
      <c r="U7660" s="18"/>
      <c r="V7660" s="18"/>
      <c r="W7660" s="18"/>
      <c r="X7660" s="18"/>
    </row>
    <row r="7661" spans="13:24">
      <c r="M7661" s="558">
        <f t="shared" si="362"/>
        <v>7659</v>
      </c>
      <c r="N7661" s="15">
        <f t="shared" si="360"/>
        <v>7.6588169411206733E-2</v>
      </c>
      <c r="O7661" s="165">
        <f t="shared" si="361"/>
        <v>7.6588169411206733E-2</v>
      </c>
      <c r="P7661" s="18"/>
      <c r="Q7661" s="18"/>
      <c r="R7661" s="18"/>
      <c r="S7661" s="18"/>
      <c r="T7661" s="18"/>
      <c r="U7661" s="18"/>
      <c r="V7661" s="18"/>
      <c r="W7661" s="18"/>
      <c r="X7661" s="18"/>
    </row>
    <row r="7662" spans="13:24">
      <c r="M7662" s="558">
        <f t="shared" si="362"/>
        <v>7660</v>
      </c>
      <c r="N7662" s="15">
        <f t="shared" si="360"/>
        <v>7.6536761963055713E-2</v>
      </c>
      <c r="O7662" s="165">
        <f t="shared" si="361"/>
        <v>7.6536761963055713E-2</v>
      </c>
      <c r="P7662" s="18"/>
      <c r="Q7662" s="18"/>
      <c r="R7662" s="18"/>
      <c r="S7662" s="18"/>
      <c r="T7662" s="18"/>
      <c r="U7662" s="18"/>
      <c r="V7662" s="18"/>
      <c r="W7662" s="18"/>
      <c r="X7662" s="18"/>
    </row>
    <row r="7663" spans="13:24">
      <c r="M7663" s="558">
        <f t="shared" si="362"/>
        <v>7661</v>
      </c>
      <c r="N7663" s="15">
        <f t="shared" si="360"/>
        <v>7.6485354562071034E-2</v>
      </c>
      <c r="O7663" s="165">
        <f t="shared" si="361"/>
        <v>7.6485354562071034E-2</v>
      </c>
      <c r="P7663" s="18"/>
      <c r="Q7663" s="18"/>
      <c r="R7663" s="18"/>
      <c r="S7663" s="18"/>
      <c r="T7663" s="18"/>
      <c r="U7663" s="18"/>
      <c r="V7663" s="18"/>
      <c r="W7663" s="18"/>
      <c r="X7663" s="18"/>
    </row>
    <row r="7664" spans="13:24">
      <c r="M7664" s="558">
        <f t="shared" si="362"/>
        <v>7662</v>
      </c>
      <c r="N7664" s="15">
        <f t="shared" si="360"/>
        <v>7.6433947208193492E-2</v>
      </c>
      <c r="O7664" s="165">
        <f t="shared" si="361"/>
        <v>7.6433947208193492E-2</v>
      </c>
      <c r="P7664" s="18"/>
      <c r="Q7664" s="18"/>
      <c r="R7664" s="18"/>
      <c r="S7664" s="18"/>
      <c r="T7664" s="18"/>
      <c r="U7664" s="18"/>
      <c r="V7664" s="18"/>
      <c r="W7664" s="18"/>
      <c r="X7664" s="18"/>
    </row>
    <row r="7665" spans="13:24">
      <c r="M7665" s="558">
        <f t="shared" si="362"/>
        <v>7663</v>
      </c>
      <c r="N7665" s="15">
        <f t="shared" si="360"/>
        <v>7.6382539901363983E-2</v>
      </c>
      <c r="O7665" s="165">
        <f t="shared" si="361"/>
        <v>7.6382539901363983E-2</v>
      </c>
      <c r="P7665" s="18"/>
      <c r="Q7665" s="18"/>
      <c r="R7665" s="18"/>
      <c r="S7665" s="18"/>
      <c r="T7665" s="18"/>
      <c r="U7665" s="18"/>
      <c r="V7665" s="18"/>
      <c r="W7665" s="18"/>
      <c r="X7665" s="18"/>
    </row>
    <row r="7666" spans="13:24">
      <c r="M7666" s="558">
        <f t="shared" si="362"/>
        <v>7664</v>
      </c>
      <c r="N7666" s="15">
        <f t="shared" si="360"/>
        <v>7.6331132641523428E-2</v>
      </c>
      <c r="O7666" s="165">
        <f t="shared" si="361"/>
        <v>7.6331132641523428E-2</v>
      </c>
      <c r="P7666" s="18"/>
      <c r="Q7666" s="18"/>
      <c r="R7666" s="18"/>
      <c r="S7666" s="18"/>
      <c r="T7666" s="18"/>
      <c r="U7666" s="18"/>
      <c r="V7666" s="18"/>
      <c r="W7666" s="18"/>
      <c r="X7666" s="18"/>
    </row>
    <row r="7667" spans="13:24">
      <c r="M7667" s="558">
        <f t="shared" si="362"/>
        <v>7665</v>
      </c>
      <c r="N7667" s="15">
        <f t="shared" si="360"/>
        <v>7.6279725428612902E-2</v>
      </c>
      <c r="O7667" s="165">
        <f t="shared" si="361"/>
        <v>7.6279725428612902E-2</v>
      </c>
      <c r="P7667" s="18"/>
      <c r="Q7667" s="18"/>
      <c r="R7667" s="18"/>
      <c r="S7667" s="18"/>
      <c r="T7667" s="18"/>
      <c r="U7667" s="18"/>
      <c r="V7667" s="18"/>
      <c r="W7667" s="18"/>
      <c r="X7667" s="18"/>
    </row>
    <row r="7668" spans="13:24">
      <c r="M7668" s="558">
        <f t="shared" si="362"/>
        <v>7666</v>
      </c>
      <c r="N7668" s="15">
        <f t="shared" si="360"/>
        <v>7.6228318262573508E-2</v>
      </c>
      <c r="O7668" s="165">
        <f t="shared" si="361"/>
        <v>7.6228318262573508E-2</v>
      </c>
      <c r="P7668" s="18"/>
      <c r="Q7668" s="18"/>
      <c r="R7668" s="18"/>
      <c r="S7668" s="18"/>
      <c r="T7668" s="18"/>
      <c r="U7668" s="18"/>
      <c r="V7668" s="18"/>
      <c r="W7668" s="18"/>
      <c r="X7668" s="18"/>
    </row>
    <row r="7669" spans="13:24">
      <c r="M7669" s="558">
        <f t="shared" si="362"/>
        <v>7667</v>
      </c>
      <c r="N7669" s="15">
        <f t="shared" si="360"/>
        <v>7.6176911143346404E-2</v>
      </c>
      <c r="O7669" s="165">
        <f t="shared" si="361"/>
        <v>7.6176911143346404E-2</v>
      </c>
      <c r="P7669" s="18"/>
      <c r="Q7669" s="18"/>
      <c r="R7669" s="18"/>
      <c r="S7669" s="18"/>
      <c r="T7669" s="18"/>
      <c r="U7669" s="18"/>
      <c r="V7669" s="18"/>
      <c r="W7669" s="18"/>
      <c r="X7669" s="18"/>
    </row>
    <row r="7670" spans="13:24">
      <c r="M7670" s="558">
        <f t="shared" si="362"/>
        <v>7668</v>
      </c>
      <c r="N7670" s="15">
        <f t="shared" si="360"/>
        <v>7.612550407087286E-2</v>
      </c>
      <c r="O7670" s="165">
        <f t="shared" si="361"/>
        <v>7.612550407087286E-2</v>
      </c>
      <c r="P7670" s="18"/>
      <c r="Q7670" s="18"/>
      <c r="R7670" s="18"/>
      <c r="S7670" s="18"/>
      <c r="T7670" s="18"/>
      <c r="U7670" s="18"/>
      <c r="V7670" s="18"/>
      <c r="W7670" s="18"/>
      <c r="X7670" s="18"/>
    </row>
    <row r="7671" spans="13:24">
      <c r="M7671" s="558">
        <f t="shared" si="362"/>
        <v>7669</v>
      </c>
      <c r="N7671" s="15">
        <f t="shared" si="360"/>
        <v>7.6074097045094199E-2</v>
      </c>
      <c r="O7671" s="165">
        <f t="shared" si="361"/>
        <v>7.6074097045094199E-2</v>
      </c>
      <c r="P7671" s="18"/>
      <c r="Q7671" s="18"/>
      <c r="R7671" s="18"/>
      <c r="S7671" s="18"/>
      <c r="T7671" s="18"/>
      <c r="U7671" s="18"/>
      <c r="V7671" s="18"/>
      <c r="W7671" s="18"/>
      <c r="X7671" s="18"/>
    </row>
    <row r="7672" spans="13:24">
      <c r="M7672" s="558">
        <f t="shared" si="362"/>
        <v>7670</v>
      </c>
      <c r="N7672" s="15">
        <f t="shared" si="360"/>
        <v>7.6022690065951831E-2</v>
      </c>
      <c r="O7672" s="165">
        <f t="shared" si="361"/>
        <v>7.6022690065951831E-2</v>
      </c>
      <c r="P7672" s="18"/>
      <c r="Q7672" s="18"/>
      <c r="R7672" s="18"/>
      <c r="S7672" s="18"/>
      <c r="T7672" s="18"/>
      <c r="U7672" s="18"/>
      <c r="V7672" s="18"/>
      <c r="W7672" s="18"/>
      <c r="X7672" s="18"/>
    </row>
    <row r="7673" spans="13:24">
      <c r="M7673" s="558">
        <f t="shared" si="362"/>
        <v>7671</v>
      </c>
      <c r="N7673" s="15">
        <f t="shared" si="360"/>
        <v>7.5971283133387219E-2</v>
      </c>
      <c r="O7673" s="165">
        <f t="shared" si="361"/>
        <v>7.5971283133387219E-2</v>
      </c>
      <c r="P7673" s="18"/>
      <c r="Q7673" s="18"/>
      <c r="R7673" s="18"/>
      <c r="S7673" s="18"/>
      <c r="T7673" s="18"/>
      <c r="U7673" s="18"/>
      <c r="V7673" s="18"/>
      <c r="W7673" s="18"/>
      <c r="X7673" s="18"/>
    </row>
    <row r="7674" spans="13:24">
      <c r="M7674" s="558">
        <f t="shared" si="362"/>
        <v>7672</v>
      </c>
      <c r="N7674" s="15">
        <f t="shared" si="360"/>
        <v>7.5919876247341908E-2</v>
      </c>
      <c r="O7674" s="165">
        <f t="shared" si="361"/>
        <v>7.5919876247341908E-2</v>
      </c>
      <c r="P7674" s="18"/>
      <c r="Q7674" s="18"/>
      <c r="R7674" s="18"/>
      <c r="S7674" s="18"/>
      <c r="T7674" s="18"/>
      <c r="U7674" s="18"/>
      <c r="V7674" s="18"/>
      <c r="W7674" s="18"/>
      <c r="X7674" s="18"/>
    </row>
    <row r="7675" spans="13:24">
      <c r="M7675" s="558">
        <f t="shared" si="362"/>
        <v>7673</v>
      </c>
      <c r="N7675" s="15">
        <f t="shared" si="360"/>
        <v>7.586846940775753E-2</v>
      </c>
      <c r="O7675" s="165">
        <f t="shared" si="361"/>
        <v>7.586846940775753E-2</v>
      </c>
      <c r="P7675" s="18"/>
      <c r="Q7675" s="18"/>
      <c r="R7675" s="18"/>
      <c r="S7675" s="18"/>
      <c r="T7675" s="18"/>
      <c r="U7675" s="18"/>
      <c r="V7675" s="18"/>
      <c r="W7675" s="18"/>
      <c r="X7675" s="18"/>
    </row>
    <row r="7676" spans="13:24">
      <c r="M7676" s="558">
        <f t="shared" si="362"/>
        <v>7674</v>
      </c>
      <c r="N7676" s="15">
        <f t="shared" si="360"/>
        <v>7.5817062614575784E-2</v>
      </c>
      <c r="O7676" s="165">
        <f t="shared" si="361"/>
        <v>7.5817062614575784E-2</v>
      </c>
      <c r="P7676" s="18"/>
      <c r="Q7676" s="18"/>
      <c r="R7676" s="18"/>
      <c r="S7676" s="18"/>
      <c r="T7676" s="18"/>
      <c r="U7676" s="18"/>
      <c r="V7676" s="18"/>
      <c r="W7676" s="18"/>
      <c r="X7676" s="18"/>
    </row>
    <row r="7677" spans="13:24">
      <c r="M7677" s="558">
        <f t="shared" si="362"/>
        <v>7675</v>
      </c>
      <c r="N7677" s="15">
        <f t="shared" si="360"/>
        <v>7.5765655867738438E-2</v>
      </c>
      <c r="O7677" s="165">
        <f t="shared" si="361"/>
        <v>7.5765655867738438E-2</v>
      </c>
      <c r="P7677" s="18"/>
      <c r="Q7677" s="18"/>
      <c r="R7677" s="18"/>
      <c r="S7677" s="18"/>
      <c r="T7677" s="18"/>
      <c r="U7677" s="18"/>
      <c r="V7677" s="18"/>
      <c r="W7677" s="18"/>
      <c r="X7677" s="18"/>
    </row>
    <row r="7678" spans="13:24">
      <c r="M7678" s="558">
        <f t="shared" si="362"/>
        <v>7676</v>
      </c>
      <c r="N7678" s="15">
        <f t="shared" si="360"/>
        <v>7.5714249167187331E-2</v>
      </c>
      <c r="O7678" s="165">
        <f t="shared" si="361"/>
        <v>7.5714249167187331E-2</v>
      </c>
      <c r="P7678" s="18"/>
      <c r="Q7678" s="18"/>
      <c r="R7678" s="18"/>
      <c r="S7678" s="18"/>
      <c r="T7678" s="18"/>
      <c r="U7678" s="18"/>
      <c r="V7678" s="18"/>
      <c r="W7678" s="18"/>
      <c r="X7678" s="18"/>
    </row>
    <row r="7679" spans="13:24">
      <c r="M7679" s="558">
        <f t="shared" si="362"/>
        <v>7677</v>
      </c>
      <c r="N7679" s="15">
        <f t="shared" si="360"/>
        <v>7.5662842512864356E-2</v>
      </c>
      <c r="O7679" s="165">
        <f t="shared" si="361"/>
        <v>7.5662842512864356E-2</v>
      </c>
      <c r="P7679" s="18"/>
      <c r="Q7679" s="18"/>
      <c r="R7679" s="18"/>
      <c r="S7679" s="18"/>
      <c r="T7679" s="18"/>
      <c r="U7679" s="18"/>
      <c r="V7679" s="18"/>
      <c r="W7679" s="18"/>
      <c r="X7679" s="18"/>
    </row>
    <row r="7680" spans="13:24">
      <c r="M7680" s="558">
        <f t="shared" si="362"/>
        <v>7678</v>
      </c>
      <c r="N7680" s="15">
        <f t="shared" si="360"/>
        <v>7.5611435904711533E-2</v>
      </c>
      <c r="O7680" s="165">
        <f t="shared" si="361"/>
        <v>7.5611435904711533E-2</v>
      </c>
      <c r="P7680" s="18"/>
      <c r="Q7680" s="18"/>
      <c r="R7680" s="18"/>
      <c r="S7680" s="18"/>
      <c r="T7680" s="18"/>
      <c r="U7680" s="18"/>
      <c r="V7680" s="18"/>
      <c r="W7680" s="18"/>
      <c r="X7680" s="18"/>
    </row>
    <row r="7681" spans="13:24">
      <c r="M7681" s="558">
        <f t="shared" si="362"/>
        <v>7679</v>
      </c>
      <c r="N7681" s="15">
        <f t="shared" si="360"/>
        <v>7.5560029342670892E-2</v>
      </c>
      <c r="O7681" s="165">
        <f t="shared" si="361"/>
        <v>7.5560029342670892E-2</v>
      </c>
      <c r="P7681" s="18"/>
      <c r="Q7681" s="18"/>
      <c r="R7681" s="18"/>
      <c r="S7681" s="18"/>
      <c r="T7681" s="18"/>
      <c r="U7681" s="18"/>
      <c r="V7681" s="18"/>
      <c r="W7681" s="18"/>
      <c r="X7681" s="18"/>
    </row>
    <row r="7682" spans="13:24">
      <c r="M7682" s="558">
        <f t="shared" si="362"/>
        <v>7680</v>
      </c>
      <c r="N7682" s="15">
        <f t="shared" si="360"/>
        <v>7.5508622826684607E-2</v>
      </c>
      <c r="O7682" s="165">
        <f t="shared" si="361"/>
        <v>7.5508622826684607E-2</v>
      </c>
      <c r="P7682" s="18"/>
      <c r="Q7682" s="18"/>
      <c r="R7682" s="18"/>
      <c r="S7682" s="18"/>
      <c r="T7682" s="18"/>
      <c r="U7682" s="18"/>
      <c r="V7682" s="18"/>
      <c r="W7682" s="18"/>
      <c r="X7682" s="18"/>
    </row>
    <row r="7683" spans="13:24">
      <c r="M7683" s="558">
        <f t="shared" si="362"/>
        <v>7681</v>
      </c>
      <c r="N7683" s="15">
        <f t="shared" si="360"/>
        <v>7.5457216356694848E-2</v>
      </c>
      <c r="O7683" s="165">
        <f t="shared" si="361"/>
        <v>7.5457216356694848E-2</v>
      </c>
      <c r="P7683" s="18"/>
      <c r="Q7683" s="18"/>
      <c r="R7683" s="18"/>
      <c r="S7683" s="18"/>
      <c r="T7683" s="18"/>
      <c r="U7683" s="18"/>
      <c r="V7683" s="18"/>
      <c r="W7683" s="18"/>
      <c r="X7683" s="18"/>
    </row>
    <row r="7684" spans="13:24">
      <c r="M7684" s="558">
        <f t="shared" si="362"/>
        <v>7682</v>
      </c>
      <c r="N7684" s="15">
        <f t="shared" ref="N7684:N7747" si="363">IF(M7684&lt;$B$31+1,$B$32+$B$33/$B$31*(8760-M7684)+$B$34*IF(M7684&lt;$B$36-$B$31/(2*$B$35),1,IF(M7684&lt;$B$36+$B$31/(2*$B$35),COS(PI()/2*(M7684-($B$36-$B$31/(2*$B$35)))*$B$35/$B$31)^2,0))+$B$37*EXP((8760-M7684)/8760*$B$38)/EXP($B$38)-(8760-$B$31)*$B$33/$B$31,0)</f>
        <v>7.5405809932643897E-2</v>
      </c>
      <c r="O7684" s="165">
        <f t="shared" ref="O7684:O7747" si="364">MIN(N7684,C$24)</f>
        <v>7.5405809932643897E-2</v>
      </c>
      <c r="P7684" s="18"/>
      <c r="Q7684" s="18"/>
      <c r="R7684" s="18"/>
      <c r="S7684" s="18"/>
      <c r="T7684" s="18"/>
      <c r="U7684" s="18"/>
      <c r="V7684" s="18"/>
      <c r="W7684" s="18"/>
      <c r="X7684" s="18"/>
    </row>
    <row r="7685" spans="13:24">
      <c r="M7685" s="558">
        <f t="shared" ref="M7685:M7748" si="365">M7684+1</f>
        <v>7683</v>
      </c>
      <c r="N7685" s="15">
        <f t="shared" si="363"/>
        <v>7.535440355447412E-2</v>
      </c>
      <c r="O7685" s="165">
        <f t="shared" si="364"/>
        <v>7.535440355447412E-2</v>
      </c>
      <c r="P7685" s="18"/>
      <c r="Q7685" s="18"/>
      <c r="R7685" s="18"/>
      <c r="S7685" s="18"/>
      <c r="T7685" s="18"/>
      <c r="U7685" s="18"/>
      <c r="V7685" s="18"/>
      <c r="W7685" s="18"/>
      <c r="X7685" s="18"/>
    </row>
    <row r="7686" spans="13:24">
      <c r="M7686" s="558">
        <f t="shared" si="365"/>
        <v>7684</v>
      </c>
      <c r="N7686" s="15">
        <f t="shared" si="363"/>
        <v>7.5302997222127938E-2</v>
      </c>
      <c r="O7686" s="165">
        <f t="shared" si="364"/>
        <v>7.5302997222127938E-2</v>
      </c>
      <c r="P7686" s="18"/>
      <c r="Q7686" s="18"/>
      <c r="R7686" s="18"/>
      <c r="S7686" s="18"/>
      <c r="T7686" s="18"/>
      <c r="U7686" s="18"/>
      <c r="V7686" s="18"/>
      <c r="W7686" s="18"/>
      <c r="X7686" s="18"/>
    </row>
    <row r="7687" spans="13:24">
      <c r="M7687" s="558">
        <f t="shared" si="365"/>
        <v>7685</v>
      </c>
      <c r="N7687" s="15">
        <f t="shared" si="363"/>
        <v>7.5251590935547827E-2</v>
      </c>
      <c r="O7687" s="165">
        <f t="shared" si="364"/>
        <v>7.5251590935547827E-2</v>
      </c>
      <c r="P7687" s="18"/>
      <c r="Q7687" s="18"/>
      <c r="R7687" s="18"/>
      <c r="S7687" s="18"/>
      <c r="T7687" s="18"/>
      <c r="U7687" s="18"/>
      <c r="V7687" s="18"/>
      <c r="W7687" s="18"/>
      <c r="X7687" s="18"/>
    </row>
    <row r="7688" spans="13:24">
      <c r="M7688" s="558">
        <f t="shared" si="365"/>
        <v>7686</v>
      </c>
      <c r="N7688" s="15">
        <f t="shared" si="363"/>
        <v>7.5200184694676375E-2</v>
      </c>
      <c r="O7688" s="165">
        <f t="shared" si="364"/>
        <v>7.5200184694676375E-2</v>
      </c>
      <c r="P7688" s="18"/>
      <c r="Q7688" s="18"/>
      <c r="R7688" s="18"/>
      <c r="S7688" s="18"/>
      <c r="T7688" s="18"/>
      <c r="U7688" s="18"/>
      <c r="V7688" s="18"/>
      <c r="W7688" s="18"/>
      <c r="X7688" s="18"/>
    </row>
    <row r="7689" spans="13:24">
      <c r="M7689" s="558">
        <f t="shared" si="365"/>
        <v>7687</v>
      </c>
      <c r="N7689" s="15">
        <f t="shared" si="363"/>
        <v>7.5148778499456212E-2</v>
      </c>
      <c r="O7689" s="165">
        <f t="shared" si="364"/>
        <v>7.5148778499456212E-2</v>
      </c>
      <c r="P7689" s="18"/>
      <c r="Q7689" s="18"/>
      <c r="R7689" s="18"/>
      <c r="S7689" s="18"/>
      <c r="T7689" s="18"/>
      <c r="U7689" s="18"/>
      <c r="V7689" s="18"/>
      <c r="W7689" s="18"/>
      <c r="X7689" s="18"/>
    </row>
    <row r="7690" spans="13:24">
      <c r="M7690" s="558">
        <f t="shared" si="365"/>
        <v>7688</v>
      </c>
      <c r="N7690" s="15">
        <f t="shared" si="363"/>
        <v>7.5097372349830049E-2</v>
      </c>
      <c r="O7690" s="165">
        <f t="shared" si="364"/>
        <v>7.5097372349830049E-2</v>
      </c>
      <c r="P7690" s="18"/>
      <c r="Q7690" s="18"/>
      <c r="R7690" s="18"/>
      <c r="S7690" s="18"/>
      <c r="T7690" s="18"/>
      <c r="U7690" s="18"/>
      <c r="V7690" s="18"/>
      <c r="W7690" s="18"/>
      <c r="X7690" s="18"/>
    </row>
    <row r="7691" spans="13:24">
      <c r="M7691" s="558">
        <f t="shared" si="365"/>
        <v>7689</v>
      </c>
      <c r="N7691" s="15">
        <f t="shared" si="363"/>
        <v>7.504596624574067E-2</v>
      </c>
      <c r="O7691" s="165">
        <f t="shared" si="364"/>
        <v>7.504596624574067E-2</v>
      </c>
      <c r="P7691" s="18"/>
      <c r="Q7691" s="18"/>
      <c r="R7691" s="18"/>
      <c r="S7691" s="18"/>
      <c r="T7691" s="18"/>
      <c r="U7691" s="18"/>
      <c r="V7691" s="18"/>
      <c r="W7691" s="18"/>
      <c r="X7691" s="18"/>
    </row>
    <row r="7692" spans="13:24">
      <c r="M7692" s="558">
        <f t="shared" si="365"/>
        <v>7690</v>
      </c>
      <c r="N7692" s="15">
        <f t="shared" si="363"/>
        <v>7.4994560187130924E-2</v>
      </c>
      <c r="O7692" s="165">
        <f t="shared" si="364"/>
        <v>7.4994560187130924E-2</v>
      </c>
      <c r="P7692" s="18"/>
      <c r="Q7692" s="18"/>
      <c r="R7692" s="18"/>
      <c r="S7692" s="18"/>
      <c r="T7692" s="18"/>
      <c r="U7692" s="18"/>
      <c r="V7692" s="18"/>
      <c r="W7692" s="18"/>
      <c r="X7692" s="18"/>
    </row>
    <row r="7693" spans="13:24">
      <c r="M7693" s="558">
        <f t="shared" si="365"/>
        <v>7691</v>
      </c>
      <c r="N7693" s="15">
        <f t="shared" si="363"/>
        <v>7.494315417394376E-2</v>
      </c>
      <c r="O7693" s="165">
        <f t="shared" si="364"/>
        <v>7.494315417394376E-2</v>
      </c>
      <c r="P7693" s="18"/>
      <c r="Q7693" s="18"/>
      <c r="R7693" s="18"/>
      <c r="S7693" s="18"/>
      <c r="T7693" s="18"/>
      <c r="U7693" s="18"/>
      <c r="V7693" s="18"/>
      <c r="W7693" s="18"/>
      <c r="X7693" s="18"/>
    </row>
    <row r="7694" spans="13:24">
      <c r="M7694" s="558">
        <f t="shared" si="365"/>
        <v>7692</v>
      </c>
      <c r="N7694" s="15">
        <f t="shared" si="363"/>
        <v>7.4891748206122155E-2</v>
      </c>
      <c r="O7694" s="165">
        <f t="shared" si="364"/>
        <v>7.4891748206122155E-2</v>
      </c>
      <c r="P7694" s="18"/>
      <c r="Q7694" s="18"/>
      <c r="R7694" s="18"/>
      <c r="S7694" s="18"/>
      <c r="T7694" s="18"/>
      <c r="U7694" s="18"/>
      <c r="V7694" s="18"/>
      <c r="W7694" s="18"/>
      <c r="X7694" s="18"/>
    </row>
    <row r="7695" spans="13:24">
      <c r="M7695" s="558">
        <f t="shared" si="365"/>
        <v>7693</v>
      </c>
      <c r="N7695" s="15">
        <f t="shared" si="363"/>
        <v>7.4840342283609182E-2</v>
      </c>
      <c r="O7695" s="165">
        <f t="shared" si="364"/>
        <v>7.4840342283609182E-2</v>
      </c>
      <c r="P7695" s="18"/>
      <c r="Q7695" s="18"/>
      <c r="R7695" s="18"/>
      <c r="S7695" s="18"/>
      <c r="T7695" s="18"/>
      <c r="U7695" s="18"/>
      <c r="V7695" s="18"/>
      <c r="W7695" s="18"/>
      <c r="X7695" s="18"/>
    </row>
    <row r="7696" spans="13:24">
      <c r="M7696" s="558">
        <f t="shared" si="365"/>
        <v>7694</v>
      </c>
      <c r="N7696" s="15">
        <f t="shared" si="363"/>
        <v>7.4788936406347969E-2</v>
      </c>
      <c r="O7696" s="165">
        <f t="shared" si="364"/>
        <v>7.4788936406347969E-2</v>
      </c>
      <c r="P7696" s="18"/>
      <c r="Q7696" s="18"/>
      <c r="R7696" s="18"/>
      <c r="S7696" s="18"/>
      <c r="T7696" s="18"/>
      <c r="U7696" s="18"/>
      <c r="V7696" s="18"/>
      <c r="W7696" s="18"/>
      <c r="X7696" s="18"/>
    </row>
    <row r="7697" spans="13:24">
      <c r="M7697" s="558">
        <f t="shared" si="365"/>
        <v>7695</v>
      </c>
      <c r="N7697" s="15">
        <f t="shared" si="363"/>
        <v>7.4737530574281758E-2</v>
      </c>
      <c r="O7697" s="165">
        <f t="shared" si="364"/>
        <v>7.4737530574281758E-2</v>
      </c>
      <c r="P7697" s="18"/>
      <c r="Q7697" s="18"/>
      <c r="R7697" s="18"/>
      <c r="S7697" s="18"/>
      <c r="T7697" s="18"/>
      <c r="U7697" s="18"/>
      <c r="V7697" s="18"/>
      <c r="W7697" s="18"/>
      <c r="X7697" s="18"/>
    </row>
    <row r="7698" spans="13:24">
      <c r="M7698" s="558">
        <f t="shared" si="365"/>
        <v>7696</v>
      </c>
      <c r="N7698" s="15">
        <f t="shared" si="363"/>
        <v>7.4686124787353814E-2</v>
      </c>
      <c r="O7698" s="165">
        <f t="shared" si="364"/>
        <v>7.4686124787353814E-2</v>
      </c>
      <c r="P7698" s="18"/>
      <c r="Q7698" s="18"/>
      <c r="R7698" s="18"/>
      <c r="S7698" s="18"/>
      <c r="T7698" s="18"/>
      <c r="U7698" s="18"/>
      <c r="V7698" s="18"/>
      <c r="W7698" s="18"/>
      <c r="X7698" s="18"/>
    </row>
    <row r="7699" spans="13:24">
      <c r="M7699" s="558">
        <f t="shared" si="365"/>
        <v>7697</v>
      </c>
      <c r="N7699" s="15">
        <f t="shared" si="363"/>
        <v>7.4634719045507503E-2</v>
      </c>
      <c r="O7699" s="165">
        <f t="shared" si="364"/>
        <v>7.4634719045507503E-2</v>
      </c>
      <c r="P7699" s="18"/>
      <c r="Q7699" s="18"/>
      <c r="R7699" s="18"/>
      <c r="S7699" s="18"/>
      <c r="T7699" s="18"/>
      <c r="U7699" s="18"/>
      <c r="V7699" s="18"/>
      <c r="W7699" s="18"/>
      <c r="X7699" s="18"/>
    </row>
    <row r="7700" spans="13:24">
      <c r="M7700" s="558">
        <f t="shared" si="365"/>
        <v>7698</v>
      </c>
      <c r="N7700" s="15">
        <f t="shared" si="363"/>
        <v>7.4583313348686245E-2</v>
      </c>
      <c r="O7700" s="165">
        <f t="shared" si="364"/>
        <v>7.4583313348686245E-2</v>
      </c>
      <c r="P7700" s="18"/>
      <c r="Q7700" s="18"/>
      <c r="R7700" s="18"/>
      <c r="S7700" s="18"/>
      <c r="T7700" s="18"/>
      <c r="U7700" s="18"/>
      <c r="V7700" s="18"/>
      <c r="W7700" s="18"/>
      <c r="X7700" s="18"/>
    </row>
    <row r="7701" spans="13:24">
      <c r="M7701" s="558">
        <f t="shared" si="365"/>
        <v>7699</v>
      </c>
      <c r="N7701" s="15">
        <f t="shared" si="363"/>
        <v>7.4531907696833544E-2</v>
      </c>
      <c r="O7701" s="165">
        <f t="shared" si="364"/>
        <v>7.4531907696833544E-2</v>
      </c>
      <c r="P7701" s="18"/>
      <c r="Q7701" s="18"/>
      <c r="R7701" s="18"/>
      <c r="S7701" s="18"/>
      <c r="T7701" s="18"/>
      <c r="U7701" s="18"/>
      <c r="V7701" s="18"/>
      <c r="W7701" s="18"/>
      <c r="X7701" s="18"/>
    </row>
    <row r="7702" spans="13:24">
      <c r="M7702" s="558">
        <f t="shared" si="365"/>
        <v>7700</v>
      </c>
      <c r="N7702" s="15">
        <f t="shared" si="363"/>
        <v>7.4480502089892958E-2</v>
      </c>
      <c r="O7702" s="165">
        <f t="shared" si="364"/>
        <v>7.4480502089892958E-2</v>
      </c>
      <c r="P7702" s="18"/>
      <c r="Q7702" s="18"/>
      <c r="R7702" s="18"/>
      <c r="S7702" s="18"/>
      <c r="T7702" s="18"/>
      <c r="U7702" s="18"/>
      <c r="V7702" s="18"/>
      <c r="W7702" s="18"/>
      <c r="X7702" s="18"/>
    </row>
    <row r="7703" spans="13:24">
      <c r="M7703" s="558">
        <f t="shared" si="365"/>
        <v>7701</v>
      </c>
      <c r="N7703" s="15">
        <f t="shared" si="363"/>
        <v>7.4429096527808131E-2</v>
      </c>
      <c r="O7703" s="165">
        <f t="shared" si="364"/>
        <v>7.4429096527808131E-2</v>
      </c>
      <c r="P7703" s="18"/>
      <c r="Q7703" s="18"/>
      <c r="R7703" s="18"/>
      <c r="S7703" s="18"/>
      <c r="T7703" s="18"/>
      <c r="U7703" s="18"/>
      <c r="V7703" s="18"/>
      <c r="W7703" s="18"/>
      <c r="X7703" s="18"/>
    </row>
    <row r="7704" spans="13:24">
      <c r="M7704" s="558">
        <f t="shared" si="365"/>
        <v>7702</v>
      </c>
      <c r="N7704" s="15">
        <f t="shared" si="363"/>
        <v>7.4377691010522759E-2</v>
      </c>
      <c r="O7704" s="165">
        <f t="shared" si="364"/>
        <v>7.4377691010522759E-2</v>
      </c>
      <c r="P7704" s="18"/>
      <c r="Q7704" s="18"/>
      <c r="R7704" s="18"/>
      <c r="S7704" s="18"/>
      <c r="T7704" s="18"/>
      <c r="U7704" s="18"/>
      <c r="V7704" s="18"/>
      <c r="W7704" s="18"/>
      <c r="X7704" s="18"/>
    </row>
    <row r="7705" spans="13:24">
      <c r="M7705" s="558">
        <f t="shared" si="365"/>
        <v>7703</v>
      </c>
      <c r="N7705" s="15">
        <f t="shared" si="363"/>
        <v>7.4326285537980652E-2</v>
      </c>
      <c r="O7705" s="165">
        <f t="shared" si="364"/>
        <v>7.4326285537980652E-2</v>
      </c>
      <c r="P7705" s="18"/>
      <c r="Q7705" s="18"/>
      <c r="R7705" s="18"/>
      <c r="S7705" s="18"/>
      <c r="T7705" s="18"/>
      <c r="U7705" s="18"/>
      <c r="V7705" s="18"/>
      <c r="W7705" s="18"/>
      <c r="X7705" s="18"/>
    </row>
    <row r="7706" spans="13:24">
      <c r="M7706" s="558">
        <f t="shared" si="365"/>
        <v>7704</v>
      </c>
      <c r="N7706" s="15">
        <f t="shared" si="363"/>
        <v>7.4274880110125632E-2</v>
      </c>
      <c r="O7706" s="165">
        <f t="shared" si="364"/>
        <v>7.4274880110125632E-2</v>
      </c>
      <c r="P7706" s="18"/>
      <c r="Q7706" s="18"/>
      <c r="R7706" s="18"/>
      <c r="S7706" s="18"/>
      <c r="T7706" s="18"/>
      <c r="U7706" s="18"/>
      <c r="V7706" s="18"/>
      <c r="W7706" s="18"/>
      <c r="X7706" s="18"/>
    </row>
    <row r="7707" spans="13:24">
      <c r="M7707" s="558">
        <f t="shared" si="365"/>
        <v>7705</v>
      </c>
      <c r="N7707" s="15">
        <f t="shared" si="363"/>
        <v>7.4223474726901634E-2</v>
      </c>
      <c r="O7707" s="165">
        <f t="shared" si="364"/>
        <v>7.4223474726901634E-2</v>
      </c>
      <c r="P7707" s="18"/>
      <c r="Q7707" s="18"/>
      <c r="R7707" s="18"/>
      <c r="S7707" s="18"/>
      <c r="T7707" s="18"/>
      <c r="U7707" s="18"/>
      <c r="V7707" s="18"/>
      <c r="W7707" s="18"/>
      <c r="X7707" s="18"/>
    </row>
    <row r="7708" spans="13:24">
      <c r="M7708" s="558">
        <f t="shared" si="365"/>
        <v>7706</v>
      </c>
      <c r="N7708" s="15">
        <f t="shared" si="363"/>
        <v>7.4172069388252659E-2</v>
      </c>
      <c r="O7708" s="165">
        <f t="shared" si="364"/>
        <v>7.4172069388252659E-2</v>
      </c>
      <c r="P7708" s="18"/>
      <c r="Q7708" s="18"/>
      <c r="R7708" s="18"/>
      <c r="S7708" s="18"/>
      <c r="T7708" s="18"/>
      <c r="U7708" s="18"/>
      <c r="V7708" s="18"/>
      <c r="W7708" s="18"/>
      <c r="X7708" s="18"/>
    </row>
    <row r="7709" spans="13:24">
      <c r="M7709" s="558">
        <f t="shared" si="365"/>
        <v>7707</v>
      </c>
      <c r="N7709" s="15">
        <f t="shared" si="363"/>
        <v>7.412066409412274E-2</v>
      </c>
      <c r="O7709" s="165">
        <f t="shared" si="364"/>
        <v>7.412066409412274E-2</v>
      </c>
      <c r="P7709" s="18"/>
      <c r="Q7709" s="18"/>
      <c r="R7709" s="18"/>
      <c r="S7709" s="18"/>
      <c r="T7709" s="18"/>
      <c r="U7709" s="18"/>
      <c r="V7709" s="18"/>
      <c r="W7709" s="18"/>
      <c r="X7709" s="18"/>
    </row>
    <row r="7710" spans="13:24">
      <c r="M7710" s="558">
        <f t="shared" si="365"/>
        <v>7708</v>
      </c>
      <c r="N7710" s="15">
        <f t="shared" si="363"/>
        <v>7.4069258844456032E-2</v>
      </c>
      <c r="O7710" s="165">
        <f t="shared" si="364"/>
        <v>7.4069258844456032E-2</v>
      </c>
      <c r="P7710" s="18"/>
      <c r="Q7710" s="18"/>
      <c r="R7710" s="18"/>
      <c r="S7710" s="18"/>
      <c r="T7710" s="18"/>
      <c r="U7710" s="18"/>
      <c r="V7710" s="18"/>
      <c r="W7710" s="18"/>
      <c r="X7710" s="18"/>
    </row>
    <row r="7711" spans="13:24">
      <c r="M7711" s="558">
        <f t="shared" si="365"/>
        <v>7709</v>
      </c>
      <c r="N7711" s="15">
        <f t="shared" si="363"/>
        <v>7.4017853639196732E-2</v>
      </c>
      <c r="O7711" s="165">
        <f t="shared" si="364"/>
        <v>7.4017853639196732E-2</v>
      </c>
      <c r="P7711" s="18"/>
      <c r="Q7711" s="18"/>
      <c r="R7711" s="18"/>
      <c r="S7711" s="18"/>
      <c r="T7711" s="18"/>
      <c r="U7711" s="18"/>
      <c r="V7711" s="18"/>
      <c r="W7711" s="18"/>
      <c r="X7711" s="18"/>
    </row>
    <row r="7712" spans="13:24">
      <c r="M7712" s="558">
        <f t="shared" si="365"/>
        <v>7710</v>
      </c>
      <c r="N7712" s="15">
        <f t="shared" si="363"/>
        <v>7.3966448478289107E-2</v>
      </c>
      <c r="O7712" s="165">
        <f t="shared" si="364"/>
        <v>7.3966448478289107E-2</v>
      </c>
      <c r="P7712" s="18"/>
      <c r="Q7712" s="18"/>
      <c r="R7712" s="18"/>
      <c r="S7712" s="18"/>
      <c r="T7712" s="18"/>
      <c r="U7712" s="18"/>
      <c r="V7712" s="18"/>
      <c r="W7712" s="18"/>
      <c r="X7712" s="18"/>
    </row>
    <row r="7713" spans="13:24">
      <c r="M7713" s="558">
        <f t="shared" si="365"/>
        <v>7711</v>
      </c>
      <c r="N7713" s="15">
        <f t="shared" si="363"/>
        <v>7.3915043361677507E-2</v>
      </c>
      <c r="O7713" s="165">
        <f t="shared" si="364"/>
        <v>7.3915043361677507E-2</v>
      </c>
      <c r="P7713" s="18"/>
      <c r="Q7713" s="18"/>
      <c r="R7713" s="18"/>
      <c r="S7713" s="18"/>
      <c r="T7713" s="18"/>
      <c r="U7713" s="18"/>
      <c r="V7713" s="18"/>
      <c r="W7713" s="18"/>
      <c r="X7713" s="18"/>
    </row>
    <row r="7714" spans="13:24">
      <c r="M7714" s="558">
        <f t="shared" si="365"/>
        <v>7712</v>
      </c>
      <c r="N7714" s="15">
        <f t="shared" si="363"/>
        <v>7.3863638289306338E-2</v>
      </c>
      <c r="O7714" s="165">
        <f t="shared" si="364"/>
        <v>7.3863638289306338E-2</v>
      </c>
      <c r="P7714" s="18"/>
      <c r="Q7714" s="18"/>
      <c r="R7714" s="18"/>
      <c r="S7714" s="18"/>
      <c r="T7714" s="18"/>
      <c r="U7714" s="18"/>
      <c r="V7714" s="18"/>
      <c r="W7714" s="18"/>
      <c r="X7714" s="18"/>
    </row>
    <row r="7715" spans="13:24">
      <c r="M7715" s="558">
        <f t="shared" si="365"/>
        <v>7713</v>
      </c>
      <c r="N7715" s="15">
        <f t="shared" si="363"/>
        <v>7.3812233261120103E-2</v>
      </c>
      <c r="O7715" s="165">
        <f t="shared" si="364"/>
        <v>7.3812233261120103E-2</v>
      </c>
      <c r="P7715" s="18"/>
      <c r="Q7715" s="18"/>
      <c r="R7715" s="18"/>
      <c r="S7715" s="18"/>
      <c r="T7715" s="18"/>
      <c r="U7715" s="18"/>
      <c r="V7715" s="18"/>
      <c r="W7715" s="18"/>
      <c r="X7715" s="18"/>
    </row>
    <row r="7716" spans="13:24">
      <c r="M7716" s="558">
        <f t="shared" si="365"/>
        <v>7714</v>
      </c>
      <c r="N7716" s="15">
        <f t="shared" si="363"/>
        <v>7.3760828277063317E-2</v>
      </c>
      <c r="O7716" s="165">
        <f t="shared" si="364"/>
        <v>7.3760828277063317E-2</v>
      </c>
      <c r="P7716" s="18"/>
      <c r="Q7716" s="18"/>
      <c r="R7716" s="18"/>
      <c r="S7716" s="18"/>
      <c r="T7716" s="18"/>
      <c r="U7716" s="18"/>
      <c r="V7716" s="18"/>
      <c r="W7716" s="18"/>
      <c r="X7716" s="18"/>
    </row>
    <row r="7717" spans="13:24">
      <c r="M7717" s="558">
        <f t="shared" si="365"/>
        <v>7715</v>
      </c>
      <c r="N7717" s="15">
        <f t="shared" si="363"/>
        <v>7.3709423337080623E-2</v>
      </c>
      <c r="O7717" s="165">
        <f t="shared" si="364"/>
        <v>7.3709423337080623E-2</v>
      </c>
      <c r="P7717" s="18"/>
      <c r="Q7717" s="18"/>
      <c r="R7717" s="18"/>
      <c r="S7717" s="18"/>
      <c r="T7717" s="18"/>
      <c r="U7717" s="18"/>
      <c r="V7717" s="18"/>
      <c r="W7717" s="18"/>
      <c r="X7717" s="18"/>
    </row>
    <row r="7718" spans="13:24">
      <c r="M7718" s="558">
        <f t="shared" si="365"/>
        <v>7716</v>
      </c>
      <c r="N7718" s="15">
        <f t="shared" si="363"/>
        <v>7.3658018441116718E-2</v>
      </c>
      <c r="O7718" s="165">
        <f t="shared" si="364"/>
        <v>7.3658018441116718E-2</v>
      </c>
      <c r="P7718" s="18"/>
      <c r="Q7718" s="18"/>
      <c r="R7718" s="18"/>
      <c r="S7718" s="18"/>
      <c r="T7718" s="18"/>
      <c r="U7718" s="18"/>
      <c r="V7718" s="18"/>
      <c r="W7718" s="18"/>
      <c r="X7718" s="18"/>
    </row>
    <row r="7719" spans="13:24">
      <c r="M7719" s="558">
        <f t="shared" si="365"/>
        <v>7717</v>
      </c>
      <c r="N7719" s="15">
        <f t="shared" si="363"/>
        <v>7.360661358911634E-2</v>
      </c>
      <c r="O7719" s="165">
        <f t="shared" si="364"/>
        <v>7.360661358911634E-2</v>
      </c>
      <c r="P7719" s="18"/>
      <c r="Q7719" s="18"/>
      <c r="R7719" s="18"/>
      <c r="S7719" s="18"/>
      <c r="T7719" s="18"/>
      <c r="U7719" s="18"/>
      <c r="V7719" s="18"/>
      <c r="W7719" s="18"/>
      <c r="X7719" s="18"/>
    </row>
    <row r="7720" spans="13:24">
      <c r="M7720" s="558">
        <f t="shared" si="365"/>
        <v>7718</v>
      </c>
      <c r="N7720" s="15">
        <f t="shared" si="363"/>
        <v>7.3555208781024339E-2</v>
      </c>
      <c r="O7720" s="165">
        <f t="shared" si="364"/>
        <v>7.3555208781024339E-2</v>
      </c>
      <c r="P7720" s="18"/>
      <c r="Q7720" s="18"/>
      <c r="R7720" s="18"/>
      <c r="S7720" s="18"/>
      <c r="T7720" s="18"/>
      <c r="U7720" s="18"/>
      <c r="V7720" s="18"/>
      <c r="W7720" s="18"/>
      <c r="X7720" s="18"/>
    </row>
    <row r="7721" spans="13:24">
      <c r="M7721" s="558">
        <f t="shared" si="365"/>
        <v>7719</v>
      </c>
      <c r="N7721" s="15">
        <f t="shared" si="363"/>
        <v>7.3503804016785607E-2</v>
      </c>
      <c r="O7721" s="165">
        <f t="shared" si="364"/>
        <v>7.3503804016785607E-2</v>
      </c>
      <c r="P7721" s="18"/>
      <c r="Q7721" s="18"/>
      <c r="R7721" s="18"/>
      <c r="S7721" s="18"/>
      <c r="T7721" s="18"/>
      <c r="U7721" s="18"/>
      <c r="V7721" s="18"/>
      <c r="W7721" s="18"/>
      <c r="X7721" s="18"/>
    </row>
    <row r="7722" spans="13:24">
      <c r="M7722" s="558">
        <f t="shared" si="365"/>
        <v>7720</v>
      </c>
      <c r="N7722" s="15">
        <f t="shared" si="363"/>
        <v>7.3452399296345103E-2</v>
      </c>
      <c r="O7722" s="165">
        <f t="shared" si="364"/>
        <v>7.3452399296345103E-2</v>
      </c>
      <c r="P7722" s="18"/>
      <c r="Q7722" s="18"/>
      <c r="R7722" s="18"/>
      <c r="S7722" s="18"/>
      <c r="T7722" s="18"/>
      <c r="U7722" s="18"/>
      <c r="V7722" s="18"/>
      <c r="W7722" s="18"/>
      <c r="X7722" s="18"/>
    </row>
    <row r="7723" spans="13:24">
      <c r="M7723" s="558">
        <f t="shared" si="365"/>
        <v>7721</v>
      </c>
      <c r="N7723" s="15">
        <f t="shared" si="363"/>
        <v>7.3400994619647872E-2</v>
      </c>
      <c r="O7723" s="165">
        <f t="shared" si="364"/>
        <v>7.3400994619647872E-2</v>
      </c>
      <c r="P7723" s="18"/>
      <c r="Q7723" s="18"/>
      <c r="R7723" s="18"/>
      <c r="S7723" s="18"/>
      <c r="T7723" s="18"/>
      <c r="U7723" s="18"/>
      <c r="V7723" s="18"/>
      <c r="W7723" s="18"/>
      <c r="X7723" s="18"/>
    </row>
    <row r="7724" spans="13:24">
      <c r="M7724" s="558">
        <f t="shared" si="365"/>
        <v>7722</v>
      </c>
      <c r="N7724" s="15">
        <f t="shared" si="363"/>
        <v>7.3349589986639013E-2</v>
      </c>
      <c r="O7724" s="165">
        <f t="shared" si="364"/>
        <v>7.3349589986639013E-2</v>
      </c>
      <c r="P7724" s="18"/>
      <c r="Q7724" s="18"/>
      <c r="R7724" s="18"/>
      <c r="S7724" s="18"/>
      <c r="T7724" s="18"/>
      <c r="U7724" s="18"/>
      <c r="V7724" s="18"/>
      <c r="W7724" s="18"/>
      <c r="X7724" s="18"/>
    </row>
    <row r="7725" spans="13:24">
      <c r="M7725" s="558">
        <f t="shared" si="365"/>
        <v>7723</v>
      </c>
      <c r="N7725" s="15">
        <f t="shared" si="363"/>
        <v>7.329818539726371E-2</v>
      </c>
      <c r="O7725" s="165">
        <f t="shared" si="364"/>
        <v>7.329818539726371E-2</v>
      </c>
      <c r="P7725" s="18"/>
      <c r="Q7725" s="18"/>
      <c r="R7725" s="18"/>
      <c r="S7725" s="18"/>
      <c r="T7725" s="18"/>
      <c r="U7725" s="18"/>
      <c r="V7725" s="18"/>
      <c r="W7725" s="18"/>
      <c r="X7725" s="18"/>
    </row>
    <row r="7726" spans="13:24">
      <c r="M7726" s="558">
        <f t="shared" si="365"/>
        <v>7724</v>
      </c>
      <c r="N7726" s="15">
        <f t="shared" si="363"/>
        <v>7.3246780851467214E-2</v>
      </c>
      <c r="O7726" s="165">
        <f t="shared" si="364"/>
        <v>7.3246780851467214E-2</v>
      </c>
      <c r="P7726" s="18"/>
      <c r="Q7726" s="18"/>
      <c r="R7726" s="18"/>
      <c r="S7726" s="18"/>
      <c r="T7726" s="18"/>
      <c r="U7726" s="18"/>
      <c r="V7726" s="18"/>
      <c r="W7726" s="18"/>
      <c r="X7726" s="18"/>
    </row>
    <row r="7727" spans="13:24">
      <c r="M7727" s="558">
        <f t="shared" si="365"/>
        <v>7725</v>
      </c>
      <c r="N7727" s="15">
        <f t="shared" si="363"/>
        <v>7.3195376349194791E-2</v>
      </c>
      <c r="O7727" s="165">
        <f t="shared" si="364"/>
        <v>7.3195376349194791E-2</v>
      </c>
      <c r="P7727" s="18"/>
      <c r="Q7727" s="18"/>
      <c r="R7727" s="18"/>
      <c r="S7727" s="18"/>
      <c r="T7727" s="18"/>
      <c r="U7727" s="18"/>
      <c r="V7727" s="18"/>
      <c r="W7727" s="18"/>
      <c r="X7727" s="18"/>
    </row>
    <row r="7728" spans="13:24">
      <c r="M7728" s="558">
        <f t="shared" si="365"/>
        <v>7726</v>
      </c>
      <c r="N7728" s="15">
        <f t="shared" si="363"/>
        <v>7.3143971890391887E-2</v>
      </c>
      <c r="O7728" s="165">
        <f t="shared" si="364"/>
        <v>7.3143971890391887E-2</v>
      </c>
      <c r="P7728" s="18"/>
      <c r="Q7728" s="18"/>
      <c r="R7728" s="18"/>
      <c r="S7728" s="18"/>
      <c r="T7728" s="18"/>
      <c r="U7728" s="18"/>
      <c r="V7728" s="18"/>
      <c r="W7728" s="18"/>
      <c r="X7728" s="18"/>
    </row>
    <row r="7729" spans="13:24">
      <c r="M7729" s="558">
        <f t="shared" si="365"/>
        <v>7727</v>
      </c>
      <c r="N7729" s="15">
        <f t="shared" si="363"/>
        <v>7.3092567475003908E-2</v>
      </c>
      <c r="O7729" s="165">
        <f t="shared" si="364"/>
        <v>7.3092567475003908E-2</v>
      </c>
      <c r="P7729" s="18"/>
      <c r="Q7729" s="18"/>
      <c r="R7729" s="18"/>
      <c r="S7729" s="18"/>
      <c r="T7729" s="18"/>
      <c r="U7729" s="18"/>
      <c r="V7729" s="18"/>
      <c r="W7729" s="18"/>
      <c r="X7729" s="18"/>
    </row>
    <row r="7730" spans="13:24">
      <c r="M7730" s="558">
        <f t="shared" si="365"/>
        <v>7728</v>
      </c>
      <c r="N7730" s="15">
        <f t="shared" si="363"/>
        <v>7.3041163102976384E-2</v>
      </c>
      <c r="O7730" s="165">
        <f t="shared" si="364"/>
        <v>7.3041163102976384E-2</v>
      </c>
      <c r="P7730" s="18"/>
      <c r="Q7730" s="18"/>
      <c r="R7730" s="18"/>
      <c r="S7730" s="18"/>
      <c r="T7730" s="18"/>
      <c r="U7730" s="18"/>
      <c r="V7730" s="18"/>
      <c r="W7730" s="18"/>
      <c r="X7730" s="18"/>
    </row>
    <row r="7731" spans="13:24">
      <c r="M7731" s="558">
        <f t="shared" si="365"/>
        <v>7729</v>
      </c>
      <c r="N7731" s="15">
        <f t="shared" si="363"/>
        <v>7.2989758774254912E-2</v>
      </c>
      <c r="O7731" s="165">
        <f t="shared" si="364"/>
        <v>7.2989758774254912E-2</v>
      </c>
      <c r="P7731" s="18"/>
      <c r="Q7731" s="18"/>
      <c r="R7731" s="18"/>
      <c r="S7731" s="18"/>
      <c r="T7731" s="18"/>
      <c r="U7731" s="18"/>
      <c r="V7731" s="18"/>
      <c r="W7731" s="18"/>
      <c r="X7731" s="18"/>
    </row>
    <row r="7732" spans="13:24">
      <c r="M7732" s="558">
        <f t="shared" si="365"/>
        <v>7730</v>
      </c>
      <c r="N7732" s="15">
        <f t="shared" si="363"/>
        <v>7.293835448878512E-2</v>
      </c>
      <c r="O7732" s="165">
        <f t="shared" si="364"/>
        <v>7.293835448878512E-2</v>
      </c>
      <c r="P7732" s="18"/>
      <c r="Q7732" s="18"/>
      <c r="R7732" s="18"/>
      <c r="S7732" s="18"/>
      <c r="T7732" s="18"/>
      <c r="U7732" s="18"/>
      <c r="V7732" s="18"/>
      <c r="W7732" s="18"/>
      <c r="X7732" s="18"/>
    </row>
    <row r="7733" spans="13:24">
      <c r="M7733" s="558">
        <f t="shared" si="365"/>
        <v>7731</v>
      </c>
      <c r="N7733" s="15">
        <f t="shared" si="363"/>
        <v>7.2886950246512761E-2</v>
      </c>
      <c r="O7733" s="165">
        <f t="shared" si="364"/>
        <v>7.2886950246512761E-2</v>
      </c>
      <c r="P7733" s="18"/>
      <c r="Q7733" s="18"/>
      <c r="R7733" s="18"/>
      <c r="S7733" s="18"/>
      <c r="T7733" s="18"/>
      <c r="U7733" s="18"/>
      <c r="V7733" s="18"/>
      <c r="W7733" s="18"/>
      <c r="X7733" s="18"/>
    </row>
    <row r="7734" spans="13:24">
      <c r="M7734" s="558">
        <f t="shared" si="365"/>
        <v>7732</v>
      </c>
      <c r="N7734" s="15">
        <f t="shared" si="363"/>
        <v>7.2835546047383598E-2</v>
      </c>
      <c r="O7734" s="165">
        <f t="shared" si="364"/>
        <v>7.2835546047383598E-2</v>
      </c>
      <c r="P7734" s="18"/>
      <c r="Q7734" s="18"/>
      <c r="R7734" s="18"/>
      <c r="S7734" s="18"/>
      <c r="T7734" s="18"/>
      <c r="U7734" s="18"/>
      <c r="V7734" s="18"/>
      <c r="W7734" s="18"/>
      <c r="X7734" s="18"/>
    </row>
    <row r="7735" spans="13:24">
      <c r="M7735" s="558">
        <f t="shared" si="365"/>
        <v>7733</v>
      </c>
      <c r="N7735" s="15">
        <f t="shared" si="363"/>
        <v>7.278414189134351E-2</v>
      </c>
      <c r="O7735" s="165">
        <f t="shared" si="364"/>
        <v>7.278414189134351E-2</v>
      </c>
      <c r="P7735" s="18"/>
      <c r="Q7735" s="18"/>
      <c r="R7735" s="18"/>
      <c r="S7735" s="18"/>
      <c r="T7735" s="18"/>
      <c r="U7735" s="18"/>
      <c r="V7735" s="18"/>
      <c r="W7735" s="18"/>
      <c r="X7735" s="18"/>
    </row>
    <row r="7736" spans="13:24">
      <c r="M7736" s="558">
        <f t="shared" si="365"/>
        <v>7734</v>
      </c>
      <c r="N7736" s="15">
        <f t="shared" si="363"/>
        <v>7.2732737778338413E-2</v>
      </c>
      <c r="O7736" s="165">
        <f t="shared" si="364"/>
        <v>7.2732737778338413E-2</v>
      </c>
      <c r="P7736" s="18"/>
      <c r="Q7736" s="18"/>
      <c r="R7736" s="18"/>
      <c r="S7736" s="18"/>
      <c r="T7736" s="18"/>
      <c r="U7736" s="18"/>
      <c r="V7736" s="18"/>
      <c r="W7736" s="18"/>
      <c r="X7736" s="18"/>
    </row>
    <row r="7737" spans="13:24">
      <c r="M7737" s="558">
        <f t="shared" si="365"/>
        <v>7735</v>
      </c>
      <c r="N7737" s="15">
        <f t="shared" si="363"/>
        <v>7.2681333708314311E-2</v>
      </c>
      <c r="O7737" s="165">
        <f t="shared" si="364"/>
        <v>7.2681333708314311E-2</v>
      </c>
      <c r="P7737" s="18"/>
      <c r="Q7737" s="18"/>
      <c r="R7737" s="18"/>
      <c r="S7737" s="18"/>
      <c r="T7737" s="18"/>
      <c r="U7737" s="18"/>
      <c r="V7737" s="18"/>
      <c r="W7737" s="18"/>
      <c r="X7737" s="18"/>
    </row>
    <row r="7738" spans="13:24">
      <c r="M7738" s="558">
        <f t="shared" si="365"/>
        <v>7736</v>
      </c>
      <c r="N7738" s="15">
        <f t="shared" si="363"/>
        <v>7.2629929681217245E-2</v>
      </c>
      <c r="O7738" s="165">
        <f t="shared" si="364"/>
        <v>7.2629929681217245E-2</v>
      </c>
      <c r="P7738" s="18"/>
      <c r="Q7738" s="18"/>
      <c r="R7738" s="18"/>
      <c r="S7738" s="18"/>
      <c r="T7738" s="18"/>
      <c r="U7738" s="18"/>
      <c r="V7738" s="18"/>
      <c r="W7738" s="18"/>
      <c r="X7738" s="18"/>
    </row>
    <row r="7739" spans="13:24">
      <c r="M7739" s="558">
        <f t="shared" si="365"/>
        <v>7737</v>
      </c>
      <c r="N7739" s="15">
        <f t="shared" si="363"/>
        <v>7.2578525696993371E-2</v>
      </c>
      <c r="O7739" s="165">
        <f t="shared" si="364"/>
        <v>7.2578525696993371E-2</v>
      </c>
      <c r="P7739" s="18"/>
      <c r="Q7739" s="18"/>
      <c r="R7739" s="18"/>
      <c r="S7739" s="18"/>
      <c r="T7739" s="18"/>
      <c r="U7739" s="18"/>
      <c r="V7739" s="18"/>
      <c r="W7739" s="18"/>
      <c r="X7739" s="18"/>
    </row>
    <row r="7740" spans="13:24">
      <c r="M7740" s="558">
        <f t="shared" si="365"/>
        <v>7738</v>
      </c>
      <c r="N7740" s="15">
        <f t="shared" si="363"/>
        <v>7.2527121755588883E-2</v>
      </c>
      <c r="O7740" s="165">
        <f t="shared" si="364"/>
        <v>7.2527121755588883E-2</v>
      </c>
      <c r="P7740" s="18"/>
      <c r="Q7740" s="18"/>
      <c r="R7740" s="18"/>
      <c r="S7740" s="18"/>
      <c r="T7740" s="18"/>
      <c r="U7740" s="18"/>
      <c r="V7740" s="18"/>
      <c r="W7740" s="18"/>
      <c r="X7740" s="18"/>
    </row>
    <row r="7741" spans="13:24">
      <c r="M7741" s="558">
        <f t="shared" si="365"/>
        <v>7739</v>
      </c>
      <c r="N7741" s="15">
        <f t="shared" si="363"/>
        <v>7.247571785695002E-2</v>
      </c>
      <c r="O7741" s="165">
        <f t="shared" si="364"/>
        <v>7.247571785695002E-2</v>
      </c>
      <c r="P7741" s="18"/>
      <c r="Q7741" s="18"/>
      <c r="R7741" s="18"/>
      <c r="S7741" s="18"/>
      <c r="T7741" s="18"/>
      <c r="U7741" s="18"/>
      <c r="V7741" s="18"/>
      <c r="W7741" s="18"/>
      <c r="X7741" s="18"/>
    </row>
    <row r="7742" spans="13:24">
      <c r="M7742" s="558">
        <f t="shared" si="365"/>
        <v>7740</v>
      </c>
      <c r="N7742" s="15">
        <f t="shared" si="363"/>
        <v>7.242431400102313E-2</v>
      </c>
      <c r="O7742" s="165">
        <f t="shared" si="364"/>
        <v>7.242431400102313E-2</v>
      </c>
      <c r="P7742" s="18"/>
      <c r="Q7742" s="18"/>
      <c r="R7742" s="18"/>
      <c r="S7742" s="18"/>
      <c r="T7742" s="18"/>
      <c r="U7742" s="18"/>
      <c r="V7742" s="18"/>
      <c r="W7742" s="18"/>
      <c r="X7742" s="18"/>
    </row>
    <row r="7743" spans="13:24">
      <c r="M7743" s="558">
        <f t="shared" si="365"/>
        <v>7741</v>
      </c>
      <c r="N7743" s="15">
        <f t="shared" si="363"/>
        <v>7.237291018775463E-2</v>
      </c>
      <c r="O7743" s="165">
        <f t="shared" si="364"/>
        <v>7.237291018775463E-2</v>
      </c>
      <c r="P7743" s="18"/>
      <c r="Q7743" s="18"/>
      <c r="R7743" s="18"/>
      <c r="S7743" s="18"/>
      <c r="T7743" s="18"/>
      <c r="U7743" s="18"/>
      <c r="V7743" s="18"/>
      <c r="W7743" s="18"/>
      <c r="X7743" s="18"/>
    </row>
    <row r="7744" spans="13:24">
      <c r="M7744" s="558">
        <f t="shared" si="365"/>
        <v>7742</v>
      </c>
      <c r="N7744" s="15">
        <f t="shared" si="363"/>
        <v>7.232150641709098E-2</v>
      </c>
      <c r="O7744" s="165">
        <f t="shared" si="364"/>
        <v>7.232150641709098E-2</v>
      </c>
      <c r="P7744" s="18"/>
      <c r="Q7744" s="18"/>
      <c r="R7744" s="18"/>
      <c r="S7744" s="18"/>
      <c r="T7744" s="18"/>
      <c r="U7744" s="18"/>
      <c r="V7744" s="18"/>
      <c r="W7744" s="18"/>
      <c r="X7744" s="18"/>
    </row>
    <row r="7745" spans="13:24">
      <c r="M7745" s="558">
        <f t="shared" si="365"/>
        <v>7743</v>
      </c>
      <c r="N7745" s="15">
        <f t="shared" si="363"/>
        <v>7.2270102688978696E-2</v>
      </c>
      <c r="O7745" s="165">
        <f t="shared" si="364"/>
        <v>7.2270102688978696E-2</v>
      </c>
      <c r="P7745" s="18"/>
      <c r="Q7745" s="18"/>
      <c r="R7745" s="18"/>
      <c r="S7745" s="18"/>
      <c r="T7745" s="18"/>
      <c r="U7745" s="18"/>
      <c r="V7745" s="18"/>
      <c r="W7745" s="18"/>
      <c r="X7745" s="18"/>
    </row>
    <row r="7746" spans="13:24">
      <c r="M7746" s="558">
        <f t="shared" si="365"/>
        <v>7744</v>
      </c>
      <c r="N7746" s="15">
        <f t="shared" si="363"/>
        <v>7.2218699003364389E-2</v>
      </c>
      <c r="O7746" s="165">
        <f t="shared" si="364"/>
        <v>7.2218699003364389E-2</v>
      </c>
      <c r="P7746" s="18"/>
      <c r="Q7746" s="18"/>
      <c r="R7746" s="18"/>
      <c r="S7746" s="18"/>
      <c r="T7746" s="18"/>
      <c r="U7746" s="18"/>
      <c r="V7746" s="18"/>
      <c r="W7746" s="18"/>
      <c r="X7746" s="18"/>
    </row>
    <row r="7747" spans="13:24">
      <c r="M7747" s="558">
        <f t="shared" si="365"/>
        <v>7745</v>
      </c>
      <c r="N7747" s="15">
        <f t="shared" si="363"/>
        <v>7.2167295360194741E-2</v>
      </c>
      <c r="O7747" s="165">
        <f t="shared" si="364"/>
        <v>7.2167295360194741E-2</v>
      </c>
      <c r="P7747" s="18"/>
      <c r="Q7747" s="18"/>
      <c r="R7747" s="18"/>
      <c r="S7747" s="18"/>
      <c r="T7747" s="18"/>
      <c r="U7747" s="18"/>
      <c r="V7747" s="18"/>
      <c r="W7747" s="18"/>
      <c r="X7747" s="18"/>
    </row>
    <row r="7748" spans="13:24">
      <c r="M7748" s="558">
        <f t="shared" si="365"/>
        <v>7746</v>
      </c>
      <c r="N7748" s="15">
        <f t="shared" ref="N7748:N7811" si="366">IF(M7748&lt;$B$31+1,$B$32+$B$33/$B$31*(8760-M7748)+$B$34*IF(M7748&lt;$B$36-$B$31/(2*$B$35),1,IF(M7748&lt;$B$36+$B$31/(2*$B$35),COS(PI()/2*(M7748-($B$36-$B$31/(2*$B$35)))*$B$35/$B$31)^2,0))+$B$37*EXP((8760-M7748)/8760*$B$38)/EXP($B$38)-(8760-$B$31)*$B$33/$B$31,0)</f>
        <v>7.2115891759416476E-2</v>
      </c>
      <c r="O7748" s="165">
        <f t="shared" ref="O7748:O7811" si="367">MIN(N7748,C$24)</f>
        <v>7.2115891759416476E-2</v>
      </c>
      <c r="P7748" s="18"/>
      <c r="Q7748" s="18"/>
      <c r="R7748" s="18"/>
      <c r="S7748" s="18"/>
      <c r="T7748" s="18"/>
      <c r="U7748" s="18"/>
      <c r="V7748" s="18"/>
      <c r="W7748" s="18"/>
      <c r="X7748" s="18"/>
    </row>
    <row r="7749" spans="13:24">
      <c r="M7749" s="558">
        <f t="shared" ref="M7749:M7812" si="368">M7748+1</f>
        <v>7747</v>
      </c>
      <c r="N7749" s="15">
        <f t="shared" si="366"/>
        <v>7.2064488200976384E-2</v>
      </c>
      <c r="O7749" s="165">
        <f t="shared" si="367"/>
        <v>7.2064488200976384E-2</v>
      </c>
      <c r="P7749" s="18"/>
      <c r="Q7749" s="18"/>
      <c r="R7749" s="18"/>
      <c r="S7749" s="18"/>
      <c r="T7749" s="18"/>
      <c r="U7749" s="18"/>
      <c r="V7749" s="18"/>
      <c r="W7749" s="18"/>
      <c r="X7749" s="18"/>
    </row>
    <row r="7750" spans="13:24">
      <c r="M7750" s="558">
        <f t="shared" si="368"/>
        <v>7748</v>
      </c>
      <c r="N7750" s="15">
        <f t="shared" si="366"/>
        <v>7.2013084684821357E-2</v>
      </c>
      <c r="O7750" s="165">
        <f t="shared" si="367"/>
        <v>7.2013084684821357E-2</v>
      </c>
      <c r="P7750" s="18"/>
      <c r="Q7750" s="18"/>
      <c r="R7750" s="18"/>
      <c r="S7750" s="18"/>
      <c r="T7750" s="18"/>
      <c r="U7750" s="18"/>
      <c r="V7750" s="18"/>
      <c r="W7750" s="18"/>
      <c r="X7750" s="18"/>
    </row>
    <row r="7751" spans="13:24">
      <c r="M7751" s="558">
        <f t="shared" si="368"/>
        <v>7749</v>
      </c>
      <c r="N7751" s="15">
        <f t="shared" si="366"/>
        <v>7.1961681210898312E-2</v>
      </c>
      <c r="O7751" s="165">
        <f t="shared" si="367"/>
        <v>7.1961681210898312E-2</v>
      </c>
      <c r="P7751" s="18"/>
      <c r="Q7751" s="18"/>
      <c r="R7751" s="18"/>
      <c r="S7751" s="18"/>
      <c r="T7751" s="18"/>
      <c r="U7751" s="18"/>
      <c r="V7751" s="18"/>
      <c r="W7751" s="18"/>
      <c r="X7751" s="18"/>
    </row>
    <row r="7752" spans="13:24">
      <c r="M7752" s="558">
        <f t="shared" si="368"/>
        <v>7750</v>
      </c>
      <c r="N7752" s="15">
        <f t="shared" si="366"/>
        <v>7.1910277779154264E-2</v>
      </c>
      <c r="O7752" s="165">
        <f t="shared" si="367"/>
        <v>7.1910277779154264E-2</v>
      </c>
      <c r="P7752" s="18"/>
      <c r="Q7752" s="18"/>
      <c r="R7752" s="18"/>
      <c r="S7752" s="18"/>
      <c r="T7752" s="18"/>
      <c r="U7752" s="18"/>
      <c r="V7752" s="18"/>
      <c r="W7752" s="18"/>
      <c r="X7752" s="18"/>
    </row>
    <row r="7753" spans="13:24">
      <c r="M7753" s="558">
        <f t="shared" si="368"/>
        <v>7751</v>
      </c>
      <c r="N7753" s="15">
        <f t="shared" si="366"/>
        <v>7.1858874389536267E-2</v>
      </c>
      <c r="O7753" s="165">
        <f t="shared" si="367"/>
        <v>7.1858874389536267E-2</v>
      </c>
      <c r="P7753" s="18"/>
      <c r="Q7753" s="18"/>
      <c r="R7753" s="18"/>
      <c r="S7753" s="18"/>
      <c r="T7753" s="18"/>
      <c r="U7753" s="18"/>
      <c r="V7753" s="18"/>
      <c r="W7753" s="18"/>
      <c r="X7753" s="18"/>
    </row>
    <row r="7754" spans="13:24">
      <c r="M7754" s="558">
        <f t="shared" si="368"/>
        <v>7752</v>
      </c>
      <c r="N7754" s="15">
        <f t="shared" si="366"/>
        <v>7.1807471041991477E-2</v>
      </c>
      <c r="O7754" s="165">
        <f t="shared" si="367"/>
        <v>7.1807471041991477E-2</v>
      </c>
      <c r="P7754" s="18"/>
      <c r="Q7754" s="18"/>
      <c r="R7754" s="18"/>
      <c r="S7754" s="18"/>
      <c r="T7754" s="18"/>
      <c r="U7754" s="18"/>
      <c r="V7754" s="18"/>
      <c r="W7754" s="18"/>
      <c r="X7754" s="18"/>
    </row>
    <row r="7755" spans="13:24">
      <c r="M7755" s="558">
        <f t="shared" si="368"/>
        <v>7753</v>
      </c>
      <c r="N7755" s="15">
        <f t="shared" si="366"/>
        <v>7.1756067736467088E-2</v>
      </c>
      <c r="O7755" s="165">
        <f t="shared" si="367"/>
        <v>7.1756067736467088E-2</v>
      </c>
      <c r="P7755" s="18"/>
      <c r="Q7755" s="18"/>
      <c r="R7755" s="18"/>
      <c r="S7755" s="18"/>
      <c r="T7755" s="18"/>
      <c r="U7755" s="18"/>
      <c r="V7755" s="18"/>
      <c r="W7755" s="18"/>
      <c r="X7755" s="18"/>
    </row>
    <row r="7756" spans="13:24">
      <c r="M7756" s="558">
        <f t="shared" si="368"/>
        <v>7754</v>
      </c>
      <c r="N7756" s="15">
        <f t="shared" si="366"/>
        <v>7.1704664472910351E-2</v>
      </c>
      <c r="O7756" s="165">
        <f t="shared" si="367"/>
        <v>7.1704664472910351E-2</v>
      </c>
      <c r="P7756" s="18"/>
      <c r="Q7756" s="18"/>
      <c r="R7756" s="18"/>
      <c r="S7756" s="18"/>
      <c r="T7756" s="18"/>
      <c r="U7756" s="18"/>
      <c r="V7756" s="18"/>
      <c r="W7756" s="18"/>
      <c r="X7756" s="18"/>
    </row>
    <row r="7757" spans="13:24">
      <c r="M7757" s="558">
        <f t="shared" si="368"/>
        <v>7755</v>
      </c>
      <c r="N7757" s="15">
        <f t="shared" si="366"/>
        <v>7.1653261251268627E-2</v>
      </c>
      <c r="O7757" s="165">
        <f t="shared" si="367"/>
        <v>7.1653261251268627E-2</v>
      </c>
      <c r="P7757" s="18"/>
      <c r="Q7757" s="18"/>
      <c r="R7757" s="18"/>
      <c r="S7757" s="18"/>
      <c r="T7757" s="18"/>
      <c r="U7757" s="18"/>
      <c r="V7757" s="18"/>
      <c r="W7757" s="18"/>
      <c r="X7757" s="18"/>
    </row>
    <row r="7758" spans="13:24">
      <c r="M7758" s="558">
        <f t="shared" si="368"/>
        <v>7756</v>
      </c>
      <c r="N7758" s="15">
        <f t="shared" si="366"/>
        <v>7.1601858071489277E-2</v>
      </c>
      <c r="O7758" s="165">
        <f t="shared" si="367"/>
        <v>7.1601858071489277E-2</v>
      </c>
      <c r="P7758" s="18"/>
      <c r="Q7758" s="18"/>
      <c r="R7758" s="18"/>
      <c r="S7758" s="18"/>
      <c r="T7758" s="18"/>
      <c r="U7758" s="18"/>
      <c r="V7758" s="18"/>
      <c r="W7758" s="18"/>
      <c r="X7758" s="18"/>
    </row>
    <row r="7759" spans="13:24">
      <c r="M7759" s="558">
        <f t="shared" si="368"/>
        <v>7757</v>
      </c>
      <c r="N7759" s="15">
        <f t="shared" si="366"/>
        <v>7.1550454933519816E-2</v>
      </c>
      <c r="O7759" s="165">
        <f t="shared" si="367"/>
        <v>7.1550454933519816E-2</v>
      </c>
      <c r="P7759" s="18"/>
      <c r="Q7759" s="18"/>
      <c r="R7759" s="18"/>
      <c r="S7759" s="18"/>
      <c r="T7759" s="18"/>
      <c r="U7759" s="18"/>
      <c r="V7759" s="18"/>
      <c r="W7759" s="18"/>
      <c r="X7759" s="18"/>
    </row>
    <row r="7760" spans="13:24">
      <c r="M7760" s="558">
        <f t="shared" si="368"/>
        <v>7758</v>
      </c>
      <c r="N7760" s="15">
        <f t="shared" si="366"/>
        <v>7.1499051837307745E-2</v>
      </c>
      <c r="O7760" s="165">
        <f t="shared" si="367"/>
        <v>7.1499051837307745E-2</v>
      </c>
      <c r="P7760" s="18"/>
      <c r="Q7760" s="18"/>
      <c r="R7760" s="18"/>
      <c r="S7760" s="18"/>
      <c r="T7760" s="18"/>
      <c r="U7760" s="18"/>
      <c r="V7760" s="18"/>
      <c r="W7760" s="18"/>
      <c r="X7760" s="18"/>
    </row>
    <row r="7761" spans="13:24">
      <c r="M7761" s="558">
        <f t="shared" si="368"/>
        <v>7759</v>
      </c>
      <c r="N7761" s="15">
        <f t="shared" si="366"/>
        <v>7.144764878280066E-2</v>
      </c>
      <c r="O7761" s="165">
        <f t="shared" si="367"/>
        <v>7.144764878280066E-2</v>
      </c>
      <c r="P7761" s="18"/>
      <c r="Q7761" s="18"/>
      <c r="R7761" s="18"/>
      <c r="S7761" s="18"/>
      <c r="T7761" s="18"/>
      <c r="U7761" s="18"/>
      <c r="V7761" s="18"/>
      <c r="W7761" s="18"/>
      <c r="X7761" s="18"/>
    </row>
    <row r="7762" spans="13:24">
      <c r="M7762" s="558">
        <f t="shared" si="368"/>
        <v>7760</v>
      </c>
      <c r="N7762" s="15">
        <f t="shared" si="366"/>
        <v>7.1396245769946257E-2</v>
      </c>
      <c r="O7762" s="165">
        <f t="shared" si="367"/>
        <v>7.1396245769946257E-2</v>
      </c>
      <c r="P7762" s="18"/>
      <c r="Q7762" s="18"/>
      <c r="R7762" s="18"/>
      <c r="S7762" s="18"/>
      <c r="T7762" s="18"/>
      <c r="U7762" s="18"/>
      <c r="V7762" s="18"/>
      <c r="W7762" s="18"/>
      <c r="X7762" s="18"/>
    </row>
    <row r="7763" spans="13:24">
      <c r="M7763" s="558">
        <f t="shared" si="368"/>
        <v>7761</v>
      </c>
      <c r="N7763" s="15">
        <f t="shared" si="366"/>
        <v>7.1344842798692229E-2</v>
      </c>
      <c r="O7763" s="165">
        <f t="shared" si="367"/>
        <v>7.1344842798692229E-2</v>
      </c>
      <c r="P7763" s="18"/>
      <c r="Q7763" s="18"/>
      <c r="R7763" s="18"/>
      <c r="S7763" s="18"/>
      <c r="T7763" s="18"/>
      <c r="U7763" s="18"/>
      <c r="V7763" s="18"/>
      <c r="W7763" s="18"/>
      <c r="X7763" s="18"/>
    </row>
    <row r="7764" spans="13:24">
      <c r="M7764" s="558">
        <f t="shared" si="368"/>
        <v>7762</v>
      </c>
      <c r="N7764" s="15">
        <f t="shared" si="366"/>
        <v>7.1293439868986383E-2</v>
      </c>
      <c r="O7764" s="165">
        <f t="shared" si="367"/>
        <v>7.1293439868986383E-2</v>
      </c>
      <c r="P7764" s="18"/>
      <c r="Q7764" s="18"/>
      <c r="R7764" s="18"/>
      <c r="S7764" s="18"/>
      <c r="T7764" s="18"/>
      <c r="U7764" s="18"/>
      <c r="V7764" s="18"/>
      <c r="W7764" s="18"/>
      <c r="X7764" s="18"/>
    </row>
    <row r="7765" spans="13:24">
      <c r="M7765" s="558">
        <f t="shared" si="368"/>
        <v>7763</v>
      </c>
      <c r="N7765" s="15">
        <f t="shared" si="366"/>
        <v>7.124203698077658E-2</v>
      </c>
      <c r="O7765" s="165">
        <f t="shared" si="367"/>
        <v>7.124203698077658E-2</v>
      </c>
      <c r="P7765" s="18"/>
      <c r="Q7765" s="18"/>
      <c r="R7765" s="18"/>
      <c r="S7765" s="18"/>
      <c r="T7765" s="18"/>
      <c r="U7765" s="18"/>
      <c r="V7765" s="18"/>
      <c r="W7765" s="18"/>
      <c r="X7765" s="18"/>
    </row>
    <row r="7766" spans="13:24">
      <c r="M7766" s="558">
        <f t="shared" si="368"/>
        <v>7764</v>
      </c>
      <c r="N7766" s="15">
        <f t="shared" si="366"/>
        <v>7.119063413401075E-2</v>
      </c>
      <c r="O7766" s="165">
        <f t="shared" si="367"/>
        <v>7.119063413401075E-2</v>
      </c>
      <c r="P7766" s="18"/>
      <c r="Q7766" s="18"/>
      <c r="R7766" s="18"/>
      <c r="S7766" s="18"/>
      <c r="T7766" s="18"/>
      <c r="U7766" s="18"/>
      <c r="V7766" s="18"/>
      <c r="W7766" s="18"/>
      <c r="X7766" s="18"/>
    </row>
    <row r="7767" spans="13:24">
      <c r="M7767" s="558">
        <f t="shared" si="368"/>
        <v>7765</v>
      </c>
      <c r="N7767" s="15">
        <f t="shared" si="366"/>
        <v>7.1139231328636865E-2</v>
      </c>
      <c r="O7767" s="165">
        <f t="shared" si="367"/>
        <v>7.1139231328636865E-2</v>
      </c>
      <c r="P7767" s="18"/>
      <c r="Q7767" s="18"/>
      <c r="R7767" s="18"/>
      <c r="S7767" s="18"/>
      <c r="T7767" s="18"/>
      <c r="U7767" s="18"/>
      <c r="V7767" s="18"/>
      <c r="W7767" s="18"/>
      <c r="X7767" s="18"/>
    </row>
    <row r="7768" spans="13:24">
      <c r="M7768" s="558">
        <f t="shared" si="368"/>
        <v>7766</v>
      </c>
      <c r="N7768" s="15">
        <f t="shared" si="366"/>
        <v>7.1087828564603009E-2</v>
      </c>
      <c r="O7768" s="165">
        <f t="shared" si="367"/>
        <v>7.1087828564603009E-2</v>
      </c>
      <c r="P7768" s="18"/>
      <c r="Q7768" s="18"/>
      <c r="R7768" s="18"/>
      <c r="S7768" s="18"/>
      <c r="T7768" s="18"/>
      <c r="U7768" s="18"/>
      <c r="V7768" s="18"/>
      <c r="W7768" s="18"/>
      <c r="X7768" s="18"/>
    </row>
    <row r="7769" spans="13:24">
      <c r="M7769" s="558">
        <f t="shared" si="368"/>
        <v>7767</v>
      </c>
      <c r="N7769" s="15">
        <f t="shared" si="366"/>
        <v>7.1036425841857292E-2</v>
      </c>
      <c r="O7769" s="165">
        <f t="shared" si="367"/>
        <v>7.1036425841857292E-2</v>
      </c>
      <c r="P7769" s="18"/>
      <c r="Q7769" s="18"/>
      <c r="R7769" s="18"/>
      <c r="S7769" s="18"/>
      <c r="T7769" s="18"/>
      <c r="U7769" s="18"/>
      <c r="V7769" s="18"/>
      <c r="W7769" s="18"/>
      <c r="X7769" s="18"/>
    </row>
    <row r="7770" spans="13:24">
      <c r="M7770" s="558">
        <f t="shared" si="368"/>
        <v>7768</v>
      </c>
      <c r="N7770" s="15">
        <f t="shared" si="366"/>
        <v>7.0985023160347896E-2</v>
      </c>
      <c r="O7770" s="165">
        <f t="shared" si="367"/>
        <v>7.0985023160347896E-2</v>
      </c>
      <c r="P7770" s="18"/>
      <c r="Q7770" s="18"/>
      <c r="R7770" s="18"/>
      <c r="S7770" s="18"/>
      <c r="T7770" s="18"/>
      <c r="U7770" s="18"/>
      <c r="V7770" s="18"/>
      <c r="W7770" s="18"/>
      <c r="X7770" s="18"/>
    </row>
    <row r="7771" spans="13:24">
      <c r="M7771" s="558">
        <f t="shared" si="368"/>
        <v>7769</v>
      </c>
      <c r="N7771" s="15">
        <f t="shared" si="366"/>
        <v>7.0933620520023083E-2</v>
      </c>
      <c r="O7771" s="165">
        <f t="shared" si="367"/>
        <v>7.0933620520023083E-2</v>
      </c>
      <c r="P7771" s="18"/>
      <c r="Q7771" s="18"/>
      <c r="R7771" s="18"/>
      <c r="S7771" s="18"/>
      <c r="T7771" s="18"/>
      <c r="U7771" s="18"/>
      <c r="V7771" s="18"/>
      <c r="W7771" s="18"/>
      <c r="X7771" s="18"/>
    </row>
    <row r="7772" spans="13:24">
      <c r="M7772" s="558">
        <f t="shared" si="368"/>
        <v>7770</v>
      </c>
      <c r="N7772" s="15">
        <f t="shared" si="366"/>
        <v>7.0882217920831159E-2</v>
      </c>
      <c r="O7772" s="165">
        <f t="shared" si="367"/>
        <v>7.0882217920831159E-2</v>
      </c>
      <c r="P7772" s="18"/>
      <c r="Q7772" s="18"/>
      <c r="R7772" s="18"/>
      <c r="S7772" s="18"/>
      <c r="T7772" s="18"/>
      <c r="U7772" s="18"/>
      <c r="V7772" s="18"/>
      <c r="W7772" s="18"/>
      <c r="X7772" s="18"/>
    </row>
    <row r="7773" spans="13:24">
      <c r="M7773" s="558">
        <f t="shared" si="368"/>
        <v>7771</v>
      </c>
      <c r="N7773" s="15">
        <f t="shared" si="366"/>
        <v>7.0830815362720498E-2</v>
      </c>
      <c r="O7773" s="165">
        <f t="shared" si="367"/>
        <v>7.0830815362720498E-2</v>
      </c>
      <c r="P7773" s="18"/>
      <c r="Q7773" s="18"/>
      <c r="R7773" s="18"/>
      <c r="S7773" s="18"/>
      <c r="T7773" s="18"/>
      <c r="U7773" s="18"/>
      <c r="V7773" s="18"/>
      <c r="W7773" s="18"/>
      <c r="X7773" s="18"/>
    </row>
    <row r="7774" spans="13:24">
      <c r="M7774" s="558">
        <f t="shared" si="368"/>
        <v>7772</v>
      </c>
      <c r="N7774" s="15">
        <f t="shared" si="366"/>
        <v>7.0779412845639572E-2</v>
      </c>
      <c r="O7774" s="165">
        <f t="shared" si="367"/>
        <v>7.0779412845639572E-2</v>
      </c>
      <c r="P7774" s="18"/>
      <c r="Q7774" s="18"/>
      <c r="R7774" s="18"/>
      <c r="S7774" s="18"/>
      <c r="T7774" s="18"/>
      <c r="U7774" s="18"/>
      <c r="V7774" s="18"/>
      <c r="W7774" s="18"/>
      <c r="X7774" s="18"/>
    </row>
    <row r="7775" spans="13:24">
      <c r="M7775" s="558">
        <f t="shared" si="368"/>
        <v>7773</v>
      </c>
      <c r="N7775" s="15">
        <f t="shared" si="366"/>
        <v>7.0728010369536867E-2</v>
      </c>
      <c r="O7775" s="165">
        <f t="shared" si="367"/>
        <v>7.0728010369536867E-2</v>
      </c>
      <c r="P7775" s="18"/>
      <c r="Q7775" s="18"/>
      <c r="R7775" s="18"/>
      <c r="S7775" s="18"/>
      <c r="T7775" s="18"/>
      <c r="U7775" s="18"/>
      <c r="V7775" s="18"/>
      <c r="W7775" s="18"/>
      <c r="X7775" s="18"/>
    </row>
    <row r="7776" spans="13:24">
      <c r="M7776" s="558">
        <f t="shared" si="368"/>
        <v>7774</v>
      </c>
      <c r="N7776" s="15">
        <f t="shared" si="366"/>
        <v>7.067660793436098E-2</v>
      </c>
      <c r="O7776" s="165">
        <f t="shared" si="367"/>
        <v>7.067660793436098E-2</v>
      </c>
      <c r="P7776" s="18"/>
      <c r="Q7776" s="18"/>
      <c r="R7776" s="18"/>
      <c r="S7776" s="18"/>
      <c r="T7776" s="18"/>
      <c r="U7776" s="18"/>
      <c r="V7776" s="18"/>
      <c r="W7776" s="18"/>
      <c r="X7776" s="18"/>
    </row>
    <row r="7777" spans="13:24">
      <c r="M7777" s="558">
        <f t="shared" si="368"/>
        <v>7775</v>
      </c>
      <c r="N7777" s="15">
        <f t="shared" si="366"/>
        <v>7.0625205540060534E-2</v>
      </c>
      <c r="O7777" s="165">
        <f t="shared" si="367"/>
        <v>7.0625205540060534E-2</v>
      </c>
      <c r="P7777" s="18"/>
      <c r="Q7777" s="18"/>
      <c r="R7777" s="18"/>
      <c r="S7777" s="18"/>
      <c r="T7777" s="18"/>
      <c r="U7777" s="18"/>
      <c r="V7777" s="18"/>
      <c r="W7777" s="18"/>
      <c r="X7777" s="18"/>
    </row>
    <row r="7778" spans="13:24">
      <c r="M7778" s="558">
        <f t="shared" si="368"/>
        <v>7776</v>
      </c>
      <c r="N7778" s="15">
        <f t="shared" si="366"/>
        <v>7.0573803186584252E-2</v>
      </c>
      <c r="O7778" s="165">
        <f t="shared" si="367"/>
        <v>7.0573803186584252E-2</v>
      </c>
      <c r="P7778" s="18"/>
      <c r="Q7778" s="18"/>
      <c r="R7778" s="18"/>
      <c r="S7778" s="18"/>
      <c r="T7778" s="18"/>
      <c r="U7778" s="18"/>
      <c r="V7778" s="18"/>
      <c r="W7778" s="18"/>
      <c r="X7778" s="18"/>
    </row>
    <row r="7779" spans="13:24">
      <c r="M7779" s="558">
        <f t="shared" si="368"/>
        <v>7777</v>
      </c>
      <c r="N7779" s="15">
        <f t="shared" si="366"/>
        <v>7.0522400873880883E-2</v>
      </c>
      <c r="O7779" s="165">
        <f t="shared" si="367"/>
        <v>7.0522400873880883E-2</v>
      </c>
      <c r="P7779" s="18"/>
      <c r="Q7779" s="18"/>
      <c r="R7779" s="18"/>
      <c r="S7779" s="18"/>
      <c r="T7779" s="18"/>
      <c r="U7779" s="18"/>
      <c r="V7779" s="18"/>
      <c r="W7779" s="18"/>
      <c r="X7779" s="18"/>
    </row>
    <row r="7780" spans="13:24">
      <c r="M7780" s="558">
        <f t="shared" si="368"/>
        <v>7778</v>
      </c>
      <c r="N7780" s="15">
        <f t="shared" si="366"/>
        <v>7.0470998601899273E-2</v>
      </c>
      <c r="O7780" s="165">
        <f t="shared" si="367"/>
        <v>7.0470998601899273E-2</v>
      </c>
      <c r="P7780" s="18"/>
      <c r="Q7780" s="18"/>
      <c r="R7780" s="18"/>
      <c r="S7780" s="18"/>
      <c r="T7780" s="18"/>
      <c r="U7780" s="18"/>
      <c r="V7780" s="18"/>
      <c r="W7780" s="18"/>
      <c r="X7780" s="18"/>
    </row>
    <row r="7781" spans="13:24">
      <c r="M7781" s="558">
        <f t="shared" si="368"/>
        <v>7779</v>
      </c>
      <c r="N7781" s="15">
        <f t="shared" si="366"/>
        <v>7.0419596370588311E-2</v>
      </c>
      <c r="O7781" s="165">
        <f t="shared" si="367"/>
        <v>7.0419596370588311E-2</v>
      </c>
      <c r="P7781" s="18"/>
      <c r="Q7781" s="18"/>
      <c r="R7781" s="18"/>
      <c r="S7781" s="18"/>
      <c r="T7781" s="18"/>
      <c r="U7781" s="18"/>
      <c r="V7781" s="18"/>
      <c r="W7781" s="18"/>
      <c r="X7781" s="18"/>
    </row>
    <row r="7782" spans="13:24">
      <c r="M7782" s="558">
        <f t="shared" si="368"/>
        <v>7780</v>
      </c>
      <c r="N7782" s="15">
        <f t="shared" si="366"/>
        <v>7.0368194179896967E-2</v>
      </c>
      <c r="O7782" s="165">
        <f t="shared" si="367"/>
        <v>7.0368194179896967E-2</v>
      </c>
      <c r="P7782" s="18"/>
      <c r="Q7782" s="18"/>
      <c r="R7782" s="18"/>
      <c r="S7782" s="18"/>
      <c r="T7782" s="18"/>
      <c r="U7782" s="18"/>
      <c r="V7782" s="18"/>
      <c r="W7782" s="18"/>
      <c r="X7782" s="18"/>
    </row>
    <row r="7783" spans="13:24">
      <c r="M7783" s="558">
        <f t="shared" si="368"/>
        <v>7781</v>
      </c>
      <c r="N7783" s="15">
        <f t="shared" si="366"/>
        <v>7.0316792029774255E-2</v>
      </c>
      <c r="O7783" s="165">
        <f t="shared" si="367"/>
        <v>7.0316792029774255E-2</v>
      </c>
      <c r="P7783" s="18"/>
      <c r="Q7783" s="18"/>
      <c r="R7783" s="18"/>
      <c r="S7783" s="18"/>
      <c r="T7783" s="18"/>
      <c r="U7783" s="18"/>
      <c r="V7783" s="18"/>
      <c r="W7783" s="18"/>
      <c r="X7783" s="18"/>
    </row>
    <row r="7784" spans="13:24">
      <c r="M7784" s="558">
        <f t="shared" si="368"/>
        <v>7782</v>
      </c>
      <c r="N7784" s="15">
        <f t="shared" si="366"/>
        <v>7.0265389920169272E-2</v>
      </c>
      <c r="O7784" s="165">
        <f t="shared" si="367"/>
        <v>7.0265389920169272E-2</v>
      </c>
      <c r="P7784" s="18"/>
      <c r="Q7784" s="18"/>
      <c r="R7784" s="18"/>
      <c r="S7784" s="18"/>
      <c r="T7784" s="18"/>
      <c r="U7784" s="18"/>
      <c r="V7784" s="18"/>
      <c r="W7784" s="18"/>
      <c r="X7784" s="18"/>
    </row>
    <row r="7785" spans="13:24">
      <c r="M7785" s="558">
        <f t="shared" si="368"/>
        <v>7783</v>
      </c>
      <c r="N7785" s="15">
        <f t="shared" si="366"/>
        <v>7.0213987851031182E-2</v>
      </c>
      <c r="O7785" s="165">
        <f t="shared" si="367"/>
        <v>7.0213987851031182E-2</v>
      </c>
      <c r="P7785" s="18"/>
      <c r="Q7785" s="18"/>
      <c r="R7785" s="18"/>
      <c r="S7785" s="18"/>
      <c r="T7785" s="18"/>
      <c r="U7785" s="18"/>
      <c r="V7785" s="18"/>
      <c r="W7785" s="18"/>
      <c r="X7785" s="18"/>
    </row>
    <row r="7786" spans="13:24">
      <c r="M7786" s="558">
        <f t="shared" si="368"/>
        <v>7784</v>
      </c>
      <c r="N7786" s="15">
        <f t="shared" si="366"/>
        <v>7.0162585822309179E-2</v>
      </c>
      <c r="O7786" s="165">
        <f t="shared" si="367"/>
        <v>7.0162585822309179E-2</v>
      </c>
      <c r="P7786" s="18"/>
      <c r="Q7786" s="18"/>
      <c r="R7786" s="18"/>
      <c r="S7786" s="18"/>
      <c r="T7786" s="18"/>
      <c r="U7786" s="18"/>
      <c r="V7786" s="18"/>
      <c r="W7786" s="18"/>
      <c r="X7786" s="18"/>
    </row>
    <row r="7787" spans="13:24">
      <c r="M7787" s="558">
        <f t="shared" si="368"/>
        <v>7785</v>
      </c>
      <c r="N7787" s="15">
        <f t="shared" si="366"/>
        <v>7.0111183833952567E-2</v>
      </c>
      <c r="O7787" s="165">
        <f t="shared" si="367"/>
        <v>7.0111183833952567E-2</v>
      </c>
      <c r="P7787" s="18"/>
      <c r="Q7787" s="18"/>
      <c r="R7787" s="18"/>
      <c r="S7787" s="18"/>
      <c r="T7787" s="18"/>
      <c r="U7787" s="18"/>
      <c r="V7787" s="18"/>
      <c r="W7787" s="18"/>
      <c r="X7787" s="18"/>
    </row>
    <row r="7788" spans="13:24">
      <c r="M7788" s="558">
        <f t="shared" si="368"/>
        <v>7786</v>
      </c>
      <c r="N7788" s="15">
        <f t="shared" si="366"/>
        <v>7.0059781885910666E-2</v>
      </c>
      <c r="O7788" s="165">
        <f t="shared" si="367"/>
        <v>7.0059781885910666E-2</v>
      </c>
      <c r="P7788" s="18"/>
      <c r="Q7788" s="18"/>
      <c r="R7788" s="18"/>
      <c r="S7788" s="18"/>
      <c r="T7788" s="18"/>
      <c r="U7788" s="18"/>
      <c r="V7788" s="18"/>
      <c r="W7788" s="18"/>
      <c r="X7788" s="18"/>
    </row>
    <row r="7789" spans="13:24">
      <c r="M7789" s="558">
        <f t="shared" si="368"/>
        <v>7787</v>
      </c>
      <c r="N7789" s="15">
        <f t="shared" si="366"/>
        <v>7.0008379978132904E-2</v>
      </c>
      <c r="O7789" s="165">
        <f t="shared" si="367"/>
        <v>7.0008379978132904E-2</v>
      </c>
      <c r="P7789" s="18"/>
      <c r="Q7789" s="18"/>
      <c r="R7789" s="18"/>
      <c r="S7789" s="18"/>
      <c r="T7789" s="18"/>
      <c r="U7789" s="18"/>
      <c r="V7789" s="18"/>
      <c r="W7789" s="18"/>
      <c r="X7789" s="18"/>
    </row>
    <row r="7790" spans="13:24">
      <c r="M7790" s="558">
        <f t="shared" si="368"/>
        <v>7788</v>
      </c>
      <c r="N7790" s="15">
        <f t="shared" si="366"/>
        <v>6.9956978110568752E-2</v>
      </c>
      <c r="O7790" s="165">
        <f t="shared" si="367"/>
        <v>6.9956978110568752E-2</v>
      </c>
      <c r="P7790" s="18"/>
      <c r="Q7790" s="18"/>
      <c r="R7790" s="18"/>
      <c r="S7790" s="18"/>
      <c r="T7790" s="18"/>
      <c r="U7790" s="18"/>
      <c r="V7790" s="18"/>
      <c r="W7790" s="18"/>
      <c r="X7790" s="18"/>
    </row>
    <row r="7791" spans="13:24">
      <c r="M7791" s="558">
        <f t="shared" si="368"/>
        <v>7789</v>
      </c>
      <c r="N7791" s="15">
        <f t="shared" si="366"/>
        <v>6.9905576283167736E-2</v>
      </c>
      <c r="O7791" s="165">
        <f t="shared" si="367"/>
        <v>6.9905576283167736E-2</v>
      </c>
      <c r="P7791" s="18"/>
      <c r="Q7791" s="18"/>
      <c r="R7791" s="18"/>
      <c r="S7791" s="18"/>
      <c r="T7791" s="18"/>
      <c r="U7791" s="18"/>
      <c r="V7791" s="18"/>
      <c r="W7791" s="18"/>
      <c r="X7791" s="18"/>
    </row>
    <row r="7792" spans="13:24">
      <c r="M7792" s="558">
        <f t="shared" si="368"/>
        <v>7790</v>
      </c>
      <c r="N7792" s="15">
        <f t="shared" si="366"/>
        <v>6.9854174495879467E-2</v>
      </c>
      <c r="O7792" s="165">
        <f t="shared" si="367"/>
        <v>6.9854174495879467E-2</v>
      </c>
      <c r="P7792" s="18"/>
      <c r="Q7792" s="18"/>
      <c r="R7792" s="18"/>
      <c r="S7792" s="18"/>
      <c r="T7792" s="18"/>
      <c r="U7792" s="18"/>
      <c r="V7792" s="18"/>
      <c r="W7792" s="18"/>
      <c r="X7792" s="18"/>
    </row>
    <row r="7793" spans="13:24">
      <c r="M7793" s="558">
        <f t="shared" si="368"/>
        <v>7791</v>
      </c>
      <c r="N7793" s="15">
        <f t="shared" si="366"/>
        <v>6.9802772748653596E-2</v>
      </c>
      <c r="O7793" s="165">
        <f t="shared" si="367"/>
        <v>6.9802772748653596E-2</v>
      </c>
      <c r="P7793" s="18"/>
      <c r="Q7793" s="18"/>
      <c r="R7793" s="18"/>
      <c r="S7793" s="18"/>
      <c r="T7793" s="18"/>
      <c r="U7793" s="18"/>
      <c r="V7793" s="18"/>
      <c r="W7793" s="18"/>
      <c r="X7793" s="18"/>
    </row>
    <row r="7794" spans="13:24">
      <c r="M7794" s="558">
        <f t="shared" si="368"/>
        <v>7792</v>
      </c>
      <c r="N7794" s="15">
        <f t="shared" si="366"/>
        <v>6.9751371041439844E-2</v>
      </c>
      <c r="O7794" s="165">
        <f t="shared" si="367"/>
        <v>6.9751371041439844E-2</v>
      </c>
      <c r="P7794" s="18"/>
      <c r="Q7794" s="18"/>
      <c r="R7794" s="18"/>
      <c r="S7794" s="18"/>
      <c r="T7794" s="18"/>
      <c r="U7794" s="18"/>
      <c r="V7794" s="18"/>
      <c r="W7794" s="18"/>
      <c r="X7794" s="18"/>
    </row>
    <row r="7795" spans="13:24">
      <c r="M7795" s="558">
        <f t="shared" si="368"/>
        <v>7793</v>
      </c>
      <c r="N7795" s="15">
        <f t="shared" si="366"/>
        <v>6.9699969374188014E-2</v>
      </c>
      <c r="O7795" s="165">
        <f t="shared" si="367"/>
        <v>6.9699969374188014E-2</v>
      </c>
      <c r="P7795" s="18"/>
      <c r="Q7795" s="18"/>
      <c r="R7795" s="18"/>
      <c r="S7795" s="18"/>
      <c r="T7795" s="18"/>
      <c r="U7795" s="18"/>
      <c r="V7795" s="18"/>
      <c r="W7795" s="18"/>
      <c r="X7795" s="18"/>
    </row>
    <row r="7796" spans="13:24">
      <c r="M7796" s="558">
        <f t="shared" si="368"/>
        <v>7794</v>
      </c>
      <c r="N7796" s="15">
        <f t="shared" si="366"/>
        <v>6.9648567746847953E-2</v>
      </c>
      <c r="O7796" s="165">
        <f t="shared" si="367"/>
        <v>6.9648567746847953E-2</v>
      </c>
      <c r="P7796" s="18"/>
      <c r="Q7796" s="18"/>
      <c r="R7796" s="18"/>
      <c r="S7796" s="18"/>
      <c r="T7796" s="18"/>
      <c r="U7796" s="18"/>
      <c r="V7796" s="18"/>
      <c r="W7796" s="18"/>
      <c r="X7796" s="18"/>
    </row>
    <row r="7797" spans="13:24">
      <c r="M7797" s="558">
        <f t="shared" si="368"/>
        <v>7795</v>
      </c>
      <c r="N7797" s="15">
        <f t="shared" si="366"/>
        <v>6.9597166159369561E-2</v>
      </c>
      <c r="O7797" s="165">
        <f t="shared" si="367"/>
        <v>6.9597166159369561E-2</v>
      </c>
      <c r="P7797" s="18"/>
      <c r="Q7797" s="18"/>
      <c r="R7797" s="18"/>
      <c r="S7797" s="18"/>
      <c r="T7797" s="18"/>
      <c r="U7797" s="18"/>
      <c r="V7797" s="18"/>
      <c r="W7797" s="18"/>
      <c r="X7797" s="18"/>
    </row>
    <row r="7798" spans="13:24">
      <c r="M7798" s="558">
        <f t="shared" si="368"/>
        <v>7796</v>
      </c>
      <c r="N7798" s="15">
        <f t="shared" si="366"/>
        <v>6.9545764611702823E-2</v>
      </c>
      <c r="O7798" s="165">
        <f t="shared" si="367"/>
        <v>6.9545764611702823E-2</v>
      </c>
      <c r="P7798" s="18"/>
      <c r="Q7798" s="18"/>
      <c r="R7798" s="18"/>
      <c r="S7798" s="18"/>
      <c r="T7798" s="18"/>
      <c r="U7798" s="18"/>
      <c r="V7798" s="18"/>
      <c r="W7798" s="18"/>
      <c r="X7798" s="18"/>
    </row>
    <row r="7799" spans="13:24">
      <c r="M7799" s="558">
        <f t="shared" si="368"/>
        <v>7797</v>
      </c>
      <c r="N7799" s="15">
        <f t="shared" si="366"/>
        <v>6.9494363103797793E-2</v>
      </c>
      <c r="O7799" s="165">
        <f t="shared" si="367"/>
        <v>6.9494363103797793E-2</v>
      </c>
      <c r="P7799" s="18"/>
      <c r="Q7799" s="18"/>
      <c r="R7799" s="18"/>
      <c r="S7799" s="18"/>
      <c r="T7799" s="18"/>
      <c r="U7799" s="18"/>
      <c r="V7799" s="18"/>
      <c r="W7799" s="18"/>
      <c r="X7799" s="18"/>
    </row>
    <row r="7800" spans="13:24">
      <c r="M7800" s="558">
        <f t="shared" si="368"/>
        <v>7798</v>
      </c>
      <c r="N7800" s="15">
        <f t="shared" si="366"/>
        <v>6.9442961635604553E-2</v>
      </c>
      <c r="O7800" s="165">
        <f t="shared" si="367"/>
        <v>6.9442961635604553E-2</v>
      </c>
      <c r="P7800" s="18"/>
      <c r="Q7800" s="18"/>
      <c r="R7800" s="18"/>
      <c r="S7800" s="18"/>
      <c r="T7800" s="18"/>
      <c r="U7800" s="18"/>
      <c r="V7800" s="18"/>
      <c r="W7800" s="18"/>
      <c r="X7800" s="18"/>
    </row>
    <row r="7801" spans="13:24">
      <c r="M7801" s="558">
        <f t="shared" si="368"/>
        <v>7799</v>
      </c>
      <c r="N7801" s="15">
        <f t="shared" si="366"/>
        <v>6.9391560207073266E-2</v>
      </c>
      <c r="O7801" s="165">
        <f t="shared" si="367"/>
        <v>6.9391560207073266E-2</v>
      </c>
      <c r="P7801" s="18"/>
      <c r="Q7801" s="18"/>
      <c r="R7801" s="18"/>
      <c r="S7801" s="18"/>
      <c r="T7801" s="18"/>
      <c r="U7801" s="18"/>
      <c r="V7801" s="18"/>
      <c r="W7801" s="18"/>
      <c r="X7801" s="18"/>
    </row>
    <row r="7802" spans="13:24">
      <c r="M7802" s="558">
        <f t="shared" si="368"/>
        <v>7800</v>
      </c>
      <c r="N7802" s="15">
        <f t="shared" si="366"/>
        <v>6.9340158818154182E-2</v>
      </c>
      <c r="O7802" s="165">
        <f t="shared" si="367"/>
        <v>6.9340158818154182E-2</v>
      </c>
      <c r="P7802" s="18"/>
      <c r="Q7802" s="18"/>
      <c r="R7802" s="18"/>
      <c r="S7802" s="18"/>
      <c r="T7802" s="18"/>
      <c r="U7802" s="18"/>
      <c r="V7802" s="18"/>
      <c r="W7802" s="18"/>
      <c r="X7802" s="18"/>
    </row>
    <row r="7803" spans="13:24">
      <c r="M7803" s="558">
        <f t="shared" si="368"/>
        <v>7801</v>
      </c>
      <c r="N7803" s="15">
        <f t="shared" si="366"/>
        <v>6.9288757468797563E-2</v>
      </c>
      <c r="O7803" s="165">
        <f t="shared" si="367"/>
        <v>6.9288757468797563E-2</v>
      </c>
      <c r="P7803" s="18"/>
      <c r="Q7803" s="18"/>
      <c r="R7803" s="18"/>
      <c r="S7803" s="18"/>
      <c r="T7803" s="18"/>
      <c r="U7803" s="18"/>
      <c r="V7803" s="18"/>
      <c r="W7803" s="18"/>
      <c r="X7803" s="18"/>
    </row>
    <row r="7804" spans="13:24">
      <c r="M7804" s="558">
        <f t="shared" si="368"/>
        <v>7802</v>
      </c>
      <c r="N7804" s="15">
        <f t="shared" si="366"/>
        <v>6.9237356158953781E-2</v>
      </c>
      <c r="O7804" s="165">
        <f t="shared" si="367"/>
        <v>6.9237356158953781E-2</v>
      </c>
      <c r="P7804" s="18"/>
      <c r="Q7804" s="18"/>
      <c r="R7804" s="18"/>
      <c r="S7804" s="18"/>
      <c r="T7804" s="18"/>
      <c r="U7804" s="18"/>
      <c r="V7804" s="18"/>
      <c r="W7804" s="18"/>
      <c r="X7804" s="18"/>
    </row>
    <row r="7805" spans="13:24">
      <c r="M7805" s="558">
        <f t="shared" si="368"/>
        <v>7803</v>
      </c>
      <c r="N7805" s="15">
        <f t="shared" si="366"/>
        <v>6.9185954888573251E-2</v>
      </c>
      <c r="O7805" s="165">
        <f t="shared" si="367"/>
        <v>6.9185954888573251E-2</v>
      </c>
      <c r="P7805" s="18"/>
      <c r="Q7805" s="18"/>
      <c r="R7805" s="18"/>
      <c r="S7805" s="18"/>
      <c r="T7805" s="18"/>
      <c r="U7805" s="18"/>
      <c r="V7805" s="18"/>
      <c r="W7805" s="18"/>
      <c r="X7805" s="18"/>
    </row>
    <row r="7806" spans="13:24">
      <c r="M7806" s="558">
        <f t="shared" si="368"/>
        <v>7804</v>
      </c>
      <c r="N7806" s="15">
        <f t="shared" si="366"/>
        <v>6.9134553657606443E-2</v>
      </c>
      <c r="O7806" s="165">
        <f t="shared" si="367"/>
        <v>6.9134553657606443E-2</v>
      </c>
      <c r="P7806" s="18"/>
      <c r="Q7806" s="18"/>
      <c r="R7806" s="18"/>
      <c r="S7806" s="18"/>
      <c r="T7806" s="18"/>
      <c r="U7806" s="18"/>
      <c r="V7806" s="18"/>
      <c r="W7806" s="18"/>
      <c r="X7806" s="18"/>
    </row>
    <row r="7807" spans="13:24">
      <c r="M7807" s="558">
        <f t="shared" si="368"/>
        <v>7805</v>
      </c>
      <c r="N7807" s="15">
        <f t="shared" si="366"/>
        <v>6.9083152466003897E-2</v>
      </c>
      <c r="O7807" s="165">
        <f t="shared" si="367"/>
        <v>6.9083152466003897E-2</v>
      </c>
      <c r="P7807" s="18"/>
      <c r="Q7807" s="18"/>
      <c r="R7807" s="18"/>
      <c r="S7807" s="18"/>
      <c r="T7807" s="18"/>
      <c r="U7807" s="18"/>
      <c r="V7807" s="18"/>
      <c r="W7807" s="18"/>
      <c r="X7807" s="18"/>
    </row>
    <row r="7808" spans="13:24">
      <c r="M7808" s="558">
        <f t="shared" si="368"/>
        <v>7806</v>
      </c>
      <c r="N7808" s="15">
        <f t="shared" si="366"/>
        <v>6.9031751313716208E-2</v>
      </c>
      <c r="O7808" s="165">
        <f t="shared" si="367"/>
        <v>6.9031751313716208E-2</v>
      </c>
      <c r="P7808" s="18"/>
      <c r="Q7808" s="18"/>
      <c r="R7808" s="18"/>
      <c r="S7808" s="18"/>
      <c r="T7808" s="18"/>
      <c r="U7808" s="18"/>
      <c r="V7808" s="18"/>
      <c r="W7808" s="18"/>
      <c r="X7808" s="18"/>
    </row>
    <row r="7809" spans="13:24">
      <c r="M7809" s="558">
        <f t="shared" si="368"/>
        <v>7807</v>
      </c>
      <c r="N7809" s="15">
        <f t="shared" si="366"/>
        <v>6.8980350200694054E-2</v>
      </c>
      <c r="O7809" s="165">
        <f t="shared" si="367"/>
        <v>6.8980350200694054E-2</v>
      </c>
      <c r="P7809" s="18"/>
      <c r="Q7809" s="18"/>
      <c r="R7809" s="18"/>
      <c r="S7809" s="18"/>
      <c r="T7809" s="18"/>
      <c r="U7809" s="18"/>
      <c r="V7809" s="18"/>
      <c r="W7809" s="18"/>
      <c r="X7809" s="18"/>
    </row>
    <row r="7810" spans="13:24">
      <c r="M7810" s="558">
        <f t="shared" si="368"/>
        <v>7808</v>
      </c>
      <c r="N7810" s="15">
        <f t="shared" si="366"/>
        <v>6.8928949126888142E-2</v>
      </c>
      <c r="O7810" s="165">
        <f t="shared" si="367"/>
        <v>6.8928949126888142E-2</v>
      </c>
      <c r="P7810" s="18"/>
      <c r="Q7810" s="18"/>
      <c r="R7810" s="18"/>
      <c r="S7810" s="18"/>
      <c r="T7810" s="18"/>
      <c r="U7810" s="18"/>
      <c r="V7810" s="18"/>
      <c r="W7810" s="18"/>
      <c r="X7810" s="18"/>
    </row>
    <row r="7811" spans="13:24">
      <c r="M7811" s="558">
        <f t="shared" si="368"/>
        <v>7809</v>
      </c>
      <c r="N7811" s="15">
        <f t="shared" si="366"/>
        <v>6.8877548092249274E-2</v>
      </c>
      <c r="O7811" s="165">
        <f t="shared" si="367"/>
        <v>6.8877548092249274E-2</v>
      </c>
      <c r="P7811" s="18"/>
      <c r="Q7811" s="18"/>
      <c r="R7811" s="18"/>
      <c r="S7811" s="18"/>
      <c r="T7811" s="18"/>
      <c r="U7811" s="18"/>
      <c r="V7811" s="18"/>
      <c r="W7811" s="18"/>
      <c r="X7811" s="18"/>
    </row>
    <row r="7812" spans="13:24">
      <c r="M7812" s="558">
        <f t="shared" si="368"/>
        <v>7810</v>
      </c>
      <c r="N7812" s="15">
        <f t="shared" ref="N7812:N7875" si="369">IF(M7812&lt;$B$31+1,$B$32+$B$33/$B$31*(8760-M7812)+$B$34*IF(M7812&lt;$B$36-$B$31/(2*$B$35),1,IF(M7812&lt;$B$36+$B$31/(2*$B$35),COS(PI()/2*(M7812-($B$36-$B$31/(2*$B$35)))*$B$35/$B$31)^2,0))+$B$37*EXP((8760-M7812)/8760*$B$38)/EXP($B$38)-(8760-$B$31)*$B$33/$B$31,0)</f>
        <v>6.8826147096728296E-2</v>
      </c>
      <c r="O7812" s="165">
        <f t="shared" ref="O7812:O7875" si="370">MIN(N7812,C$24)</f>
        <v>6.8826147096728296E-2</v>
      </c>
      <c r="P7812" s="18"/>
      <c r="Q7812" s="18"/>
      <c r="R7812" s="18"/>
      <c r="S7812" s="18"/>
      <c r="T7812" s="18"/>
      <c r="U7812" s="18"/>
      <c r="V7812" s="18"/>
      <c r="W7812" s="18"/>
      <c r="X7812" s="18"/>
    </row>
    <row r="7813" spans="13:24">
      <c r="M7813" s="558">
        <f t="shared" ref="M7813:M7876" si="371">M7812+1</f>
        <v>7811</v>
      </c>
      <c r="N7813" s="15">
        <f t="shared" si="369"/>
        <v>6.8774746140276108E-2</v>
      </c>
      <c r="O7813" s="165">
        <f t="shared" si="370"/>
        <v>6.8774746140276108E-2</v>
      </c>
      <c r="P7813" s="18"/>
      <c r="Q7813" s="18"/>
      <c r="R7813" s="18"/>
      <c r="S7813" s="18"/>
      <c r="T7813" s="18"/>
      <c r="U7813" s="18"/>
      <c r="V7813" s="18"/>
      <c r="W7813" s="18"/>
      <c r="X7813" s="18"/>
    </row>
    <row r="7814" spans="13:24">
      <c r="M7814" s="558">
        <f t="shared" si="371"/>
        <v>7812</v>
      </c>
      <c r="N7814" s="15">
        <f t="shared" si="369"/>
        <v>6.8723345222843693E-2</v>
      </c>
      <c r="O7814" s="165">
        <f t="shared" si="370"/>
        <v>6.8723345222843693E-2</v>
      </c>
      <c r="P7814" s="18"/>
      <c r="Q7814" s="18"/>
      <c r="R7814" s="18"/>
      <c r="S7814" s="18"/>
      <c r="T7814" s="18"/>
      <c r="U7814" s="18"/>
      <c r="V7814" s="18"/>
      <c r="W7814" s="18"/>
      <c r="X7814" s="18"/>
    </row>
    <row r="7815" spans="13:24">
      <c r="M7815" s="558">
        <f t="shared" si="371"/>
        <v>7813</v>
      </c>
      <c r="N7815" s="15">
        <f t="shared" si="369"/>
        <v>6.8671944344382077E-2</v>
      </c>
      <c r="O7815" s="165">
        <f t="shared" si="370"/>
        <v>6.8671944344382077E-2</v>
      </c>
      <c r="P7815" s="18"/>
      <c r="Q7815" s="18"/>
      <c r="R7815" s="18"/>
      <c r="S7815" s="18"/>
      <c r="T7815" s="18"/>
      <c r="U7815" s="18"/>
      <c r="V7815" s="18"/>
      <c r="W7815" s="18"/>
      <c r="X7815" s="18"/>
    </row>
    <row r="7816" spans="13:24">
      <c r="M7816" s="558">
        <f t="shared" si="371"/>
        <v>7814</v>
      </c>
      <c r="N7816" s="15">
        <f t="shared" si="369"/>
        <v>6.8620543504842355E-2</v>
      </c>
      <c r="O7816" s="165">
        <f t="shared" si="370"/>
        <v>6.8620543504842355E-2</v>
      </c>
      <c r="P7816" s="18"/>
      <c r="Q7816" s="18"/>
      <c r="R7816" s="18"/>
      <c r="S7816" s="18"/>
      <c r="T7816" s="18"/>
      <c r="U7816" s="18"/>
      <c r="V7816" s="18"/>
      <c r="W7816" s="18"/>
      <c r="X7816" s="18"/>
    </row>
    <row r="7817" spans="13:24">
      <c r="M7817" s="558">
        <f t="shared" si="371"/>
        <v>7815</v>
      </c>
      <c r="N7817" s="15">
        <f t="shared" si="369"/>
        <v>6.856914270417569E-2</v>
      </c>
      <c r="O7817" s="165">
        <f t="shared" si="370"/>
        <v>6.856914270417569E-2</v>
      </c>
      <c r="P7817" s="18"/>
      <c r="Q7817" s="18"/>
      <c r="R7817" s="18"/>
      <c r="S7817" s="18"/>
      <c r="T7817" s="18"/>
      <c r="U7817" s="18"/>
      <c r="V7817" s="18"/>
      <c r="W7817" s="18"/>
      <c r="X7817" s="18"/>
    </row>
    <row r="7818" spans="13:24">
      <c r="M7818" s="558">
        <f t="shared" si="371"/>
        <v>7816</v>
      </c>
      <c r="N7818" s="15">
        <f t="shared" si="369"/>
        <v>6.8517741942333288E-2</v>
      </c>
      <c r="O7818" s="165">
        <f t="shared" si="370"/>
        <v>6.8517741942333288E-2</v>
      </c>
      <c r="P7818" s="18"/>
      <c r="Q7818" s="18"/>
      <c r="R7818" s="18"/>
      <c r="S7818" s="18"/>
      <c r="T7818" s="18"/>
      <c r="U7818" s="18"/>
      <c r="V7818" s="18"/>
      <c r="W7818" s="18"/>
      <c r="X7818" s="18"/>
    </row>
    <row r="7819" spans="13:24">
      <c r="M7819" s="558">
        <f t="shared" si="371"/>
        <v>7817</v>
      </c>
      <c r="N7819" s="15">
        <f t="shared" si="369"/>
        <v>6.8466341219266424E-2</v>
      </c>
      <c r="O7819" s="165">
        <f t="shared" si="370"/>
        <v>6.8466341219266424E-2</v>
      </c>
      <c r="P7819" s="18"/>
      <c r="Q7819" s="18"/>
      <c r="R7819" s="18"/>
      <c r="S7819" s="18"/>
      <c r="T7819" s="18"/>
      <c r="U7819" s="18"/>
      <c r="V7819" s="18"/>
      <c r="W7819" s="18"/>
      <c r="X7819" s="18"/>
    </row>
    <row r="7820" spans="13:24">
      <c r="M7820" s="558">
        <f t="shared" si="371"/>
        <v>7818</v>
      </c>
      <c r="N7820" s="15">
        <f t="shared" si="369"/>
        <v>6.8414940534926472E-2</v>
      </c>
      <c r="O7820" s="165">
        <f t="shared" si="370"/>
        <v>6.8414940534926472E-2</v>
      </c>
      <c r="P7820" s="18"/>
      <c r="Q7820" s="18"/>
      <c r="R7820" s="18"/>
      <c r="S7820" s="18"/>
      <c r="T7820" s="18"/>
      <c r="U7820" s="18"/>
      <c r="V7820" s="18"/>
      <c r="W7820" s="18"/>
      <c r="X7820" s="18"/>
    </row>
    <row r="7821" spans="13:24">
      <c r="M7821" s="558">
        <f t="shared" si="371"/>
        <v>7819</v>
      </c>
      <c r="N7821" s="15">
        <f t="shared" si="369"/>
        <v>6.8363539889264788E-2</v>
      </c>
      <c r="O7821" s="165">
        <f t="shared" si="370"/>
        <v>6.8363539889264788E-2</v>
      </c>
      <c r="P7821" s="18"/>
      <c r="Q7821" s="18"/>
      <c r="R7821" s="18"/>
      <c r="S7821" s="18"/>
      <c r="T7821" s="18"/>
      <c r="U7821" s="18"/>
      <c r="V7821" s="18"/>
      <c r="W7821" s="18"/>
      <c r="X7821" s="18"/>
    </row>
    <row r="7822" spans="13:24">
      <c r="M7822" s="558">
        <f t="shared" si="371"/>
        <v>7820</v>
      </c>
      <c r="N7822" s="15">
        <f t="shared" si="369"/>
        <v>6.831213928223287E-2</v>
      </c>
      <c r="O7822" s="165">
        <f t="shared" si="370"/>
        <v>6.831213928223287E-2</v>
      </c>
      <c r="P7822" s="18"/>
      <c r="Q7822" s="18"/>
      <c r="R7822" s="18"/>
      <c r="S7822" s="18"/>
      <c r="T7822" s="18"/>
      <c r="U7822" s="18"/>
      <c r="V7822" s="18"/>
      <c r="W7822" s="18"/>
      <c r="X7822" s="18"/>
    </row>
    <row r="7823" spans="13:24">
      <c r="M7823" s="558">
        <f t="shared" si="371"/>
        <v>7821</v>
      </c>
      <c r="N7823" s="15">
        <f t="shared" si="369"/>
        <v>6.8260738713782229E-2</v>
      </c>
      <c r="O7823" s="165">
        <f t="shared" si="370"/>
        <v>6.8260738713782229E-2</v>
      </c>
      <c r="P7823" s="18"/>
      <c r="Q7823" s="18"/>
      <c r="R7823" s="18"/>
      <c r="S7823" s="18"/>
      <c r="T7823" s="18"/>
      <c r="U7823" s="18"/>
      <c r="V7823" s="18"/>
      <c r="W7823" s="18"/>
      <c r="X7823" s="18"/>
    </row>
    <row r="7824" spans="13:24">
      <c r="M7824" s="558">
        <f t="shared" si="371"/>
        <v>7822</v>
      </c>
      <c r="N7824" s="15">
        <f t="shared" si="369"/>
        <v>6.8209338183864432E-2</v>
      </c>
      <c r="O7824" s="165">
        <f t="shared" si="370"/>
        <v>6.8209338183864432E-2</v>
      </c>
      <c r="P7824" s="18"/>
      <c r="Q7824" s="18"/>
      <c r="R7824" s="18"/>
      <c r="S7824" s="18"/>
      <c r="T7824" s="18"/>
      <c r="U7824" s="18"/>
      <c r="V7824" s="18"/>
      <c r="W7824" s="18"/>
      <c r="X7824" s="18"/>
    </row>
    <row r="7825" spans="13:24">
      <c r="M7825" s="558">
        <f t="shared" si="371"/>
        <v>7823</v>
      </c>
      <c r="N7825" s="15">
        <f t="shared" si="369"/>
        <v>6.8157937692431156E-2</v>
      </c>
      <c r="O7825" s="165">
        <f t="shared" si="370"/>
        <v>6.8157937692431156E-2</v>
      </c>
      <c r="P7825" s="18"/>
      <c r="Q7825" s="18"/>
      <c r="R7825" s="18"/>
      <c r="S7825" s="18"/>
      <c r="T7825" s="18"/>
      <c r="U7825" s="18"/>
      <c r="V7825" s="18"/>
      <c r="W7825" s="18"/>
      <c r="X7825" s="18"/>
    </row>
    <row r="7826" spans="13:24">
      <c r="M7826" s="558">
        <f t="shared" si="371"/>
        <v>7824</v>
      </c>
      <c r="N7826" s="15">
        <f t="shared" si="369"/>
        <v>6.8106537239434065E-2</v>
      </c>
      <c r="O7826" s="165">
        <f t="shared" si="370"/>
        <v>6.8106537239434065E-2</v>
      </c>
      <c r="P7826" s="18"/>
      <c r="Q7826" s="18"/>
      <c r="R7826" s="18"/>
      <c r="S7826" s="18"/>
      <c r="T7826" s="18"/>
      <c r="U7826" s="18"/>
      <c r="V7826" s="18"/>
      <c r="W7826" s="18"/>
      <c r="X7826" s="18"/>
    </row>
    <row r="7827" spans="13:24">
      <c r="M7827" s="558">
        <f t="shared" si="371"/>
        <v>7825</v>
      </c>
      <c r="N7827" s="15">
        <f t="shared" si="369"/>
        <v>6.8055136824824961E-2</v>
      </c>
      <c r="O7827" s="165">
        <f t="shared" si="370"/>
        <v>6.8055136824824961E-2</v>
      </c>
      <c r="P7827" s="18"/>
      <c r="Q7827" s="18"/>
      <c r="R7827" s="18"/>
      <c r="S7827" s="18"/>
      <c r="T7827" s="18"/>
      <c r="U7827" s="18"/>
      <c r="V7827" s="18"/>
      <c r="W7827" s="18"/>
      <c r="X7827" s="18"/>
    </row>
    <row r="7828" spans="13:24">
      <c r="M7828" s="558">
        <f t="shared" si="371"/>
        <v>7826</v>
      </c>
      <c r="N7828" s="15">
        <f t="shared" si="369"/>
        <v>6.800373644855566E-2</v>
      </c>
      <c r="O7828" s="165">
        <f t="shared" si="370"/>
        <v>6.800373644855566E-2</v>
      </c>
      <c r="P7828" s="18"/>
      <c r="Q7828" s="18"/>
      <c r="R7828" s="18"/>
      <c r="S7828" s="18"/>
      <c r="T7828" s="18"/>
      <c r="U7828" s="18"/>
      <c r="V7828" s="18"/>
      <c r="W7828" s="18"/>
      <c r="X7828" s="18"/>
    </row>
    <row r="7829" spans="13:24">
      <c r="M7829" s="558">
        <f t="shared" si="371"/>
        <v>7827</v>
      </c>
      <c r="N7829" s="15">
        <f t="shared" si="369"/>
        <v>6.7952336110578035E-2</v>
      </c>
      <c r="O7829" s="165">
        <f t="shared" si="370"/>
        <v>6.7952336110578035E-2</v>
      </c>
      <c r="P7829" s="18"/>
      <c r="Q7829" s="18"/>
      <c r="R7829" s="18"/>
      <c r="S7829" s="18"/>
      <c r="T7829" s="18"/>
      <c r="U7829" s="18"/>
      <c r="V7829" s="18"/>
      <c r="W7829" s="18"/>
      <c r="X7829" s="18"/>
    </row>
    <row r="7830" spans="13:24">
      <c r="M7830" s="558">
        <f t="shared" si="371"/>
        <v>7828</v>
      </c>
      <c r="N7830" s="15">
        <f t="shared" si="369"/>
        <v>6.790093581084404E-2</v>
      </c>
      <c r="O7830" s="165">
        <f t="shared" si="370"/>
        <v>6.790093581084404E-2</v>
      </c>
      <c r="P7830" s="18"/>
      <c r="Q7830" s="18"/>
      <c r="R7830" s="18"/>
      <c r="S7830" s="18"/>
      <c r="T7830" s="18"/>
      <c r="U7830" s="18"/>
      <c r="V7830" s="18"/>
      <c r="W7830" s="18"/>
      <c r="X7830" s="18"/>
    </row>
    <row r="7831" spans="13:24">
      <c r="M7831" s="558">
        <f t="shared" si="371"/>
        <v>7829</v>
      </c>
      <c r="N7831" s="15">
        <f t="shared" si="369"/>
        <v>6.7849535549305687E-2</v>
      </c>
      <c r="O7831" s="165">
        <f t="shared" si="370"/>
        <v>6.7849535549305687E-2</v>
      </c>
      <c r="P7831" s="18"/>
      <c r="Q7831" s="18"/>
      <c r="R7831" s="18"/>
      <c r="S7831" s="18"/>
      <c r="T7831" s="18"/>
      <c r="U7831" s="18"/>
      <c r="V7831" s="18"/>
      <c r="W7831" s="18"/>
      <c r="X7831" s="18"/>
    </row>
    <row r="7832" spans="13:24">
      <c r="M7832" s="558">
        <f t="shared" si="371"/>
        <v>7830</v>
      </c>
      <c r="N7832" s="15">
        <f t="shared" si="369"/>
        <v>6.779813532591504E-2</v>
      </c>
      <c r="O7832" s="165">
        <f t="shared" si="370"/>
        <v>6.779813532591504E-2</v>
      </c>
      <c r="P7832" s="18"/>
      <c r="Q7832" s="18"/>
      <c r="R7832" s="18"/>
      <c r="S7832" s="18"/>
      <c r="T7832" s="18"/>
      <c r="U7832" s="18"/>
      <c r="V7832" s="18"/>
      <c r="W7832" s="18"/>
      <c r="X7832" s="18"/>
    </row>
    <row r="7833" spans="13:24">
      <c r="M7833" s="558">
        <f t="shared" si="371"/>
        <v>7831</v>
      </c>
      <c r="N7833" s="15">
        <f t="shared" si="369"/>
        <v>6.7746735140624237E-2</v>
      </c>
      <c r="O7833" s="165">
        <f t="shared" si="370"/>
        <v>6.7746735140624237E-2</v>
      </c>
      <c r="P7833" s="18"/>
      <c r="Q7833" s="18"/>
      <c r="R7833" s="18"/>
      <c r="S7833" s="18"/>
      <c r="T7833" s="18"/>
      <c r="U7833" s="18"/>
      <c r="V7833" s="18"/>
      <c r="W7833" s="18"/>
      <c r="X7833" s="18"/>
    </row>
    <row r="7834" spans="13:24">
      <c r="M7834" s="558">
        <f t="shared" si="371"/>
        <v>7832</v>
      </c>
      <c r="N7834" s="15">
        <f t="shared" si="369"/>
        <v>6.7695334993385425E-2</v>
      </c>
      <c r="O7834" s="165">
        <f t="shared" si="370"/>
        <v>6.7695334993385425E-2</v>
      </c>
      <c r="P7834" s="18"/>
      <c r="Q7834" s="18"/>
      <c r="R7834" s="18"/>
      <c r="S7834" s="18"/>
      <c r="T7834" s="18"/>
      <c r="U7834" s="18"/>
      <c r="V7834" s="18"/>
      <c r="W7834" s="18"/>
      <c r="X7834" s="18"/>
    </row>
    <row r="7835" spans="13:24">
      <c r="M7835" s="558">
        <f t="shared" si="371"/>
        <v>7833</v>
      </c>
      <c r="N7835" s="15">
        <f t="shared" si="369"/>
        <v>6.7643934884150908E-2</v>
      </c>
      <c r="O7835" s="165">
        <f t="shared" si="370"/>
        <v>6.7643934884150908E-2</v>
      </c>
      <c r="P7835" s="18"/>
      <c r="Q7835" s="18"/>
      <c r="R7835" s="18"/>
      <c r="S7835" s="18"/>
      <c r="T7835" s="18"/>
      <c r="U7835" s="18"/>
      <c r="V7835" s="18"/>
      <c r="W7835" s="18"/>
      <c r="X7835" s="18"/>
    </row>
    <row r="7836" spans="13:24">
      <c r="M7836" s="558">
        <f t="shared" si="371"/>
        <v>7834</v>
      </c>
      <c r="N7836" s="15">
        <f t="shared" si="369"/>
        <v>6.7592534812872973E-2</v>
      </c>
      <c r="O7836" s="165">
        <f t="shared" si="370"/>
        <v>6.7592534812872973E-2</v>
      </c>
      <c r="P7836" s="18"/>
      <c r="Q7836" s="18"/>
      <c r="R7836" s="18"/>
      <c r="S7836" s="18"/>
      <c r="T7836" s="18"/>
      <c r="U7836" s="18"/>
      <c r="V7836" s="18"/>
      <c r="W7836" s="18"/>
      <c r="X7836" s="18"/>
    </row>
    <row r="7837" spans="13:24">
      <c r="M7837" s="558">
        <f t="shared" si="371"/>
        <v>7835</v>
      </c>
      <c r="N7837" s="15">
        <f t="shared" si="369"/>
        <v>6.7541134779503978E-2</v>
      </c>
      <c r="O7837" s="165">
        <f t="shared" si="370"/>
        <v>6.7541134779503978E-2</v>
      </c>
      <c r="P7837" s="18"/>
      <c r="Q7837" s="18"/>
      <c r="R7837" s="18"/>
      <c r="S7837" s="18"/>
      <c r="T7837" s="18"/>
      <c r="U7837" s="18"/>
      <c r="V7837" s="18"/>
      <c r="W7837" s="18"/>
      <c r="X7837" s="18"/>
    </row>
    <row r="7838" spans="13:24">
      <c r="M7838" s="558">
        <f t="shared" si="371"/>
        <v>7836</v>
      </c>
      <c r="N7838" s="15">
        <f t="shared" si="369"/>
        <v>6.7489734783996363E-2</v>
      </c>
      <c r="O7838" s="165">
        <f t="shared" si="370"/>
        <v>6.7489734783996363E-2</v>
      </c>
      <c r="P7838" s="18"/>
      <c r="Q7838" s="18"/>
      <c r="R7838" s="18"/>
      <c r="S7838" s="18"/>
      <c r="T7838" s="18"/>
      <c r="U7838" s="18"/>
      <c r="V7838" s="18"/>
      <c r="W7838" s="18"/>
      <c r="X7838" s="18"/>
    </row>
    <row r="7839" spans="13:24">
      <c r="M7839" s="558">
        <f t="shared" si="371"/>
        <v>7837</v>
      </c>
      <c r="N7839" s="15">
        <f t="shared" si="369"/>
        <v>6.7438334826302598E-2</v>
      </c>
      <c r="O7839" s="165">
        <f t="shared" si="370"/>
        <v>6.7438334826302598E-2</v>
      </c>
      <c r="P7839" s="18"/>
      <c r="Q7839" s="18"/>
      <c r="R7839" s="18"/>
      <c r="S7839" s="18"/>
      <c r="T7839" s="18"/>
      <c r="U7839" s="18"/>
      <c r="V7839" s="18"/>
      <c r="W7839" s="18"/>
      <c r="X7839" s="18"/>
    </row>
    <row r="7840" spans="13:24">
      <c r="M7840" s="558">
        <f t="shared" si="371"/>
        <v>7838</v>
      </c>
      <c r="N7840" s="15">
        <f t="shared" si="369"/>
        <v>6.7386934906375248E-2</v>
      </c>
      <c r="O7840" s="165">
        <f t="shared" si="370"/>
        <v>6.7386934906375248E-2</v>
      </c>
      <c r="P7840" s="18"/>
      <c r="Q7840" s="18"/>
      <c r="R7840" s="18"/>
      <c r="S7840" s="18"/>
      <c r="T7840" s="18"/>
      <c r="U7840" s="18"/>
      <c r="V7840" s="18"/>
      <c r="W7840" s="18"/>
      <c r="X7840" s="18"/>
    </row>
    <row r="7841" spans="13:24">
      <c r="M7841" s="558">
        <f t="shared" si="371"/>
        <v>7839</v>
      </c>
      <c r="N7841" s="15">
        <f t="shared" si="369"/>
        <v>6.7335535024166907E-2</v>
      </c>
      <c r="O7841" s="165">
        <f t="shared" si="370"/>
        <v>6.7335535024166907E-2</v>
      </c>
      <c r="P7841" s="18"/>
      <c r="Q7841" s="18"/>
      <c r="R7841" s="18"/>
      <c r="S7841" s="18"/>
      <c r="T7841" s="18"/>
      <c r="U7841" s="18"/>
      <c r="V7841" s="18"/>
      <c r="W7841" s="18"/>
      <c r="X7841" s="18"/>
    </row>
    <row r="7842" spans="13:24">
      <c r="M7842" s="558">
        <f t="shared" si="371"/>
        <v>7840</v>
      </c>
      <c r="N7842" s="15">
        <f t="shared" si="369"/>
        <v>6.728413517963025E-2</v>
      </c>
      <c r="O7842" s="165">
        <f t="shared" si="370"/>
        <v>6.728413517963025E-2</v>
      </c>
      <c r="P7842" s="18"/>
      <c r="Q7842" s="18"/>
      <c r="R7842" s="18"/>
      <c r="S7842" s="18"/>
      <c r="T7842" s="18"/>
      <c r="U7842" s="18"/>
      <c r="V7842" s="18"/>
      <c r="W7842" s="18"/>
      <c r="X7842" s="18"/>
    </row>
    <row r="7843" spans="13:24">
      <c r="M7843" s="558">
        <f t="shared" si="371"/>
        <v>7841</v>
      </c>
      <c r="N7843" s="15">
        <f t="shared" si="369"/>
        <v>6.7232735372717983E-2</v>
      </c>
      <c r="O7843" s="165">
        <f t="shared" si="370"/>
        <v>6.7232735372717983E-2</v>
      </c>
      <c r="P7843" s="18"/>
      <c r="Q7843" s="18"/>
      <c r="R7843" s="18"/>
      <c r="S7843" s="18"/>
      <c r="T7843" s="18"/>
      <c r="U7843" s="18"/>
      <c r="V7843" s="18"/>
      <c r="W7843" s="18"/>
      <c r="X7843" s="18"/>
    </row>
    <row r="7844" spans="13:24">
      <c r="M7844" s="558">
        <f t="shared" si="371"/>
        <v>7842</v>
      </c>
      <c r="N7844" s="15">
        <f t="shared" si="369"/>
        <v>6.7181335603382922E-2</v>
      </c>
      <c r="O7844" s="165">
        <f t="shared" si="370"/>
        <v>6.7181335603382922E-2</v>
      </c>
      <c r="P7844" s="18"/>
      <c r="Q7844" s="18"/>
      <c r="R7844" s="18"/>
      <c r="S7844" s="18"/>
      <c r="T7844" s="18"/>
      <c r="U7844" s="18"/>
      <c r="V7844" s="18"/>
      <c r="W7844" s="18"/>
      <c r="X7844" s="18"/>
    </row>
    <row r="7845" spans="13:24">
      <c r="M7845" s="558">
        <f t="shared" si="371"/>
        <v>7843</v>
      </c>
      <c r="N7845" s="15">
        <f t="shared" si="369"/>
        <v>6.7129935871577881E-2</v>
      </c>
      <c r="O7845" s="165">
        <f t="shared" si="370"/>
        <v>6.7129935871577881E-2</v>
      </c>
      <c r="P7845" s="18"/>
      <c r="Q7845" s="18"/>
      <c r="R7845" s="18"/>
      <c r="S7845" s="18"/>
      <c r="T7845" s="18"/>
      <c r="U7845" s="18"/>
      <c r="V7845" s="18"/>
      <c r="W7845" s="18"/>
      <c r="X7845" s="18"/>
    </row>
    <row r="7846" spans="13:24">
      <c r="M7846" s="558">
        <f t="shared" si="371"/>
        <v>7844</v>
      </c>
      <c r="N7846" s="15">
        <f t="shared" si="369"/>
        <v>6.7078536177255774E-2</v>
      </c>
      <c r="O7846" s="165">
        <f t="shared" si="370"/>
        <v>6.7078536177255774E-2</v>
      </c>
      <c r="P7846" s="18"/>
      <c r="Q7846" s="18"/>
      <c r="R7846" s="18"/>
      <c r="S7846" s="18"/>
      <c r="T7846" s="18"/>
      <c r="U7846" s="18"/>
      <c r="V7846" s="18"/>
      <c r="W7846" s="18"/>
      <c r="X7846" s="18"/>
    </row>
    <row r="7847" spans="13:24">
      <c r="M7847" s="558">
        <f t="shared" si="371"/>
        <v>7845</v>
      </c>
      <c r="N7847" s="15">
        <f t="shared" si="369"/>
        <v>6.7027136520369568E-2</v>
      </c>
      <c r="O7847" s="165">
        <f t="shared" si="370"/>
        <v>6.7027136520369568E-2</v>
      </c>
      <c r="P7847" s="18"/>
      <c r="Q7847" s="18"/>
      <c r="R7847" s="18"/>
      <c r="S7847" s="18"/>
      <c r="T7847" s="18"/>
      <c r="U7847" s="18"/>
      <c r="V7847" s="18"/>
      <c r="W7847" s="18"/>
      <c r="X7847" s="18"/>
    </row>
    <row r="7848" spans="13:24">
      <c r="M7848" s="558">
        <f t="shared" si="371"/>
        <v>7846</v>
      </c>
      <c r="N7848" s="15">
        <f t="shared" si="369"/>
        <v>6.6975736900872274E-2</v>
      </c>
      <c r="O7848" s="165">
        <f t="shared" si="370"/>
        <v>6.6975736900872274E-2</v>
      </c>
      <c r="P7848" s="18"/>
      <c r="Q7848" s="18"/>
      <c r="R7848" s="18"/>
      <c r="S7848" s="18"/>
      <c r="T7848" s="18"/>
      <c r="U7848" s="18"/>
      <c r="V7848" s="18"/>
      <c r="W7848" s="18"/>
      <c r="X7848" s="18"/>
    </row>
    <row r="7849" spans="13:24">
      <c r="M7849" s="558">
        <f t="shared" si="371"/>
        <v>7847</v>
      </c>
      <c r="N7849" s="15">
        <f t="shared" si="369"/>
        <v>6.692433731871697E-2</v>
      </c>
      <c r="O7849" s="165">
        <f t="shared" si="370"/>
        <v>6.692433731871697E-2</v>
      </c>
      <c r="P7849" s="18"/>
      <c r="Q7849" s="18"/>
      <c r="R7849" s="18"/>
      <c r="S7849" s="18"/>
      <c r="T7849" s="18"/>
      <c r="U7849" s="18"/>
      <c r="V7849" s="18"/>
      <c r="W7849" s="18"/>
      <c r="X7849" s="18"/>
    </row>
    <row r="7850" spans="13:24">
      <c r="M7850" s="558">
        <f t="shared" si="371"/>
        <v>7848</v>
      </c>
      <c r="N7850" s="15">
        <f t="shared" si="369"/>
        <v>6.6872937773856805E-2</v>
      </c>
      <c r="O7850" s="165">
        <f t="shared" si="370"/>
        <v>6.6872937773856805E-2</v>
      </c>
      <c r="P7850" s="18"/>
      <c r="Q7850" s="18"/>
      <c r="R7850" s="18"/>
      <c r="S7850" s="18"/>
      <c r="T7850" s="18"/>
      <c r="U7850" s="18"/>
      <c r="V7850" s="18"/>
      <c r="W7850" s="18"/>
      <c r="X7850" s="18"/>
    </row>
    <row r="7851" spans="13:24">
      <c r="M7851" s="558">
        <f t="shared" si="371"/>
        <v>7849</v>
      </c>
      <c r="N7851" s="15">
        <f t="shared" si="369"/>
        <v>6.6821538266244984E-2</v>
      </c>
      <c r="O7851" s="165">
        <f t="shared" si="370"/>
        <v>6.6821538266244984E-2</v>
      </c>
      <c r="P7851" s="18"/>
      <c r="Q7851" s="18"/>
      <c r="R7851" s="18"/>
      <c r="S7851" s="18"/>
      <c r="T7851" s="18"/>
      <c r="U7851" s="18"/>
      <c r="V7851" s="18"/>
      <c r="W7851" s="18"/>
      <c r="X7851" s="18"/>
    </row>
    <row r="7852" spans="13:24">
      <c r="M7852" s="558">
        <f t="shared" si="371"/>
        <v>7850</v>
      </c>
      <c r="N7852" s="15">
        <f t="shared" si="369"/>
        <v>6.6770138795834752E-2</v>
      </c>
      <c r="O7852" s="165">
        <f t="shared" si="370"/>
        <v>6.6770138795834752E-2</v>
      </c>
      <c r="P7852" s="18"/>
      <c r="Q7852" s="18"/>
      <c r="R7852" s="18"/>
      <c r="S7852" s="18"/>
      <c r="T7852" s="18"/>
      <c r="U7852" s="18"/>
      <c r="V7852" s="18"/>
      <c r="W7852" s="18"/>
      <c r="X7852" s="18"/>
    </row>
    <row r="7853" spans="13:24">
      <c r="M7853" s="558">
        <f t="shared" si="371"/>
        <v>7851</v>
      </c>
      <c r="N7853" s="15">
        <f t="shared" si="369"/>
        <v>6.6718739362579424E-2</v>
      </c>
      <c r="O7853" s="165">
        <f t="shared" si="370"/>
        <v>6.6718739362579424E-2</v>
      </c>
      <c r="P7853" s="18"/>
      <c r="Q7853" s="18"/>
      <c r="R7853" s="18"/>
      <c r="S7853" s="18"/>
      <c r="T7853" s="18"/>
      <c r="U7853" s="18"/>
      <c r="V7853" s="18"/>
      <c r="W7853" s="18"/>
      <c r="X7853" s="18"/>
    </row>
    <row r="7854" spans="13:24">
      <c r="M7854" s="558">
        <f t="shared" si="371"/>
        <v>7852</v>
      </c>
      <c r="N7854" s="15">
        <f t="shared" si="369"/>
        <v>6.6667339966432371E-2</v>
      </c>
      <c r="O7854" s="165">
        <f t="shared" si="370"/>
        <v>6.6667339966432371E-2</v>
      </c>
      <c r="P7854" s="18"/>
      <c r="Q7854" s="18"/>
      <c r="R7854" s="18"/>
      <c r="S7854" s="18"/>
      <c r="T7854" s="18"/>
      <c r="U7854" s="18"/>
      <c r="V7854" s="18"/>
      <c r="W7854" s="18"/>
      <c r="X7854" s="18"/>
    </row>
    <row r="7855" spans="13:24">
      <c r="M7855" s="558">
        <f t="shared" si="371"/>
        <v>7853</v>
      </c>
      <c r="N7855" s="15">
        <f t="shared" si="369"/>
        <v>6.6615940607347032E-2</v>
      </c>
      <c r="O7855" s="165">
        <f t="shared" si="370"/>
        <v>6.6615940607347032E-2</v>
      </c>
      <c r="P7855" s="18"/>
      <c r="Q7855" s="18"/>
      <c r="R7855" s="18"/>
      <c r="S7855" s="18"/>
      <c r="T7855" s="18"/>
      <c r="U7855" s="18"/>
      <c r="V7855" s="18"/>
      <c r="W7855" s="18"/>
      <c r="X7855" s="18"/>
    </row>
    <row r="7856" spans="13:24">
      <c r="M7856" s="558">
        <f t="shared" si="371"/>
        <v>7854</v>
      </c>
      <c r="N7856" s="15">
        <f t="shared" si="369"/>
        <v>6.656454128527689E-2</v>
      </c>
      <c r="O7856" s="165">
        <f t="shared" si="370"/>
        <v>6.656454128527689E-2</v>
      </c>
      <c r="P7856" s="18"/>
      <c r="Q7856" s="18"/>
      <c r="R7856" s="18"/>
      <c r="S7856" s="18"/>
      <c r="T7856" s="18"/>
      <c r="U7856" s="18"/>
      <c r="V7856" s="18"/>
      <c r="W7856" s="18"/>
      <c r="X7856" s="18"/>
    </row>
    <row r="7857" spans="13:24">
      <c r="M7857" s="558">
        <f t="shared" si="371"/>
        <v>7855</v>
      </c>
      <c r="N7857" s="15">
        <f t="shared" si="369"/>
        <v>6.6513142000175496E-2</v>
      </c>
      <c r="O7857" s="165">
        <f t="shared" si="370"/>
        <v>6.6513142000175496E-2</v>
      </c>
      <c r="P7857" s="18"/>
      <c r="Q7857" s="18"/>
      <c r="R7857" s="18"/>
      <c r="S7857" s="18"/>
      <c r="T7857" s="18"/>
      <c r="U7857" s="18"/>
      <c r="V7857" s="18"/>
      <c r="W7857" s="18"/>
      <c r="X7857" s="18"/>
    </row>
    <row r="7858" spans="13:24">
      <c r="M7858" s="558">
        <f t="shared" si="371"/>
        <v>7856</v>
      </c>
      <c r="N7858" s="15">
        <f t="shared" si="369"/>
        <v>6.6461742751996469E-2</v>
      </c>
      <c r="O7858" s="165">
        <f t="shared" si="370"/>
        <v>6.6461742751996469E-2</v>
      </c>
      <c r="P7858" s="18"/>
      <c r="Q7858" s="18"/>
      <c r="R7858" s="18"/>
      <c r="S7858" s="18"/>
      <c r="T7858" s="18"/>
      <c r="U7858" s="18"/>
      <c r="V7858" s="18"/>
      <c r="W7858" s="18"/>
      <c r="X7858" s="18"/>
    </row>
    <row r="7859" spans="13:24">
      <c r="M7859" s="558">
        <f t="shared" si="371"/>
        <v>7857</v>
      </c>
      <c r="N7859" s="15">
        <f t="shared" si="369"/>
        <v>6.6410343540693459E-2</v>
      </c>
      <c r="O7859" s="165">
        <f t="shared" si="370"/>
        <v>6.6410343540693459E-2</v>
      </c>
      <c r="P7859" s="18"/>
      <c r="Q7859" s="18"/>
      <c r="R7859" s="18"/>
      <c r="S7859" s="18"/>
      <c r="T7859" s="18"/>
      <c r="U7859" s="18"/>
      <c r="V7859" s="18"/>
      <c r="W7859" s="18"/>
      <c r="X7859" s="18"/>
    </row>
    <row r="7860" spans="13:24">
      <c r="M7860" s="558">
        <f t="shared" si="371"/>
        <v>7858</v>
      </c>
      <c r="N7860" s="15">
        <f t="shared" si="369"/>
        <v>6.6358944366220196E-2</v>
      </c>
      <c r="O7860" s="165">
        <f t="shared" si="370"/>
        <v>6.6358944366220196E-2</v>
      </c>
      <c r="P7860" s="18"/>
      <c r="Q7860" s="18"/>
      <c r="R7860" s="18"/>
      <c r="S7860" s="18"/>
      <c r="T7860" s="18"/>
      <c r="U7860" s="18"/>
      <c r="V7860" s="18"/>
      <c r="W7860" s="18"/>
      <c r="X7860" s="18"/>
    </row>
    <row r="7861" spans="13:24">
      <c r="M7861" s="558">
        <f t="shared" si="371"/>
        <v>7859</v>
      </c>
      <c r="N7861" s="15">
        <f t="shared" si="369"/>
        <v>6.6307545228530468E-2</v>
      </c>
      <c r="O7861" s="165">
        <f t="shared" si="370"/>
        <v>6.6307545228530468E-2</v>
      </c>
      <c r="P7861" s="18"/>
      <c r="Q7861" s="18"/>
      <c r="R7861" s="18"/>
      <c r="S7861" s="18"/>
      <c r="T7861" s="18"/>
      <c r="U7861" s="18"/>
      <c r="V7861" s="18"/>
      <c r="W7861" s="18"/>
      <c r="X7861" s="18"/>
    </row>
    <row r="7862" spans="13:24">
      <c r="M7862" s="558">
        <f t="shared" si="371"/>
        <v>7860</v>
      </c>
      <c r="N7862" s="15">
        <f t="shared" si="369"/>
        <v>6.6256146127578089E-2</v>
      </c>
      <c r="O7862" s="165">
        <f t="shared" si="370"/>
        <v>6.6256146127578089E-2</v>
      </c>
      <c r="P7862" s="18"/>
      <c r="Q7862" s="18"/>
      <c r="R7862" s="18"/>
      <c r="S7862" s="18"/>
      <c r="T7862" s="18"/>
      <c r="U7862" s="18"/>
      <c r="V7862" s="18"/>
      <c r="W7862" s="18"/>
      <c r="X7862" s="18"/>
    </row>
    <row r="7863" spans="13:24">
      <c r="M7863" s="558">
        <f t="shared" si="371"/>
        <v>7861</v>
      </c>
      <c r="N7863" s="15">
        <f t="shared" si="369"/>
        <v>6.6204747063316999E-2</v>
      </c>
      <c r="O7863" s="165">
        <f t="shared" si="370"/>
        <v>6.6204747063316999E-2</v>
      </c>
      <c r="P7863" s="18"/>
      <c r="Q7863" s="18"/>
      <c r="R7863" s="18"/>
      <c r="S7863" s="18"/>
      <c r="T7863" s="18"/>
      <c r="U7863" s="18"/>
      <c r="V7863" s="18"/>
      <c r="W7863" s="18"/>
      <c r="X7863" s="18"/>
    </row>
    <row r="7864" spans="13:24">
      <c r="M7864" s="558">
        <f t="shared" si="371"/>
        <v>7862</v>
      </c>
      <c r="N7864" s="15">
        <f t="shared" si="369"/>
        <v>6.6153348035701109E-2</v>
      </c>
      <c r="O7864" s="165">
        <f t="shared" si="370"/>
        <v>6.6153348035701109E-2</v>
      </c>
      <c r="P7864" s="18"/>
      <c r="Q7864" s="18"/>
      <c r="R7864" s="18"/>
      <c r="S7864" s="18"/>
      <c r="T7864" s="18"/>
      <c r="U7864" s="18"/>
      <c r="V7864" s="18"/>
      <c r="W7864" s="18"/>
      <c r="X7864" s="18"/>
    </row>
    <row r="7865" spans="13:24">
      <c r="M7865" s="558">
        <f t="shared" si="371"/>
        <v>7863</v>
      </c>
      <c r="N7865" s="15">
        <f t="shared" si="369"/>
        <v>6.6101949044684444E-2</v>
      </c>
      <c r="O7865" s="165">
        <f t="shared" si="370"/>
        <v>6.6101949044684444E-2</v>
      </c>
      <c r="P7865" s="18"/>
      <c r="Q7865" s="18"/>
      <c r="R7865" s="18"/>
      <c r="S7865" s="18"/>
      <c r="T7865" s="18"/>
      <c r="U7865" s="18"/>
      <c r="V7865" s="18"/>
      <c r="W7865" s="18"/>
      <c r="X7865" s="18"/>
    </row>
    <row r="7866" spans="13:24">
      <c r="M7866" s="558">
        <f t="shared" si="371"/>
        <v>7864</v>
      </c>
      <c r="N7866" s="15">
        <f t="shared" si="369"/>
        <v>6.6050550090221108E-2</v>
      </c>
      <c r="O7866" s="165">
        <f t="shared" si="370"/>
        <v>6.6050550090221108E-2</v>
      </c>
      <c r="P7866" s="18"/>
      <c r="Q7866" s="18"/>
      <c r="R7866" s="18"/>
      <c r="S7866" s="18"/>
      <c r="T7866" s="18"/>
      <c r="U7866" s="18"/>
      <c r="V7866" s="18"/>
      <c r="W7866" s="18"/>
      <c r="X7866" s="18"/>
    </row>
    <row r="7867" spans="13:24">
      <c r="M7867" s="558">
        <f t="shared" si="371"/>
        <v>7865</v>
      </c>
      <c r="N7867" s="15">
        <f t="shared" si="369"/>
        <v>6.5999151172265194E-2</v>
      </c>
      <c r="O7867" s="165">
        <f t="shared" si="370"/>
        <v>6.5999151172265194E-2</v>
      </c>
      <c r="P7867" s="18"/>
      <c r="Q7867" s="18"/>
      <c r="R7867" s="18"/>
      <c r="S7867" s="18"/>
      <c r="T7867" s="18"/>
      <c r="U7867" s="18"/>
      <c r="V7867" s="18"/>
      <c r="W7867" s="18"/>
      <c r="X7867" s="18"/>
    </row>
    <row r="7868" spans="13:24">
      <c r="M7868" s="558">
        <f t="shared" si="371"/>
        <v>7866</v>
      </c>
      <c r="N7868" s="15">
        <f t="shared" si="369"/>
        <v>6.5947752290770892E-2</v>
      </c>
      <c r="O7868" s="165">
        <f t="shared" si="370"/>
        <v>6.5947752290770892E-2</v>
      </c>
      <c r="P7868" s="18"/>
      <c r="Q7868" s="18"/>
      <c r="R7868" s="18"/>
      <c r="S7868" s="18"/>
      <c r="T7868" s="18"/>
      <c r="U7868" s="18"/>
      <c r="V7868" s="18"/>
      <c r="W7868" s="18"/>
      <c r="X7868" s="18"/>
    </row>
    <row r="7869" spans="13:24">
      <c r="M7869" s="558">
        <f t="shared" si="371"/>
        <v>7867</v>
      </c>
      <c r="N7869" s="15">
        <f t="shared" si="369"/>
        <v>6.5896353445692474E-2</v>
      </c>
      <c r="O7869" s="165">
        <f t="shared" si="370"/>
        <v>6.5896353445692474E-2</v>
      </c>
      <c r="P7869" s="18"/>
      <c r="Q7869" s="18"/>
      <c r="R7869" s="18"/>
      <c r="S7869" s="18"/>
      <c r="T7869" s="18"/>
      <c r="U7869" s="18"/>
      <c r="V7869" s="18"/>
      <c r="W7869" s="18"/>
      <c r="X7869" s="18"/>
    </row>
    <row r="7870" spans="13:24">
      <c r="M7870" s="558">
        <f t="shared" si="371"/>
        <v>7868</v>
      </c>
      <c r="N7870" s="15">
        <f t="shared" si="369"/>
        <v>6.5844954636984199E-2</v>
      </c>
      <c r="O7870" s="165">
        <f t="shared" si="370"/>
        <v>6.5844954636984199E-2</v>
      </c>
      <c r="P7870" s="18"/>
      <c r="Q7870" s="18"/>
      <c r="R7870" s="18"/>
      <c r="S7870" s="18"/>
      <c r="T7870" s="18"/>
      <c r="U7870" s="18"/>
      <c r="V7870" s="18"/>
      <c r="W7870" s="18"/>
      <c r="X7870" s="18"/>
    </row>
    <row r="7871" spans="13:24">
      <c r="M7871" s="558">
        <f t="shared" si="371"/>
        <v>7869</v>
      </c>
      <c r="N7871" s="15">
        <f t="shared" si="369"/>
        <v>6.5793555864600464E-2</v>
      </c>
      <c r="O7871" s="165">
        <f t="shared" si="370"/>
        <v>6.5793555864600464E-2</v>
      </c>
      <c r="P7871" s="18"/>
      <c r="Q7871" s="18"/>
      <c r="R7871" s="18"/>
      <c r="S7871" s="18"/>
      <c r="T7871" s="18"/>
      <c r="U7871" s="18"/>
      <c r="V7871" s="18"/>
      <c r="W7871" s="18"/>
      <c r="X7871" s="18"/>
    </row>
    <row r="7872" spans="13:24">
      <c r="M7872" s="558">
        <f t="shared" si="371"/>
        <v>7870</v>
      </c>
      <c r="N7872" s="15">
        <f t="shared" si="369"/>
        <v>6.5742157128495654E-2</v>
      </c>
      <c r="O7872" s="165">
        <f t="shared" si="370"/>
        <v>6.5742157128495654E-2</v>
      </c>
      <c r="P7872" s="18"/>
      <c r="Q7872" s="18"/>
      <c r="R7872" s="18"/>
      <c r="S7872" s="18"/>
      <c r="T7872" s="18"/>
      <c r="U7872" s="18"/>
      <c r="V7872" s="18"/>
      <c r="W7872" s="18"/>
      <c r="X7872" s="18"/>
    </row>
    <row r="7873" spans="13:24">
      <c r="M7873" s="558">
        <f t="shared" si="371"/>
        <v>7871</v>
      </c>
      <c r="N7873" s="15">
        <f t="shared" si="369"/>
        <v>6.5690758428624263E-2</v>
      </c>
      <c r="O7873" s="165">
        <f t="shared" si="370"/>
        <v>6.5690758428624263E-2</v>
      </c>
      <c r="P7873" s="18"/>
      <c r="Q7873" s="18"/>
      <c r="R7873" s="18"/>
      <c r="S7873" s="18"/>
      <c r="T7873" s="18"/>
      <c r="U7873" s="18"/>
      <c r="V7873" s="18"/>
      <c r="W7873" s="18"/>
      <c r="X7873" s="18"/>
    </row>
    <row r="7874" spans="13:24">
      <c r="M7874" s="558">
        <f t="shared" si="371"/>
        <v>7872</v>
      </c>
      <c r="N7874" s="15">
        <f t="shared" si="369"/>
        <v>6.5639359764940799E-2</v>
      </c>
      <c r="O7874" s="165">
        <f t="shared" si="370"/>
        <v>6.5639359764940799E-2</v>
      </c>
      <c r="P7874" s="18"/>
      <c r="Q7874" s="18"/>
      <c r="R7874" s="18"/>
      <c r="S7874" s="18"/>
      <c r="T7874" s="18"/>
      <c r="U7874" s="18"/>
      <c r="V7874" s="18"/>
      <c r="W7874" s="18"/>
      <c r="X7874" s="18"/>
    </row>
    <row r="7875" spans="13:24">
      <c r="M7875" s="558">
        <f t="shared" si="371"/>
        <v>7873</v>
      </c>
      <c r="N7875" s="15">
        <f t="shared" si="369"/>
        <v>6.5587961137399869E-2</v>
      </c>
      <c r="O7875" s="165">
        <f t="shared" si="370"/>
        <v>6.5587961137399869E-2</v>
      </c>
      <c r="P7875" s="18"/>
      <c r="Q7875" s="18"/>
      <c r="R7875" s="18"/>
      <c r="S7875" s="18"/>
      <c r="T7875" s="18"/>
      <c r="U7875" s="18"/>
      <c r="V7875" s="18"/>
      <c r="W7875" s="18"/>
      <c r="X7875" s="18"/>
    </row>
    <row r="7876" spans="13:24">
      <c r="M7876" s="558">
        <f t="shared" si="371"/>
        <v>7874</v>
      </c>
      <c r="N7876" s="15">
        <f t="shared" ref="N7876:N7939" si="372">IF(M7876&lt;$B$31+1,$B$32+$B$33/$B$31*(8760-M7876)+$B$34*IF(M7876&lt;$B$36-$B$31/(2*$B$35),1,IF(M7876&lt;$B$36+$B$31/(2*$B$35),COS(PI()/2*(M7876-($B$36-$B$31/(2*$B$35)))*$B$35/$B$31)^2,0))+$B$37*EXP((8760-M7876)/8760*$B$38)/EXP($B$38)-(8760-$B$31)*$B$33/$B$31,0)</f>
        <v>6.553656254595612E-2</v>
      </c>
      <c r="O7876" s="165">
        <f t="shared" ref="O7876:O7939" si="373">MIN(N7876,C$24)</f>
        <v>6.553656254595612E-2</v>
      </c>
      <c r="P7876" s="18"/>
      <c r="Q7876" s="18"/>
      <c r="R7876" s="18"/>
      <c r="S7876" s="18"/>
      <c r="T7876" s="18"/>
      <c r="U7876" s="18"/>
      <c r="V7876" s="18"/>
      <c r="W7876" s="18"/>
      <c r="X7876" s="18"/>
    </row>
    <row r="7877" spans="13:24">
      <c r="M7877" s="558">
        <f t="shared" ref="M7877:M7940" si="374">M7876+1</f>
        <v>7875</v>
      </c>
      <c r="N7877" s="15">
        <f t="shared" si="372"/>
        <v>6.5485163990564241E-2</v>
      </c>
      <c r="O7877" s="165">
        <f t="shared" si="373"/>
        <v>6.5485163990564241E-2</v>
      </c>
      <c r="P7877" s="18"/>
      <c r="Q7877" s="18"/>
      <c r="R7877" s="18"/>
      <c r="S7877" s="18"/>
      <c r="T7877" s="18"/>
      <c r="U7877" s="18"/>
      <c r="V7877" s="18"/>
      <c r="W7877" s="18"/>
      <c r="X7877" s="18"/>
    </row>
    <row r="7878" spans="13:24">
      <c r="M7878" s="558">
        <f t="shared" si="374"/>
        <v>7876</v>
      </c>
      <c r="N7878" s="15">
        <f t="shared" si="372"/>
        <v>6.543376547117899E-2</v>
      </c>
      <c r="O7878" s="165">
        <f t="shared" si="373"/>
        <v>6.543376547117899E-2</v>
      </c>
      <c r="P7878" s="18"/>
      <c r="Q7878" s="18"/>
      <c r="R7878" s="18"/>
      <c r="S7878" s="18"/>
      <c r="T7878" s="18"/>
      <c r="U7878" s="18"/>
      <c r="V7878" s="18"/>
      <c r="W7878" s="18"/>
      <c r="X7878" s="18"/>
    </row>
    <row r="7879" spans="13:24">
      <c r="M7879" s="558">
        <f t="shared" si="374"/>
        <v>7877</v>
      </c>
      <c r="N7879" s="15">
        <f t="shared" si="372"/>
        <v>6.5382366987755181E-2</v>
      </c>
      <c r="O7879" s="165">
        <f t="shared" si="373"/>
        <v>6.5382366987755181E-2</v>
      </c>
      <c r="P7879" s="18"/>
      <c r="Q7879" s="18"/>
      <c r="R7879" s="18"/>
      <c r="S7879" s="18"/>
      <c r="T7879" s="18"/>
      <c r="U7879" s="18"/>
      <c r="V7879" s="18"/>
      <c r="W7879" s="18"/>
      <c r="X7879" s="18"/>
    </row>
    <row r="7880" spans="13:24">
      <c r="M7880" s="558">
        <f t="shared" si="374"/>
        <v>7878</v>
      </c>
      <c r="N7880" s="15">
        <f t="shared" si="372"/>
        <v>6.5330968540247669E-2</v>
      </c>
      <c r="O7880" s="165">
        <f t="shared" si="373"/>
        <v>6.5330968540247669E-2</v>
      </c>
      <c r="P7880" s="18"/>
      <c r="Q7880" s="18"/>
      <c r="R7880" s="18"/>
      <c r="S7880" s="18"/>
      <c r="T7880" s="18"/>
      <c r="U7880" s="18"/>
      <c r="V7880" s="18"/>
      <c r="W7880" s="18"/>
      <c r="X7880" s="18"/>
    </row>
    <row r="7881" spans="13:24">
      <c r="M7881" s="558">
        <f t="shared" si="374"/>
        <v>7879</v>
      </c>
      <c r="N7881" s="15">
        <f t="shared" si="372"/>
        <v>6.5279570128611422E-2</v>
      </c>
      <c r="O7881" s="165">
        <f t="shared" si="373"/>
        <v>6.5279570128611422E-2</v>
      </c>
      <c r="P7881" s="18"/>
      <c r="Q7881" s="18"/>
      <c r="R7881" s="18"/>
      <c r="S7881" s="18"/>
      <c r="T7881" s="18"/>
      <c r="U7881" s="18"/>
      <c r="V7881" s="18"/>
      <c r="W7881" s="18"/>
      <c r="X7881" s="18"/>
    </row>
    <row r="7882" spans="13:24">
      <c r="M7882" s="558">
        <f t="shared" si="374"/>
        <v>7880</v>
      </c>
      <c r="N7882" s="15">
        <f t="shared" si="372"/>
        <v>6.5228171752801406E-2</v>
      </c>
      <c r="O7882" s="165">
        <f t="shared" si="373"/>
        <v>6.5228171752801406E-2</v>
      </c>
      <c r="P7882" s="18"/>
      <c r="Q7882" s="18"/>
      <c r="R7882" s="18"/>
      <c r="S7882" s="18"/>
      <c r="T7882" s="18"/>
      <c r="U7882" s="18"/>
      <c r="V7882" s="18"/>
      <c r="W7882" s="18"/>
      <c r="X7882" s="18"/>
    </row>
    <row r="7883" spans="13:24">
      <c r="M7883" s="558">
        <f t="shared" si="374"/>
        <v>7881</v>
      </c>
      <c r="N7883" s="15">
        <f t="shared" si="372"/>
        <v>6.5176773412772657E-2</v>
      </c>
      <c r="O7883" s="165">
        <f t="shared" si="373"/>
        <v>6.5176773412772657E-2</v>
      </c>
      <c r="P7883" s="18"/>
      <c r="Q7883" s="18"/>
      <c r="R7883" s="18"/>
      <c r="S7883" s="18"/>
      <c r="T7883" s="18"/>
      <c r="U7883" s="18"/>
      <c r="V7883" s="18"/>
      <c r="W7883" s="18"/>
      <c r="X7883" s="18"/>
    </row>
    <row r="7884" spans="13:24">
      <c r="M7884" s="558">
        <f t="shared" si="374"/>
        <v>7882</v>
      </c>
      <c r="N7884" s="15">
        <f t="shared" si="372"/>
        <v>6.512537510848028E-2</v>
      </c>
      <c r="O7884" s="165">
        <f t="shared" si="373"/>
        <v>6.512537510848028E-2</v>
      </c>
      <c r="P7884" s="18"/>
      <c r="Q7884" s="18"/>
      <c r="R7884" s="18"/>
      <c r="S7884" s="18"/>
      <c r="T7884" s="18"/>
      <c r="U7884" s="18"/>
      <c r="V7884" s="18"/>
      <c r="W7884" s="18"/>
      <c r="X7884" s="18"/>
    </row>
    <row r="7885" spans="13:24">
      <c r="M7885" s="558">
        <f t="shared" si="374"/>
        <v>7883</v>
      </c>
      <c r="N7885" s="15">
        <f t="shared" si="372"/>
        <v>6.5073976839879408E-2</v>
      </c>
      <c r="O7885" s="165">
        <f t="shared" si="373"/>
        <v>6.5073976839879408E-2</v>
      </c>
      <c r="P7885" s="18"/>
      <c r="Q7885" s="18"/>
      <c r="R7885" s="18"/>
      <c r="S7885" s="18"/>
      <c r="T7885" s="18"/>
      <c r="U7885" s="18"/>
      <c r="V7885" s="18"/>
      <c r="W7885" s="18"/>
      <c r="X7885" s="18"/>
    </row>
    <row r="7886" spans="13:24">
      <c r="M7886" s="558">
        <f t="shared" si="374"/>
        <v>7884</v>
      </c>
      <c r="N7886" s="15">
        <f t="shared" si="372"/>
        <v>6.5022578606925285E-2</v>
      </c>
      <c r="O7886" s="165">
        <f t="shared" si="373"/>
        <v>6.5022578606925285E-2</v>
      </c>
      <c r="P7886" s="18"/>
      <c r="Q7886" s="18"/>
      <c r="R7886" s="18"/>
      <c r="S7886" s="18"/>
      <c r="T7886" s="18"/>
      <c r="U7886" s="18"/>
      <c r="V7886" s="18"/>
      <c r="W7886" s="18"/>
      <c r="X7886" s="18"/>
    </row>
    <row r="7887" spans="13:24">
      <c r="M7887" s="558">
        <f t="shared" si="374"/>
        <v>7885</v>
      </c>
      <c r="N7887" s="15">
        <f t="shared" si="372"/>
        <v>6.4971180409573143E-2</v>
      </c>
      <c r="O7887" s="165">
        <f t="shared" si="373"/>
        <v>6.4971180409573143E-2</v>
      </c>
      <c r="P7887" s="18"/>
      <c r="Q7887" s="18"/>
      <c r="R7887" s="18"/>
      <c r="S7887" s="18"/>
      <c r="T7887" s="18"/>
      <c r="U7887" s="18"/>
      <c r="V7887" s="18"/>
      <c r="W7887" s="18"/>
      <c r="X7887" s="18"/>
    </row>
    <row r="7888" spans="13:24">
      <c r="M7888" s="558">
        <f t="shared" si="374"/>
        <v>7886</v>
      </c>
      <c r="N7888" s="15">
        <f t="shared" si="372"/>
        <v>6.4919782247778335E-2</v>
      </c>
      <c r="O7888" s="165">
        <f t="shared" si="373"/>
        <v>6.4919782247778335E-2</v>
      </c>
      <c r="P7888" s="18"/>
      <c r="Q7888" s="18"/>
      <c r="R7888" s="18"/>
      <c r="S7888" s="18"/>
      <c r="T7888" s="18"/>
      <c r="U7888" s="18"/>
      <c r="V7888" s="18"/>
      <c r="W7888" s="18"/>
      <c r="X7888" s="18"/>
    </row>
    <row r="7889" spans="13:24">
      <c r="M7889" s="558">
        <f t="shared" si="374"/>
        <v>7887</v>
      </c>
      <c r="N7889" s="15">
        <f t="shared" si="372"/>
        <v>6.4868384121496217E-2</v>
      </c>
      <c r="O7889" s="165">
        <f t="shared" si="373"/>
        <v>6.4868384121496217E-2</v>
      </c>
      <c r="P7889" s="18"/>
      <c r="Q7889" s="18"/>
      <c r="R7889" s="18"/>
      <c r="S7889" s="18"/>
      <c r="T7889" s="18"/>
      <c r="U7889" s="18"/>
      <c r="V7889" s="18"/>
      <c r="W7889" s="18"/>
      <c r="X7889" s="18"/>
    </row>
    <row r="7890" spans="13:24">
      <c r="M7890" s="558">
        <f t="shared" si="374"/>
        <v>7888</v>
      </c>
      <c r="N7890" s="15">
        <f t="shared" si="372"/>
        <v>6.4816986030682228E-2</v>
      </c>
      <c r="O7890" s="165">
        <f t="shared" si="373"/>
        <v>6.4816986030682228E-2</v>
      </c>
      <c r="P7890" s="18"/>
      <c r="Q7890" s="18"/>
      <c r="R7890" s="18"/>
      <c r="S7890" s="18"/>
      <c r="T7890" s="18"/>
      <c r="U7890" s="18"/>
      <c r="V7890" s="18"/>
      <c r="W7890" s="18"/>
      <c r="X7890" s="18"/>
    </row>
    <row r="7891" spans="13:24">
      <c r="M7891" s="558">
        <f t="shared" si="374"/>
        <v>7889</v>
      </c>
      <c r="N7891" s="15">
        <f t="shared" si="372"/>
        <v>6.4765587975291875E-2</v>
      </c>
      <c r="O7891" s="165">
        <f t="shared" si="373"/>
        <v>6.4765587975291875E-2</v>
      </c>
      <c r="P7891" s="18"/>
      <c r="Q7891" s="18"/>
      <c r="R7891" s="18"/>
      <c r="S7891" s="18"/>
      <c r="T7891" s="18"/>
      <c r="U7891" s="18"/>
      <c r="V7891" s="18"/>
      <c r="W7891" s="18"/>
      <c r="X7891" s="18"/>
    </row>
    <row r="7892" spans="13:24">
      <c r="M7892" s="558">
        <f t="shared" si="374"/>
        <v>7890</v>
      </c>
      <c r="N7892" s="15">
        <f t="shared" si="372"/>
        <v>6.4714189955280679E-2</v>
      </c>
      <c r="O7892" s="165">
        <f t="shared" si="373"/>
        <v>6.4714189955280679E-2</v>
      </c>
      <c r="P7892" s="18"/>
      <c r="Q7892" s="18"/>
      <c r="R7892" s="18"/>
      <c r="S7892" s="18"/>
      <c r="T7892" s="18"/>
      <c r="U7892" s="18"/>
      <c r="V7892" s="18"/>
      <c r="W7892" s="18"/>
      <c r="X7892" s="18"/>
    </row>
    <row r="7893" spans="13:24">
      <c r="M7893" s="558">
        <f t="shared" si="374"/>
        <v>7891</v>
      </c>
      <c r="N7893" s="15">
        <f t="shared" si="372"/>
        <v>6.4662791970604247E-2</v>
      </c>
      <c r="O7893" s="165">
        <f t="shared" si="373"/>
        <v>6.4662791970604247E-2</v>
      </c>
      <c r="P7893" s="18"/>
      <c r="Q7893" s="18"/>
      <c r="R7893" s="18"/>
      <c r="S7893" s="18"/>
      <c r="T7893" s="18"/>
      <c r="U7893" s="18"/>
      <c r="V7893" s="18"/>
      <c r="W7893" s="18"/>
      <c r="X7893" s="18"/>
    </row>
    <row r="7894" spans="13:24">
      <c r="M7894" s="558">
        <f t="shared" si="374"/>
        <v>7892</v>
      </c>
      <c r="N7894" s="15">
        <f t="shared" si="372"/>
        <v>6.4611394021218252E-2</v>
      </c>
      <c r="O7894" s="165">
        <f t="shared" si="373"/>
        <v>6.4611394021218252E-2</v>
      </c>
      <c r="P7894" s="18"/>
      <c r="Q7894" s="18"/>
      <c r="R7894" s="18"/>
      <c r="S7894" s="18"/>
      <c r="T7894" s="18"/>
      <c r="U7894" s="18"/>
      <c r="V7894" s="18"/>
      <c r="W7894" s="18"/>
      <c r="X7894" s="18"/>
    </row>
    <row r="7895" spans="13:24">
      <c r="M7895" s="558">
        <f t="shared" si="374"/>
        <v>7893</v>
      </c>
      <c r="N7895" s="15">
        <f t="shared" si="372"/>
        <v>6.4559996107078382E-2</v>
      </c>
      <c r="O7895" s="165">
        <f t="shared" si="373"/>
        <v>6.4559996107078382E-2</v>
      </c>
      <c r="P7895" s="18"/>
      <c r="Q7895" s="18"/>
      <c r="R7895" s="18"/>
      <c r="S7895" s="18"/>
      <c r="T7895" s="18"/>
      <c r="U7895" s="18"/>
      <c r="V7895" s="18"/>
      <c r="W7895" s="18"/>
      <c r="X7895" s="18"/>
    </row>
    <row r="7896" spans="13:24">
      <c r="M7896" s="558">
        <f t="shared" si="374"/>
        <v>7894</v>
      </c>
      <c r="N7896" s="15">
        <f t="shared" si="372"/>
        <v>6.4508598228140451E-2</v>
      </c>
      <c r="O7896" s="165">
        <f t="shared" si="373"/>
        <v>6.4508598228140451E-2</v>
      </c>
      <c r="P7896" s="18"/>
      <c r="Q7896" s="18"/>
      <c r="R7896" s="18"/>
      <c r="S7896" s="18"/>
      <c r="T7896" s="18"/>
      <c r="U7896" s="18"/>
      <c r="V7896" s="18"/>
      <c r="W7896" s="18"/>
      <c r="X7896" s="18"/>
    </row>
    <row r="7897" spans="13:24">
      <c r="M7897" s="558">
        <f t="shared" si="374"/>
        <v>7895</v>
      </c>
      <c r="N7897" s="15">
        <f t="shared" si="372"/>
        <v>6.445720038436023E-2</v>
      </c>
      <c r="O7897" s="165">
        <f t="shared" si="373"/>
        <v>6.445720038436023E-2</v>
      </c>
      <c r="P7897" s="18"/>
      <c r="Q7897" s="18"/>
      <c r="R7897" s="18"/>
      <c r="S7897" s="18"/>
      <c r="T7897" s="18"/>
      <c r="U7897" s="18"/>
      <c r="V7897" s="18"/>
      <c r="W7897" s="18"/>
      <c r="X7897" s="18"/>
    </row>
    <row r="7898" spans="13:24">
      <c r="M7898" s="558">
        <f t="shared" si="374"/>
        <v>7896</v>
      </c>
      <c r="N7898" s="15">
        <f t="shared" si="372"/>
        <v>6.4405802575693644E-2</v>
      </c>
      <c r="O7898" s="165">
        <f t="shared" si="373"/>
        <v>6.4405802575693644E-2</v>
      </c>
      <c r="P7898" s="18"/>
      <c r="Q7898" s="18"/>
      <c r="R7898" s="18"/>
      <c r="S7898" s="18"/>
      <c r="T7898" s="18"/>
      <c r="U7898" s="18"/>
      <c r="V7898" s="18"/>
      <c r="W7898" s="18"/>
      <c r="X7898" s="18"/>
    </row>
    <row r="7899" spans="13:24">
      <c r="M7899" s="558">
        <f t="shared" si="374"/>
        <v>7897</v>
      </c>
      <c r="N7899" s="15">
        <f t="shared" si="372"/>
        <v>6.4354404802096601E-2</v>
      </c>
      <c r="O7899" s="165">
        <f t="shared" si="373"/>
        <v>6.4354404802096601E-2</v>
      </c>
      <c r="P7899" s="18"/>
      <c r="Q7899" s="18"/>
      <c r="R7899" s="18"/>
      <c r="S7899" s="18"/>
      <c r="T7899" s="18"/>
      <c r="U7899" s="18"/>
      <c r="V7899" s="18"/>
      <c r="W7899" s="18"/>
      <c r="X7899" s="18"/>
    </row>
    <row r="7900" spans="13:24">
      <c r="M7900" s="558">
        <f t="shared" si="374"/>
        <v>7898</v>
      </c>
      <c r="N7900" s="15">
        <f t="shared" si="372"/>
        <v>6.4303007063525097E-2</v>
      </c>
      <c r="O7900" s="165">
        <f t="shared" si="373"/>
        <v>6.4303007063525097E-2</v>
      </c>
      <c r="P7900" s="18"/>
      <c r="Q7900" s="18"/>
      <c r="R7900" s="18"/>
      <c r="S7900" s="18"/>
      <c r="T7900" s="18"/>
      <c r="U7900" s="18"/>
      <c r="V7900" s="18"/>
      <c r="W7900" s="18"/>
      <c r="X7900" s="18"/>
    </row>
    <row r="7901" spans="13:24">
      <c r="M7901" s="558">
        <f t="shared" si="374"/>
        <v>7899</v>
      </c>
      <c r="N7901" s="15">
        <f t="shared" si="372"/>
        <v>6.425160935993518E-2</v>
      </c>
      <c r="O7901" s="165">
        <f t="shared" si="373"/>
        <v>6.425160935993518E-2</v>
      </c>
      <c r="P7901" s="18"/>
      <c r="Q7901" s="18"/>
      <c r="R7901" s="18"/>
      <c r="S7901" s="18"/>
      <c r="T7901" s="18"/>
      <c r="U7901" s="18"/>
      <c r="V7901" s="18"/>
      <c r="W7901" s="18"/>
      <c r="X7901" s="18"/>
    </row>
    <row r="7902" spans="13:24">
      <c r="M7902" s="558">
        <f t="shared" si="374"/>
        <v>7900</v>
      </c>
      <c r="N7902" s="15">
        <f t="shared" si="372"/>
        <v>6.4200211691282955E-2</v>
      </c>
      <c r="O7902" s="165">
        <f t="shared" si="373"/>
        <v>6.4200211691282955E-2</v>
      </c>
      <c r="P7902" s="18"/>
      <c r="Q7902" s="18"/>
      <c r="R7902" s="18"/>
      <c r="S7902" s="18"/>
      <c r="T7902" s="18"/>
      <c r="U7902" s="18"/>
      <c r="V7902" s="18"/>
      <c r="W7902" s="18"/>
      <c r="X7902" s="18"/>
    </row>
    <row r="7903" spans="13:24">
      <c r="M7903" s="558">
        <f t="shared" si="374"/>
        <v>7901</v>
      </c>
      <c r="N7903" s="15">
        <f t="shared" si="372"/>
        <v>6.4148814057524567E-2</v>
      </c>
      <c r="O7903" s="165">
        <f t="shared" si="373"/>
        <v>6.4148814057524567E-2</v>
      </c>
      <c r="P7903" s="18"/>
      <c r="Q7903" s="18"/>
      <c r="R7903" s="18"/>
      <c r="S7903" s="18"/>
      <c r="T7903" s="18"/>
      <c r="U7903" s="18"/>
      <c r="V7903" s="18"/>
      <c r="W7903" s="18"/>
      <c r="X7903" s="18"/>
    </row>
    <row r="7904" spans="13:24">
      <c r="M7904" s="558">
        <f t="shared" si="374"/>
        <v>7902</v>
      </c>
      <c r="N7904" s="15">
        <f t="shared" si="372"/>
        <v>6.4097416458616233E-2</v>
      </c>
      <c r="O7904" s="165">
        <f t="shared" si="373"/>
        <v>6.4097416458616233E-2</v>
      </c>
      <c r="P7904" s="18"/>
      <c r="Q7904" s="18"/>
      <c r="R7904" s="18"/>
      <c r="S7904" s="18"/>
      <c r="T7904" s="18"/>
      <c r="U7904" s="18"/>
      <c r="V7904" s="18"/>
      <c r="W7904" s="18"/>
      <c r="X7904" s="18"/>
    </row>
    <row r="7905" spans="13:24">
      <c r="M7905" s="558">
        <f t="shared" si="374"/>
        <v>7903</v>
      </c>
      <c r="N7905" s="15">
        <f t="shared" si="372"/>
        <v>6.4046018894514223E-2</v>
      </c>
      <c r="O7905" s="165">
        <f t="shared" si="373"/>
        <v>6.4046018894514223E-2</v>
      </c>
      <c r="P7905" s="18"/>
      <c r="Q7905" s="18"/>
      <c r="R7905" s="18"/>
      <c r="S7905" s="18"/>
      <c r="T7905" s="18"/>
      <c r="U7905" s="18"/>
      <c r="V7905" s="18"/>
      <c r="W7905" s="18"/>
      <c r="X7905" s="18"/>
    </row>
    <row r="7906" spans="13:24">
      <c r="M7906" s="558">
        <f t="shared" si="374"/>
        <v>7904</v>
      </c>
      <c r="N7906" s="15">
        <f t="shared" si="372"/>
        <v>6.3994621365174864E-2</v>
      </c>
      <c r="O7906" s="165">
        <f t="shared" si="373"/>
        <v>6.3994621365174864E-2</v>
      </c>
      <c r="P7906" s="18"/>
      <c r="Q7906" s="18"/>
      <c r="R7906" s="18"/>
      <c r="S7906" s="18"/>
      <c r="T7906" s="18"/>
      <c r="U7906" s="18"/>
      <c r="V7906" s="18"/>
      <c r="W7906" s="18"/>
      <c r="X7906" s="18"/>
    </row>
    <row r="7907" spans="13:24">
      <c r="M7907" s="558">
        <f t="shared" si="374"/>
        <v>7905</v>
      </c>
      <c r="N7907" s="15">
        <f t="shared" si="372"/>
        <v>6.3943223870554511E-2</v>
      </c>
      <c r="O7907" s="165">
        <f t="shared" si="373"/>
        <v>6.3943223870554511E-2</v>
      </c>
      <c r="P7907" s="18"/>
      <c r="Q7907" s="18"/>
      <c r="R7907" s="18"/>
      <c r="S7907" s="18"/>
      <c r="T7907" s="18"/>
      <c r="U7907" s="18"/>
      <c r="V7907" s="18"/>
      <c r="W7907" s="18"/>
      <c r="X7907" s="18"/>
    </row>
    <row r="7908" spans="13:24">
      <c r="M7908" s="558">
        <f t="shared" si="374"/>
        <v>7906</v>
      </c>
      <c r="N7908" s="15">
        <f t="shared" si="372"/>
        <v>6.3891826410609601E-2</v>
      </c>
      <c r="O7908" s="165">
        <f t="shared" si="373"/>
        <v>6.3891826410609601E-2</v>
      </c>
      <c r="P7908" s="18"/>
      <c r="Q7908" s="18"/>
      <c r="R7908" s="18"/>
      <c r="S7908" s="18"/>
      <c r="T7908" s="18"/>
      <c r="U7908" s="18"/>
      <c r="V7908" s="18"/>
      <c r="W7908" s="18"/>
      <c r="X7908" s="18"/>
    </row>
    <row r="7909" spans="13:24">
      <c r="M7909" s="558">
        <f t="shared" si="374"/>
        <v>7907</v>
      </c>
      <c r="N7909" s="15">
        <f t="shared" si="372"/>
        <v>6.3840428985296627E-2</v>
      </c>
      <c r="O7909" s="165">
        <f t="shared" si="373"/>
        <v>6.3840428985296627E-2</v>
      </c>
      <c r="P7909" s="18"/>
      <c r="Q7909" s="18"/>
      <c r="R7909" s="18"/>
      <c r="S7909" s="18"/>
      <c r="T7909" s="18"/>
      <c r="U7909" s="18"/>
      <c r="V7909" s="18"/>
      <c r="W7909" s="18"/>
      <c r="X7909" s="18"/>
    </row>
    <row r="7910" spans="13:24">
      <c r="M7910" s="558">
        <f t="shared" si="374"/>
        <v>7908</v>
      </c>
      <c r="N7910" s="15">
        <f t="shared" si="372"/>
        <v>6.378903159457211E-2</v>
      </c>
      <c r="O7910" s="165">
        <f t="shared" si="373"/>
        <v>6.378903159457211E-2</v>
      </c>
      <c r="P7910" s="18"/>
      <c r="Q7910" s="18"/>
      <c r="R7910" s="18"/>
      <c r="S7910" s="18"/>
      <c r="T7910" s="18"/>
      <c r="U7910" s="18"/>
      <c r="V7910" s="18"/>
      <c r="W7910" s="18"/>
      <c r="X7910" s="18"/>
    </row>
    <row r="7911" spans="13:24">
      <c r="M7911" s="558">
        <f t="shared" si="374"/>
        <v>7909</v>
      </c>
      <c r="N7911" s="15">
        <f t="shared" si="372"/>
        <v>6.3737634238392682E-2</v>
      </c>
      <c r="O7911" s="165">
        <f t="shared" si="373"/>
        <v>6.3737634238392682E-2</v>
      </c>
      <c r="P7911" s="18"/>
      <c r="Q7911" s="18"/>
      <c r="R7911" s="18"/>
      <c r="S7911" s="18"/>
      <c r="T7911" s="18"/>
      <c r="U7911" s="18"/>
      <c r="V7911" s="18"/>
      <c r="W7911" s="18"/>
      <c r="X7911" s="18"/>
    </row>
    <row r="7912" spans="13:24">
      <c r="M7912" s="558">
        <f t="shared" si="374"/>
        <v>7910</v>
      </c>
      <c r="N7912" s="15">
        <f t="shared" si="372"/>
        <v>6.3686236916714961E-2</v>
      </c>
      <c r="O7912" s="165">
        <f t="shared" si="373"/>
        <v>6.3686236916714961E-2</v>
      </c>
      <c r="P7912" s="18"/>
      <c r="Q7912" s="18"/>
      <c r="R7912" s="18"/>
      <c r="S7912" s="18"/>
      <c r="T7912" s="18"/>
      <c r="U7912" s="18"/>
      <c r="V7912" s="18"/>
      <c r="W7912" s="18"/>
      <c r="X7912" s="18"/>
    </row>
    <row r="7913" spans="13:24">
      <c r="M7913" s="558">
        <f t="shared" si="374"/>
        <v>7911</v>
      </c>
      <c r="N7913" s="15">
        <f t="shared" si="372"/>
        <v>6.3634839629495663E-2</v>
      </c>
      <c r="O7913" s="165">
        <f t="shared" si="373"/>
        <v>6.3634839629495663E-2</v>
      </c>
      <c r="P7913" s="18"/>
      <c r="Q7913" s="18"/>
      <c r="R7913" s="18"/>
      <c r="S7913" s="18"/>
      <c r="T7913" s="18"/>
      <c r="U7913" s="18"/>
      <c r="V7913" s="18"/>
      <c r="W7913" s="18"/>
      <c r="X7913" s="18"/>
    </row>
    <row r="7914" spans="13:24">
      <c r="M7914" s="558">
        <f t="shared" si="374"/>
        <v>7912</v>
      </c>
      <c r="N7914" s="15">
        <f t="shared" si="372"/>
        <v>6.3583442376691529E-2</v>
      </c>
      <c r="O7914" s="165">
        <f t="shared" si="373"/>
        <v>6.3583442376691529E-2</v>
      </c>
      <c r="P7914" s="18"/>
      <c r="Q7914" s="18"/>
      <c r="R7914" s="18"/>
      <c r="S7914" s="18"/>
      <c r="T7914" s="18"/>
      <c r="U7914" s="18"/>
      <c r="V7914" s="18"/>
      <c r="W7914" s="18"/>
      <c r="X7914" s="18"/>
    </row>
    <row r="7915" spans="13:24">
      <c r="M7915" s="558">
        <f t="shared" si="374"/>
        <v>7913</v>
      </c>
      <c r="N7915" s="15">
        <f t="shared" si="372"/>
        <v>6.3532045158259401E-2</v>
      </c>
      <c r="O7915" s="165">
        <f t="shared" si="373"/>
        <v>6.3532045158259401E-2</v>
      </c>
      <c r="P7915" s="18"/>
      <c r="Q7915" s="18"/>
      <c r="R7915" s="18"/>
      <c r="S7915" s="18"/>
      <c r="T7915" s="18"/>
      <c r="U7915" s="18"/>
      <c r="V7915" s="18"/>
      <c r="W7915" s="18"/>
      <c r="X7915" s="18"/>
    </row>
    <row r="7916" spans="13:24">
      <c r="M7916" s="558">
        <f t="shared" si="374"/>
        <v>7914</v>
      </c>
      <c r="N7916" s="15">
        <f t="shared" si="372"/>
        <v>6.3480647974156118E-2</v>
      </c>
      <c r="O7916" s="165">
        <f t="shared" si="373"/>
        <v>6.3480647974156118E-2</v>
      </c>
      <c r="P7916" s="18"/>
      <c r="Q7916" s="18"/>
      <c r="R7916" s="18"/>
      <c r="S7916" s="18"/>
      <c r="T7916" s="18"/>
      <c r="U7916" s="18"/>
      <c r="V7916" s="18"/>
      <c r="W7916" s="18"/>
      <c r="X7916" s="18"/>
    </row>
    <row r="7917" spans="13:24">
      <c r="M7917" s="558">
        <f t="shared" si="374"/>
        <v>7915</v>
      </c>
      <c r="N7917" s="15">
        <f t="shared" si="372"/>
        <v>6.3429250824338604E-2</v>
      </c>
      <c r="O7917" s="165">
        <f t="shared" si="373"/>
        <v>6.3429250824338604E-2</v>
      </c>
      <c r="P7917" s="18"/>
      <c r="Q7917" s="18"/>
      <c r="R7917" s="18"/>
      <c r="S7917" s="18"/>
      <c r="T7917" s="18"/>
      <c r="U7917" s="18"/>
      <c r="V7917" s="18"/>
      <c r="W7917" s="18"/>
      <c r="X7917" s="18"/>
    </row>
    <row r="7918" spans="13:24">
      <c r="M7918" s="558">
        <f t="shared" si="374"/>
        <v>7916</v>
      </c>
      <c r="N7918" s="15">
        <f t="shared" si="372"/>
        <v>6.3377853708763837E-2</v>
      </c>
      <c r="O7918" s="165">
        <f t="shared" si="373"/>
        <v>6.3377853708763837E-2</v>
      </c>
      <c r="P7918" s="18"/>
      <c r="Q7918" s="18"/>
      <c r="R7918" s="18"/>
      <c r="S7918" s="18"/>
      <c r="T7918" s="18"/>
      <c r="U7918" s="18"/>
      <c r="V7918" s="18"/>
      <c r="W7918" s="18"/>
      <c r="X7918" s="18"/>
    </row>
    <row r="7919" spans="13:24">
      <c r="M7919" s="558">
        <f t="shared" si="374"/>
        <v>7917</v>
      </c>
      <c r="N7919" s="15">
        <f t="shared" si="372"/>
        <v>6.3326456627388852E-2</v>
      </c>
      <c r="O7919" s="165">
        <f t="shared" si="373"/>
        <v>6.3326456627388852E-2</v>
      </c>
      <c r="P7919" s="18"/>
      <c r="Q7919" s="18"/>
      <c r="R7919" s="18"/>
      <c r="S7919" s="18"/>
      <c r="T7919" s="18"/>
      <c r="U7919" s="18"/>
      <c r="V7919" s="18"/>
      <c r="W7919" s="18"/>
      <c r="X7919" s="18"/>
    </row>
    <row r="7920" spans="13:24">
      <c r="M7920" s="558">
        <f t="shared" si="374"/>
        <v>7918</v>
      </c>
      <c r="N7920" s="15">
        <f t="shared" si="372"/>
        <v>6.3275059580170712E-2</v>
      </c>
      <c r="O7920" s="165">
        <f t="shared" si="373"/>
        <v>6.3275059580170712E-2</v>
      </c>
      <c r="P7920" s="18"/>
      <c r="Q7920" s="18"/>
      <c r="R7920" s="18"/>
      <c r="S7920" s="18"/>
      <c r="T7920" s="18"/>
      <c r="U7920" s="18"/>
      <c r="V7920" s="18"/>
      <c r="W7920" s="18"/>
      <c r="X7920" s="18"/>
    </row>
    <row r="7921" spans="13:24">
      <c r="M7921" s="558">
        <f t="shared" si="374"/>
        <v>7919</v>
      </c>
      <c r="N7921" s="15">
        <f t="shared" si="372"/>
        <v>6.3223662567066574E-2</v>
      </c>
      <c r="O7921" s="165">
        <f t="shared" si="373"/>
        <v>6.3223662567066574E-2</v>
      </c>
      <c r="P7921" s="18"/>
      <c r="Q7921" s="18"/>
      <c r="R7921" s="18"/>
      <c r="S7921" s="18"/>
      <c r="T7921" s="18"/>
      <c r="U7921" s="18"/>
      <c r="V7921" s="18"/>
      <c r="W7921" s="18"/>
      <c r="X7921" s="18"/>
    </row>
    <row r="7922" spans="13:24">
      <c r="M7922" s="558">
        <f t="shared" si="374"/>
        <v>7920</v>
      </c>
      <c r="N7922" s="15">
        <f t="shared" si="372"/>
        <v>6.3172265588033627E-2</v>
      </c>
      <c r="O7922" s="165">
        <f t="shared" si="373"/>
        <v>6.3172265588033627E-2</v>
      </c>
      <c r="P7922" s="18"/>
      <c r="Q7922" s="18"/>
      <c r="R7922" s="18"/>
      <c r="S7922" s="18"/>
      <c r="T7922" s="18"/>
      <c r="U7922" s="18"/>
      <c r="V7922" s="18"/>
      <c r="W7922" s="18"/>
      <c r="X7922" s="18"/>
    </row>
    <row r="7923" spans="13:24">
      <c r="M7923" s="558">
        <f t="shared" si="374"/>
        <v>7921</v>
      </c>
      <c r="N7923" s="15">
        <f t="shared" si="372"/>
        <v>6.3120868643029099E-2</v>
      </c>
      <c r="O7923" s="165">
        <f t="shared" si="373"/>
        <v>6.3120868643029099E-2</v>
      </c>
      <c r="P7923" s="18"/>
      <c r="Q7923" s="18"/>
      <c r="R7923" s="18"/>
      <c r="S7923" s="18"/>
      <c r="T7923" s="18"/>
      <c r="U7923" s="18"/>
      <c r="V7923" s="18"/>
      <c r="W7923" s="18"/>
      <c r="X7923" s="18"/>
    </row>
    <row r="7924" spans="13:24">
      <c r="M7924" s="558">
        <f t="shared" si="374"/>
        <v>7922</v>
      </c>
      <c r="N7924" s="15">
        <f t="shared" si="372"/>
        <v>6.3069471732010288E-2</v>
      </c>
      <c r="O7924" s="165">
        <f t="shared" si="373"/>
        <v>6.3069471732010288E-2</v>
      </c>
      <c r="P7924" s="18"/>
      <c r="Q7924" s="18"/>
      <c r="R7924" s="18"/>
      <c r="S7924" s="18"/>
      <c r="T7924" s="18"/>
      <c r="U7924" s="18"/>
      <c r="V7924" s="18"/>
      <c r="W7924" s="18"/>
      <c r="X7924" s="18"/>
    </row>
    <row r="7925" spans="13:24">
      <c r="M7925" s="558">
        <f t="shared" si="374"/>
        <v>7923</v>
      </c>
      <c r="N7925" s="15">
        <f t="shared" si="372"/>
        <v>6.3018074854934561E-2</v>
      </c>
      <c r="O7925" s="165">
        <f t="shared" si="373"/>
        <v>6.3018074854934561E-2</v>
      </c>
      <c r="P7925" s="18"/>
      <c r="Q7925" s="18"/>
      <c r="R7925" s="18"/>
      <c r="S7925" s="18"/>
      <c r="T7925" s="18"/>
      <c r="U7925" s="18"/>
      <c r="V7925" s="18"/>
      <c r="W7925" s="18"/>
      <c r="X7925" s="18"/>
    </row>
    <row r="7926" spans="13:24">
      <c r="M7926" s="558">
        <f t="shared" si="374"/>
        <v>7924</v>
      </c>
      <c r="N7926" s="15">
        <f t="shared" si="372"/>
        <v>6.29666780117593E-2</v>
      </c>
      <c r="O7926" s="165">
        <f t="shared" si="373"/>
        <v>6.29666780117593E-2</v>
      </c>
      <c r="P7926" s="18"/>
      <c r="Q7926" s="18"/>
      <c r="R7926" s="18"/>
      <c r="S7926" s="18"/>
      <c r="T7926" s="18"/>
      <c r="U7926" s="18"/>
      <c r="V7926" s="18"/>
      <c r="W7926" s="18"/>
      <c r="X7926" s="18"/>
    </row>
    <row r="7927" spans="13:24">
      <c r="M7927" s="558">
        <f t="shared" si="374"/>
        <v>7925</v>
      </c>
      <c r="N7927" s="15">
        <f t="shared" si="372"/>
        <v>6.2915281202441983E-2</v>
      </c>
      <c r="O7927" s="165">
        <f t="shared" si="373"/>
        <v>6.2915281202441983E-2</v>
      </c>
      <c r="P7927" s="18"/>
      <c r="Q7927" s="18"/>
      <c r="R7927" s="18"/>
      <c r="S7927" s="18"/>
      <c r="T7927" s="18"/>
      <c r="U7927" s="18"/>
      <c r="V7927" s="18"/>
      <c r="W7927" s="18"/>
      <c r="X7927" s="18"/>
    </row>
    <row r="7928" spans="13:24">
      <c r="M7928" s="558">
        <f t="shared" si="374"/>
        <v>7926</v>
      </c>
      <c r="N7928" s="15">
        <f t="shared" si="372"/>
        <v>6.2863884426940117E-2</v>
      </c>
      <c r="O7928" s="165">
        <f t="shared" si="373"/>
        <v>6.2863884426940117E-2</v>
      </c>
      <c r="P7928" s="18"/>
      <c r="Q7928" s="18"/>
      <c r="R7928" s="18"/>
      <c r="S7928" s="18"/>
      <c r="T7928" s="18"/>
      <c r="U7928" s="18"/>
      <c r="V7928" s="18"/>
      <c r="W7928" s="18"/>
      <c r="X7928" s="18"/>
    </row>
    <row r="7929" spans="13:24">
      <c r="M7929" s="558">
        <f t="shared" si="374"/>
        <v>7927</v>
      </c>
      <c r="N7929" s="15">
        <f t="shared" si="372"/>
        <v>6.2812487685211263E-2</v>
      </c>
      <c r="O7929" s="165">
        <f t="shared" si="373"/>
        <v>6.2812487685211263E-2</v>
      </c>
      <c r="P7929" s="18"/>
      <c r="Q7929" s="18"/>
      <c r="R7929" s="18"/>
      <c r="S7929" s="18"/>
      <c r="T7929" s="18"/>
      <c r="U7929" s="18"/>
      <c r="V7929" s="18"/>
      <c r="W7929" s="18"/>
      <c r="X7929" s="18"/>
    </row>
    <row r="7930" spans="13:24">
      <c r="M7930" s="558">
        <f t="shared" si="374"/>
        <v>7928</v>
      </c>
      <c r="N7930" s="15">
        <f t="shared" si="372"/>
        <v>6.2761090977213024E-2</v>
      </c>
      <c r="O7930" s="165">
        <f t="shared" si="373"/>
        <v>6.2761090977213024E-2</v>
      </c>
      <c r="P7930" s="18"/>
      <c r="Q7930" s="18"/>
      <c r="R7930" s="18"/>
      <c r="S7930" s="18"/>
      <c r="T7930" s="18"/>
      <c r="U7930" s="18"/>
      <c r="V7930" s="18"/>
      <c r="W7930" s="18"/>
      <c r="X7930" s="18"/>
    </row>
    <row r="7931" spans="13:24">
      <c r="M7931" s="558">
        <f t="shared" si="374"/>
        <v>7929</v>
      </c>
      <c r="N7931" s="15">
        <f t="shared" si="372"/>
        <v>6.2709694302903102E-2</v>
      </c>
      <c r="O7931" s="165">
        <f t="shared" si="373"/>
        <v>6.2709694302903102E-2</v>
      </c>
      <c r="P7931" s="18"/>
      <c r="Q7931" s="18"/>
      <c r="R7931" s="18"/>
      <c r="S7931" s="18"/>
      <c r="T7931" s="18"/>
      <c r="U7931" s="18"/>
      <c r="V7931" s="18"/>
      <c r="W7931" s="18"/>
      <c r="X7931" s="18"/>
    </row>
    <row r="7932" spans="13:24">
      <c r="M7932" s="558">
        <f t="shared" si="374"/>
        <v>7930</v>
      </c>
      <c r="N7932" s="15">
        <f t="shared" si="372"/>
        <v>6.2658297662239196E-2</v>
      </c>
      <c r="O7932" s="165">
        <f t="shared" si="373"/>
        <v>6.2658297662239196E-2</v>
      </c>
      <c r="P7932" s="18"/>
      <c r="Q7932" s="18"/>
      <c r="R7932" s="18"/>
      <c r="S7932" s="18"/>
      <c r="T7932" s="18"/>
      <c r="U7932" s="18"/>
      <c r="V7932" s="18"/>
      <c r="W7932" s="18"/>
      <c r="X7932" s="18"/>
    </row>
    <row r="7933" spans="13:24">
      <c r="M7933" s="558">
        <f t="shared" si="374"/>
        <v>7931</v>
      </c>
      <c r="N7933" s="15">
        <f t="shared" si="372"/>
        <v>6.260690105517909E-2</v>
      </c>
      <c r="O7933" s="165">
        <f t="shared" si="373"/>
        <v>6.260690105517909E-2</v>
      </c>
      <c r="P7933" s="18"/>
      <c r="Q7933" s="18"/>
      <c r="R7933" s="18"/>
      <c r="S7933" s="18"/>
      <c r="T7933" s="18"/>
      <c r="U7933" s="18"/>
      <c r="V7933" s="18"/>
      <c r="W7933" s="18"/>
      <c r="X7933" s="18"/>
    </row>
    <row r="7934" spans="13:24">
      <c r="M7934" s="558">
        <f t="shared" si="374"/>
        <v>7932</v>
      </c>
      <c r="N7934" s="15">
        <f t="shared" si="372"/>
        <v>6.255550448168061E-2</v>
      </c>
      <c r="O7934" s="165">
        <f t="shared" si="373"/>
        <v>6.255550448168061E-2</v>
      </c>
      <c r="P7934" s="18"/>
      <c r="Q7934" s="18"/>
      <c r="R7934" s="18"/>
      <c r="S7934" s="18"/>
      <c r="T7934" s="18"/>
      <c r="U7934" s="18"/>
      <c r="V7934" s="18"/>
      <c r="W7934" s="18"/>
      <c r="X7934" s="18"/>
    </row>
    <row r="7935" spans="13:24">
      <c r="M7935" s="558">
        <f t="shared" si="374"/>
        <v>7933</v>
      </c>
      <c r="N7935" s="15">
        <f t="shared" si="372"/>
        <v>6.250410794170165E-2</v>
      </c>
      <c r="O7935" s="165">
        <f t="shared" si="373"/>
        <v>6.250410794170165E-2</v>
      </c>
      <c r="P7935" s="18"/>
      <c r="Q7935" s="18"/>
      <c r="R7935" s="18"/>
      <c r="S7935" s="18"/>
      <c r="T7935" s="18"/>
      <c r="U7935" s="18"/>
      <c r="V7935" s="18"/>
      <c r="W7935" s="18"/>
      <c r="X7935" s="18"/>
    </row>
    <row r="7936" spans="13:24">
      <c r="M7936" s="558">
        <f t="shared" si="374"/>
        <v>7934</v>
      </c>
      <c r="N7936" s="15">
        <f t="shared" si="372"/>
        <v>6.2452711435200141E-2</v>
      </c>
      <c r="O7936" s="165">
        <f t="shared" si="373"/>
        <v>6.2452711435200141E-2</v>
      </c>
      <c r="P7936" s="18"/>
      <c r="Q7936" s="18"/>
      <c r="R7936" s="18"/>
      <c r="S7936" s="18"/>
      <c r="T7936" s="18"/>
      <c r="U7936" s="18"/>
      <c r="V7936" s="18"/>
      <c r="W7936" s="18"/>
      <c r="X7936" s="18"/>
    </row>
    <row r="7937" spans="13:24">
      <c r="M7937" s="558">
        <f t="shared" si="374"/>
        <v>7935</v>
      </c>
      <c r="N7937" s="15">
        <f t="shared" si="372"/>
        <v>6.2401314962134066E-2</v>
      </c>
      <c r="O7937" s="165">
        <f t="shared" si="373"/>
        <v>6.2401314962134066E-2</v>
      </c>
      <c r="P7937" s="18"/>
      <c r="Q7937" s="18"/>
      <c r="R7937" s="18"/>
      <c r="S7937" s="18"/>
      <c r="T7937" s="18"/>
      <c r="U7937" s="18"/>
      <c r="V7937" s="18"/>
      <c r="W7937" s="18"/>
      <c r="X7937" s="18"/>
    </row>
    <row r="7938" spans="13:24">
      <c r="M7938" s="558">
        <f t="shared" si="374"/>
        <v>7936</v>
      </c>
      <c r="N7938" s="15">
        <f t="shared" si="372"/>
        <v>6.2349918522461474E-2</v>
      </c>
      <c r="O7938" s="165">
        <f t="shared" si="373"/>
        <v>6.2349918522461474E-2</v>
      </c>
      <c r="P7938" s="18"/>
      <c r="Q7938" s="18"/>
      <c r="R7938" s="18"/>
      <c r="S7938" s="18"/>
      <c r="T7938" s="18"/>
      <c r="U7938" s="18"/>
      <c r="V7938" s="18"/>
      <c r="W7938" s="18"/>
      <c r="X7938" s="18"/>
    </row>
    <row r="7939" spans="13:24">
      <c r="M7939" s="558">
        <f t="shared" si="374"/>
        <v>7937</v>
      </c>
      <c r="N7939" s="15">
        <f t="shared" si="372"/>
        <v>6.2298522116140453E-2</v>
      </c>
      <c r="O7939" s="165">
        <f t="shared" si="373"/>
        <v>6.2298522116140453E-2</v>
      </c>
      <c r="P7939" s="18"/>
      <c r="Q7939" s="18"/>
      <c r="R7939" s="18"/>
      <c r="S7939" s="18"/>
      <c r="T7939" s="18"/>
      <c r="U7939" s="18"/>
      <c r="V7939" s="18"/>
      <c r="W7939" s="18"/>
      <c r="X7939" s="18"/>
    </row>
    <row r="7940" spans="13:24">
      <c r="M7940" s="558">
        <f t="shared" si="374"/>
        <v>7938</v>
      </c>
      <c r="N7940" s="15">
        <f t="shared" ref="N7940:N8003" si="375">IF(M7940&lt;$B$31+1,$B$32+$B$33/$B$31*(8760-M7940)+$B$34*IF(M7940&lt;$B$36-$B$31/(2*$B$35),1,IF(M7940&lt;$B$36+$B$31/(2*$B$35),COS(PI()/2*(M7940-($B$36-$B$31/(2*$B$35)))*$B$35/$B$31)^2,0))+$B$37*EXP((8760-M7940)/8760*$B$38)/EXP($B$38)-(8760-$B$31)*$B$33/$B$31,0)</f>
        <v>6.2247125743129149E-2</v>
      </c>
      <c r="O7940" s="165">
        <f t="shared" ref="O7940:O8003" si="376">MIN(N7940,C$24)</f>
        <v>6.2247125743129149E-2</v>
      </c>
      <c r="P7940" s="18"/>
      <c r="Q7940" s="18"/>
      <c r="R7940" s="18"/>
      <c r="S7940" s="18"/>
      <c r="T7940" s="18"/>
      <c r="U7940" s="18"/>
      <c r="V7940" s="18"/>
      <c r="W7940" s="18"/>
      <c r="X7940" s="18"/>
    </row>
    <row r="7941" spans="13:24">
      <c r="M7941" s="558">
        <f t="shared" ref="M7941:M8004" si="377">M7940+1</f>
        <v>7939</v>
      </c>
      <c r="N7941" s="15">
        <f t="shared" si="375"/>
        <v>6.2195729403385747E-2</v>
      </c>
      <c r="O7941" s="165">
        <f t="shared" si="376"/>
        <v>6.2195729403385747E-2</v>
      </c>
      <c r="P7941" s="18"/>
      <c r="Q7941" s="18"/>
      <c r="R7941" s="18"/>
      <c r="S7941" s="18"/>
      <c r="T7941" s="18"/>
      <c r="U7941" s="18"/>
      <c r="V7941" s="18"/>
      <c r="W7941" s="18"/>
      <c r="X7941" s="18"/>
    </row>
    <row r="7942" spans="13:24">
      <c r="M7942" s="558">
        <f t="shared" si="377"/>
        <v>7940</v>
      </c>
      <c r="N7942" s="15">
        <f t="shared" si="375"/>
        <v>6.214433309686853E-2</v>
      </c>
      <c r="O7942" s="165">
        <f t="shared" si="376"/>
        <v>6.214433309686853E-2</v>
      </c>
      <c r="P7942" s="18"/>
      <c r="Q7942" s="18"/>
      <c r="R7942" s="18"/>
      <c r="S7942" s="18"/>
      <c r="T7942" s="18"/>
      <c r="U7942" s="18"/>
      <c r="V7942" s="18"/>
      <c r="W7942" s="18"/>
      <c r="X7942" s="18"/>
    </row>
    <row r="7943" spans="13:24">
      <c r="M7943" s="558">
        <f t="shared" si="377"/>
        <v>7941</v>
      </c>
      <c r="N7943" s="15">
        <f t="shared" si="375"/>
        <v>6.209293682353579E-2</v>
      </c>
      <c r="O7943" s="165">
        <f t="shared" si="376"/>
        <v>6.209293682353579E-2</v>
      </c>
      <c r="P7943" s="18"/>
      <c r="Q7943" s="18"/>
      <c r="R7943" s="18"/>
      <c r="S7943" s="18"/>
      <c r="T7943" s="18"/>
      <c r="U7943" s="18"/>
      <c r="V7943" s="18"/>
      <c r="W7943" s="18"/>
      <c r="X7943" s="18"/>
    </row>
    <row r="7944" spans="13:24">
      <c r="M7944" s="558">
        <f t="shared" si="377"/>
        <v>7942</v>
      </c>
      <c r="N7944" s="15">
        <f t="shared" si="375"/>
        <v>6.2041540583345878E-2</v>
      </c>
      <c r="O7944" s="165">
        <f t="shared" si="376"/>
        <v>6.2041540583345878E-2</v>
      </c>
      <c r="P7944" s="18"/>
      <c r="Q7944" s="18"/>
      <c r="R7944" s="18"/>
      <c r="S7944" s="18"/>
      <c r="T7944" s="18"/>
      <c r="U7944" s="18"/>
      <c r="V7944" s="18"/>
      <c r="W7944" s="18"/>
      <c r="X7944" s="18"/>
    </row>
    <row r="7945" spans="13:24">
      <c r="M7945" s="558">
        <f t="shared" si="377"/>
        <v>7943</v>
      </c>
      <c r="N7945" s="15">
        <f t="shared" si="375"/>
        <v>6.1990144376257196E-2</v>
      </c>
      <c r="O7945" s="165">
        <f t="shared" si="376"/>
        <v>6.1990144376257196E-2</v>
      </c>
      <c r="P7945" s="18"/>
      <c r="Q7945" s="18"/>
      <c r="R7945" s="18"/>
      <c r="S7945" s="18"/>
      <c r="T7945" s="18"/>
      <c r="U7945" s="18"/>
      <c r="V7945" s="18"/>
      <c r="W7945" s="18"/>
      <c r="X7945" s="18"/>
    </row>
    <row r="7946" spans="13:24">
      <c r="M7946" s="558">
        <f t="shared" si="377"/>
        <v>7944</v>
      </c>
      <c r="N7946" s="15">
        <f t="shared" si="375"/>
        <v>6.1938748202228222E-2</v>
      </c>
      <c r="O7946" s="165">
        <f t="shared" si="376"/>
        <v>6.1938748202228222E-2</v>
      </c>
      <c r="P7946" s="18"/>
      <c r="Q7946" s="18"/>
      <c r="R7946" s="18"/>
      <c r="S7946" s="18"/>
      <c r="T7946" s="18"/>
      <c r="U7946" s="18"/>
      <c r="V7946" s="18"/>
      <c r="W7946" s="18"/>
      <c r="X7946" s="18"/>
    </row>
    <row r="7947" spans="13:24">
      <c r="M7947" s="558">
        <f t="shared" si="377"/>
        <v>7945</v>
      </c>
      <c r="N7947" s="15">
        <f t="shared" si="375"/>
        <v>6.1887352061217454E-2</v>
      </c>
      <c r="O7947" s="165">
        <f t="shared" si="376"/>
        <v>6.1887352061217454E-2</v>
      </c>
      <c r="P7947" s="18"/>
      <c r="Q7947" s="18"/>
      <c r="R7947" s="18"/>
      <c r="S7947" s="18"/>
      <c r="T7947" s="18"/>
      <c r="U7947" s="18"/>
      <c r="V7947" s="18"/>
      <c r="W7947" s="18"/>
      <c r="X7947" s="18"/>
    </row>
    <row r="7948" spans="13:24">
      <c r="M7948" s="558">
        <f t="shared" si="377"/>
        <v>7946</v>
      </c>
      <c r="N7948" s="15">
        <f t="shared" si="375"/>
        <v>6.1835955953183468E-2</v>
      </c>
      <c r="O7948" s="165">
        <f t="shared" si="376"/>
        <v>6.1835955953183468E-2</v>
      </c>
      <c r="P7948" s="18"/>
      <c r="Q7948" s="18"/>
      <c r="R7948" s="18"/>
      <c r="S7948" s="18"/>
      <c r="T7948" s="18"/>
      <c r="U7948" s="18"/>
      <c r="V7948" s="18"/>
      <c r="W7948" s="18"/>
      <c r="X7948" s="18"/>
    </row>
    <row r="7949" spans="13:24">
      <c r="M7949" s="558">
        <f t="shared" si="377"/>
        <v>7947</v>
      </c>
      <c r="N7949" s="15">
        <f t="shared" si="375"/>
        <v>6.1784559878084865E-2</v>
      </c>
      <c r="O7949" s="165">
        <f t="shared" si="376"/>
        <v>6.1784559878084865E-2</v>
      </c>
      <c r="P7949" s="18"/>
      <c r="Q7949" s="18"/>
      <c r="R7949" s="18"/>
      <c r="S7949" s="18"/>
      <c r="T7949" s="18"/>
      <c r="U7949" s="18"/>
      <c r="V7949" s="18"/>
      <c r="W7949" s="18"/>
      <c r="X7949" s="18"/>
    </row>
    <row r="7950" spans="13:24">
      <c r="M7950" s="558">
        <f t="shared" si="377"/>
        <v>7948</v>
      </c>
      <c r="N7950" s="15">
        <f t="shared" si="375"/>
        <v>6.1733163835880331E-2</v>
      </c>
      <c r="O7950" s="165">
        <f t="shared" si="376"/>
        <v>6.1733163835880331E-2</v>
      </c>
      <c r="P7950" s="18"/>
      <c r="Q7950" s="18"/>
      <c r="R7950" s="18"/>
      <c r="S7950" s="18"/>
      <c r="T7950" s="18"/>
      <c r="U7950" s="18"/>
      <c r="V7950" s="18"/>
      <c r="W7950" s="18"/>
      <c r="X7950" s="18"/>
    </row>
    <row r="7951" spans="13:24">
      <c r="M7951" s="558">
        <f t="shared" si="377"/>
        <v>7949</v>
      </c>
      <c r="N7951" s="15">
        <f t="shared" si="375"/>
        <v>6.168176782652858E-2</v>
      </c>
      <c r="O7951" s="165">
        <f t="shared" si="376"/>
        <v>6.168176782652858E-2</v>
      </c>
      <c r="P7951" s="18"/>
      <c r="Q7951" s="18"/>
      <c r="R7951" s="18"/>
      <c r="S7951" s="18"/>
      <c r="T7951" s="18"/>
      <c r="U7951" s="18"/>
      <c r="V7951" s="18"/>
      <c r="W7951" s="18"/>
      <c r="X7951" s="18"/>
    </row>
    <row r="7952" spans="13:24">
      <c r="M7952" s="558">
        <f t="shared" si="377"/>
        <v>7950</v>
      </c>
      <c r="N7952" s="15">
        <f t="shared" si="375"/>
        <v>6.1630371849988382E-2</v>
      </c>
      <c r="O7952" s="165">
        <f t="shared" si="376"/>
        <v>6.1630371849988382E-2</v>
      </c>
      <c r="P7952" s="18"/>
      <c r="Q7952" s="18"/>
      <c r="R7952" s="18"/>
      <c r="S7952" s="18"/>
      <c r="T7952" s="18"/>
      <c r="U7952" s="18"/>
      <c r="V7952" s="18"/>
      <c r="W7952" s="18"/>
      <c r="X7952" s="18"/>
    </row>
    <row r="7953" spans="13:24">
      <c r="M7953" s="558">
        <f t="shared" si="377"/>
        <v>7951</v>
      </c>
      <c r="N7953" s="15">
        <f t="shared" si="375"/>
        <v>6.157897590621856E-2</v>
      </c>
      <c r="O7953" s="165">
        <f t="shared" si="376"/>
        <v>6.157897590621856E-2</v>
      </c>
      <c r="P7953" s="18"/>
      <c r="Q7953" s="18"/>
      <c r="R7953" s="18"/>
      <c r="S7953" s="18"/>
      <c r="T7953" s="18"/>
      <c r="U7953" s="18"/>
      <c r="V7953" s="18"/>
      <c r="W7953" s="18"/>
      <c r="X7953" s="18"/>
    </row>
    <row r="7954" spans="13:24">
      <c r="M7954" s="558">
        <f t="shared" si="377"/>
        <v>7952</v>
      </c>
      <c r="N7954" s="15">
        <f t="shared" si="375"/>
        <v>6.1527579995177994E-2</v>
      </c>
      <c r="O7954" s="165">
        <f t="shared" si="376"/>
        <v>6.1527579995177994E-2</v>
      </c>
      <c r="P7954" s="18"/>
      <c r="Q7954" s="18"/>
      <c r="R7954" s="18"/>
      <c r="S7954" s="18"/>
      <c r="T7954" s="18"/>
      <c r="U7954" s="18"/>
      <c r="V7954" s="18"/>
      <c r="W7954" s="18"/>
      <c r="X7954" s="18"/>
    </row>
    <row r="7955" spans="13:24">
      <c r="M7955" s="558">
        <f t="shared" si="377"/>
        <v>7953</v>
      </c>
      <c r="N7955" s="15">
        <f t="shared" si="375"/>
        <v>6.1476184116825608E-2</v>
      </c>
      <c r="O7955" s="165">
        <f t="shared" si="376"/>
        <v>6.1476184116825608E-2</v>
      </c>
      <c r="P7955" s="18"/>
      <c r="Q7955" s="18"/>
      <c r="R7955" s="18"/>
      <c r="S7955" s="18"/>
      <c r="T7955" s="18"/>
      <c r="U7955" s="18"/>
      <c r="V7955" s="18"/>
      <c r="W7955" s="18"/>
      <c r="X7955" s="18"/>
    </row>
    <row r="7956" spans="13:24">
      <c r="M7956" s="558">
        <f t="shared" si="377"/>
        <v>7954</v>
      </c>
      <c r="N7956" s="15">
        <f t="shared" si="375"/>
        <v>6.142478827112037E-2</v>
      </c>
      <c r="O7956" s="165">
        <f t="shared" si="376"/>
        <v>6.142478827112037E-2</v>
      </c>
      <c r="P7956" s="18"/>
      <c r="Q7956" s="18"/>
      <c r="R7956" s="18"/>
      <c r="S7956" s="18"/>
      <c r="T7956" s="18"/>
      <c r="U7956" s="18"/>
      <c r="V7956" s="18"/>
      <c r="W7956" s="18"/>
      <c r="X7956" s="18"/>
    </row>
    <row r="7957" spans="13:24">
      <c r="M7957" s="558">
        <f t="shared" si="377"/>
        <v>7955</v>
      </c>
      <c r="N7957" s="15">
        <f t="shared" si="375"/>
        <v>6.1373392458021335E-2</v>
      </c>
      <c r="O7957" s="165">
        <f t="shared" si="376"/>
        <v>6.1373392458021335E-2</v>
      </c>
      <c r="P7957" s="18"/>
      <c r="Q7957" s="18"/>
      <c r="R7957" s="18"/>
      <c r="S7957" s="18"/>
      <c r="T7957" s="18"/>
      <c r="U7957" s="18"/>
      <c r="V7957" s="18"/>
      <c r="W7957" s="18"/>
      <c r="X7957" s="18"/>
    </row>
    <row r="7958" spans="13:24">
      <c r="M7958" s="558">
        <f t="shared" si="377"/>
        <v>7956</v>
      </c>
      <c r="N7958" s="15">
        <f t="shared" si="375"/>
        <v>6.1321996677487577E-2</v>
      </c>
      <c r="O7958" s="165">
        <f t="shared" si="376"/>
        <v>6.1321996677487577E-2</v>
      </c>
      <c r="P7958" s="18"/>
      <c r="Q7958" s="18"/>
      <c r="R7958" s="18"/>
      <c r="S7958" s="18"/>
      <c r="T7958" s="18"/>
      <c r="U7958" s="18"/>
      <c r="V7958" s="18"/>
      <c r="W7958" s="18"/>
      <c r="X7958" s="18"/>
    </row>
    <row r="7959" spans="13:24">
      <c r="M7959" s="558">
        <f t="shared" si="377"/>
        <v>7957</v>
      </c>
      <c r="N7959" s="15">
        <f t="shared" si="375"/>
        <v>6.1270600929478225E-2</v>
      </c>
      <c r="O7959" s="165">
        <f t="shared" si="376"/>
        <v>6.1270600929478225E-2</v>
      </c>
      <c r="P7959" s="18"/>
      <c r="Q7959" s="18"/>
      <c r="R7959" s="18"/>
      <c r="S7959" s="18"/>
      <c r="T7959" s="18"/>
      <c r="U7959" s="18"/>
      <c r="V7959" s="18"/>
      <c r="W7959" s="18"/>
      <c r="X7959" s="18"/>
    </row>
    <row r="7960" spans="13:24">
      <c r="M7960" s="558">
        <f t="shared" si="377"/>
        <v>7958</v>
      </c>
      <c r="N7960" s="15">
        <f t="shared" si="375"/>
        <v>6.1219205213952459E-2</v>
      </c>
      <c r="O7960" s="165">
        <f t="shared" si="376"/>
        <v>6.1219205213952459E-2</v>
      </c>
      <c r="P7960" s="18"/>
      <c r="Q7960" s="18"/>
      <c r="R7960" s="18"/>
      <c r="S7960" s="18"/>
      <c r="T7960" s="18"/>
      <c r="U7960" s="18"/>
      <c r="V7960" s="18"/>
      <c r="W7960" s="18"/>
      <c r="X7960" s="18"/>
    </row>
    <row r="7961" spans="13:24">
      <c r="M7961" s="558">
        <f t="shared" si="377"/>
        <v>7959</v>
      </c>
      <c r="N7961" s="15">
        <f t="shared" si="375"/>
        <v>6.1167809530869525E-2</v>
      </c>
      <c r="O7961" s="165">
        <f t="shared" si="376"/>
        <v>6.1167809530869525E-2</v>
      </c>
      <c r="P7961" s="18"/>
      <c r="Q7961" s="18"/>
      <c r="R7961" s="18"/>
      <c r="S7961" s="18"/>
      <c r="T7961" s="18"/>
      <c r="U7961" s="18"/>
      <c r="V7961" s="18"/>
      <c r="W7961" s="18"/>
      <c r="X7961" s="18"/>
    </row>
    <row r="7962" spans="13:24">
      <c r="M7962" s="558">
        <f t="shared" si="377"/>
        <v>7960</v>
      </c>
      <c r="N7962" s="15">
        <f t="shared" si="375"/>
        <v>6.1116413880188701E-2</v>
      </c>
      <c r="O7962" s="165">
        <f t="shared" si="376"/>
        <v>6.1116413880188701E-2</v>
      </c>
      <c r="P7962" s="18"/>
      <c r="Q7962" s="18"/>
      <c r="R7962" s="18"/>
      <c r="S7962" s="18"/>
      <c r="T7962" s="18"/>
      <c r="U7962" s="18"/>
      <c r="V7962" s="18"/>
      <c r="W7962" s="18"/>
      <c r="X7962" s="18"/>
    </row>
    <row r="7963" spans="13:24">
      <c r="M7963" s="558">
        <f t="shared" si="377"/>
        <v>7961</v>
      </c>
      <c r="N7963" s="15">
        <f t="shared" si="375"/>
        <v>6.106501826186933E-2</v>
      </c>
      <c r="O7963" s="165">
        <f t="shared" si="376"/>
        <v>6.106501826186933E-2</v>
      </c>
      <c r="P7963" s="18"/>
      <c r="Q7963" s="18"/>
      <c r="R7963" s="18"/>
      <c r="S7963" s="18"/>
      <c r="T7963" s="18"/>
      <c r="U7963" s="18"/>
      <c r="V7963" s="18"/>
      <c r="W7963" s="18"/>
      <c r="X7963" s="18"/>
    </row>
    <row r="7964" spans="13:24">
      <c r="M7964" s="558">
        <f t="shared" si="377"/>
        <v>7962</v>
      </c>
      <c r="N7964" s="15">
        <f t="shared" si="375"/>
        <v>6.10136226758708E-2</v>
      </c>
      <c r="O7964" s="165">
        <f t="shared" si="376"/>
        <v>6.10136226758708E-2</v>
      </c>
      <c r="P7964" s="18"/>
      <c r="Q7964" s="18"/>
      <c r="R7964" s="18"/>
      <c r="S7964" s="18"/>
      <c r="T7964" s="18"/>
      <c r="U7964" s="18"/>
      <c r="V7964" s="18"/>
      <c r="W7964" s="18"/>
      <c r="X7964" s="18"/>
    </row>
    <row r="7965" spans="13:24">
      <c r="M7965" s="558">
        <f t="shared" si="377"/>
        <v>7963</v>
      </c>
      <c r="N7965" s="15">
        <f t="shared" si="375"/>
        <v>6.0962227122152553E-2</v>
      </c>
      <c r="O7965" s="165">
        <f t="shared" si="376"/>
        <v>6.0962227122152553E-2</v>
      </c>
      <c r="P7965" s="18"/>
      <c r="Q7965" s="18"/>
      <c r="R7965" s="18"/>
      <c r="S7965" s="18"/>
      <c r="T7965" s="18"/>
      <c r="U7965" s="18"/>
      <c r="V7965" s="18"/>
      <c r="W7965" s="18"/>
      <c r="X7965" s="18"/>
    </row>
    <row r="7966" spans="13:24">
      <c r="M7966" s="558">
        <f t="shared" si="377"/>
        <v>7964</v>
      </c>
      <c r="N7966" s="15">
        <f t="shared" si="375"/>
        <v>6.0910831600674072E-2</v>
      </c>
      <c r="O7966" s="165">
        <f t="shared" si="376"/>
        <v>6.0910831600674072E-2</v>
      </c>
      <c r="P7966" s="18"/>
      <c r="Q7966" s="18"/>
      <c r="R7966" s="18"/>
      <c r="S7966" s="18"/>
      <c r="T7966" s="18"/>
      <c r="U7966" s="18"/>
      <c r="V7966" s="18"/>
      <c r="W7966" s="18"/>
      <c r="X7966" s="18"/>
    </row>
    <row r="7967" spans="13:24">
      <c r="M7967" s="558">
        <f t="shared" si="377"/>
        <v>7965</v>
      </c>
      <c r="N7967" s="15">
        <f t="shared" si="375"/>
        <v>6.0859436111394903E-2</v>
      </c>
      <c r="O7967" s="165">
        <f t="shared" si="376"/>
        <v>6.0859436111394903E-2</v>
      </c>
      <c r="P7967" s="18"/>
      <c r="Q7967" s="18"/>
      <c r="R7967" s="18"/>
      <c r="S7967" s="18"/>
      <c r="T7967" s="18"/>
      <c r="U7967" s="18"/>
      <c r="V7967" s="18"/>
      <c r="W7967" s="18"/>
      <c r="X7967" s="18"/>
    </row>
    <row r="7968" spans="13:24">
      <c r="M7968" s="558">
        <f t="shared" si="377"/>
        <v>7966</v>
      </c>
      <c r="N7968" s="15">
        <f t="shared" si="375"/>
        <v>6.0808040654274642E-2</v>
      </c>
      <c r="O7968" s="165">
        <f t="shared" si="376"/>
        <v>6.0808040654274642E-2</v>
      </c>
      <c r="P7968" s="18"/>
      <c r="Q7968" s="18"/>
      <c r="R7968" s="18"/>
      <c r="S7968" s="18"/>
      <c r="T7968" s="18"/>
      <c r="U7968" s="18"/>
      <c r="V7968" s="18"/>
      <c r="W7968" s="18"/>
      <c r="X7968" s="18"/>
    </row>
    <row r="7969" spans="13:24">
      <c r="M7969" s="558">
        <f t="shared" si="377"/>
        <v>7967</v>
      </c>
      <c r="N7969" s="15">
        <f t="shared" si="375"/>
        <v>6.0756645229272925E-2</v>
      </c>
      <c r="O7969" s="165">
        <f t="shared" si="376"/>
        <v>6.0756645229272925E-2</v>
      </c>
      <c r="P7969" s="18"/>
      <c r="Q7969" s="18"/>
      <c r="R7969" s="18"/>
      <c r="S7969" s="18"/>
      <c r="T7969" s="18"/>
      <c r="U7969" s="18"/>
      <c r="V7969" s="18"/>
      <c r="W7969" s="18"/>
      <c r="X7969" s="18"/>
    </row>
    <row r="7970" spans="13:24">
      <c r="M7970" s="558">
        <f t="shared" si="377"/>
        <v>7968</v>
      </c>
      <c r="N7970" s="15">
        <f t="shared" si="375"/>
        <v>6.0705249836349458E-2</v>
      </c>
      <c r="O7970" s="165">
        <f t="shared" si="376"/>
        <v>6.0705249836349458E-2</v>
      </c>
      <c r="P7970" s="18"/>
      <c r="Q7970" s="18"/>
      <c r="R7970" s="18"/>
      <c r="S7970" s="18"/>
      <c r="T7970" s="18"/>
      <c r="U7970" s="18"/>
      <c r="V7970" s="18"/>
      <c r="W7970" s="18"/>
      <c r="X7970" s="18"/>
    </row>
    <row r="7971" spans="13:24">
      <c r="M7971" s="558">
        <f t="shared" si="377"/>
        <v>7969</v>
      </c>
      <c r="N7971" s="15">
        <f t="shared" si="375"/>
        <v>6.0653854475463974E-2</v>
      </c>
      <c r="O7971" s="165">
        <f t="shared" si="376"/>
        <v>6.0653854475463974E-2</v>
      </c>
      <c r="P7971" s="18"/>
      <c r="Q7971" s="18"/>
      <c r="R7971" s="18"/>
      <c r="S7971" s="18"/>
      <c r="T7971" s="18"/>
      <c r="U7971" s="18"/>
      <c r="V7971" s="18"/>
      <c r="W7971" s="18"/>
      <c r="X7971" s="18"/>
    </row>
    <row r="7972" spans="13:24">
      <c r="M7972" s="558">
        <f t="shared" si="377"/>
        <v>7970</v>
      </c>
      <c r="N7972" s="15">
        <f t="shared" si="375"/>
        <v>6.0602459146576255E-2</v>
      </c>
      <c r="O7972" s="165">
        <f t="shared" si="376"/>
        <v>6.0602459146576255E-2</v>
      </c>
      <c r="P7972" s="18"/>
      <c r="Q7972" s="18"/>
      <c r="R7972" s="18"/>
      <c r="S7972" s="18"/>
      <c r="T7972" s="18"/>
      <c r="U7972" s="18"/>
      <c r="V7972" s="18"/>
      <c r="W7972" s="18"/>
      <c r="X7972" s="18"/>
    </row>
    <row r="7973" spans="13:24">
      <c r="M7973" s="558">
        <f t="shared" si="377"/>
        <v>7971</v>
      </c>
      <c r="N7973" s="15">
        <f t="shared" si="375"/>
        <v>6.0551063849646175E-2</v>
      </c>
      <c r="O7973" s="165">
        <f t="shared" si="376"/>
        <v>6.0551063849646175E-2</v>
      </c>
      <c r="P7973" s="18"/>
      <c r="Q7973" s="18"/>
      <c r="R7973" s="18"/>
      <c r="S7973" s="18"/>
      <c r="T7973" s="18"/>
      <c r="U7973" s="18"/>
      <c r="V7973" s="18"/>
      <c r="W7973" s="18"/>
      <c r="X7973" s="18"/>
    </row>
    <row r="7974" spans="13:24">
      <c r="M7974" s="558">
        <f t="shared" si="377"/>
        <v>7972</v>
      </c>
      <c r="N7974" s="15">
        <f t="shared" si="375"/>
        <v>6.0499668584633619E-2</v>
      </c>
      <c r="O7974" s="165">
        <f t="shared" si="376"/>
        <v>6.0499668584633619E-2</v>
      </c>
      <c r="P7974" s="18"/>
      <c r="Q7974" s="18"/>
      <c r="R7974" s="18"/>
      <c r="S7974" s="18"/>
      <c r="T7974" s="18"/>
      <c r="U7974" s="18"/>
      <c r="V7974" s="18"/>
      <c r="W7974" s="18"/>
      <c r="X7974" s="18"/>
    </row>
    <row r="7975" spans="13:24">
      <c r="M7975" s="558">
        <f t="shared" si="377"/>
        <v>7973</v>
      </c>
      <c r="N7975" s="15">
        <f t="shared" si="375"/>
        <v>6.0448273351498535E-2</v>
      </c>
      <c r="O7975" s="165">
        <f t="shared" si="376"/>
        <v>6.0448273351498535E-2</v>
      </c>
      <c r="P7975" s="18"/>
      <c r="Q7975" s="18"/>
      <c r="R7975" s="18"/>
      <c r="S7975" s="18"/>
      <c r="T7975" s="18"/>
      <c r="U7975" s="18"/>
      <c r="V7975" s="18"/>
      <c r="W7975" s="18"/>
      <c r="X7975" s="18"/>
    </row>
    <row r="7976" spans="13:24">
      <c r="M7976" s="558">
        <f t="shared" si="377"/>
        <v>7974</v>
      </c>
      <c r="N7976" s="15">
        <f t="shared" si="375"/>
        <v>6.0396878150200915E-2</v>
      </c>
      <c r="O7976" s="165">
        <f t="shared" si="376"/>
        <v>6.0396878150200915E-2</v>
      </c>
      <c r="P7976" s="18"/>
      <c r="Q7976" s="18"/>
      <c r="R7976" s="18"/>
      <c r="S7976" s="18"/>
      <c r="T7976" s="18"/>
      <c r="U7976" s="18"/>
      <c r="V7976" s="18"/>
      <c r="W7976" s="18"/>
      <c r="X7976" s="18"/>
    </row>
    <row r="7977" spans="13:24">
      <c r="M7977" s="558">
        <f t="shared" si="377"/>
        <v>7975</v>
      </c>
      <c r="N7977" s="15">
        <f t="shared" si="375"/>
        <v>6.0345482980700804E-2</v>
      </c>
      <c r="O7977" s="165">
        <f t="shared" si="376"/>
        <v>6.0345482980700804E-2</v>
      </c>
      <c r="P7977" s="18"/>
      <c r="Q7977" s="18"/>
      <c r="R7977" s="18"/>
      <c r="S7977" s="18"/>
      <c r="T7977" s="18"/>
      <c r="U7977" s="18"/>
      <c r="V7977" s="18"/>
      <c r="W7977" s="18"/>
      <c r="X7977" s="18"/>
    </row>
    <row r="7978" spans="13:24">
      <c r="M7978" s="558">
        <f t="shared" si="377"/>
        <v>7976</v>
      </c>
      <c r="N7978" s="15">
        <f t="shared" si="375"/>
        <v>6.0294087842958304E-2</v>
      </c>
      <c r="O7978" s="165">
        <f t="shared" si="376"/>
        <v>6.0294087842958304E-2</v>
      </c>
      <c r="P7978" s="18"/>
      <c r="Q7978" s="18"/>
      <c r="R7978" s="18"/>
      <c r="S7978" s="18"/>
      <c r="T7978" s="18"/>
      <c r="U7978" s="18"/>
      <c r="V7978" s="18"/>
      <c r="W7978" s="18"/>
      <c r="X7978" s="18"/>
    </row>
    <row r="7979" spans="13:24">
      <c r="M7979" s="558">
        <f t="shared" si="377"/>
        <v>7977</v>
      </c>
      <c r="N7979" s="15">
        <f t="shared" si="375"/>
        <v>6.0242692736933556E-2</v>
      </c>
      <c r="O7979" s="165">
        <f t="shared" si="376"/>
        <v>6.0242692736933556E-2</v>
      </c>
      <c r="P7979" s="18"/>
      <c r="Q7979" s="18"/>
      <c r="R7979" s="18"/>
      <c r="S7979" s="18"/>
      <c r="T7979" s="18"/>
      <c r="U7979" s="18"/>
      <c r="V7979" s="18"/>
      <c r="W7979" s="18"/>
      <c r="X7979" s="18"/>
    </row>
    <row r="7980" spans="13:24">
      <c r="M7980" s="558">
        <f t="shared" si="377"/>
        <v>7978</v>
      </c>
      <c r="N7980" s="15">
        <f t="shared" si="375"/>
        <v>6.0191297662586761E-2</v>
      </c>
      <c r="O7980" s="165">
        <f t="shared" si="376"/>
        <v>6.0191297662586761E-2</v>
      </c>
      <c r="P7980" s="18"/>
      <c r="Q7980" s="18"/>
      <c r="R7980" s="18"/>
      <c r="S7980" s="18"/>
      <c r="T7980" s="18"/>
      <c r="U7980" s="18"/>
      <c r="V7980" s="18"/>
      <c r="W7980" s="18"/>
      <c r="X7980" s="18"/>
    </row>
    <row r="7981" spans="13:24">
      <c r="M7981" s="558">
        <f t="shared" si="377"/>
        <v>7979</v>
      </c>
      <c r="N7981" s="15">
        <f t="shared" si="375"/>
        <v>6.0139902619878165E-2</v>
      </c>
      <c r="O7981" s="165">
        <f t="shared" si="376"/>
        <v>6.0139902619878165E-2</v>
      </c>
      <c r="P7981" s="18"/>
      <c r="Q7981" s="18"/>
      <c r="R7981" s="18"/>
      <c r="S7981" s="18"/>
      <c r="T7981" s="18"/>
      <c r="U7981" s="18"/>
      <c r="V7981" s="18"/>
      <c r="W7981" s="18"/>
      <c r="X7981" s="18"/>
    </row>
    <row r="7982" spans="13:24">
      <c r="M7982" s="558">
        <f t="shared" si="377"/>
        <v>7980</v>
      </c>
      <c r="N7982" s="15">
        <f t="shared" si="375"/>
        <v>6.0088507608768063E-2</v>
      </c>
      <c r="O7982" s="165">
        <f t="shared" si="376"/>
        <v>6.0088507608768063E-2</v>
      </c>
      <c r="P7982" s="18"/>
      <c r="Q7982" s="18"/>
      <c r="R7982" s="18"/>
      <c r="S7982" s="18"/>
      <c r="T7982" s="18"/>
      <c r="U7982" s="18"/>
      <c r="V7982" s="18"/>
      <c r="W7982" s="18"/>
      <c r="X7982" s="18"/>
    </row>
    <row r="7983" spans="13:24">
      <c r="M7983" s="558">
        <f t="shared" si="377"/>
        <v>7981</v>
      </c>
      <c r="N7983" s="15">
        <f t="shared" si="375"/>
        <v>6.0037112629216807E-2</v>
      </c>
      <c r="O7983" s="165">
        <f t="shared" si="376"/>
        <v>6.0037112629216807E-2</v>
      </c>
      <c r="P7983" s="18"/>
      <c r="Q7983" s="18"/>
      <c r="R7983" s="18"/>
      <c r="S7983" s="18"/>
      <c r="T7983" s="18"/>
      <c r="U7983" s="18"/>
      <c r="V7983" s="18"/>
      <c r="W7983" s="18"/>
      <c r="X7983" s="18"/>
    </row>
    <row r="7984" spans="13:24">
      <c r="M7984" s="558">
        <f t="shared" si="377"/>
        <v>7982</v>
      </c>
      <c r="N7984" s="15">
        <f t="shared" si="375"/>
        <v>5.9985717681184783E-2</v>
      </c>
      <c r="O7984" s="165">
        <f t="shared" si="376"/>
        <v>5.9985717681184783E-2</v>
      </c>
      <c r="P7984" s="18"/>
      <c r="Q7984" s="18"/>
      <c r="R7984" s="18"/>
      <c r="S7984" s="18"/>
      <c r="T7984" s="18"/>
      <c r="U7984" s="18"/>
      <c r="V7984" s="18"/>
      <c r="W7984" s="18"/>
      <c r="X7984" s="18"/>
    </row>
    <row r="7985" spans="13:24">
      <c r="M7985" s="558">
        <f t="shared" si="377"/>
        <v>7983</v>
      </c>
      <c r="N7985" s="15">
        <f t="shared" si="375"/>
        <v>5.9934322764632446E-2</v>
      </c>
      <c r="O7985" s="165">
        <f t="shared" si="376"/>
        <v>5.9934322764632446E-2</v>
      </c>
      <c r="P7985" s="18"/>
      <c r="Q7985" s="18"/>
      <c r="R7985" s="18"/>
      <c r="S7985" s="18"/>
      <c r="T7985" s="18"/>
      <c r="U7985" s="18"/>
      <c r="V7985" s="18"/>
      <c r="W7985" s="18"/>
      <c r="X7985" s="18"/>
    </row>
    <row r="7986" spans="13:24">
      <c r="M7986" s="558">
        <f t="shared" si="377"/>
        <v>7984</v>
      </c>
      <c r="N7986" s="15">
        <f t="shared" si="375"/>
        <v>5.9882927879520285E-2</v>
      </c>
      <c r="O7986" s="165">
        <f t="shared" si="376"/>
        <v>5.9882927879520285E-2</v>
      </c>
      <c r="P7986" s="18"/>
      <c r="Q7986" s="18"/>
      <c r="R7986" s="18"/>
      <c r="S7986" s="18"/>
      <c r="T7986" s="18"/>
      <c r="U7986" s="18"/>
      <c r="V7986" s="18"/>
      <c r="W7986" s="18"/>
      <c r="X7986" s="18"/>
    </row>
    <row r="7987" spans="13:24">
      <c r="M7987" s="558">
        <f t="shared" si="377"/>
        <v>7985</v>
      </c>
      <c r="N7987" s="15">
        <f t="shared" si="375"/>
        <v>5.9831533025808833E-2</v>
      </c>
      <c r="O7987" s="165">
        <f t="shared" si="376"/>
        <v>5.9831533025808833E-2</v>
      </c>
      <c r="P7987" s="18"/>
      <c r="Q7987" s="18"/>
      <c r="R7987" s="18"/>
      <c r="S7987" s="18"/>
      <c r="T7987" s="18"/>
      <c r="U7987" s="18"/>
      <c r="V7987" s="18"/>
      <c r="W7987" s="18"/>
      <c r="X7987" s="18"/>
    </row>
    <row r="7988" spans="13:24">
      <c r="M7988" s="558">
        <f t="shared" si="377"/>
        <v>7986</v>
      </c>
      <c r="N7988" s="15">
        <f t="shared" si="375"/>
        <v>5.9780138203458719E-2</v>
      </c>
      <c r="O7988" s="165">
        <f t="shared" si="376"/>
        <v>5.9780138203458719E-2</v>
      </c>
      <c r="P7988" s="18"/>
      <c r="Q7988" s="18"/>
      <c r="R7988" s="18"/>
      <c r="S7988" s="18"/>
      <c r="T7988" s="18"/>
      <c r="U7988" s="18"/>
      <c r="V7988" s="18"/>
      <c r="W7988" s="18"/>
      <c r="X7988" s="18"/>
    </row>
    <row r="7989" spans="13:24">
      <c r="M7989" s="558">
        <f t="shared" si="377"/>
        <v>7987</v>
      </c>
      <c r="N7989" s="15">
        <f t="shared" si="375"/>
        <v>5.9728743412430563E-2</v>
      </c>
      <c r="O7989" s="165">
        <f t="shared" si="376"/>
        <v>5.9728743412430563E-2</v>
      </c>
      <c r="P7989" s="18"/>
      <c r="Q7989" s="18"/>
      <c r="R7989" s="18"/>
      <c r="S7989" s="18"/>
      <c r="T7989" s="18"/>
      <c r="U7989" s="18"/>
      <c r="V7989" s="18"/>
      <c r="W7989" s="18"/>
      <c r="X7989" s="18"/>
    </row>
    <row r="7990" spans="13:24">
      <c r="M7990" s="558">
        <f t="shared" si="377"/>
        <v>7988</v>
      </c>
      <c r="N7990" s="15">
        <f t="shared" si="375"/>
        <v>5.9677348652685064E-2</v>
      </c>
      <c r="O7990" s="165">
        <f t="shared" si="376"/>
        <v>5.9677348652685064E-2</v>
      </c>
      <c r="P7990" s="18"/>
      <c r="Q7990" s="18"/>
      <c r="R7990" s="18"/>
      <c r="S7990" s="18"/>
      <c r="T7990" s="18"/>
      <c r="U7990" s="18"/>
      <c r="V7990" s="18"/>
      <c r="W7990" s="18"/>
      <c r="X7990" s="18"/>
    </row>
    <row r="7991" spans="13:24">
      <c r="M7991" s="558">
        <f t="shared" si="377"/>
        <v>7989</v>
      </c>
      <c r="N7991" s="15">
        <f t="shared" si="375"/>
        <v>5.9625953924182962E-2</v>
      </c>
      <c r="O7991" s="165">
        <f t="shared" si="376"/>
        <v>5.9625953924182962E-2</v>
      </c>
      <c r="P7991" s="18"/>
      <c r="Q7991" s="18"/>
      <c r="R7991" s="18"/>
      <c r="S7991" s="18"/>
      <c r="T7991" s="18"/>
      <c r="U7991" s="18"/>
      <c r="V7991" s="18"/>
      <c r="W7991" s="18"/>
      <c r="X7991" s="18"/>
    </row>
    <row r="7992" spans="13:24">
      <c r="M7992" s="558">
        <f t="shared" si="377"/>
        <v>7990</v>
      </c>
      <c r="N7992" s="15">
        <f t="shared" si="375"/>
        <v>5.9574559226885052E-2</v>
      </c>
      <c r="O7992" s="165">
        <f t="shared" si="376"/>
        <v>5.9574559226885052E-2</v>
      </c>
      <c r="P7992" s="18"/>
      <c r="Q7992" s="18"/>
      <c r="R7992" s="18"/>
      <c r="S7992" s="18"/>
      <c r="T7992" s="18"/>
      <c r="U7992" s="18"/>
      <c r="V7992" s="18"/>
      <c r="W7992" s="18"/>
      <c r="X7992" s="18"/>
    </row>
    <row r="7993" spans="13:24">
      <c r="M7993" s="558">
        <f t="shared" si="377"/>
        <v>7991</v>
      </c>
      <c r="N7993" s="15">
        <f t="shared" si="375"/>
        <v>5.9523164560752177E-2</v>
      </c>
      <c r="O7993" s="165">
        <f t="shared" si="376"/>
        <v>5.9523164560752177E-2</v>
      </c>
      <c r="P7993" s="18"/>
      <c r="Q7993" s="18"/>
      <c r="R7993" s="18"/>
      <c r="S7993" s="18"/>
      <c r="T7993" s="18"/>
      <c r="U7993" s="18"/>
      <c r="V7993" s="18"/>
      <c r="W7993" s="18"/>
      <c r="X7993" s="18"/>
    </row>
    <row r="7994" spans="13:24">
      <c r="M7994" s="558">
        <f t="shared" si="377"/>
        <v>7992</v>
      </c>
      <c r="N7994" s="15">
        <f t="shared" si="375"/>
        <v>5.9471769925745224E-2</v>
      </c>
      <c r="O7994" s="165">
        <f t="shared" si="376"/>
        <v>5.9471769925745224E-2</v>
      </c>
      <c r="P7994" s="18"/>
      <c r="Q7994" s="18"/>
      <c r="R7994" s="18"/>
      <c r="S7994" s="18"/>
      <c r="T7994" s="18"/>
      <c r="U7994" s="18"/>
      <c r="V7994" s="18"/>
      <c r="W7994" s="18"/>
      <c r="X7994" s="18"/>
    </row>
    <row r="7995" spans="13:24">
      <c r="M7995" s="558">
        <f t="shared" si="377"/>
        <v>7993</v>
      </c>
      <c r="N7995" s="15">
        <f t="shared" si="375"/>
        <v>5.9420375321825133E-2</v>
      </c>
      <c r="O7995" s="165">
        <f t="shared" si="376"/>
        <v>5.9420375321825133E-2</v>
      </c>
      <c r="P7995" s="18"/>
      <c r="Q7995" s="18"/>
      <c r="R7995" s="18"/>
      <c r="S7995" s="18"/>
      <c r="T7995" s="18"/>
      <c r="U7995" s="18"/>
      <c r="V7995" s="18"/>
      <c r="W7995" s="18"/>
      <c r="X7995" s="18"/>
    </row>
    <row r="7996" spans="13:24">
      <c r="M7996" s="558">
        <f t="shared" si="377"/>
        <v>7994</v>
      </c>
      <c r="N7996" s="15">
        <f t="shared" si="375"/>
        <v>5.9368980748952895E-2</v>
      </c>
      <c r="O7996" s="165">
        <f t="shared" si="376"/>
        <v>5.9368980748952895E-2</v>
      </c>
      <c r="P7996" s="18"/>
      <c r="Q7996" s="18"/>
      <c r="R7996" s="18"/>
      <c r="S7996" s="18"/>
      <c r="T7996" s="18"/>
      <c r="U7996" s="18"/>
      <c r="V7996" s="18"/>
      <c r="W7996" s="18"/>
      <c r="X7996" s="18"/>
    </row>
    <row r="7997" spans="13:24">
      <c r="M7997" s="558">
        <f t="shared" si="377"/>
        <v>7995</v>
      </c>
      <c r="N7997" s="15">
        <f t="shared" si="375"/>
        <v>5.9317586207089538E-2</v>
      </c>
      <c r="O7997" s="165">
        <f t="shared" si="376"/>
        <v>5.9317586207089538E-2</v>
      </c>
      <c r="P7997" s="18"/>
      <c r="Q7997" s="18"/>
      <c r="R7997" s="18"/>
      <c r="S7997" s="18"/>
      <c r="T7997" s="18"/>
      <c r="U7997" s="18"/>
      <c r="V7997" s="18"/>
      <c r="W7997" s="18"/>
      <c r="X7997" s="18"/>
    </row>
    <row r="7998" spans="13:24">
      <c r="M7998" s="558">
        <f t="shared" si="377"/>
        <v>7996</v>
      </c>
      <c r="N7998" s="15">
        <f t="shared" si="375"/>
        <v>5.9266191696196159E-2</v>
      </c>
      <c r="O7998" s="165">
        <f t="shared" si="376"/>
        <v>5.9266191696196159E-2</v>
      </c>
      <c r="P7998" s="18"/>
      <c r="Q7998" s="18"/>
      <c r="R7998" s="18"/>
      <c r="S7998" s="18"/>
      <c r="T7998" s="18"/>
      <c r="U7998" s="18"/>
      <c r="V7998" s="18"/>
      <c r="W7998" s="18"/>
      <c r="X7998" s="18"/>
    </row>
    <row r="7999" spans="13:24">
      <c r="M7999" s="558">
        <f t="shared" si="377"/>
        <v>7997</v>
      </c>
      <c r="N7999" s="15">
        <f t="shared" si="375"/>
        <v>5.9214797216233891E-2</v>
      </c>
      <c r="O7999" s="165">
        <f t="shared" si="376"/>
        <v>5.9214797216233891E-2</v>
      </c>
      <c r="P7999" s="18"/>
      <c r="Q7999" s="18"/>
      <c r="R7999" s="18"/>
      <c r="S7999" s="18"/>
      <c r="T7999" s="18"/>
      <c r="U7999" s="18"/>
      <c r="V7999" s="18"/>
      <c r="W7999" s="18"/>
      <c r="X7999" s="18"/>
    </row>
    <row r="8000" spans="13:24">
      <c r="M8000" s="558">
        <f t="shared" si="377"/>
        <v>7998</v>
      </c>
      <c r="N8000" s="15">
        <f t="shared" si="375"/>
        <v>5.916340276716392E-2</v>
      </c>
      <c r="O8000" s="165">
        <f t="shared" si="376"/>
        <v>5.916340276716392E-2</v>
      </c>
      <c r="P8000" s="18"/>
      <c r="Q8000" s="18"/>
      <c r="R8000" s="18"/>
      <c r="S8000" s="18"/>
      <c r="T8000" s="18"/>
      <c r="U8000" s="18"/>
      <c r="V8000" s="18"/>
      <c r="W8000" s="18"/>
      <c r="X8000" s="18"/>
    </row>
    <row r="8001" spans="13:24">
      <c r="M8001" s="558">
        <f t="shared" si="377"/>
        <v>7999</v>
      </c>
      <c r="N8001" s="15">
        <f t="shared" si="375"/>
        <v>5.9112008348947469E-2</v>
      </c>
      <c r="O8001" s="165">
        <f t="shared" si="376"/>
        <v>5.9112008348947469E-2</v>
      </c>
      <c r="P8001" s="18"/>
      <c r="Q8001" s="18"/>
      <c r="R8001" s="18"/>
      <c r="S8001" s="18"/>
      <c r="T8001" s="18"/>
      <c r="U8001" s="18"/>
      <c r="V8001" s="18"/>
      <c r="W8001" s="18"/>
      <c r="X8001" s="18"/>
    </row>
    <row r="8002" spans="13:24">
      <c r="M8002" s="558">
        <f t="shared" si="377"/>
        <v>8000</v>
      </c>
      <c r="N8002" s="15">
        <f t="shared" si="375"/>
        <v>5.9060613961545813E-2</v>
      </c>
      <c r="O8002" s="165">
        <f t="shared" si="376"/>
        <v>5.9060613961545813E-2</v>
      </c>
      <c r="P8002" s="18"/>
      <c r="Q8002" s="18"/>
      <c r="R8002" s="18"/>
      <c r="S8002" s="18"/>
      <c r="T8002" s="18"/>
      <c r="U8002" s="18"/>
      <c r="V8002" s="18"/>
      <c r="W8002" s="18"/>
      <c r="X8002" s="18"/>
    </row>
    <row r="8003" spans="13:24">
      <c r="M8003" s="558">
        <f t="shared" si="377"/>
        <v>8001</v>
      </c>
      <c r="N8003" s="15">
        <f t="shared" si="375"/>
        <v>5.900921960492031E-2</v>
      </c>
      <c r="O8003" s="165">
        <f t="shared" si="376"/>
        <v>5.900921960492031E-2</v>
      </c>
      <c r="P8003" s="18"/>
      <c r="Q8003" s="18"/>
      <c r="R8003" s="18"/>
      <c r="S8003" s="18"/>
      <c r="T8003" s="18"/>
      <c r="U8003" s="18"/>
      <c r="V8003" s="18"/>
      <c r="W8003" s="18"/>
      <c r="X8003" s="18"/>
    </row>
    <row r="8004" spans="13:24">
      <c r="M8004" s="558">
        <f t="shared" si="377"/>
        <v>8002</v>
      </c>
      <c r="N8004" s="15">
        <f t="shared" ref="N8004:N8067" si="378">IF(M8004&lt;$B$31+1,$B$32+$B$33/$B$31*(8760-M8004)+$B$34*IF(M8004&lt;$B$36-$B$31/(2*$B$35),1,IF(M8004&lt;$B$36+$B$31/(2*$B$35),COS(PI()/2*(M8004-($B$36-$B$31/(2*$B$35)))*$B$35/$B$31)^2,0))+$B$37*EXP((8760-M8004)/8760*$B$38)/EXP($B$38)-(8760-$B$31)*$B$33/$B$31,0)</f>
        <v>5.8957825279032323E-2</v>
      </c>
      <c r="O8004" s="165">
        <f t="shared" ref="O8004:O8067" si="379">MIN(N8004,C$24)</f>
        <v>5.8957825279032323E-2</v>
      </c>
      <c r="P8004" s="18"/>
      <c r="Q8004" s="18"/>
      <c r="R8004" s="18"/>
      <c r="S8004" s="18"/>
      <c r="T8004" s="18"/>
      <c r="U8004" s="18"/>
      <c r="V8004" s="18"/>
      <c r="W8004" s="18"/>
      <c r="X8004" s="18"/>
    </row>
    <row r="8005" spans="13:24">
      <c r="M8005" s="558">
        <f t="shared" ref="M8005:M8068" si="380">M8004+1</f>
        <v>8003</v>
      </c>
      <c r="N8005" s="15">
        <f t="shared" si="378"/>
        <v>5.8906430983843273E-2</v>
      </c>
      <c r="O8005" s="165">
        <f t="shared" si="379"/>
        <v>5.8906430983843273E-2</v>
      </c>
      <c r="P8005" s="18"/>
      <c r="Q8005" s="18"/>
      <c r="R8005" s="18"/>
      <c r="S8005" s="18"/>
      <c r="T8005" s="18"/>
      <c r="U8005" s="18"/>
      <c r="V8005" s="18"/>
      <c r="W8005" s="18"/>
      <c r="X8005" s="18"/>
    </row>
    <row r="8006" spans="13:24">
      <c r="M8006" s="558">
        <f t="shared" si="380"/>
        <v>8004</v>
      </c>
      <c r="N8006" s="15">
        <f t="shared" si="378"/>
        <v>5.8855036719314649E-2</v>
      </c>
      <c r="O8006" s="165">
        <f t="shared" si="379"/>
        <v>5.8855036719314649E-2</v>
      </c>
      <c r="P8006" s="18"/>
      <c r="Q8006" s="18"/>
      <c r="R8006" s="18"/>
      <c r="S8006" s="18"/>
      <c r="T8006" s="18"/>
      <c r="U8006" s="18"/>
      <c r="V8006" s="18"/>
      <c r="W8006" s="18"/>
      <c r="X8006" s="18"/>
    </row>
    <row r="8007" spans="13:24">
      <c r="M8007" s="558">
        <f t="shared" si="380"/>
        <v>8005</v>
      </c>
      <c r="N8007" s="15">
        <f t="shared" si="378"/>
        <v>5.880364248540796E-2</v>
      </c>
      <c r="O8007" s="165">
        <f t="shared" si="379"/>
        <v>5.880364248540796E-2</v>
      </c>
      <c r="P8007" s="18"/>
      <c r="Q8007" s="18"/>
      <c r="R8007" s="18"/>
      <c r="S8007" s="18"/>
      <c r="T8007" s="18"/>
      <c r="U8007" s="18"/>
      <c r="V8007" s="18"/>
      <c r="W8007" s="18"/>
      <c r="X8007" s="18"/>
    </row>
    <row r="8008" spans="13:24">
      <c r="M8008" s="558">
        <f t="shared" si="380"/>
        <v>8006</v>
      </c>
      <c r="N8008" s="15">
        <f t="shared" si="378"/>
        <v>5.8752248282084786E-2</v>
      </c>
      <c r="O8008" s="165">
        <f t="shared" si="379"/>
        <v>5.8752248282084786E-2</v>
      </c>
      <c r="P8008" s="18"/>
      <c r="Q8008" s="18"/>
      <c r="R8008" s="18"/>
      <c r="S8008" s="18"/>
      <c r="T8008" s="18"/>
      <c r="U8008" s="18"/>
      <c r="V8008" s="18"/>
      <c r="W8008" s="18"/>
      <c r="X8008" s="18"/>
    </row>
    <row r="8009" spans="13:24">
      <c r="M8009" s="558">
        <f t="shared" si="380"/>
        <v>8007</v>
      </c>
      <c r="N8009" s="15">
        <f t="shared" si="378"/>
        <v>5.8700854109306748E-2</v>
      </c>
      <c r="O8009" s="165">
        <f t="shared" si="379"/>
        <v>5.8700854109306748E-2</v>
      </c>
      <c r="P8009" s="18"/>
      <c r="Q8009" s="18"/>
      <c r="R8009" s="18"/>
      <c r="S8009" s="18"/>
      <c r="T8009" s="18"/>
      <c r="U8009" s="18"/>
      <c r="V8009" s="18"/>
      <c r="W8009" s="18"/>
      <c r="X8009" s="18"/>
    </row>
    <row r="8010" spans="13:24">
      <c r="M8010" s="558">
        <f t="shared" si="380"/>
        <v>8008</v>
      </c>
      <c r="N8010" s="15">
        <f t="shared" si="378"/>
        <v>5.8649459967035515E-2</v>
      </c>
      <c r="O8010" s="165">
        <f t="shared" si="379"/>
        <v>5.8649459967035515E-2</v>
      </c>
      <c r="P8010" s="18"/>
      <c r="Q8010" s="18"/>
      <c r="R8010" s="18"/>
      <c r="S8010" s="18"/>
      <c r="T8010" s="18"/>
      <c r="U8010" s="18"/>
      <c r="V8010" s="18"/>
      <c r="W8010" s="18"/>
      <c r="X8010" s="18"/>
    </row>
    <row r="8011" spans="13:24">
      <c r="M8011" s="558">
        <f t="shared" si="380"/>
        <v>8009</v>
      </c>
      <c r="N8011" s="15">
        <f t="shared" si="378"/>
        <v>5.8598065855232792E-2</v>
      </c>
      <c r="O8011" s="165">
        <f t="shared" si="379"/>
        <v>5.8598065855232792E-2</v>
      </c>
      <c r="P8011" s="18"/>
      <c r="Q8011" s="18"/>
      <c r="R8011" s="18"/>
      <c r="S8011" s="18"/>
      <c r="T8011" s="18"/>
      <c r="U8011" s="18"/>
      <c r="V8011" s="18"/>
      <c r="W8011" s="18"/>
      <c r="X8011" s="18"/>
    </row>
    <row r="8012" spans="13:24">
      <c r="M8012" s="558">
        <f t="shared" si="380"/>
        <v>8010</v>
      </c>
      <c r="N8012" s="15">
        <f t="shared" si="378"/>
        <v>5.8546671773860359E-2</v>
      </c>
      <c r="O8012" s="165">
        <f t="shared" si="379"/>
        <v>5.8546671773860359E-2</v>
      </c>
      <c r="P8012" s="18"/>
      <c r="Q8012" s="18"/>
      <c r="R8012" s="18"/>
      <c r="S8012" s="18"/>
      <c r="T8012" s="18"/>
      <c r="U8012" s="18"/>
      <c r="V8012" s="18"/>
      <c r="W8012" s="18"/>
      <c r="X8012" s="18"/>
    </row>
    <row r="8013" spans="13:24">
      <c r="M8013" s="558">
        <f t="shared" si="380"/>
        <v>8011</v>
      </c>
      <c r="N8013" s="15">
        <f t="shared" si="378"/>
        <v>5.8495277722880018E-2</v>
      </c>
      <c r="O8013" s="165">
        <f t="shared" si="379"/>
        <v>5.8495277722880018E-2</v>
      </c>
      <c r="P8013" s="18"/>
      <c r="Q8013" s="18"/>
      <c r="R8013" s="18"/>
      <c r="S8013" s="18"/>
      <c r="T8013" s="18"/>
      <c r="U8013" s="18"/>
      <c r="V8013" s="18"/>
      <c r="W8013" s="18"/>
      <c r="X8013" s="18"/>
    </row>
    <row r="8014" spans="13:24">
      <c r="M8014" s="558">
        <f t="shared" si="380"/>
        <v>8012</v>
      </c>
      <c r="N8014" s="15">
        <f t="shared" si="378"/>
        <v>5.8443883702253632E-2</v>
      </c>
      <c r="O8014" s="165">
        <f t="shared" si="379"/>
        <v>5.8443883702253632E-2</v>
      </c>
      <c r="P8014" s="18"/>
      <c r="Q8014" s="18"/>
      <c r="R8014" s="18"/>
      <c r="S8014" s="18"/>
      <c r="T8014" s="18"/>
      <c r="U8014" s="18"/>
      <c r="V8014" s="18"/>
      <c r="W8014" s="18"/>
      <c r="X8014" s="18"/>
    </row>
    <row r="8015" spans="13:24">
      <c r="M8015" s="558">
        <f t="shared" si="380"/>
        <v>8013</v>
      </c>
      <c r="N8015" s="15">
        <f t="shared" si="378"/>
        <v>5.8392489711943114E-2</v>
      </c>
      <c r="O8015" s="165">
        <f t="shared" si="379"/>
        <v>5.8392489711943114E-2</v>
      </c>
      <c r="P8015" s="18"/>
      <c r="Q8015" s="18"/>
      <c r="R8015" s="18"/>
      <c r="S8015" s="18"/>
      <c r="T8015" s="18"/>
      <c r="U8015" s="18"/>
      <c r="V8015" s="18"/>
      <c r="W8015" s="18"/>
      <c r="X8015" s="18"/>
    </row>
    <row r="8016" spans="13:24">
      <c r="M8016" s="558">
        <f t="shared" si="380"/>
        <v>8014</v>
      </c>
      <c r="N8016" s="15">
        <f t="shared" si="378"/>
        <v>5.8341095751910411E-2</v>
      </c>
      <c r="O8016" s="165">
        <f t="shared" si="379"/>
        <v>5.8341095751910411E-2</v>
      </c>
      <c r="P8016" s="18"/>
      <c r="Q8016" s="18"/>
      <c r="R8016" s="18"/>
      <c r="S8016" s="18"/>
      <c r="T8016" s="18"/>
      <c r="U8016" s="18"/>
      <c r="V8016" s="18"/>
      <c r="W8016" s="18"/>
      <c r="X8016" s="18"/>
    </row>
    <row r="8017" spans="13:24">
      <c r="M8017" s="558">
        <f t="shared" si="380"/>
        <v>8015</v>
      </c>
      <c r="N8017" s="15">
        <f t="shared" si="378"/>
        <v>5.8289701822117519E-2</v>
      </c>
      <c r="O8017" s="165">
        <f t="shared" si="379"/>
        <v>5.8289701822117519E-2</v>
      </c>
      <c r="P8017" s="18"/>
      <c r="Q8017" s="18"/>
      <c r="R8017" s="18"/>
      <c r="S8017" s="18"/>
      <c r="T8017" s="18"/>
      <c r="U8017" s="18"/>
      <c r="V8017" s="18"/>
      <c r="W8017" s="18"/>
      <c r="X8017" s="18"/>
    </row>
    <row r="8018" spans="13:24">
      <c r="M8018" s="558">
        <f t="shared" si="380"/>
        <v>8016</v>
      </c>
      <c r="N8018" s="15">
        <f t="shared" si="378"/>
        <v>5.8238307922526517E-2</v>
      </c>
      <c r="O8018" s="165">
        <f t="shared" si="379"/>
        <v>5.8238307922526517E-2</v>
      </c>
      <c r="P8018" s="18"/>
      <c r="Q8018" s="18"/>
      <c r="R8018" s="18"/>
      <c r="S8018" s="18"/>
      <c r="T8018" s="18"/>
      <c r="U8018" s="18"/>
      <c r="V8018" s="18"/>
      <c r="W8018" s="18"/>
      <c r="X8018" s="18"/>
    </row>
    <row r="8019" spans="13:24">
      <c r="M8019" s="558">
        <f t="shared" si="380"/>
        <v>8017</v>
      </c>
      <c r="N8019" s="15">
        <f t="shared" si="378"/>
        <v>5.8186914053099489E-2</v>
      </c>
      <c r="O8019" s="165">
        <f t="shared" si="379"/>
        <v>5.8186914053099489E-2</v>
      </c>
      <c r="P8019" s="18"/>
      <c r="Q8019" s="18"/>
      <c r="R8019" s="18"/>
      <c r="S8019" s="18"/>
      <c r="T8019" s="18"/>
      <c r="U8019" s="18"/>
      <c r="V8019" s="18"/>
      <c r="W8019" s="18"/>
      <c r="X8019" s="18"/>
    </row>
    <row r="8020" spans="13:24">
      <c r="M8020" s="558">
        <f t="shared" si="380"/>
        <v>8018</v>
      </c>
      <c r="N8020" s="15">
        <f t="shared" si="378"/>
        <v>5.8135520213798579E-2</v>
      </c>
      <c r="O8020" s="165">
        <f t="shared" si="379"/>
        <v>5.8135520213798579E-2</v>
      </c>
      <c r="P8020" s="18"/>
      <c r="Q8020" s="18"/>
      <c r="R8020" s="18"/>
      <c r="S8020" s="18"/>
      <c r="T8020" s="18"/>
      <c r="U8020" s="18"/>
      <c r="V8020" s="18"/>
      <c r="W8020" s="18"/>
      <c r="X8020" s="18"/>
    </row>
    <row r="8021" spans="13:24">
      <c r="M8021" s="558">
        <f t="shared" si="380"/>
        <v>8019</v>
      </c>
      <c r="N8021" s="15">
        <f t="shared" si="378"/>
        <v>5.808412640458599E-2</v>
      </c>
      <c r="O8021" s="165">
        <f t="shared" si="379"/>
        <v>5.808412640458599E-2</v>
      </c>
      <c r="P8021" s="18"/>
      <c r="Q8021" s="18"/>
      <c r="R8021" s="18"/>
      <c r="S8021" s="18"/>
      <c r="T8021" s="18"/>
      <c r="U8021" s="18"/>
      <c r="V8021" s="18"/>
      <c r="W8021" s="18"/>
      <c r="X8021" s="18"/>
    </row>
    <row r="8022" spans="13:24">
      <c r="M8022" s="558">
        <f t="shared" si="380"/>
        <v>8020</v>
      </c>
      <c r="N8022" s="15">
        <f t="shared" si="378"/>
        <v>5.8032732625423952E-2</v>
      </c>
      <c r="O8022" s="165">
        <f t="shared" si="379"/>
        <v>5.8032732625423952E-2</v>
      </c>
      <c r="P8022" s="18"/>
      <c r="Q8022" s="18"/>
      <c r="R8022" s="18"/>
      <c r="S8022" s="18"/>
      <c r="T8022" s="18"/>
      <c r="U8022" s="18"/>
      <c r="V8022" s="18"/>
      <c r="W8022" s="18"/>
      <c r="X8022" s="18"/>
    </row>
    <row r="8023" spans="13:24">
      <c r="M8023" s="558">
        <f t="shared" si="380"/>
        <v>8021</v>
      </c>
      <c r="N8023" s="15">
        <f t="shared" si="378"/>
        <v>5.7981338876274761E-2</v>
      </c>
      <c r="O8023" s="165">
        <f t="shared" si="379"/>
        <v>5.7981338876274761E-2</v>
      </c>
      <c r="P8023" s="18"/>
      <c r="Q8023" s="18"/>
      <c r="R8023" s="18"/>
      <c r="S8023" s="18"/>
      <c r="T8023" s="18"/>
      <c r="U8023" s="18"/>
      <c r="V8023" s="18"/>
      <c r="W8023" s="18"/>
      <c r="X8023" s="18"/>
    </row>
    <row r="8024" spans="13:24">
      <c r="M8024" s="558">
        <f t="shared" si="380"/>
        <v>8022</v>
      </c>
      <c r="N8024" s="15">
        <f t="shared" si="378"/>
        <v>5.7929945157100753E-2</v>
      </c>
      <c r="O8024" s="165">
        <f t="shared" si="379"/>
        <v>5.7929945157100753E-2</v>
      </c>
      <c r="P8024" s="18"/>
      <c r="Q8024" s="18"/>
      <c r="R8024" s="18"/>
      <c r="S8024" s="18"/>
      <c r="T8024" s="18"/>
      <c r="U8024" s="18"/>
      <c r="V8024" s="18"/>
      <c r="W8024" s="18"/>
      <c r="X8024" s="18"/>
    </row>
    <row r="8025" spans="13:24">
      <c r="M8025" s="558">
        <f t="shared" si="380"/>
        <v>8023</v>
      </c>
      <c r="N8025" s="15">
        <f t="shared" si="378"/>
        <v>5.787855146786431E-2</v>
      </c>
      <c r="O8025" s="165">
        <f t="shared" si="379"/>
        <v>5.787855146786431E-2</v>
      </c>
      <c r="P8025" s="18"/>
      <c r="Q8025" s="18"/>
      <c r="R8025" s="18"/>
      <c r="S8025" s="18"/>
      <c r="T8025" s="18"/>
      <c r="U8025" s="18"/>
      <c r="V8025" s="18"/>
      <c r="W8025" s="18"/>
      <c r="X8025" s="18"/>
    </row>
    <row r="8026" spans="13:24">
      <c r="M8026" s="558">
        <f t="shared" si="380"/>
        <v>8024</v>
      </c>
      <c r="N8026" s="15">
        <f t="shared" si="378"/>
        <v>5.782715780852786E-2</v>
      </c>
      <c r="O8026" s="165">
        <f t="shared" si="379"/>
        <v>5.782715780852786E-2</v>
      </c>
      <c r="P8026" s="18"/>
      <c r="Q8026" s="18"/>
      <c r="R8026" s="18"/>
      <c r="S8026" s="18"/>
      <c r="T8026" s="18"/>
      <c r="U8026" s="18"/>
      <c r="V8026" s="18"/>
      <c r="W8026" s="18"/>
      <c r="X8026" s="18"/>
    </row>
    <row r="8027" spans="13:24">
      <c r="M8027" s="558">
        <f t="shared" si="380"/>
        <v>8025</v>
      </c>
      <c r="N8027" s="15">
        <f t="shared" si="378"/>
        <v>5.777576417905389E-2</v>
      </c>
      <c r="O8027" s="165">
        <f t="shared" si="379"/>
        <v>5.777576417905389E-2</v>
      </c>
      <c r="P8027" s="18"/>
      <c r="Q8027" s="18"/>
      <c r="R8027" s="18"/>
      <c r="S8027" s="18"/>
      <c r="T8027" s="18"/>
      <c r="U8027" s="18"/>
      <c r="V8027" s="18"/>
      <c r="W8027" s="18"/>
      <c r="X8027" s="18"/>
    </row>
    <row r="8028" spans="13:24">
      <c r="M8028" s="558">
        <f t="shared" si="380"/>
        <v>8026</v>
      </c>
      <c r="N8028" s="15">
        <f t="shared" si="378"/>
        <v>5.7724370579404917E-2</v>
      </c>
      <c r="O8028" s="165">
        <f t="shared" si="379"/>
        <v>5.7724370579404917E-2</v>
      </c>
      <c r="P8028" s="18"/>
      <c r="Q8028" s="18"/>
      <c r="R8028" s="18"/>
      <c r="S8028" s="18"/>
      <c r="T8028" s="18"/>
      <c r="U8028" s="18"/>
      <c r="V8028" s="18"/>
      <c r="W8028" s="18"/>
      <c r="X8028" s="18"/>
    </row>
    <row r="8029" spans="13:24">
      <c r="M8029" s="558">
        <f t="shared" si="380"/>
        <v>8027</v>
      </c>
      <c r="N8029" s="15">
        <f t="shared" si="378"/>
        <v>5.7672977009543512E-2</v>
      </c>
      <c r="O8029" s="165">
        <f t="shared" si="379"/>
        <v>5.7672977009543512E-2</v>
      </c>
      <c r="P8029" s="18"/>
      <c r="Q8029" s="18"/>
      <c r="R8029" s="18"/>
      <c r="S8029" s="18"/>
      <c r="T8029" s="18"/>
      <c r="U8029" s="18"/>
      <c r="V8029" s="18"/>
      <c r="W8029" s="18"/>
      <c r="X8029" s="18"/>
    </row>
    <row r="8030" spans="13:24">
      <c r="M8030" s="558">
        <f t="shared" si="380"/>
        <v>8028</v>
      </c>
      <c r="N8030" s="15">
        <f t="shared" si="378"/>
        <v>5.7621583469432296E-2</v>
      </c>
      <c r="O8030" s="165">
        <f t="shared" si="379"/>
        <v>5.7621583469432296E-2</v>
      </c>
      <c r="P8030" s="18"/>
      <c r="Q8030" s="18"/>
      <c r="R8030" s="18"/>
      <c r="S8030" s="18"/>
      <c r="T8030" s="18"/>
      <c r="U8030" s="18"/>
      <c r="V8030" s="18"/>
      <c r="W8030" s="18"/>
      <c r="X8030" s="18"/>
    </row>
    <row r="8031" spans="13:24">
      <c r="M8031" s="558">
        <f t="shared" si="380"/>
        <v>8029</v>
      </c>
      <c r="N8031" s="15">
        <f t="shared" si="378"/>
        <v>5.7570189959033943E-2</v>
      </c>
      <c r="O8031" s="165">
        <f t="shared" si="379"/>
        <v>5.7570189959033943E-2</v>
      </c>
      <c r="P8031" s="18"/>
      <c r="Q8031" s="18"/>
      <c r="R8031" s="18"/>
      <c r="S8031" s="18"/>
      <c r="T8031" s="18"/>
      <c r="U8031" s="18"/>
      <c r="V8031" s="18"/>
      <c r="W8031" s="18"/>
      <c r="X8031" s="18"/>
    </row>
    <row r="8032" spans="13:24">
      <c r="M8032" s="558">
        <f t="shared" si="380"/>
        <v>8030</v>
      </c>
      <c r="N8032" s="15">
        <f t="shared" si="378"/>
        <v>5.7518796478311152E-2</v>
      </c>
      <c r="O8032" s="165">
        <f t="shared" si="379"/>
        <v>5.7518796478311152E-2</v>
      </c>
      <c r="P8032" s="18"/>
      <c r="Q8032" s="18"/>
      <c r="R8032" s="18"/>
      <c r="S8032" s="18"/>
      <c r="T8032" s="18"/>
      <c r="U8032" s="18"/>
      <c r="V8032" s="18"/>
      <c r="W8032" s="18"/>
      <c r="X8032" s="18"/>
    </row>
    <row r="8033" spans="13:24">
      <c r="M8033" s="558">
        <f t="shared" si="380"/>
        <v>8031</v>
      </c>
      <c r="N8033" s="15">
        <f t="shared" si="378"/>
        <v>5.7467403027226679E-2</v>
      </c>
      <c r="O8033" s="165">
        <f t="shared" si="379"/>
        <v>5.7467403027226679E-2</v>
      </c>
      <c r="P8033" s="18"/>
      <c r="Q8033" s="18"/>
      <c r="R8033" s="18"/>
      <c r="S8033" s="18"/>
      <c r="T8033" s="18"/>
      <c r="U8033" s="18"/>
      <c r="V8033" s="18"/>
      <c r="W8033" s="18"/>
      <c r="X8033" s="18"/>
    </row>
    <row r="8034" spans="13:24">
      <c r="M8034" s="558">
        <f t="shared" si="380"/>
        <v>8032</v>
      </c>
      <c r="N8034" s="15">
        <f t="shared" si="378"/>
        <v>5.7416009605743348E-2</v>
      </c>
      <c r="O8034" s="165">
        <f t="shared" si="379"/>
        <v>5.7416009605743348E-2</v>
      </c>
      <c r="P8034" s="18"/>
      <c r="Q8034" s="18"/>
      <c r="R8034" s="18"/>
      <c r="S8034" s="18"/>
      <c r="T8034" s="18"/>
      <c r="U8034" s="18"/>
      <c r="V8034" s="18"/>
      <c r="W8034" s="18"/>
      <c r="X8034" s="18"/>
    </row>
    <row r="8035" spans="13:24">
      <c r="M8035" s="558">
        <f t="shared" si="380"/>
        <v>8033</v>
      </c>
      <c r="N8035" s="15">
        <f t="shared" si="378"/>
        <v>5.7364616213824014E-2</v>
      </c>
      <c r="O8035" s="165">
        <f t="shared" si="379"/>
        <v>5.7364616213824014E-2</v>
      </c>
      <c r="P8035" s="18"/>
      <c r="Q8035" s="18"/>
      <c r="R8035" s="18"/>
      <c r="S8035" s="18"/>
      <c r="T8035" s="18"/>
      <c r="U8035" s="18"/>
      <c r="V8035" s="18"/>
      <c r="W8035" s="18"/>
      <c r="X8035" s="18"/>
    </row>
    <row r="8036" spans="13:24">
      <c r="M8036" s="558">
        <f t="shared" si="380"/>
        <v>8034</v>
      </c>
      <c r="N8036" s="15">
        <f t="shared" si="378"/>
        <v>5.7313222851431561E-2</v>
      </c>
      <c r="O8036" s="165">
        <f t="shared" si="379"/>
        <v>5.7313222851431561E-2</v>
      </c>
      <c r="P8036" s="18"/>
      <c r="Q8036" s="18"/>
      <c r="R8036" s="18"/>
      <c r="S8036" s="18"/>
      <c r="T8036" s="18"/>
      <c r="U8036" s="18"/>
      <c r="V8036" s="18"/>
      <c r="W8036" s="18"/>
      <c r="X8036" s="18"/>
    </row>
    <row r="8037" spans="13:24">
      <c r="M8037" s="558">
        <f t="shared" si="380"/>
        <v>8035</v>
      </c>
      <c r="N8037" s="15">
        <f t="shared" si="378"/>
        <v>5.7261829518528942E-2</v>
      </c>
      <c r="O8037" s="165">
        <f t="shared" si="379"/>
        <v>5.7261829518528942E-2</v>
      </c>
      <c r="P8037" s="18"/>
      <c r="Q8037" s="18"/>
      <c r="R8037" s="18"/>
      <c r="S8037" s="18"/>
      <c r="T8037" s="18"/>
      <c r="U8037" s="18"/>
      <c r="V8037" s="18"/>
      <c r="W8037" s="18"/>
      <c r="X8037" s="18"/>
    </row>
    <row r="8038" spans="13:24">
      <c r="M8038" s="558">
        <f t="shared" si="380"/>
        <v>8036</v>
      </c>
      <c r="N8038" s="15">
        <f t="shared" si="378"/>
        <v>5.7210436215079152E-2</v>
      </c>
      <c r="O8038" s="165">
        <f t="shared" si="379"/>
        <v>5.7210436215079152E-2</v>
      </c>
      <c r="P8038" s="18"/>
      <c r="Q8038" s="18"/>
      <c r="R8038" s="18"/>
      <c r="S8038" s="18"/>
      <c r="T8038" s="18"/>
      <c r="U8038" s="18"/>
      <c r="V8038" s="18"/>
      <c r="W8038" s="18"/>
      <c r="X8038" s="18"/>
    </row>
    <row r="8039" spans="13:24">
      <c r="M8039" s="558">
        <f t="shared" si="380"/>
        <v>8037</v>
      </c>
      <c r="N8039" s="15">
        <f t="shared" si="378"/>
        <v>5.7159042941045221E-2</v>
      </c>
      <c r="O8039" s="165">
        <f t="shared" si="379"/>
        <v>5.7159042941045221E-2</v>
      </c>
      <c r="P8039" s="18"/>
      <c r="Q8039" s="18"/>
      <c r="R8039" s="18"/>
      <c r="S8039" s="18"/>
      <c r="T8039" s="18"/>
      <c r="U8039" s="18"/>
      <c r="V8039" s="18"/>
      <c r="W8039" s="18"/>
      <c r="X8039" s="18"/>
    </row>
    <row r="8040" spans="13:24">
      <c r="M8040" s="558">
        <f t="shared" si="380"/>
        <v>8038</v>
      </c>
      <c r="N8040" s="15">
        <f t="shared" si="378"/>
        <v>5.7107649696390247E-2</v>
      </c>
      <c r="O8040" s="165">
        <f t="shared" si="379"/>
        <v>5.7107649696390247E-2</v>
      </c>
      <c r="P8040" s="18"/>
      <c r="Q8040" s="18"/>
      <c r="R8040" s="18"/>
      <c r="S8040" s="18"/>
      <c r="T8040" s="18"/>
      <c r="U8040" s="18"/>
      <c r="V8040" s="18"/>
      <c r="W8040" s="18"/>
      <c r="X8040" s="18"/>
    </row>
    <row r="8041" spans="13:24">
      <c r="M8041" s="558">
        <f t="shared" si="380"/>
        <v>8039</v>
      </c>
      <c r="N8041" s="15">
        <f t="shared" si="378"/>
        <v>5.7056256481077351E-2</v>
      </c>
      <c r="O8041" s="165">
        <f t="shared" si="379"/>
        <v>5.7056256481077351E-2</v>
      </c>
      <c r="P8041" s="18"/>
      <c r="Q8041" s="18"/>
      <c r="R8041" s="18"/>
      <c r="S8041" s="18"/>
      <c r="T8041" s="18"/>
      <c r="U8041" s="18"/>
      <c r="V8041" s="18"/>
      <c r="W8041" s="18"/>
      <c r="X8041" s="18"/>
    </row>
    <row r="8042" spans="13:24">
      <c r="M8042" s="558">
        <f t="shared" si="380"/>
        <v>8040</v>
      </c>
      <c r="N8042" s="15">
        <f t="shared" si="378"/>
        <v>5.7004863295069715E-2</v>
      </c>
      <c r="O8042" s="165">
        <f t="shared" si="379"/>
        <v>5.7004863295069715E-2</v>
      </c>
      <c r="P8042" s="18"/>
      <c r="Q8042" s="18"/>
      <c r="R8042" s="18"/>
      <c r="S8042" s="18"/>
      <c r="T8042" s="18"/>
      <c r="U8042" s="18"/>
      <c r="V8042" s="18"/>
      <c r="W8042" s="18"/>
      <c r="X8042" s="18"/>
    </row>
    <row r="8043" spans="13:24">
      <c r="M8043" s="558">
        <f t="shared" si="380"/>
        <v>8041</v>
      </c>
      <c r="N8043" s="15">
        <f t="shared" si="378"/>
        <v>5.6953470138330561E-2</v>
      </c>
      <c r="O8043" s="165">
        <f t="shared" si="379"/>
        <v>5.6953470138330561E-2</v>
      </c>
      <c r="P8043" s="18"/>
      <c r="Q8043" s="18"/>
      <c r="R8043" s="18"/>
      <c r="S8043" s="18"/>
      <c r="T8043" s="18"/>
      <c r="U8043" s="18"/>
      <c r="V8043" s="18"/>
      <c r="W8043" s="18"/>
      <c r="X8043" s="18"/>
    </row>
    <row r="8044" spans="13:24">
      <c r="M8044" s="558">
        <f t="shared" si="380"/>
        <v>8042</v>
      </c>
      <c r="N8044" s="15">
        <f t="shared" si="378"/>
        <v>5.6902077010823164E-2</v>
      </c>
      <c r="O8044" s="165">
        <f t="shared" si="379"/>
        <v>5.6902077010823164E-2</v>
      </c>
      <c r="P8044" s="18"/>
      <c r="Q8044" s="18"/>
      <c r="R8044" s="18"/>
      <c r="S8044" s="18"/>
      <c r="T8044" s="18"/>
      <c r="U8044" s="18"/>
      <c r="V8044" s="18"/>
      <c r="W8044" s="18"/>
      <c r="X8044" s="18"/>
    </row>
    <row r="8045" spans="13:24">
      <c r="M8045" s="558">
        <f t="shared" si="380"/>
        <v>8043</v>
      </c>
      <c r="N8045" s="15">
        <f t="shared" si="378"/>
        <v>5.6850683912510844E-2</v>
      </c>
      <c r="O8045" s="165">
        <f t="shared" si="379"/>
        <v>5.6850683912510844E-2</v>
      </c>
      <c r="P8045" s="18"/>
      <c r="Q8045" s="18"/>
      <c r="R8045" s="18"/>
      <c r="S8045" s="18"/>
      <c r="T8045" s="18"/>
      <c r="U8045" s="18"/>
      <c r="V8045" s="18"/>
      <c r="W8045" s="18"/>
      <c r="X8045" s="18"/>
    </row>
    <row r="8046" spans="13:24">
      <c r="M8046" s="558">
        <f t="shared" si="380"/>
        <v>8044</v>
      </c>
      <c r="N8046" s="15">
        <f t="shared" si="378"/>
        <v>5.6799290843356949E-2</v>
      </c>
      <c r="O8046" s="165">
        <f t="shared" si="379"/>
        <v>5.6799290843356949E-2</v>
      </c>
      <c r="P8046" s="18"/>
      <c r="Q8046" s="18"/>
      <c r="R8046" s="18"/>
      <c r="S8046" s="18"/>
      <c r="T8046" s="18"/>
      <c r="U8046" s="18"/>
      <c r="V8046" s="18"/>
      <c r="W8046" s="18"/>
      <c r="X8046" s="18"/>
    </row>
    <row r="8047" spans="13:24">
      <c r="M8047" s="558">
        <f t="shared" si="380"/>
        <v>8045</v>
      </c>
      <c r="N8047" s="15">
        <f t="shared" si="378"/>
        <v>5.6747897803324898E-2</v>
      </c>
      <c r="O8047" s="165">
        <f t="shared" si="379"/>
        <v>5.6747897803324898E-2</v>
      </c>
      <c r="P8047" s="18"/>
      <c r="Q8047" s="18"/>
      <c r="R8047" s="18"/>
      <c r="S8047" s="18"/>
      <c r="T8047" s="18"/>
      <c r="U8047" s="18"/>
      <c r="V8047" s="18"/>
      <c r="W8047" s="18"/>
      <c r="X8047" s="18"/>
    </row>
    <row r="8048" spans="13:24">
      <c r="M8048" s="558">
        <f t="shared" si="380"/>
        <v>8046</v>
      </c>
      <c r="N8048" s="15">
        <f t="shared" si="378"/>
        <v>5.6696504792378137E-2</v>
      </c>
      <c r="O8048" s="165">
        <f t="shared" si="379"/>
        <v>5.6696504792378137E-2</v>
      </c>
      <c r="P8048" s="18"/>
      <c r="Q8048" s="18"/>
      <c r="R8048" s="18"/>
      <c r="S8048" s="18"/>
      <c r="T8048" s="18"/>
      <c r="U8048" s="18"/>
      <c r="V8048" s="18"/>
      <c r="W8048" s="18"/>
      <c r="X8048" s="18"/>
    </row>
    <row r="8049" spans="13:24">
      <c r="M8049" s="558">
        <f t="shared" si="380"/>
        <v>8047</v>
      </c>
      <c r="N8049" s="15">
        <f t="shared" si="378"/>
        <v>5.6645111810480181E-2</v>
      </c>
      <c r="O8049" s="165">
        <f t="shared" si="379"/>
        <v>5.6645111810480181E-2</v>
      </c>
      <c r="P8049" s="18"/>
      <c r="Q8049" s="18"/>
      <c r="R8049" s="18"/>
      <c r="S8049" s="18"/>
      <c r="T8049" s="18"/>
      <c r="U8049" s="18"/>
      <c r="V8049" s="18"/>
      <c r="W8049" s="18"/>
      <c r="X8049" s="18"/>
    </row>
    <row r="8050" spans="13:24">
      <c r="M8050" s="558">
        <f t="shared" si="380"/>
        <v>8048</v>
      </c>
      <c r="N8050" s="15">
        <f t="shared" si="378"/>
        <v>5.6593718857594566E-2</v>
      </c>
      <c r="O8050" s="165">
        <f t="shared" si="379"/>
        <v>5.6593718857594566E-2</v>
      </c>
      <c r="P8050" s="18"/>
      <c r="Q8050" s="18"/>
      <c r="R8050" s="18"/>
      <c r="S8050" s="18"/>
      <c r="T8050" s="18"/>
      <c r="U8050" s="18"/>
      <c r="V8050" s="18"/>
      <c r="W8050" s="18"/>
      <c r="X8050" s="18"/>
    </row>
    <row r="8051" spans="13:24">
      <c r="M8051" s="558">
        <f t="shared" si="380"/>
        <v>8049</v>
      </c>
      <c r="N8051" s="15">
        <f t="shared" si="378"/>
        <v>5.6542325933684891E-2</v>
      </c>
      <c r="O8051" s="165">
        <f t="shared" si="379"/>
        <v>5.6542325933684891E-2</v>
      </c>
      <c r="P8051" s="18"/>
      <c r="Q8051" s="18"/>
      <c r="R8051" s="18"/>
      <c r="S8051" s="18"/>
      <c r="T8051" s="18"/>
      <c r="U8051" s="18"/>
      <c r="V8051" s="18"/>
      <c r="W8051" s="18"/>
      <c r="X8051" s="18"/>
    </row>
    <row r="8052" spans="13:24">
      <c r="M8052" s="558">
        <f t="shared" si="380"/>
        <v>8050</v>
      </c>
      <c r="N8052" s="15">
        <f t="shared" si="378"/>
        <v>5.6490933038714788E-2</v>
      </c>
      <c r="O8052" s="165">
        <f t="shared" si="379"/>
        <v>5.6490933038714788E-2</v>
      </c>
      <c r="P8052" s="18"/>
      <c r="Q8052" s="18"/>
      <c r="R8052" s="18"/>
      <c r="S8052" s="18"/>
      <c r="T8052" s="18"/>
      <c r="U8052" s="18"/>
      <c r="V8052" s="18"/>
      <c r="W8052" s="18"/>
      <c r="X8052" s="18"/>
    </row>
    <row r="8053" spans="13:24">
      <c r="M8053" s="558">
        <f t="shared" si="380"/>
        <v>8051</v>
      </c>
      <c r="N8053" s="15">
        <f t="shared" si="378"/>
        <v>5.6439540172647934E-2</v>
      </c>
      <c r="O8053" s="165">
        <f t="shared" si="379"/>
        <v>5.6439540172647934E-2</v>
      </c>
      <c r="P8053" s="18"/>
      <c r="Q8053" s="18"/>
      <c r="R8053" s="18"/>
      <c r="S8053" s="18"/>
      <c r="T8053" s="18"/>
      <c r="U8053" s="18"/>
      <c r="V8053" s="18"/>
      <c r="W8053" s="18"/>
      <c r="X8053" s="18"/>
    </row>
    <row r="8054" spans="13:24">
      <c r="M8054" s="558">
        <f t="shared" si="380"/>
        <v>8052</v>
      </c>
      <c r="N8054" s="15">
        <f t="shared" si="378"/>
        <v>5.6388147335448072E-2</v>
      </c>
      <c r="O8054" s="165">
        <f t="shared" si="379"/>
        <v>5.6388147335448072E-2</v>
      </c>
      <c r="P8054" s="18"/>
      <c r="Q8054" s="18"/>
      <c r="R8054" s="18"/>
      <c r="S8054" s="18"/>
      <c r="T8054" s="18"/>
      <c r="U8054" s="18"/>
      <c r="V8054" s="18"/>
      <c r="W8054" s="18"/>
      <c r="X8054" s="18"/>
    </row>
    <row r="8055" spans="13:24">
      <c r="M8055" s="558">
        <f t="shared" si="380"/>
        <v>8053</v>
      </c>
      <c r="N8055" s="15">
        <f t="shared" si="378"/>
        <v>5.6336754527078967E-2</v>
      </c>
      <c r="O8055" s="165">
        <f t="shared" si="379"/>
        <v>5.6336754527078967E-2</v>
      </c>
      <c r="P8055" s="18"/>
      <c r="Q8055" s="18"/>
      <c r="R8055" s="18"/>
      <c r="S8055" s="18"/>
      <c r="T8055" s="18"/>
      <c r="U8055" s="18"/>
      <c r="V8055" s="18"/>
      <c r="W8055" s="18"/>
      <c r="X8055" s="18"/>
    </row>
    <row r="8056" spans="13:24">
      <c r="M8056" s="558">
        <f t="shared" si="380"/>
        <v>8054</v>
      </c>
      <c r="N8056" s="15">
        <f t="shared" si="378"/>
        <v>5.6285361747504439E-2</v>
      </c>
      <c r="O8056" s="165">
        <f t="shared" si="379"/>
        <v>5.6285361747504439E-2</v>
      </c>
      <c r="P8056" s="18"/>
      <c r="Q8056" s="18"/>
      <c r="R8056" s="18"/>
      <c r="S8056" s="18"/>
      <c r="T8056" s="18"/>
      <c r="U8056" s="18"/>
      <c r="V8056" s="18"/>
      <c r="W8056" s="18"/>
      <c r="X8056" s="18"/>
    </row>
    <row r="8057" spans="13:24">
      <c r="M8057" s="558">
        <f t="shared" si="380"/>
        <v>8055</v>
      </c>
      <c r="N8057" s="15">
        <f t="shared" si="378"/>
        <v>5.6233968996688352E-2</v>
      </c>
      <c r="O8057" s="165">
        <f t="shared" si="379"/>
        <v>5.6233968996688352E-2</v>
      </c>
      <c r="P8057" s="18"/>
      <c r="Q8057" s="18"/>
      <c r="R8057" s="18"/>
      <c r="S8057" s="18"/>
      <c r="T8057" s="18"/>
      <c r="U8057" s="18"/>
      <c r="V8057" s="18"/>
      <c r="W8057" s="18"/>
      <c r="X8057" s="18"/>
    </row>
    <row r="8058" spans="13:24">
      <c r="M8058" s="558">
        <f t="shared" si="380"/>
        <v>8056</v>
      </c>
      <c r="N8058" s="15">
        <f t="shared" si="378"/>
        <v>5.6182576274594623E-2</v>
      </c>
      <c r="O8058" s="165">
        <f t="shared" si="379"/>
        <v>5.6182576274594623E-2</v>
      </c>
      <c r="P8058" s="18"/>
      <c r="Q8058" s="18"/>
      <c r="R8058" s="18"/>
      <c r="S8058" s="18"/>
      <c r="T8058" s="18"/>
      <c r="U8058" s="18"/>
      <c r="V8058" s="18"/>
      <c r="W8058" s="18"/>
      <c r="X8058" s="18"/>
    </row>
    <row r="8059" spans="13:24">
      <c r="M8059" s="558">
        <f t="shared" si="380"/>
        <v>8057</v>
      </c>
      <c r="N8059" s="15">
        <f t="shared" si="378"/>
        <v>5.6131183581187204E-2</v>
      </c>
      <c r="O8059" s="165">
        <f t="shared" si="379"/>
        <v>5.6131183581187204E-2</v>
      </c>
      <c r="P8059" s="18"/>
      <c r="Q8059" s="18"/>
      <c r="R8059" s="18"/>
      <c r="S8059" s="18"/>
      <c r="T8059" s="18"/>
      <c r="U8059" s="18"/>
      <c r="V8059" s="18"/>
      <c r="W8059" s="18"/>
      <c r="X8059" s="18"/>
    </row>
    <row r="8060" spans="13:24">
      <c r="M8060" s="558">
        <f t="shared" si="380"/>
        <v>8058</v>
      </c>
      <c r="N8060" s="15">
        <f t="shared" si="378"/>
        <v>5.6079790916430089E-2</v>
      </c>
      <c r="O8060" s="165">
        <f t="shared" si="379"/>
        <v>5.6079790916430089E-2</v>
      </c>
      <c r="P8060" s="18"/>
      <c r="Q8060" s="18"/>
      <c r="R8060" s="18"/>
      <c r="S8060" s="18"/>
      <c r="T8060" s="18"/>
      <c r="U8060" s="18"/>
      <c r="V8060" s="18"/>
      <c r="W8060" s="18"/>
      <c r="X8060" s="18"/>
    </row>
    <row r="8061" spans="13:24">
      <c r="M8061" s="558">
        <f t="shared" si="380"/>
        <v>8059</v>
      </c>
      <c r="N8061" s="15">
        <f t="shared" si="378"/>
        <v>5.6028398280287342E-2</v>
      </c>
      <c r="O8061" s="165">
        <f t="shared" si="379"/>
        <v>5.6028398280287342E-2</v>
      </c>
      <c r="P8061" s="18"/>
      <c r="Q8061" s="18"/>
      <c r="R8061" s="18"/>
      <c r="S8061" s="18"/>
      <c r="T8061" s="18"/>
      <c r="U8061" s="18"/>
      <c r="V8061" s="18"/>
      <c r="W8061" s="18"/>
      <c r="X8061" s="18"/>
    </row>
    <row r="8062" spans="13:24">
      <c r="M8062" s="558">
        <f t="shared" si="380"/>
        <v>8060</v>
      </c>
      <c r="N8062" s="15">
        <f t="shared" si="378"/>
        <v>5.5977005672723033E-2</v>
      </c>
      <c r="O8062" s="165">
        <f t="shared" si="379"/>
        <v>5.5977005672723033E-2</v>
      </c>
      <c r="P8062" s="18"/>
      <c r="Q8062" s="18"/>
      <c r="R8062" s="18"/>
      <c r="S8062" s="18"/>
      <c r="T8062" s="18"/>
      <c r="U8062" s="18"/>
      <c r="V8062" s="18"/>
      <c r="W8062" s="18"/>
      <c r="X8062" s="18"/>
    </row>
    <row r="8063" spans="13:24">
      <c r="M8063" s="558">
        <f t="shared" si="380"/>
        <v>8061</v>
      </c>
      <c r="N8063" s="15">
        <f t="shared" si="378"/>
        <v>5.5925613093701296E-2</v>
      </c>
      <c r="O8063" s="165">
        <f t="shared" si="379"/>
        <v>5.5925613093701296E-2</v>
      </c>
      <c r="P8063" s="18"/>
      <c r="Q8063" s="18"/>
      <c r="R8063" s="18"/>
      <c r="S8063" s="18"/>
      <c r="T8063" s="18"/>
      <c r="U8063" s="18"/>
      <c r="V8063" s="18"/>
      <c r="W8063" s="18"/>
      <c r="X8063" s="18"/>
    </row>
    <row r="8064" spans="13:24">
      <c r="M8064" s="558">
        <f t="shared" si="380"/>
        <v>8062</v>
      </c>
      <c r="N8064" s="15">
        <f t="shared" si="378"/>
        <v>5.5874220543186345E-2</v>
      </c>
      <c r="O8064" s="165">
        <f t="shared" si="379"/>
        <v>5.5874220543186345E-2</v>
      </c>
      <c r="P8064" s="18"/>
      <c r="Q8064" s="18"/>
      <c r="R8064" s="18"/>
      <c r="S8064" s="18"/>
      <c r="T8064" s="18"/>
      <c r="U8064" s="18"/>
      <c r="V8064" s="18"/>
      <c r="W8064" s="18"/>
      <c r="X8064" s="18"/>
    </row>
    <row r="8065" spans="13:24">
      <c r="M8065" s="558">
        <f t="shared" si="380"/>
        <v>8063</v>
      </c>
      <c r="N8065" s="15">
        <f t="shared" si="378"/>
        <v>5.5822828021142384E-2</v>
      </c>
      <c r="O8065" s="165">
        <f t="shared" si="379"/>
        <v>5.5822828021142384E-2</v>
      </c>
      <c r="P8065" s="18"/>
      <c r="Q8065" s="18"/>
      <c r="R8065" s="18"/>
      <c r="S8065" s="18"/>
      <c r="T8065" s="18"/>
      <c r="U8065" s="18"/>
      <c r="V8065" s="18"/>
      <c r="W8065" s="18"/>
      <c r="X8065" s="18"/>
    </row>
    <row r="8066" spans="13:24">
      <c r="M8066" s="558">
        <f t="shared" si="380"/>
        <v>8064</v>
      </c>
      <c r="N8066" s="15">
        <f t="shared" si="378"/>
        <v>5.5771435527533685E-2</v>
      </c>
      <c r="O8066" s="165">
        <f t="shared" si="379"/>
        <v>5.5771435527533685E-2</v>
      </c>
      <c r="P8066" s="18"/>
      <c r="Q8066" s="18"/>
      <c r="R8066" s="18"/>
      <c r="S8066" s="18"/>
      <c r="T8066" s="18"/>
      <c r="U8066" s="18"/>
      <c r="V8066" s="18"/>
      <c r="W8066" s="18"/>
      <c r="X8066" s="18"/>
    </row>
    <row r="8067" spans="13:24">
      <c r="M8067" s="558">
        <f t="shared" si="380"/>
        <v>8065</v>
      </c>
      <c r="N8067" s="15">
        <f t="shared" si="378"/>
        <v>5.5720043062324559E-2</v>
      </c>
      <c r="O8067" s="165">
        <f t="shared" si="379"/>
        <v>5.5720043062324559E-2</v>
      </c>
      <c r="P8067" s="18"/>
      <c r="Q8067" s="18"/>
      <c r="R8067" s="18"/>
      <c r="S8067" s="18"/>
      <c r="T8067" s="18"/>
      <c r="U8067" s="18"/>
      <c r="V8067" s="18"/>
      <c r="W8067" s="18"/>
      <c r="X8067" s="18"/>
    </row>
    <row r="8068" spans="13:24">
      <c r="M8068" s="558">
        <f t="shared" si="380"/>
        <v>8066</v>
      </c>
      <c r="N8068" s="15">
        <f t="shared" ref="N8068:N8131" si="381">IF(M8068&lt;$B$31+1,$B$32+$B$33/$B$31*(8760-M8068)+$B$34*IF(M8068&lt;$B$36-$B$31/(2*$B$35),1,IF(M8068&lt;$B$36+$B$31/(2*$B$35),COS(PI()/2*(M8068-($B$36-$B$31/(2*$B$35)))*$B$35/$B$31)^2,0))+$B$37*EXP((8760-M8068)/8760*$B$38)/EXP($B$38)-(8760-$B$31)*$B$33/$B$31,0)</f>
        <v>5.5668650625479384E-2</v>
      </c>
      <c r="O8068" s="165">
        <f t="shared" ref="O8068:O8131" si="382">MIN(N8068,C$24)</f>
        <v>5.5668650625479384E-2</v>
      </c>
      <c r="P8068" s="18"/>
      <c r="Q8068" s="18"/>
      <c r="R8068" s="18"/>
      <c r="S8068" s="18"/>
      <c r="T8068" s="18"/>
      <c r="U8068" s="18"/>
      <c r="V8068" s="18"/>
      <c r="W8068" s="18"/>
      <c r="X8068" s="18"/>
    </row>
    <row r="8069" spans="13:24">
      <c r="M8069" s="558">
        <f t="shared" ref="M8069:M8132" si="383">M8068+1</f>
        <v>8067</v>
      </c>
      <c r="N8069" s="15">
        <f t="shared" si="381"/>
        <v>5.5617258216962548E-2</v>
      </c>
      <c r="O8069" s="165">
        <f t="shared" si="382"/>
        <v>5.5617258216962548E-2</v>
      </c>
      <c r="P8069" s="18"/>
      <c r="Q8069" s="18"/>
      <c r="R8069" s="18"/>
      <c r="S8069" s="18"/>
      <c r="T8069" s="18"/>
      <c r="U8069" s="18"/>
      <c r="V8069" s="18"/>
      <c r="W8069" s="18"/>
      <c r="X8069" s="18"/>
    </row>
    <row r="8070" spans="13:24">
      <c r="M8070" s="558">
        <f t="shared" si="383"/>
        <v>8068</v>
      </c>
      <c r="N8070" s="15">
        <f t="shared" si="381"/>
        <v>5.5565865836738504E-2</v>
      </c>
      <c r="O8070" s="165">
        <f t="shared" si="382"/>
        <v>5.5565865836738504E-2</v>
      </c>
      <c r="P8070" s="18"/>
      <c r="Q8070" s="18"/>
      <c r="R8070" s="18"/>
      <c r="S8070" s="18"/>
      <c r="T8070" s="18"/>
      <c r="U8070" s="18"/>
      <c r="V8070" s="18"/>
      <c r="W8070" s="18"/>
      <c r="X8070" s="18"/>
    </row>
    <row r="8071" spans="13:24">
      <c r="M8071" s="558">
        <f t="shared" si="383"/>
        <v>8069</v>
      </c>
      <c r="N8071" s="15">
        <f t="shared" si="381"/>
        <v>5.5514473484771759E-2</v>
      </c>
      <c r="O8071" s="165">
        <f t="shared" si="382"/>
        <v>5.5514473484771759E-2</v>
      </c>
      <c r="P8071" s="18"/>
      <c r="Q8071" s="18"/>
      <c r="R8071" s="18"/>
      <c r="S8071" s="18"/>
      <c r="T8071" s="18"/>
      <c r="U8071" s="18"/>
      <c r="V8071" s="18"/>
      <c r="W8071" s="18"/>
      <c r="X8071" s="18"/>
    </row>
    <row r="8072" spans="13:24">
      <c r="M8072" s="558">
        <f t="shared" si="383"/>
        <v>8070</v>
      </c>
      <c r="N8072" s="15">
        <f t="shared" si="381"/>
        <v>5.5463081161026842E-2</v>
      </c>
      <c r="O8072" s="165">
        <f t="shared" si="382"/>
        <v>5.5463081161026842E-2</v>
      </c>
      <c r="P8072" s="18"/>
      <c r="Q8072" s="18"/>
      <c r="R8072" s="18"/>
      <c r="S8072" s="18"/>
      <c r="T8072" s="18"/>
      <c r="U8072" s="18"/>
      <c r="V8072" s="18"/>
      <c r="W8072" s="18"/>
      <c r="X8072" s="18"/>
    </row>
    <row r="8073" spans="13:24">
      <c r="M8073" s="558">
        <f t="shared" si="383"/>
        <v>8071</v>
      </c>
      <c r="N8073" s="15">
        <f t="shared" si="381"/>
        <v>5.5411688865468336E-2</v>
      </c>
      <c r="O8073" s="165">
        <f t="shared" si="382"/>
        <v>5.5411688865468336E-2</v>
      </c>
      <c r="P8073" s="18"/>
      <c r="Q8073" s="18"/>
      <c r="R8073" s="18"/>
      <c r="S8073" s="18"/>
      <c r="T8073" s="18"/>
      <c r="U8073" s="18"/>
      <c r="V8073" s="18"/>
      <c r="W8073" s="18"/>
      <c r="X8073" s="18"/>
    </row>
    <row r="8074" spans="13:24">
      <c r="M8074" s="558">
        <f t="shared" si="383"/>
        <v>8072</v>
      </c>
      <c r="N8074" s="15">
        <f t="shared" si="381"/>
        <v>5.5360296598060875E-2</v>
      </c>
      <c r="O8074" s="165">
        <f t="shared" si="382"/>
        <v>5.5360296598060875E-2</v>
      </c>
      <c r="P8074" s="18"/>
      <c r="Q8074" s="18"/>
      <c r="R8074" s="18"/>
      <c r="S8074" s="18"/>
      <c r="T8074" s="18"/>
      <c r="U8074" s="18"/>
      <c r="V8074" s="18"/>
      <c r="W8074" s="18"/>
      <c r="X8074" s="18"/>
    </row>
    <row r="8075" spans="13:24">
      <c r="M8075" s="558">
        <f t="shared" si="383"/>
        <v>8073</v>
      </c>
      <c r="N8075" s="15">
        <f t="shared" si="381"/>
        <v>5.5308904358769125E-2</v>
      </c>
      <c r="O8075" s="165">
        <f t="shared" si="382"/>
        <v>5.5308904358769125E-2</v>
      </c>
      <c r="P8075" s="18"/>
      <c r="Q8075" s="18"/>
      <c r="R8075" s="18"/>
      <c r="S8075" s="18"/>
      <c r="T8075" s="18"/>
      <c r="U8075" s="18"/>
      <c r="V8075" s="18"/>
      <c r="W8075" s="18"/>
      <c r="X8075" s="18"/>
    </row>
    <row r="8076" spans="13:24">
      <c r="M8076" s="558">
        <f t="shared" si="383"/>
        <v>8074</v>
      </c>
      <c r="N8076" s="15">
        <f t="shared" si="381"/>
        <v>5.5257512147557815E-2</v>
      </c>
      <c r="O8076" s="165">
        <f t="shared" si="382"/>
        <v>5.5257512147557815E-2</v>
      </c>
      <c r="P8076" s="18"/>
      <c r="Q8076" s="18"/>
      <c r="R8076" s="18"/>
      <c r="S8076" s="18"/>
      <c r="T8076" s="18"/>
      <c r="U8076" s="18"/>
      <c r="V8076" s="18"/>
      <c r="W8076" s="18"/>
      <c r="X8076" s="18"/>
    </row>
    <row r="8077" spans="13:24">
      <c r="M8077" s="558">
        <f t="shared" si="383"/>
        <v>8075</v>
      </c>
      <c r="N8077" s="15">
        <f t="shared" si="381"/>
        <v>5.5206119964391689E-2</v>
      </c>
      <c r="O8077" s="165">
        <f t="shared" si="382"/>
        <v>5.5206119964391689E-2</v>
      </c>
      <c r="P8077" s="18"/>
      <c r="Q8077" s="18"/>
      <c r="R8077" s="18"/>
      <c r="S8077" s="18"/>
      <c r="T8077" s="18"/>
      <c r="U8077" s="18"/>
      <c r="V8077" s="18"/>
      <c r="W8077" s="18"/>
      <c r="X8077" s="18"/>
    </row>
    <row r="8078" spans="13:24">
      <c r="M8078" s="558">
        <f t="shared" si="383"/>
        <v>8076</v>
      </c>
      <c r="N8078" s="15">
        <f t="shared" si="381"/>
        <v>5.5154727809235568E-2</v>
      </c>
      <c r="O8078" s="165">
        <f t="shared" si="382"/>
        <v>5.5154727809235568E-2</v>
      </c>
      <c r="P8078" s="18"/>
      <c r="Q8078" s="18"/>
      <c r="R8078" s="18"/>
      <c r="S8078" s="18"/>
      <c r="T8078" s="18"/>
      <c r="U8078" s="18"/>
      <c r="V8078" s="18"/>
      <c r="W8078" s="18"/>
      <c r="X8078" s="18"/>
    </row>
    <row r="8079" spans="13:24">
      <c r="M8079" s="558">
        <f t="shared" si="383"/>
        <v>8077</v>
      </c>
      <c r="N8079" s="15">
        <f t="shared" si="381"/>
        <v>5.5103335682054277E-2</v>
      </c>
      <c r="O8079" s="165">
        <f t="shared" si="382"/>
        <v>5.5103335682054277E-2</v>
      </c>
      <c r="P8079" s="18"/>
      <c r="Q8079" s="18"/>
      <c r="R8079" s="18"/>
      <c r="S8079" s="18"/>
      <c r="T8079" s="18"/>
      <c r="U8079" s="18"/>
      <c r="V8079" s="18"/>
      <c r="W8079" s="18"/>
      <c r="X8079" s="18"/>
    </row>
    <row r="8080" spans="13:24">
      <c r="M8080" s="558">
        <f t="shared" si="383"/>
        <v>8078</v>
      </c>
      <c r="N8080" s="15">
        <f t="shared" si="381"/>
        <v>5.5051943582812748E-2</v>
      </c>
      <c r="O8080" s="165">
        <f t="shared" si="382"/>
        <v>5.5051943582812748E-2</v>
      </c>
      <c r="P8080" s="18"/>
      <c r="Q8080" s="18"/>
      <c r="R8080" s="18"/>
      <c r="S8080" s="18"/>
      <c r="T8080" s="18"/>
      <c r="U8080" s="18"/>
      <c r="V8080" s="18"/>
      <c r="W8080" s="18"/>
      <c r="X8080" s="18"/>
    </row>
    <row r="8081" spans="13:24">
      <c r="M8081" s="558">
        <f t="shared" si="383"/>
        <v>8079</v>
      </c>
      <c r="N8081" s="15">
        <f t="shared" si="381"/>
        <v>5.5000551511475898E-2</v>
      </c>
      <c r="O8081" s="165">
        <f t="shared" si="382"/>
        <v>5.5000551511475898E-2</v>
      </c>
      <c r="P8081" s="18"/>
      <c r="Q8081" s="18"/>
      <c r="R8081" s="18"/>
      <c r="S8081" s="18"/>
      <c r="T8081" s="18"/>
      <c r="U8081" s="18"/>
      <c r="V8081" s="18"/>
      <c r="W8081" s="18"/>
      <c r="X8081" s="18"/>
    </row>
    <row r="8082" spans="13:24">
      <c r="M8082" s="558">
        <f t="shared" si="383"/>
        <v>8080</v>
      </c>
      <c r="N8082" s="15">
        <f t="shared" si="381"/>
        <v>5.4949159468008706E-2</v>
      </c>
      <c r="O8082" s="165">
        <f t="shared" si="382"/>
        <v>5.4949159468008706E-2</v>
      </c>
      <c r="P8082" s="18"/>
      <c r="Q8082" s="18"/>
      <c r="R8082" s="18"/>
      <c r="S8082" s="18"/>
      <c r="T8082" s="18"/>
      <c r="U8082" s="18"/>
      <c r="V8082" s="18"/>
      <c r="W8082" s="18"/>
      <c r="X8082" s="18"/>
    </row>
    <row r="8083" spans="13:24">
      <c r="M8083" s="558">
        <f t="shared" si="383"/>
        <v>8081</v>
      </c>
      <c r="N8083" s="15">
        <f t="shared" si="381"/>
        <v>5.4897767452376199E-2</v>
      </c>
      <c r="O8083" s="165">
        <f t="shared" si="382"/>
        <v>5.4897767452376199E-2</v>
      </c>
      <c r="P8083" s="18"/>
      <c r="Q8083" s="18"/>
      <c r="R8083" s="18"/>
      <c r="S8083" s="18"/>
      <c r="T8083" s="18"/>
      <c r="U8083" s="18"/>
      <c r="V8083" s="18"/>
      <c r="W8083" s="18"/>
      <c r="X8083" s="18"/>
    </row>
    <row r="8084" spans="13:24">
      <c r="M8084" s="558">
        <f t="shared" si="383"/>
        <v>8082</v>
      </c>
      <c r="N8084" s="15">
        <f t="shared" si="381"/>
        <v>5.4846375464543455E-2</v>
      </c>
      <c r="O8084" s="165">
        <f t="shared" si="382"/>
        <v>5.4846375464543455E-2</v>
      </c>
      <c r="P8084" s="18"/>
      <c r="Q8084" s="18"/>
      <c r="R8084" s="18"/>
      <c r="S8084" s="18"/>
      <c r="T8084" s="18"/>
      <c r="U8084" s="18"/>
      <c r="V8084" s="18"/>
      <c r="W8084" s="18"/>
      <c r="X8084" s="18"/>
    </row>
    <row r="8085" spans="13:24">
      <c r="M8085" s="558">
        <f t="shared" si="383"/>
        <v>8083</v>
      </c>
      <c r="N8085" s="15">
        <f t="shared" si="381"/>
        <v>5.4794983504475585E-2</v>
      </c>
      <c r="O8085" s="165">
        <f t="shared" si="382"/>
        <v>5.4794983504475585E-2</v>
      </c>
      <c r="P8085" s="18"/>
      <c r="Q8085" s="18"/>
      <c r="R8085" s="18"/>
      <c r="S8085" s="18"/>
      <c r="T8085" s="18"/>
      <c r="U8085" s="18"/>
      <c r="V8085" s="18"/>
      <c r="W8085" s="18"/>
      <c r="X8085" s="18"/>
    </row>
    <row r="8086" spans="13:24">
      <c r="M8086" s="558">
        <f t="shared" si="383"/>
        <v>8084</v>
      </c>
      <c r="N8086" s="15">
        <f t="shared" si="381"/>
        <v>5.4743591572137741E-2</v>
      </c>
      <c r="O8086" s="165">
        <f t="shared" si="382"/>
        <v>5.4743591572137741E-2</v>
      </c>
      <c r="P8086" s="18"/>
      <c r="Q8086" s="18"/>
      <c r="R8086" s="18"/>
      <c r="S8086" s="18"/>
      <c r="T8086" s="18"/>
      <c r="U8086" s="18"/>
      <c r="V8086" s="18"/>
      <c r="W8086" s="18"/>
      <c r="X8086" s="18"/>
    </row>
    <row r="8087" spans="13:24">
      <c r="M8087" s="558">
        <f t="shared" si="383"/>
        <v>8085</v>
      </c>
      <c r="N8087" s="15">
        <f t="shared" si="381"/>
        <v>5.4692199667495126E-2</v>
      </c>
      <c r="O8087" s="165">
        <f t="shared" si="382"/>
        <v>5.4692199667495126E-2</v>
      </c>
      <c r="P8087" s="18"/>
      <c r="Q8087" s="18"/>
      <c r="R8087" s="18"/>
      <c r="S8087" s="18"/>
      <c r="T8087" s="18"/>
      <c r="U8087" s="18"/>
      <c r="V8087" s="18"/>
      <c r="W8087" s="18"/>
      <c r="X8087" s="18"/>
    </row>
    <row r="8088" spans="13:24">
      <c r="M8088" s="558">
        <f t="shared" si="383"/>
        <v>8086</v>
      </c>
      <c r="N8088" s="15">
        <f t="shared" si="381"/>
        <v>5.4640807790512981E-2</v>
      </c>
      <c r="O8088" s="165">
        <f t="shared" si="382"/>
        <v>5.4640807790512981E-2</v>
      </c>
      <c r="P8088" s="18"/>
      <c r="Q8088" s="18"/>
      <c r="R8088" s="18"/>
      <c r="S8088" s="18"/>
      <c r="T8088" s="18"/>
      <c r="U8088" s="18"/>
      <c r="V8088" s="18"/>
      <c r="W8088" s="18"/>
      <c r="X8088" s="18"/>
    </row>
    <row r="8089" spans="13:24">
      <c r="M8089" s="558">
        <f t="shared" si="383"/>
        <v>8087</v>
      </c>
      <c r="N8089" s="15">
        <f t="shared" si="381"/>
        <v>5.4589415941156599E-2</v>
      </c>
      <c r="O8089" s="165">
        <f t="shared" si="382"/>
        <v>5.4589415941156599E-2</v>
      </c>
      <c r="P8089" s="18"/>
      <c r="Q8089" s="18"/>
      <c r="R8089" s="18"/>
      <c r="S8089" s="18"/>
      <c r="T8089" s="18"/>
      <c r="U8089" s="18"/>
      <c r="V8089" s="18"/>
      <c r="W8089" s="18"/>
      <c r="X8089" s="18"/>
    </row>
    <row r="8090" spans="13:24">
      <c r="M8090" s="558">
        <f t="shared" si="383"/>
        <v>8088</v>
      </c>
      <c r="N8090" s="15">
        <f t="shared" si="381"/>
        <v>5.4538024119391321E-2</v>
      </c>
      <c r="O8090" s="165">
        <f t="shared" si="382"/>
        <v>5.4538024119391321E-2</v>
      </c>
      <c r="P8090" s="18"/>
      <c r="Q8090" s="18"/>
      <c r="R8090" s="18"/>
      <c r="S8090" s="18"/>
      <c r="T8090" s="18"/>
      <c r="U8090" s="18"/>
      <c r="V8090" s="18"/>
      <c r="W8090" s="18"/>
      <c r="X8090" s="18"/>
    </row>
    <row r="8091" spans="13:24">
      <c r="M8091" s="558">
        <f t="shared" si="383"/>
        <v>8089</v>
      </c>
      <c r="N8091" s="15">
        <f t="shared" si="381"/>
        <v>5.4486632325182506E-2</v>
      </c>
      <c r="O8091" s="165">
        <f t="shared" si="382"/>
        <v>5.4486632325182506E-2</v>
      </c>
      <c r="P8091" s="18"/>
      <c r="Q8091" s="18"/>
      <c r="R8091" s="18"/>
      <c r="S8091" s="18"/>
      <c r="T8091" s="18"/>
      <c r="U8091" s="18"/>
      <c r="V8091" s="18"/>
      <c r="W8091" s="18"/>
      <c r="X8091" s="18"/>
    </row>
    <row r="8092" spans="13:24">
      <c r="M8092" s="558">
        <f t="shared" si="383"/>
        <v>8090</v>
      </c>
      <c r="N8092" s="15">
        <f t="shared" si="381"/>
        <v>5.4435240558495579E-2</v>
      </c>
      <c r="O8092" s="165">
        <f t="shared" si="382"/>
        <v>5.4435240558495579E-2</v>
      </c>
      <c r="P8092" s="18"/>
      <c r="Q8092" s="18"/>
      <c r="R8092" s="18"/>
      <c r="S8092" s="18"/>
      <c r="T8092" s="18"/>
      <c r="U8092" s="18"/>
      <c r="V8092" s="18"/>
      <c r="W8092" s="18"/>
      <c r="X8092" s="18"/>
    </row>
    <row r="8093" spans="13:24">
      <c r="M8093" s="558">
        <f t="shared" si="383"/>
        <v>8091</v>
      </c>
      <c r="N8093" s="15">
        <f t="shared" si="381"/>
        <v>5.4383848819296005E-2</v>
      </c>
      <c r="O8093" s="165">
        <f t="shared" si="382"/>
        <v>5.4383848819296005E-2</v>
      </c>
      <c r="P8093" s="18"/>
      <c r="Q8093" s="18"/>
      <c r="R8093" s="18"/>
      <c r="S8093" s="18"/>
      <c r="T8093" s="18"/>
      <c r="U8093" s="18"/>
      <c r="V8093" s="18"/>
      <c r="W8093" s="18"/>
      <c r="X8093" s="18"/>
    </row>
    <row r="8094" spans="13:24">
      <c r="M8094" s="558">
        <f t="shared" si="383"/>
        <v>8092</v>
      </c>
      <c r="N8094" s="15">
        <f t="shared" si="381"/>
        <v>5.4332457107549269E-2</v>
      </c>
      <c r="O8094" s="165">
        <f t="shared" si="382"/>
        <v>5.4332457107549269E-2</v>
      </c>
      <c r="P8094" s="18"/>
      <c r="Q8094" s="18"/>
      <c r="R8094" s="18"/>
      <c r="S8094" s="18"/>
      <c r="T8094" s="18"/>
      <c r="U8094" s="18"/>
      <c r="V8094" s="18"/>
      <c r="W8094" s="18"/>
      <c r="X8094" s="18"/>
    </row>
    <row r="8095" spans="13:24">
      <c r="M8095" s="558">
        <f t="shared" si="383"/>
        <v>8093</v>
      </c>
      <c r="N8095" s="15">
        <f t="shared" si="381"/>
        <v>5.4281065423220955E-2</v>
      </c>
      <c r="O8095" s="165">
        <f t="shared" si="382"/>
        <v>5.4281065423220955E-2</v>
      </c>
      <c r="P8095" s="18"/>
      <c r="Q8095" s="18"/>
      <c r="R8095" s="18"/>
      <c r="S8095" s="18"/>
      <c r="T8095" s="18"/>
      <c r="U8095" s="18"/>
      <c r="V8095" s="18"/>
      <c r="W8095" s="18"/>
      <c r="X8095" s="18"/>
    </row>
    <row r="8096" spans="13:24">
      <c r="M8096" s="558">
        <f t="shared" si="383"/>
        <v>8094</v>
      </c>
      <c r="N8096" s="15">
        <f t="shared" si="381"/>
        <v>5.4229673766276638E-2</v>
      </c>
      <c r="O8096" s="165">
        <f t="shared" si="382"/>
        <v>5.4229673766276638E-2</v>
      </c>
      <c r="P8096" s="18"/>
      <c r="Q8096" s="18"/>
      <c r="R8096" s="18"/>
      <c r="S8096" s="18"/>
      <c r="T8096" s="18"/>
      <c r="U8096" s="18"/>
      <c r="V8096" s="18"/>
      <c r="W8096" s="18"/>
      <c r="X8096" s="18"/>
    </row>
    <row r="8097" spans="13:24">
      <c r="M8097" s="558">
        <f t="shared" si="383"/>
        <v>8095</v>
      </c>
      <c r="N8097" s="15">
        <f t="shared" si="381"/>
        <v>5.4178282136681952E-2</v>
      </c>
      <c r="O8097" s="165">
        <f t="shared" si="382"/>
        <v>5.4178282136681952E-2</v>
      </c>
      <c r="P8097" s="18"/>
      <c r="Q8097" s="18"/>
      <c r="R8097" s="18"/>
      <c r="S8097" s="18"/>
      <c r="T8097" s="18"/>
      <c r="U8097" s="18"/>
      <c r="V8097" s="18"/>
      <c r="W8097" s="18"/>
      <c r="X8097" s="18"/>
    </row>
    <row r="8098" spans="13:24">
      <c r="M8098" s="558">
        <f t="shared" si="383"/>
        <v>8096</v>
      </c>
      <c r="N8098" s="15">
        <f t="shared" si="381"/>
        <v>5.4126890534402582E-2</v>
      </c>
      <c r="O8098" s="165">
        <f t="shared" si="382"/>
        <v>5.4126890534402582E-2</v>
      </c>
      <c r="P8098" s="18"/>
      <c r="Q8098" s="18"/>
      <c r="R8098" s="18"/>
      <c r="S8098" s="18"/>
      <c r="T8098" s="18"/>
      <c r="U8098" s="18"/>
      <c r="V8098" s="18"/>
      <c r="W8098" s="18"/>
      <c r="X8098" s="18"/>
    </row>
    <row r="8099" spans="13:24">
      <c r="M8099" s="558">
        <f t="shared" si="383"/>
        <v>8097</v>
      </c>
      <c r="N8099" s="15">
        <f t="shared" si="381"/>
        <v>5.4075498959404243E-2</v>
      </c>
      <c r="O8099" s="165">
        <f t="shared" si="382"/>
        <v>5.4075498959404243E-2</v>
      </c>
      <c r="P8099" s="18"/>
      <c r="Q8099" s="18"/>
      <c r="R8099" s="18"/>
      <c r="S8099" s="18"/>
      <c r="T8099" s="18"/>
      <c r="U8099" s="18"/>
      <c r="V8099" s="18"/>
      <c r="W8099" s="18"/>
      <c r="X8099" s="18"/>
    </row>
    <row r="8100" spans="13:24">
      <c r="M8100" s="558">
        <f t="shared" si="383"/>
        <v>8098</v>
      </c>
      <c r="N8100" s="15">
        <f t="shared" si="381"/>
        <v>5.40241074116527E-2</v>
      </c>
      <c r="O8100" s="165">
        <f t="shared" si="382"/>
        <v>5.40241074116527E-2</v>
      </c>
      <c r="P8100" s="18"/>
      <c r="Q8100" s="18"/>
      <c r="R8100" s="18"/>
      <c r="S8100" s="18"/>
      <c r="T8100" s="18"/>
      <c r="U8100" s="18"/>
      <c r="V8100" s="18"/>
      <c r="W8100" s="18"/>
      <c r="X8100" s="18"/>
    </row>
    <row r="8101" spans="13:24">
      <c r="M8101" s="558">
        <f t="shared" si="383"/>
        <v>8099</v>
      </c>
      <c r="N8101" s="15">
        <f t="shared" si="381"/>
        <v>5.3972715891113764E-2</v>
      </c>
      <c r="O8101" s="165">
        <f t="shared" si="382"/>
        <v>5.3972715891113764E-2</v>
      </c>
      <c r="P8101" s="18"/>
      <c r="Q8101" s="18"/>
      <c r="R8101" s="18"/>
      <c r="S8101" s="18"/>
      <c r="T8101" s="18"/>
      <c r="U8101" s="18"/>
      <c r="V8101" s="18"/>
      <c r="W8101" s="18"/>
      <c r="X8101" s="18"/>
    </row>
    <row r="8102" spans="13:24">
      <c r="M8102" s="558">
        <f t="shared" si="383"/>
        <v>8100</v>
      </c>
      <c r="N8102" s="15">
        <f t="shared" si="381"/>
        <v>5.3921324397753274E-2</v>
      </c>
      <c r="O8102" s="165">
        <f t="shared" si="382"/>
        <v>5.3921324397753274E-2</v>
      </c>
      <c r="P8102" s="18"/>
      <c r="Q8102" s="18"/>
      <c r="R8102" s="18"/>
      <c r="S8102" s="18"/>
      <c r="T8102" s="18"/>
      <c r="U8102" s="18"/>
      <c r="V8102" s="18"/>
      <c r="W8102" s="18"/>
      <c r="X8102" s="18"/>
    </row>
    <row r="8103" spans="13:24">
      <c r="M8103" s="558">
        <f t="shared" si="383"/>
        <v>8101</v>
      </c>
      <c r="N8103" s="15">
        <f t="shared" si="381"/>
        <v>5.3869932931537141E-2</v>
      </c>
      <c r="O8103" s="165">
        <f t="shared" si="382"/>
        <v>5.3869932931537141E-2</v>
      </c>
      <c r="P8103" s="18"/>
      <c r="Q8103" s="18"/>
      <c r="R8103" s="18"/>
      <c r="S8103" s="18"/>
      <c r="T8103" s="18"/>
      <c r="U8103" s="18"/>
      <c r="V8103" s="18"/>
      <c r="W8103" s="18"/>
      <c r="X8103" s="18"/>
    </row>
    <row r="8104" spans="13:24">
      <c r="M8104" s="558">
        <f t="shared" si="383"/>
        <v>8102</v>
      </c>
      <c r="N8104" s="15">
        <f t="shared" si="381"/>
        <v>5.3818541492431288E-2</v>
      </c>
      <c r="O8104" s="165">
        <f t="shared" si="382"/>
        <v>5.3818541492431288E-2</v>
      </c>
      <c r="P8104" s="18"/>
      <c r="Q8104" s="18"/>
      <c r="R8104" s="18"/>
      <c r="S8104" s="18"/>
      <c r="T8104" s="18"/>
      <c r="U8104" s="18"/>
      <c r="V8104" s="18"/>
      <c r="W8104" s="18"/>
      <c r="X8104" s="18"/>
    </row>
    <row r="8105" spans="13:24">
      <c r="M8105" s="558">
        <f t="shared" si="383"/>
        <v>8103</v>
      </c>
      <c r="N8105" s="15">
        <f t="shared" si="381"/>
        <v>5.3767150080401699E-2</v>
      </c>
      <c r="O8105" s="165">
        <f t="shared" si="382"/>
        <v>5.3767150080401699E-2</v>
      </c>
      <c r="P8105" s="18"/>
      <c r="Q8105" s="18"/>
      <c r="R8105" s="18"/>
      <c r="S8105" s="18"/>
      <c r="T8105" s="18"/>
      <c r="U8105" s="18"/>
      <c r="V8105" s="18"/>
      <c r="W8105" s="18"/>
      <c r="X8105" s="18"/>
    </row>
    <row r="8106" spans="13:24">
      <c r="M8106" s="558">
        <f t="shared" si="383"/>
        <v>8104</v>
      </c>
      <c r="N8106" s="15">
        <f t="shared" si="381"/>
        <v>5.3715758695414395E-2</v>
      </c>
      <c r="O8106" s="165">
        <f t="shared" si="382"/>
        <v>5.3715758695414395E-2</v>
      </c>
      <c r="P8106" s="18"/>
      <c r="Q8106" s="18"/>
      <c r="R8106" s="18"/>
      <c r="S8106" s="18"/>
      <c r="T8106" s="18"/>
      <c r="U8106" s="18"/>
      <c r="V8106" s="18"/>
      <c r="W8106" s="18"/>
      <c r="X8106" s="18"/>
    </row>
    <row r="8107" spans="13:24">
      <c r="M8107" s="558">
        <f t="shared" si="383"/>
        <v>8105</v>
      </c>
      <c r="N8107" s="15">
        <f t="shared" si="381"/>
        <v>5.3664367337435445E-2</v>
      </c>
      <c r="O8107" s="165">
        <f t="shared" si="382"/>
        <v>5.3664367337435445E-2</v>
      </c>
      <c r="P8107" s="18"/>
      <c r="Q8107" s="18"/>
      <c r="R8107" s="18"/>
      <c r="S8107" s="18"/>
      <c r="T8107" s="18"/>
      <c r="U8107" s="18"/>
      <c r="V8107" s="18"/>
      <c r="W8107" s="18"/>
      <c r="X8107" s="18"/>
    </row>
    <row r="8108" spans="13:24">
      <c r="M8108" s="558">
        <f t="shared" si="383"/>
        <v>8106</v>
      </c>
      <c r="N8108" s="15">
        <f t="shared" si="381"/>
        <v>5.3612976006430946E-2</v>
      </c>
      <c r="O8108" s="165">
        <f t="shared" si="382"/>
        <v>5.3612976006430946E-2</v>
      </c>
      <c r="P8108" s="18"/>
      <c r="Q8108" s="18"/>
      <c r="R8108" s="18"/>
      <c r="S8108" s="18"/>
      <c r="T8108" s="18"/>
      <c r="U8108" s="18"/>
      <c r="V8108" s="18"/>
      <c r="W8108" s="18"/>
      <c r="X8108" s="18"/>
    </row>
    <row r="8109" spans="13:24">
      <c r="M8109" s="558">
        <f t="shared" si="383"/>
        <v>8107</v>
      </c>
      <c r="N8109" s="15">
        <f t="shared" si="381"/>
        <v>5.3561584702367035E-2</v>
      </c>
      <c r="O8109" s="165">
        <f t="shared" si="382"/>
        <v>5.3561584702367035E-2</v>
      </c>
      <c r="P8109" s="18"/>
      <c r="Q8109" s="18"/>
      <c r="R8109" s="18"/>
      <c r="S8109" s="18"/>
      <c r="T8109" s="18"/>
      <c r="U8109" s="18"/>
      <c r="V8109" s="18"/>
      <c r="W8109" s="18"/>
      <c r="X8109" s="18"/>
    </row>
    <row r="8110" spans="13:24">
      <c r="M8110" s="558">
        <f t="shared" si="383"/>
        <v>8108</v>
      </c>
      <c r="N8110" s="15">
        <f t="shared" si="381"/>
        <v>5.3510193425209934E-2</v>
      </c>
      <c r="O8110" s="165">
        <f t="shared" si="382"/>
        <v>5.3510193425209934E-2</v>
      </c>
      <c r="P8110" s="18"/>
      <c r="Q8110" s="18"/>
      <c r="R8110" s="18"/>
      <c r="S8110" s="18"/>
      <c r="T8110" s="18"/>
      <c r="U8110" s="18"/>
      <c r="V8110" s="18"/>
      <c r="W8110" s="18"/>
      <c r="X8110" s="18"/>
    </row>
    <row r="8111" spans="13:24">
      <c r="M8111" s="558">
        <f t="shared" si="383"/>
        <v>8109</v>
      </c>
      <c r="N8111" s="15">
        <f t="shared" si="381"/>
        <v>5.3458802174925865E-2</v>
      </c>
      <c r="O8111" s="165">
        <f t="shared" si="382"/>
        <v>5.3458802174925865E-2</v>
      </c>
      <c r="P8111" s="18"/>
      <c r="Q8111" s="18"/>
      <c r="R8111" s="18"/>
      <c r="S8111" s="18"/>
      <c r="T8111" s="18"/>
      <c r="U8111" s="18"/>
      <c r="V8111" s="18"/>
      <c r="W8111" s="18"/>
      <c r="X8111" s="18"/>
    </row>
    <row r="8112" spans="13:24">
      <c r="M8112" s="558">
        <f t="shared" si="383"/>
        <v>8110</v>
      </c>
      <c r="N8112" s="15">
        <f t="shared" si="381"/>
        <v>5.3407410951481098E-2</v>
      </c>
      <c r="O8112" s="165">
        <f t="shared" si="382"/>
        <v>5.3407410951481098E-2</v>
      </c>
      <c r="P8112" s="18"/>
      <c r="Q8112" s="18"/>
      <c r="R8112" s="18"/>
      <c r="S8112" s="18"/>
      <c r="T8112" s="18"/>
      <c r="U8112" s="18"/>
      <c r="V8112" s="18"/>
      <c r="W8112" s="18"/>
      <c r="X8112" s="18"/>
    </row>
    <row r="8113" spans="13:24">
      <c r="M8113" s="558">
        <f t="shared" si="383"/>
        <v>8111</v>
      </c>
      <c r="N8113" s="15">
        <f t="shared" si="381"/>
        <v>5.3356019754841964E-2</v>
      </c>
      <c r="O8113" s="165">
        <f t="shared" si="382"/>
        <v>5.3356019754841964E-2</v>
      </c>
      <c r="P8113" s="18"/>
      <c r="Q8113" s="18"/>
      <c r="R8113" s="18"/>
      <c r="S8113" s="18"/>
      <c r="T8113" s="18"/>
      <c r="U8113" s="18"/>
      <c r="V8113" s="18"/>
      <c r="W8113" s="18"/>
      <c r="X8113" s="18"/>
    </row>
    <row r="8114" spans="13:24">
      <c r="M8114" s="558">
        <f t="shared" si="383"/>
        <v>8112</v>
      </c>
      <c r="N8114" s="15">
        <f t="shared" si="381"/>
        <v>5.3304628584974811E-2</v>
      </c>
      <c r="O8114" s="165">
        <f t="shared" si="382"/>
        <v>5.3304628584974811E-2</v>
      </c>
      <c r="P8114" s="18"/>
      <c r="Q8114" s="18"/>
      <c r="R8114" s="18"/>
      <c r="S8114" s="18"/>
      <c r="T8114" s="18"/>
      <c r="U8114" s="18"/>
      <c r="V8114" s="18"/>
      <c r="W8114" s="18"/>
      <c r="X8114" s="18"/>
    </row>
    <row r="8115" spans="13:24">
      <c r="M8115" s="558">
        <f t="shared" si="383"/>
        <v>8113</v>
      </c>
      <c r="N8115" s="15">
        <f t="shared" si="381"/>
        <v>5.3253237441846055E-2</v>
      </c>
      <c r="O8115" s="165">
        <f t="shared" si="382"/>
        <v>5.3253237441846055E-2</v>
      </c>
      <c r="P8115" s="18"/>
      <c r="Q8115" s="18"/>
      <c r="R8115" s="18"/>
      <c r="S8115" s="18"/>
      <c r="T8115" s="18"/>
      <c r="U8115" s="18"/>
      <c r="V8115" s="18"/>
      <c r="W8115" s="18"/>
      <c r="X8115" s="18"/>
    </row>
    <row r="8116" spans="13:24">
      <c r="M8116" s="558">
        <f t="shared" si="383"/>
        <v>8114</v>
      </c>
      <c r="N8116" s="15">
        <f t="shared" si="381"/>
        <v>5.3201846325422124E-2</v>
      </c>
      <c r="O8116" s="165">
        <f t="shared" si="382"/>
        <v>5.3201846325422124E-2</v>
      </c>
      <c r="P8116" s="18"/>
      <c r="Q8116" s="18"/>
      <c r="R8116" s="18"/>
      <c r="S8116" s="18"/>
      <c r="T8116" s="18"/>
      <c r="U8116" s="18"/>
      <c r="V8116" s="18"/>
      <c r="W8116" s="18"/>
      <c r="X8116" s="18"/>
    </row>
    <row r="8117" spans="13:24">
      <c r="M8117" s="558">
        <f t="shared" si="383"/>
        <v>8115</v>
      </c>
      <c r="N8117" s="15">
        <f t="shared" si="381"/>
        <v>5.3150455235669525E-2</v>
      </c>
      <c r="O8117" s="165">
        <f t="shared" si="382"/>
        <v>5.3150455235669525E-2</v>
      </c>
      <c r="P8117" s="18"/>
      <c r="Q8117" s="18"/>
      <c r="R8117" s="18"/>
      <c r="S8117" s="18"/>
      <c r="T8117" s="18"/>
      <c r="U8117" s="18"/>
      <c r="V8117" s="18"/>
      <c r="W8117" s="18"/>
      <c r="X8117" s="18"/>
    </row>
    <row r="8118" spans="13:24">
      <c r="M8118" s="558">
        <f t="shared" si="383"/>
        <v>8116</v>
      </c>
      <c r="N8118" s="15">
        <f t="shared" si="381"/>
        <v>5.3099064172554777E-2</v>
      </c>
      <c r="O8118" s="165">
        <f t="shared" si="382"/>
        <v>5.3099064172554777E-2</v>
      </c>
      <c r="P8118" s="18"/>
      <c r="Q8118" s="18"/>
      <c r="R8118" s="18"/>
      <c r="S8118" s="18"/>
      <c r="T8118" s="18"/>
      <c r="U8118" s="18"/>
      <c r="V8118" s="18"/>
      <c r="W8118" s="18"/>
      <c r="X8118" s="18"/>
    </row>
    <row r="8119" spans="13:24">
      <c r="M8119" s="558">
        <f t="shared" si="383"/>
        <v>8117</v>
      </c>
      <c r="N8119" s="15">
        <f t="shared" si="381"/>
        <v>5.304767313604445E-2</v>
      </c>
      <c r="O8119" s="165">
        <f t="shared" si="382"/>
        <v>5.304767313604445E-2</v>
      </c>
      <c r="P8119" s="18"/>
      <c r="Q8119" s="18"/>
      <c r="R8119" s="18"/>
      <c r="S8119" s="18"/>
      <c r="T8119" s="18"/>
      <c r="U8119" s="18"/>
      <c r="V8119" s="18"/>
      <c r="W8119" s="18"/>
      <c r="X8119" s="18"/>
    </row>
    <row r="8120" spans="13:24">
      <c r="M8120" s="558">
        <f t="shared" si="383"/>
        <v>8118</v>
      </c>
      <c r="N8120" s="15">
        <f t="shared" si="381"/>
        <v>5.299628212610516E-2</v>
      </c>
      <c r="O8120" s="165">
        <f t="shared" si="382"/>
        <v>5.299628212610516E-2</v>
      </c>
      <c r="P8120" s="18"/>
      <c r="Q8120" s="18"/>
      <c r="R8120" s="18"/>
      <c r="S8120" s="18"/>
      <c r="T8120" s="18"/>
      <c r="U8120" s="18"/>
      <c r="V8120" s="18"/>
      <c r="W8120" s="18"/>
      <c r="X8120" s="18"/>
    </row>
    <row r="8121" spans="13:24">
      <c r="M8121" s="558">
        <f t="shared" si="383"/>
        <v>8119</v>
      </c>
      <c r="N8121" s="15">
        <f t="shared" si="381"/>
        <v>5.2944891142703565E-2</v>
      </c>
      <c r="O8121" s="165">
        <f t="shared" si="382"/>
        <v>5.2944891142703565E-2</v>
      </c>
      <c r="P8121" s="18"/>
      <c r="Q8121" s="18"/>
      <c r="R8121" s="18"/>
      <c r="S8121" s="18"/>
      <c r="T8121" s="18"/>
      <c r="U8121" s="18"/>
      <c r="V8121" s="18"/>
      <c r="W8121" s="18"/>
      <c r="X8121" s="18"/>
    </row>
    <row r="8122" spans="13:24">
      <c r="M8122" s="558">
        <f t="shared" si="383"/>
        <v>8120</v>
      </c>
      <c r="N8122" s="15">
        <f t="shared" si="381"/>
        <v>5.2893500185806366E-2</v>
      </c>
      <c r="O8122" s="165">
        <f t="shared" si="382"/>
        <v>5.2893500185806366E-2</v>
      </c>
      <c r="P8122" s="18"/>
      <c r="Q8122" s="18"/>
      <c r="R8122" s="18"/>
      <c r="S8122" s="18"/>
      <c r="T8122" s="18"/>
      <c r="U8122" s="18"/>
      <c r="V8122" s="18"/>
      <c r="W8122" s="18"/>
      <c r="X8122" s="18"/>
    </row>
    <row r="8123" spans="13:24">
      <c r="M8123" s="558">
        <f t="shared" si="383"/>
        <v>8121</v>
      </c>
      <c r="N8123" s="15">
        <f t="shared" si="381"/>
        <v>5.2842109255380292E-2</v>
      </c>
      <c r="O8123" s="165">
        <f t="shared" si="382"/>
        <v>5.2842109255380292E-2</v>
      </c>
      <c r="P8123" s="18"/>
      <c r="Q8123" s="18"/>
      <c r="R8123" s="18"/>
      <c r="S8123" s="18"/>
      <c r="T8123" s="18"/>
      <c r="U8123" s="18"/>
      <c r="V8123" s="18"/>
      <c r="W8123" s="18"/>
      <c r="X8123" s="18"/>
    </row>
    <row r="8124" spans="13:24">
      <c r="M8124" s="558">
        <f t="shared" si="383"/>
        <v>8122</v>
      </c>
      <c r="N8124" s="15">
        <f t="shared" si="381"/>
        <v>5.279071835139211E-2</v>
      </c>
      <c r="O8124" s="165">
        <f t="shared" si="382"/>
        <v>5.279071835139211E-2</v>
      </c>
      <c r="P8124" s="18"/>
      <c r="Q8124" s="18"/>
      <c r="R8124" s="18"/>
      <c r="S8124" s="18"/>
      <c r="T8124" s="18"/>
      <c r="U8124" s="18"/>
      <c r="V8124" s="18"/>
      <c r="W8124" s="18"/>
      <c r="X8124" s="18"/>
    </row>
    <row r="8125" spans="13:24">
      <c r="M8125" s="558">
        <f t="shared" si="383"/>
        <v>8123</v>
      </c>
      <c r="N8125" s="15">
        <f t="shared" si="381"/>
        <v>5.2739327473808682E-2</v>
      </c>
      <c r="O8125" s="165">
        <f t="shared" si="382"/>
        <v>5.2739327473808682E-2</v>
      </c>
      <c r="P8125" s="18"/>
      <c r="Q8125" s="18"/>
      <c r="R8125" s="18"/>
      <c r="S8125" s="18"/>
      <c r="T8125" s="18"/>
      <c r="U8125" s="18"/>
      <c r="V8125" s="18"/>
      <c r="W8125" s="18"/>
      <c r="X8125" s="18"/>
    </row>
    <row r="8126" spans="13:24">
      <c r="M8126" s="558">
        <f t="shared" si="383"/>
        <v>8124</v>
      </c>
      <c r="N8126" s="15">
        <f t="shared" si="381"/>
        <v>5.2687936622596854E-2</v>
      </c>
      <c r="O8126" s="165">
        <f t="shared" si="382"/>
        <v>5.2687936622596854E-2</v>
      </c>
      <c r="P8126" s="18"/>
      <c r="Q8126" s="18"/>
      <c r="R8126" s="18"/>
      <c r="S8126" s="18"/>
      <c r="T8126" s="18"/>
      <c r="U8126" s="18"/>
      <c r="V8126" s="18"/>
      <c r="W8126" s="18"/>
      <c r="X8126" s="18"/>
    </row>
    <row r="8127" spans="13:24">
      <c r="M8127" s="558">
        <f t="shared" si="383"/>
        <v>8125</v>
      </c>
      <c r="N8127" s="15">
        <f t="shared" si="381"/>
        <v>5.2636545797723519E-2</v>
      </c>
      <c r="O8127" s="165">
        <f t="shared" si="382"/>
        <v>5.2636545797723519E-2</v>
      </c>
      <c r="P8127" s="18"/>
      <c r="Q8127" s="18"/>
      <c r="R8127" s="18"/>
      <c r="S8127" s="18"/>
      <c r="T8127" s="18"/>
      <c r="U8127" s="18"/>
      <c r="V8127" s="18"/>
      <c r="W8127" s="18"/>
      <c r="X8127" s="18"/>
    </row>
    <row r="8128" spans="13:24">
      <c r="M8128" s="558">
        <f t="shared" si="383"/>
        <v>8126</v>
      </c>
      <c r="N8128" s="15">
        <f t="shared" si="381"/>
        <v>5.2585154999155642E-2</v>
      </c>
      <c r="O8128" s="165">
        <f t="shared" si="382"/>
        <v>5.2585154999155642E-2</v>
      </c>
      <c r="P8128" s="18"/>
      <c r="Q8128" s="18"/>
      <c r="R8128" s="18"/>
      <c r="S8128" s="18"/>
      <c r="T8128" s="18"/>
      <c r="U8128" s="18"/>
      <c r="V8128" s="18"/>
      <c r="W8128" s="18"/>
      <c r="X8128" s="18"/>
    </row>
    <row r="8129" spans="13:24">
      <c r="M8129" s="558">
        <f t="shared" si="383"/>
        <v>8127</v>
      </c>
      <c r="N8129" s="15">
        <f t="shared" si="381"/>
        <v>5.2533764226860201E-2</v>
      </c>
      <c r="O8129" s="165">
        <f t="shared" si="382"/>
        <v>5.2533764226860201E-2</v>
      </c>
      <c r="P8129" s="18"/>
      <c r="Q8129" s="18"/>
      <c r="R8129" s="18"/>
      <c r="S8129" s="18"/>
      <c r="T8129" s="18"/>
      <c r="U8129" s="18"/>
      <c r="V8129" s="18"/>
      <c r="W8129" s="18"/>
      <c r="X8129" s="18"/>
    </row>
    <row r="8130" spans="13:24">
      <c r="M8130" s="558">
        <f t="shared" si="383"/>
        <v>8128</v>
      </c>
      <c r="N8130" s="15">
        <f t="shared" si="381"/>
        <v>5.2482373480804236E-2</v>
      </c>
      <c r="O8130" s="165">
        <f t="shared" si="382"/>
        <v>5.2482373480804236E-2</v>
      </c>
      <c r="P8130" s="18"/>
      <c r="Q8130" s="18"/>
      <c r="R8130" s="18"/>
      <c r="S8130" s="18"/>
      <c r="T8130" s="18"/>
      <c r="U8130" s="18"/>
      <c r="V8130" s="18"/>
      <c r="W8130" s="18"/>
      <c r="X8130" s="18"/>
    </row>
    <row r="8131" spans="13:24">
      <c r="M8131" s="558">
        <f t="shared" si="383"/>
        <v>8129</v>
      </c>
      <c r="N8131" s="15">
        <f t="shared" si="381"/>
        <v>5.24309827609548E-2</v>
      </c>
      <c r="O8131" s="165">
        <f t="shared" si="382"/>
        <v>5.24309827609548E-2</v>
      </c>
      <c r="P8131" s="18"/>
      <c r="Q8131" s="18"/>
      <c r="R8131" s="18"/>
      <c r="S8131" s="18"/>
      <c r="T8131" s="18"/>
      <c r="U8131" s="18"/>
      <c r="V8131" s="18"/>
      <c r="W8131" s="18"/>
      <c r="X8131" s="18"/>
    </row>
    <row r="8132" spans="13:24">
      <c r="M8132" s="558">
        <f t="shared" si="383"/>
        <v>8130</v>
      </c>
      <c r="N8132" s="15">
        <f t="shared" ref="N8132:N8195" si="384">IF(M8132&lt;$B$31+1,$B$32+$B$33/$B$31*(8760-M8132)+$B$34*IF(M8132&lt;$B$36-$B$31/(2*$B$35),1,IF(M8132&lt;$B$36+$B$31/(2*$B$35),COS(PI()/2*(M8132-($B$36-$B$31/(2*$B$35)))*$B$35/$B$31)^2,0))+$B$37*EXP((8760-M8132)/8760*$B$38)/EXP($B$38)-(8760-$B$31)*$B$33/$B$31,0)</f>
        <v>5.2379592067279025E-2</v>
      </c>
      <c r="O8132" s="165">
        <f t="shared" ref="O8132:O8195" si="385">MIN(N8132,C$24)</f>
        <v>5.2379592067279025E-2</v>
      </c>
      <c r="P8132" s="18"/>
      <c r="Q8132" s="18"/>
      <c r="R8132" s="18"/>
      <c r="S8132" s="18"/>
      <c r="T8132" s="18"/>
      <c r="U8132" s="18"/>
      <c r="V8132" s="18"/>
      <c r="W8132" s="18"/>
      <c r="X8132" s="18"/>
    </row>
    <row r="8133" spans="13:24">
      <c r="M8133" s="558">
        <f t="shared" ref="M8133:M8196" si="386">M8132+1</f>
        <v>8131</v>
      </c>
      <c r="N8133" s="15">
        <f t="shared" si="384"/>
        <v>5.2328201399744062E-2</v>
      </c>
      <c r="O8133" s="165">
        <f t="shared" si="385"/>
        <v>5.2328201399744062E-2</v>
      </c>
      <c r="P8133" s="18"/>
      <c r="Q8133" s="18"/>
      <c r="R8133" s="18"/>
      <c r="S8133" s="18"/>
      <c r="T8133" s="18"/>
      <c r="U8133" s="18"/>
      <c r="V8133" s="18"/>
      <c r="W8133" s="18"/>
      <c r="X8133" s="18"/>
    </row>
    <row r="8134" spans="13:24">
      <c r="M8134" s="558">
        <f t="shared" si="386"/>
        <v>8132</v>
      </c>
      <c r="N8134" s="15">
        <f t="shared" si="384"/>
        <v>5.2276810758317097E-2</v>
      </c>
      <c r="O8134" s="165">
        <f t="shared" si="385"/>
        <v>5.2276810758317097E-2</v>
      </c>
      <c r="P8134" s="18"/>
      <c r="Q8134" s="18"/>
      <c r="R8134" s="18"/>
      <c r="S8134" s="18"/>
      <c r="T8134" s="18"/>
      <c r="U8134" s="18"/>
      <c r="V8134" s="18"/>
      <c r="W8134" s="18"/>
      <c r="X8134" s="18"/>
    </row>
    <row r="8135" spans="13:24">
      <c r="M8135" s="558">
        <f t="shared" si="386"/>
        <v>8133</v>
      </c>
      <c r="N8135" s="15">
        <f t="shared" si="384"/>
        <v>5.222542014296537E-2</v>
      </c>
      <c r="O8135" s="165">
        <f t="shared" si="385"/>
        <v>5.222542014296537E-2</v>
      </c>
      <c r="P8135" s="18"/>
      <c r="Q8135" s="18"/>
      <c r="R8135" s="18"/>
      <c r="S8135" s="18"/>
      <c r="T8135" s="18"/>
      <c r="U8135" s="18"/>
      <c r="V8135" s="18"/>
      <c r="W8135" s="18"/>
      <c r="X8135" s="18"/>
    </row>
    <row r="8136" spans="13:24">
      <c r="M8136" s="558">
        <f t="shared" si="386"/>
        <v>8134</v>
      </c>
      <c r="N8136" s="15">
        <f t="shared" si="384"/>
        <v>5.2174029553656166E-2</v>
      </c>
      <c r="O8136" s="165">
        <f t="shared" si="385"/>
        <v>5.2174029553656166E-2</v>
      </c>
      <c r="P8136" s="18"/>
      <c r="Q8136" s="18"/>
      <c r="R8136" s="18"/>
      <c r="S8136" s="18"/>
      <c r="T8136" s="18"/>
      <c r="U8136" s="18"/>
      <c r="V8136" s="18"/>
      <c r="W8136" s="18"/>
      <c r="X8136" s="18"/>
    </row>
    <row r="8137" spans="13:24">
      <c r="M8137" s="558">
        <f t="shared" si="386"/>
        <v>8135</v>
      </c>
      <c r="N8137" s="15">
        <f t="shared" si="384"/>
        <v>5.2122638990356795E-2</v>
      </c>
      <c r="O8137" s="165">
        <f t="shared" si="385"/>
        <v>5.2122638990356795E-2</v>
      </c>
      <c r="P8137" s="18"/>
      <c r="Q8137" s="18"/>
      <c r="R8137" s="18"/>
      <c r="S8137" s="18"/>
      <c r="T8137" s="18"/>
      <c r="U8137" s="18"/>
      <c r="V8137" s="18"/>
      <c r="W8137" s="18"/>
      <c r="X8137" s="18"/>
    </row>
    <row r="8138" spans="13:24">
      <c r="M8138" s="558">
        <f t="shared" si="386"/>
        <v>8136</v>
      </c>
      <c r="N8138" s="15">
        <f t="shared" si="384"/>
        <v>5.2071248453034624E-2</v>
      </c>
      <c r="O8138" s="165">
        <f t="shared" si="385"/>
        <v>5.2071248453034624E-2</v>
      </c>
      <c r="P8138" s="18"/>
      <c r="Q8138" s="18"/>
      <c r="R8138" s="18"/>
      <c r="S8138" s="18"/>
      <c r="T8138" s="18"/>
      <c r="U8138" s="18"/>
      <c r="V8138" s="18"/>
      <c r="W8138" s="18"/>
      <c r="X8138" s="18"/>
    </row>
    <row r="8139" spans="13:24">
      <c r="M8139" s="558">
        <f t="shared" si="386"/>
        <v>8137</v>
      </c>
      <c r="N8139" s="15">
        <f t="shared" si="384"/>
        <v>5.2019857941657047E-2</v>
      </c>
      <c r="O8139" s="165">
        <f t="shared" si="385"/>
        <v>5.2019857941657047E-2</v>
      </c>
      <c r="P8139" s="18"/>
      <c r="Q8139" s="18"/>
      <c r="R8139" s="18"/>
      <c r="S8139" s="18"/>
      <c r="T8139" s="18"/>
      <c r="U8139" s="18"/>
      <c r="V8139" s="18"/>
      <c r="W8139" s="18"/>
      <c r="X8139" s="18"/>
    </row>
    <row r="8140" spans="13:24">
      <c r="M8140" s="558">
        <f t="shared" si="386"/>
        <v>8138</v>
      </c>
      <c r="N8140" s="15">
        <f t="shared" si="384"/>
        <v>5.1968467456191492E-2</v>
      </c>
      <c r="O8140" s="165">
        <f t="shared" si="385"/>
        <v>5.1968467456191492E-2</v>
      </c>
      <c r="P8140" s="18"/>
      <c r="Q8140" s="18"/>
      <c r="R8140" s="18"/>
      <c r="S8140" s="18"/>
      <c r="T8140" s="18"/>
      <c r="U8140" s="18"/>
      <c r="V8140" s="18"/>
      <c r="W8140" s="18"/>
      <c r="X8140" s="18"/>
    </row>
    <row r="8141" spans="13:24">
      <c r="M8141" s="558">
        <f t="shared" si="386"/>
        <v>8139</v>
      </c>
      <c r="N8141" s="15">
        <f t="shared" si="384"/>
        <v>5.1917076996605471E-2</v>
      </c>
      <c r="O8141" s="165">
        <f t="shared" si="385"/>
        <v>5.1917076996605471E-2</v>
      </c>
      <c r="P8141" s="18"/>
      <c r="Q8141" s="18"/>
      <c r="R8141" s="18"/>
      <c r="S8141" s="18"/>
      <c r="T8141" s="18"/>
      <c r="U8141" s="18"/>
      <c r="V8141" s="18"/>
      <c r="W8141" s="18"/>
      <c r="X8141" s="18"/>
    </row>
    <row r="8142" spans="13:24">
      <c r="M8142" s="558">
        <f t="shared" si="386"/>
        <v>8140</v>
      </c>
      <c r="N8142" s="15">
        <f t="shared" si="384"/>
        <v>5.1865686562866498E-2</v>
      </c>
      <c r="O8142" s="165">
        <f t="shared" si="385"/>
        <v>5.1865686562866498E-2</v>
      </c>
      <c r="P8142" s="18"/>
      <c r="Q8142" s="18"/>
      <c r="R8142" s="18"/>
      <c r="S8142" s="18"/>
      <c r="T8142" s="18"/>
      <c r="U8142" s="18"/>
      <c r="V8142" s="18"/>
      <c r="W8142" s="18"/>
      <c r="X8142" s="18"/>
    </row>
    <row r="8143" spans="13:24">
      <c r="M8143" s="558">
        <f t="shared" si="386"/>
        <v>8141</v>
      </c>
      <c r="N8143" s="15">
        <f t="shared" si="384"/>
        <v>5.1814296154942131E-2</v>
      </c>
      <c r="O8143" s="165">
        <f t="shared" si="385"/>
        <v>5.1814296154942131E-2</v>
      </c>
      <c r="P8143" s="18"/>
      <c r="Q8143" s="18"/>
      <c r="R8143" s="18"/>
      <c r="S8143" s="18"/>
      <c r="T8143" s="18"/>
      <c r="U8143" s="18"/>
      <c r="V8143" s="18"/>
      <c r="W8143" s="18"/>
      <c r="X8143" s="18"/>
    </row>
    <row r="8144" spans="13:24">
      <c r="M8144" s="558">
        <f t="shared" si="386"/>
        <v>8142</v>
      </c>
      <c r="N8144" s="15">
        <f t="shared" si="384"/>
        <v>5.1762905772799982E-2</v>
      </c>
      <c r="O8144" s="165">
        <f t="shared" si="385"/>
        <v>5.1762905772799982E-2</v>
      </c>
      <c r="P8144" s="18"/>
      <c r="Q8144" s="18"/>
      <c r="R8144" s="18"/>
      <c r="S8144" s="18"/>
      <c r="T8144" s="18"/>
      <c r="U8144" s="18"/>
      <c r="V8144" s="18"/>
      <c r="W8144" s="18"/>
      <c r="X8144" s="18"/>
    </row>
    <row r="8145" spans="13:24">
      <c r="M8145" s="558">
        <f t="shared" si="386"/>
        <v>8143</v>
      </c>
      <c r="N8145" s="15">
        <f t="shared" si="384"/>
        <v>5.1711515416407686E-2</v>
      </c>
      <c r="O8145" s="165">
        <f t="shared" si="385"/>
        <v>5.1711515416407686E-2</v>
      </c>
      <c r="P8145" s="18"/>
      <c r="Q8145" s="18"/>
      <c r="R8145" s="18"/>
      <c r="S8145" s="18"/>
      <c r="T8145" s="18"/>
      <c r="U8145" s="18"/>
      <c r="V8145" s="18"/>
      <c r="W8145" s="18"/>
      <c r="X8145" s="18"/>
    </row>
    <row r="8146" spans="13:24">
      <c r="M8146" s="558">
        <f t="shared" si="386"/>
        <v>8144</v>
      </c>
      <c r="N8146" s="15">
        <f t="shared" si="384"/>
        <v>5.1660125085732936E-2</v>
      </c>
      <c r="O8146" s="165">
        <f t="shared" si="385"/>
        <v>5.1660125085732936E-2</v>
      </c>
      <c r="P8146" s="18"/>
      <c r="Q8146" s="18"/>
      <c r="R8146" s="18"/>
      <c r="S8146" s="18"/>
      <c r="T8146" s="18"/>
      <c r="U8146" s="18"/>
      <c r="V8146" s="18"/>
      <c r="W8146" s="18"/>
      <c r="X8146" s="18"/>
    </row>
    <row r="8147" spans="13:24">
      <c r="M8147" s="558">
        <f t="shared" si="386"/>
        <v>8145</v>
      </c>
      <c r="N8147" s="15">
        <f t="shared" si="384"/>
        <v>5.1608734780743459E-2</v>
      </c>
      <c r="O8147" s="165">
        <f t="shared" si="385"/>
        <v>5.1608734780743459E-2</v>
      </c>
      <c r="P8147" s="18"/>
      <c r="Q8147" s="18"/>
      <c r="R8147" s="18"/>
      <c r="S8147" s="18"/>
      <c r="T8147" s="18"/>
      <c r="U8147" s="18"/>
      <c r="V8147" s="18"/>
      <c r="W8147" s="18"/>
      <c r="X8147" s="18"/>
    </row>
    <row r="8148" spans="13:24">
      <c r="M8148" s="558">
        <f t="shared" si="386"/>
        <v>8146</v>
      </c>
      <c r="N8148" s="15">
        <f t="shared" si="384"/>
        <v>5.1557344501407018E-2</v>
      </c>
      <c r="O8148" s="165">
        <f t="shared" si="385"/>
        <v>5.1557344501407018E-2</v>
      </c>
      <c r="P8148" s="18"/>
      <c r="Q8148" s="18"/>
      <c r="R8148" s="18"/>
      <c r="S8148" s="18"/>
      <c r="T8148" s="18"/>
      <c r="U8148" s="18"/>
      <c r="V8148" s="18"/>
      <c r="W8148" s="18"/>
      <c r="X8148" s="18"/>
    </row>
    <row r="8149" spans="13:24">
      <c r="M8149" s="558">
        <f t="shared" si="386"/>
        <v>8147</v>
      </c>
      <c r="N8149" s="15">
        <f t="shared" si="384"/>
        <v>5.1505954247691423E-2</v>
      </c>
      <c r="O8149" s="165">
        <f t="shared" si="385"/>
        <v>5.1505954247691423E-2</v>
      </c>
      <c r="P8149" s="18"/>
      <c r="Q8149" s="18"/>
      <c r="R8149" s="18"/>
      <c r="S8149" s="18"/>
      <c r="T8149" s="18"/>
      <c r="U8149" s="18"/>
      <c r="V8149" s="18"/>
      <c r="W8149" s="18"/>
      <c r="X8149" s="18"/>
    </row>
    <row r="8150" spans="13:24">
      <c r="M8150" s="558">
        <f t="shared" si="386"/>
        <v>8148</v>
      </c>
      <c r="N8150" s="15">
        <f t="shared" si="384"/>
        <v>5.1454564019564518E-2</v>
      </c>
      <c r="O8150" s="165">
        <f t="shared" si="385"/>
        <v>5.1454564019564518E-2</v>
      </c>
      <c r="P8150" s="18"/>
      <c r="Q8150" s="18"/>
      <c r="R8150" s="18"/>
      <c r="S8150" s="18"/>
      <c r="T8150" s="18"/>
      <c r="U8150" s="18"/>
      <c r="V8150" s="18"/>
      <c r="W8150" s="18"/>
      <c r="X8150" s="18"/>
    </row>
    <row r="8151" spans="13:24">
      <c r="M8151" s="558">
        <f t="shared" si="386"/>
        <v>8149</v>
      </c>
      <c r="N8151" s="15">
        <f t="shared" si="384"/>
        <v>5.1403173816994198E-2</v>
      </c>
      <c r="O8151" s="165">
        <f t="shared" si="385"/>
        <v>5.1403173816994198E-2</v>
      </c>
      <c r="P8151" s="18"/>
      <c r="Q8151" s="18"/>
      <c r="R8151" s="18"/>
      <c r="S8151" s="18"/>
      <c r="T8151" s="18"/>
      <c r="U8151" s="18"/>
      <c r="V8151" s="18"/>
      <c r="W8151" s="18"/>
      <c r="X8151" s="18"/>
    </row>
    <row r="8152" spans="13:24">
      <c r="M8152" s="558">
        <f t="shared" si="386"/>
        <v>8150</v>
      </c>
      <c r="N8152" s="15">
        <f t="shared" si="384"/>
        <v>5.1351783639948391E-2</v>
      </c>
      <c r="O8152" s="165">
        <f t="shared" si="385"/>
        <v>5.1351783639948391E-2</v>
      </c>
      <c r="P8152" s="18"/>
      <c r="Q8152" s="18"/>
      <c r="R8152" s="18"/>
      <c r="S8152" s="18"/>
      <c r="T8152" s="18"/>
      <c r="U8152" s="18"/>
      <c r="V8152" s="18"/>
      <c r="W8152" s="18"/>
      <c r="X8152" s="18"/>
    </row>
    <row r="8153" spans="13:24">
      <c r="M8153" s="558">
        <f t="shared" si="386"/>
        <v>8151</v>
      </c>
      <c r="N8153" s="15">
        <f t="shared" si="384"/>
        <v>5.130039348839506E-2</v>
      </c>
      <c r="O8153" s="165">
        <f t="shared" si="385"/>
        <v>5.130039348839506E-2</v>
      </c>
      <c r="P8153" s="18"/>
      <c r="Q8153" s="18"/>
      <c r="R8153" s="18"/>
      <c r="S8153" s="18"/>
      <c r="T8153" s="18"/>
      <c r="U8153" s="18"/>
      <c r="V8153" s="18"/>
      <c r="W8153" s="18"/>
      <c r="X8153" s="18"/>
    </row>
    <row r="8154" spans="13:24">
      <c r="M8154" s="558">
        <f t="shared" si="386"/>
        <v>8152</v>
      </c>
      <c r="N8154" s="15">
        <f t="shared" si="384"/>
        <v>5.1249003362302203E-2</v>
      </c>
      <c r="O8154" s="165">
        <f t="shared" si="385"/>
        <v>5.1249003362302203E-2</v>
      </c>
      <c r="P8154" s="18"/>
      <c r="Q8154" s="18"/>
      <c r="R8154" s="18"/>
      <c r="S8154" s="18"/>
      <c r="T8154" s="18"/>
      <c r="U8154" s="18"/>
      <c r="V8154" s="18"/>
      <c r="W8154" s="18"/>
      <c r="X8154" s="18"/>
    </row>
    <row r="8155" spans="13:24">
      <c r="M8155" s="558">
        <f t="shared" si="386"/>
        <v>8153</v>
      </c>
      <c r="N8155" s="15">
        <f t="shared" si="384"/>
        <v>5.1197613261637902E-2</v>
      </c>
      <c r="O8155" s="165">
        <f t="shared" si="385"/>
        <v>5.1197613261637902E-2</v>
      </c>
      <c r="P8155" s="18"/>
      <c r="Q8155" s="18"/>
      <c r="R8155" s="18"/>
      <c r="S8155" s="18"/>
      <c r="T8155" s="18"/>
      <c r="U8155" s="18"/>
      <c r="V8155" s="18"/>
      <c r="W8155" s="18"/>
      <c r="X8155" s="18"/>
    </row>
    <row r="8156" spans="13:24">
      <c r="M8156" s="558">
        <f t="shared" si="386"/>
        <v>8154</v>
      </c>
      <c r="N8156" s="15">
        <f t="shared" si="384"/>
        <v>5.1146223186370222E-2</v>
      </c>
      <c r="O8156" s="165">
        <f t="shared" si="385"/>
        <v>5.1146223186370222E-2</v>
      </c>
      <c r="P8156" s="18"/>
      <c r="Q8156" s="18"/>
      <c r="R8156" s="18"/>
      <c r="S8156" s="18"/>
      <c r="T8156" s="18"/>
      <c r="U8156" s="18"/>
      <c r="V8156" s="18"/>
      <c r="W8156" s="18"/>
      <c r="X8156" s="18"/>
    </row>
    <row r="8157" spans="13:24">
      <c r="M8157" s="558">
        <f t="shared" si="386"/>
        <v>8155</v>
      </c>
      <c r="N8157" s="15">
        <f t="shared" si="384"/>
        <v>5.1094833136467288E-2</v>
      </c>
      <c r="O8157" s="165">
        <f t="shared" si="385"/>
        <v>5.1094833136467288E-2</v>
      </c>
      <c r="P8157" s="18"/>
      <c r="Q8157" s="18"/>
      <c r="R8157" s="18"/>
      <c r="S8157" s="18"/>
      <c r="T8157" s="18"/>
      <c r="U8157" s="18"/>
      <c r="V8157" s="18"/>
      <c r="W8157" s="18"/>
      <c r="X8157" s="18"/>
    </row>
    <row r="8158" spans="13:24">
      <c r="M8158" s="558">
        <f t="shared" si="386"/>
        <v>8156</v>
      </c>
      <c r="N8158" s="15">
        <f t="shared" si="384"/>
        <v>5.1043443111897284E-2</v>
      </c>
      <c r="O8158" s="165">
        <f t="shared" si="385"/>
        <v>5.1043443111897284E-2</v>
      </c>
      <c r="P8158" s="18"/>
      <c r="Q8158" s="18"/>
      <c r="R8158" s="18"/>
      <c r="S8158" s="18"/>
      <c r="T8158" s="18"/>
      <c r="U8158" s="18"/>
      <c r="V8158" s="18"/>
      <c r="W8158" s="18"/>
      <c r="X8158" s="18"/>
    </row>
    <row r="8159" spans="13:24">
      <c r="M8159" s="558">
        <f t="shared" si="386"/>
        <v>8157</v>
      </c>
      <c r="N8159" s="15">
        <f t="shared" si="384"/>
        <v>5.0992053112628423E-2</v>
      </c>
      <c r="O8159" s="165">
        <f t="shared" si="385"/>
        <v>5.0992053112628423E-2</v>
      </c>
      <c r="P8159" s="18"/>
      <c r="Q8159" s="18"/>
      <c r="R8159" s="18"/>
      <c r="S8159" s="18"/>
      <c r="T8159" s="18"/>
      <c r="U8159" s="18"/>
      <c r="V8159" s="18"/>
      <c r="W8159" s="18"/>
      <c r="X8159" s="18"/>
    </row>
    <row r="8160" spans="13:24">
      <c r="M8160" s="558">
        <f t="shared" si="386"/>
        <v>8158</v>
      </c>
      <c r="N8160" s="15">
        <f t="shared" si="384"/>
        <v>5.0940663138628939E-2</v>
      </c>
      <c r="O8160" s="165">
        <f t="shared" si="385"/>
        <v>5.0940663138628939E-2</v>
      </c>
      <c r="P8160" s="18"/>
      <c r="Q8160" s="18"/>
      <c r="R8160" s="18"/>
      <c r="S8160" s="18"/>
      <c r="T8160" s="18"/>
      <c r="U8160" s="18"/>
      <c r="V8160" s="18"/>
      <c r="W8160" s="18"/>
      <c r="X8160" s="18"/>
    </row>
    <row r="8161" spans="13:24">
      <c r="M8161" s="558">
        <f t="shared" si="386"/>
        <v>8159</v>
      </c>
      <c r="N8161" s="15">
        <f t="shared" si="384"/>
        <v>5.0889273189867128E-2</v>
      </c>
      <c r="O8161" s="165">
        <f t="shared" si="385"/>
        <v>5.0889273189867128E-2</v>
      </c>
      <c r="P8161" s="18"/>
      <c r="Q8161" s="18"/>
      <c r="R8161" s="18"/>
      <c r="S8161" s="18"/>
      <c r="T8161" s="18"/>
      <c r="U8161" s="18"/>
      <c r="V8161" s="18"/>
      <c r="W8161" s="18"/>
      <c r="X8161" s="18"/>
    </row>
    <row r="8162" spans="13:24">
      <c r="M8162" s="558">
        <f t="shared" si="386"/>
        <v>8160</v>
      </c>
      <c r="N8162" s="15">
        <f t="shared" si="384"/>
        <v>5.0837883266311321E-2</v>
      </c>
      <c r="O8162" s="165">
        <f t="shared" si="385"/>
        <v>5.0837883266311321E-2</v>
      </c>
      <c r="P8162" s="18"/>
      <c r="Q8162" s="18"/>
      <c r="R8162" s="18"/>
      <c r="S8162" s="18"/>
      <c r="T8162" s="18"/>
      <c r="U8162" s="18"/>
      <c r="V8162" s="18"/>
      <c r="W8162" s="18"/>
      <c r="X8162" s="18"/>
    </row>
    <row r="8163" spans="13:24">
      <c r="M8163" s="558">
        <f t="shared" si="386"/>
        <v>8161</v>
      </c>
      <c r="N8163" s="15">
        <f t="shared" si="384"/>
        <v>5.0786493367929876E-2</v>
      </c>
      <c r="O8163" s="165">
        <f t="shared" si="385"/>
        <v>5.0786493367929876E-2</v>
      </c>
      <c r="P8163" s="18"/>
      <c r="Q8163" s="18"/>
      <c r="R8163" s="18"/>
      <c r="S8163" s="18"/>
      <c r="T8163" s="18"/>
      <c r="U8163" s="18"/>
      <c r="V8163" s="18"/>
      <c r="W8163" s="18"/>
      <c r="X8163" s="18"/>
    </row>
    <row r="8164" spans="13:24">
      <c r="M8164" s="558">
        <f t="shared" si="386"/>
        <v>8162</v>
      </c>
      <c r="N8164" s="15">
        <f t="shared" si="384"/>
        <v>5.0735103494691215E-2</v>
      </c>
      <c r="O8164" s="165">
        <f t="shared" si="385"/>
        <v>5.0735103494691215E-2</v>
      </c>
      <c r="P8164" s="18"/>
      <c r="Q8164" s="18"/>
      <c r="R8164" s="18"/>
      <c r="S8164" s="18"/>
      <c r="T8164" s="18"/>
      <c r="U8164" s="18"/>
      <c r="V8164" s="18"/>
      <c r="W8164" s="18"/>
      <c r="X8164" s="18"/>
    </row>
    <row r="8165" spans="13:24">
      <c r="M8165" s="558">
        <f t="shared" si="386"/>
        <v>8163</v>
      </c>
      <c r="N8165" s="15">
        <f t="shared" si="384"/>
        <v>5.0683713646563773E-2</v>
      </c>
      <c r="O8165" s="165">
        <f t="shared" si="385"/>
        <v>5.0683713646563773E-2</v>
      </c>
      <c r="P8165" s="18"/>
      <c r="Q8165" s="18"/>
      <c r="R8165" s="18"/>
      <c r="S8165" s="18"/>
      <c r="T8165" s="18"/>
      <c r="U8165" s="18"/>
      <c r="V8165" s="18"/>
      <c r="W8165" s="18"/>
      <c r="X8165" s="18"/>
    </row>
    <row r="8166" spans="13:24">
      <c r="M8166" s="558">
        <f t="shared" si="386"/>
        <v>8164</v>
      </c>
      <c r="N8166" s="15">
        <f t="shared" si="384"/>
        <v>5.0632323823516047E-2</v>
      </c>
      <c r="O8166" s="165">
        <f t="shared" si="385"/>
        <v>5.0632323823516047E-2</v>
      </c>
      <c r="P8166" s="18"/>
      <c r="Q8166" s="18"/>
      <c r="R8166" s="18"/>
      <c r="S8166" s="18"/>
      <c r="T8166" s="18"/>
      <c r="U8166" s="18"/>
      <c r="V8166" s="18"/>
      <c r="W8166" s="18"/>
      <c r="X8166" s="18"/>
    </row>
    <row r="8167" spans="13:24">
      <c r="M8167" s="558">
        <f t="shared" si="386"/>
        <v>8165</v>
      </c>
      <c r="N8167" s="15">
        <f t="shared" si="384"/>
        <v>5.0580934025516562E-2</v>
      </c>
      <c r="O8167" s="165">
        <f t="shared" si="385"/>
        <v>5.0580934025516562E-2</v>
      </c>
      <c r="P8167" s="18"/>
      <c r="Q8167" s="18"/>
      <c r="R8167" s="18"/>
      <c r="S8167" s="18"/>
      <c r="T8167" s="18"/>
      <c r="U8167" s="18"/>
      <c r="V8167" s="18"/>
      <c r="W8167" s="18"/>
      <c r="X8167" s="18"/>
    </row>
    <row r="8168" spans="13:24">
      <c r="M8168" s="558">
        <f t="shared" si="386"/>
        <v>8166</v>
      </c>
      <c r="N8168" s="15">
        <f t="shared" si="384"/>
        <v>5.0529544252533878E-2</v>
      </c>
      <c r="O8168" s="165">
        <f t="shared" si="385"/>
        <v>5.0529544252533878E-2</v>
      </c>
      <c r="P8168" s="18"/>
      <c r="Q8168" s="18"/>
      <c r="R8168" s="18"/>
      <c r="S8168" s="18"/>
      <c r="T8168" s="18"/>
      <c r="U8168" s="18"/>
      <c r="V8168" s="18"/>
      <c r="W8168" s="18"/>
      <c r="X8168" s="18"/>
    </row>
    <row r="8169" spans="13:24">
      <c r="M8169" s="558">
        <f t="shared" si="386"/>
        <v>8167</v>
      </c>
      <c r="N8169" s="15">
        <f t="shared" si="384"/>
        <v>5.0478154504536611E-2</v>
      </c>
      <c r="O8169" s="165">
        <f t="shared" si="385"/>
        <v>5.0478154504536611E-2</v>
      </c>
      <c r="P8169" s="18"/>
      <c r="Q8169" s="18"/>
      <c r="R8169" s="18"/>
      <c r="S8169" s="18"/>
      <c r="T8169" s="18"/>
      <c r="U8169" s="18"/>
      <c r="V8169" s="18"/>
      <c r="W8169" s="18"/>
      <c r="X8169" s="18"/>
    </row>
    <row r="8170" spans="13:24">
      <c r="M8170" s="558">
        <f t="shared" si="386"/>
        <v>8168</v>
      </c>
      <c r="N8170" s="15">
        <f t="shared" si="384"/>
        <v>5.0426764781493404E-2</v>
      </c>
      <c r="O8170" s="165">
        <f t="shared" si="385"/>
        <v>5.0426764781493404E-2</v>
      </c>
      <c r="P8170" s="18"/>
      <c r="Q8170" s="18"/>
      <c r="R8170" s="18"/>
      <c r="S8170" s="18"/>
      <c r="T8170" s="18"/>
      <c r="U8170" s="18"/>
      <c r="V8170" s="18"/>
      <c r="W8170" s="18"/>
      <c r="X8170" s="18"/>
    </row>
    <row r="8171" spans="13:24">
      <c r="M8171" s="558">
        <f t="shared" si="386"/>
        <v>8169</v>
      </c>
      <c r="N8171" s="15">
        <f t="shared" si="384"/>
        <v>5.0375375083372934E-2</v>
      </c>
      <c r="O8171" s="165">
        <f t="shared" si="385"/>
        <v>5.0375375083372934E-2</v>
      </c>
      <c r="P8171" s="18"/>
      <c r="Q8171" s="18"/>
      <c r="R8171" s="18"/>
      <c r="S8171" s="18"/>
      <c r="T8171" s="18"/>
      <c r="U8171" s="18"/>
      <c r="V8171" s="18"/>
      <c r="W8171" s="18"/>
      <c r="X8171" s="18"/>
    </row>
    <row r="8172" spans="13:24">
      <c r="M8172" s="558">
        <f t="shared" si="386"/>
        <v>8170</v>
      </c>
      <c r="N8172" s="15">
        <f t="shared" si="384"/>
        <v>5.0323985410143927E-2</v>
      </c>
      <c r="O8172" s="165">
        <f t="shared" si="385"/>
        <v>5.0323985410143927E-2</v>
      </c>
      <c r="P8172" s="18"/>
      <c r="Q8172" s="18"/>
      <c r="R8172" s="18"/>
      <c r="S8172" s="18"/>
      <c r="T8172" s="18"/>
      <c r="U8172" s="18"/>
      <c r="V8172" s="18"/>
      <c r="W8172" s="18"/>
      <c r="X8172" s="18"/>
    </row>
    <row r="8173" spans="13:24">
      <c r="M8173" s="558">
        <f t="shared" si="386"/>
        <v>8171</v>
      </c>
      <c r="N8173" s="15">
        <f t="shared" si="384"/>
        <v>5.0272595761775153E-2</v>
      </c>
      <c r="O8173" s="165">
        <f t="shared" si="385"/>
        <v>5.0272595761775153E-2</v>
      </c>
      <c r="P8173" s="18"/>
      <c r="Q8173" s="18"/>
      <c r="R8173" s="18"/>
      <c r="S8173" s="18"/>
      <c r="T8173" s="18"/>
      <c r="U8173" s="18"/>
      <c r="V8173" s="18"/>
      <c r="W8173" s="18"/>
      <c r="X8173" s="18"/>
    </row>
    <row r="8174" spans="13:24">
      <c r="M8174" s="558">
        <f t="shared" si="386"/>
        <v>8172</v>
      </c>
      <c r="N8174" s="15">
        <f t="shared" si="384"/>
        <v>5.0221206138235414E-2</v>
      </c>
      <c r="O8174" s="165">
        <f t="shared" si="385"/>
        <v>5.0221206138235414E-2</v>
      </c>
      <c r="P8174" s="18"/>
      <c r="Q8174" s="18"/>
      <c r="R8174" s="18"/>
      <c r="S8174" s="18"/>
      <c r="T8174" s="18"/>
      <c r="U8174" s="18"/>
      <c r="V8174" s="18"/>
      <c r="W8174" s="18"/>
      <c r="X8174" s="18"/>
    </row>
    <row r="8175" spans="13:24">
      <c r="M8175" s="558">
        <f t="shared" si="386"/>
        <v>8173</v>
      </c>
      <c r="N8175" s="15">
        <f t="shared" si="384"/>
        <v>5.0169816539493546E-2</v>
      </c>
      <c r="O8175" s="165">
        <f t="shared" si="385"/>
        <v>5.0169816539493546E-2</v>
      </c>
      <c r="P8175" s="18"/>
      <c r="Q8175" s="18"/>
      <c r="R8175" s="18"/>
      <c r="S8175" s="18"/>
      <c r="T8175" s="18"/>
      <c r="U8175" s="18"/>
      <c r="V8175" s="18"/>
      <c r="W8175" s="18"/>
      <c r="X8175" s="18"/>
    </row>
    <row r="8176" spans="13:24">
      <c r="M8176" s="558">
        <f t="shared" si="386"/>
        <v>8174</v>
      </c>
      <c r="N8176" s="15">
        <f t="shared" si="384"/>
        <v>5.011842696551843E-2</v>
      </c>
      <c r="O8176" s="165">
        <f t="shared" si="385"/>
        <v>5.011842696551843E-2</v>
      </c>
      <c r="P8176" s="18"/>
      <c r="Q8176" s="18"/>
      <c r="R8176" s="18"/>
      <c r="S8176" s="18"/>
      <c r="T8176" s="18"/>
      <c r="U8176" s="18"/>
      <c r="V8176" s="18"/>
      <c r="W8176" s="18"/>
      <c r="X8176" s="18"/>
    </row>
    <row r="8177" spans="13:24">
      <c r="M8177" s="558">
        <f t="shared" si="386"/>
        <v>8175</v>
      </c>
      <c r="N8177" s="15">
        <f t="shared" si="384"/>
        <v>5.0067037416278992E-2</v>
      </c>
      <c r="O8177" s="165">
        <f t="shared" si="385"/>
        <v>5.0067037416278992E-2</v>
      </c>
      <c r="P8177" s="18"/>
      <c r="Q8177" s="18"/>
      <c r="R8177" s="18"/>
      <c r="S8177" s="18"/>
      <c r="T8177" s="18"/>
      <c r="U8177" s="18"/>
      <c r="V8177" s="18"/>
      <c r="W8177" s="18"/>
      <c r="X8177" s="18"/>
    </row>
    <row r="8178" spans="13:24">
      <c r="M8178" s="558">
        <f t="shared" si="386"/>
        <v>8176</v>
      </c>
      <c r="N8178" s="15">
        <f t="shared" si="384"/>
        <v>5.0015647891744189E-2</v>
      </c>
      <c r="O8178" s="165">
        <f t="shared" si="385"/>
        <v>5.0015647891744189E-2</v>
      </c>
      <c r="P8178" s="18"/>
      <c r="Q8178" s="18"/>
      <c r="R8178" s="18"/>
      <c r="S8178" s="18"/>
      <c r="T8178" s="18"/>
      <c r="U8178" s="18"/>
      <c r="V8178" s="18"/>
      <c r="W8178" s="18"/>
      <c r="X8178" s="18"/>
    </row>
    <row r="8179" spans="13:24">
      <c r="M8179" s="558">
        <f t="shared" si="386"/>
        <v>8177</v>
      </c>
      <c r="N8179" s="15">
        <f t="shared" si="384"/>
        <v>4.996425839188301E-2</v>
      </c>
      <c r="O8179" s="165">
        <f t="shared" si="385"/>
        <v>4.996425839188301E-2</v>
      </c>
      <c r="P8179" s="18"/>
      <c r="Q8179" s="18"/>
      <c r="R8179" s="18"/>
      <c r="S8179" s="18"/>
      <c r="T8179" s="18"/>
      <c r="U8179" s="18"/>
      <c r="V8179" s="18"/>
      <c r="W8179" s="18"/>
      <c r="X8179" s="18"/>
    </row>
    <row r="8180" spans="13:24">
      <c r="M8180" s="558">
        <f t="shared" si="386"/>
        <v>8178</v>
      </c>
      <c r="N8180" s="15">
        <f t="shared" si="384"/>
        <v>4.99128689166645E-2</v>
      </c>
      <c r="O8180" s="165">
        <f t="shared" si="385"/>
        <v>4.99128689166645E-2</v>
      </c>
      <c r="P8180" s="18"/>
      <c r="Q8180" s="18"/>
      <c r="R8180" s="18"/>
      <c r="S8180" s="18"/>
      <c r="T8180" s="18"/>
      <c r="U8180" s="18"/>
      <c r="V8180" s="18"/>
      <c r="W8180" s="18"/>
      <c r="X8180" s="18"/>
    </row>
    <row r="8181" spans="13:24">
      <c r="M8181" s="558">
        <f t="shared" si="386"/>
        <v>8179</v>
      </c>
      <c r="N8181" s="15">
        <f t="shared" si="384"/>
        <v>4.9861479466057727E-2</v>
      </c>
      <c r="O8181" s="165">
        <f t="shared" si="385"/>
        <v>4.9861479466057727E-2</v>
      </c>
      <c r="P8181" s="18"/>
      <c r="Q8181" s="18"/>
      <c r="R8181" s="18"/>
      <c r="S8181" s="18"/>
      <c r="T8181" s="18"/>
      <c r="U8181" s="18"/>
      <c r="V8181" s="18"/>
      <c r="W8181" s="18"/>
      <c r="X8181" s="18"/>
    </row>
    <row r="8182" spans="13:24">
      <c r="M8182" s="558">
        <f t="shared" si="386"/>
        <v>8180</v>
      </c>
      <c r="N8182" s="15">
        <f t="shared" si="384"/>
        <v>4.9810090040031819E-2</v>
      </c>
      <c r="O8182" s="165">
        <f t="shared" si="385"/>
        <v>4.9810090040031819E-2</v>
      </c>
      <c r="P8182" s="18"/>
      <c r="Q8182" s="18"/>
      <c r="R8182" s="18"/>
      <c r="S8182" s="18"/>
      <c r="T8182" s="18"/>
      <c r="U8182" s="18"/>
      <c r="V8182" s="18"/>
      <c r="W8182" s="18"/>
      <c r="X8182" s="18"/>
    </row>
    <row r="8183" spans="13:24">
      <c r="M8183" s="558">
        <f t="shared" si="386"/>
        <v>8181</v>
      </c>
      <c r="N8183" s="15">
        <f t="shared" si="384"/>
        <v>4.9758700638555912E-2</v>
      </c>
      <c r="O8183" s="165">
        <f t="shared" si="385"/>
        <v>4.9758700638555912E-2</v>
      </c>
      <c r="P8183" s="18"/>
      <c r="Q8183" s="18"/>
      <c r="R8183" s="18"/>
      <c r="S8183" s="18"/>
      <c r="T8183" s="18"/>
      <c r="U8183" s="18"/>
      <c r="V8183" s="18"/>
      <c r="W8183" s="18"/>
      <c r="X8183" s="18"/>
    </row>
    <row r="8184" spans="13:24">
      <c r="M8184" s="558">
        <f t="shared" si="386"/>
        <v>8182</v>
      </c>
      <c r="N8184" s="15">
        <f t="shared" si="384"/>
        <v>4.9707311261599205E-2</v>
      </c>
      <c r="O8184" s="165">
        <f t="shared" si="385"/>
        <v>4.9707311261599205E-2</v>
      </c>
      <c r="P8184" s="18"/>
      <c r="Q8184" s="18"/>
      <c r="R8184" s="18"/>
      <c r="S8184" s="18"/>
      <c r="T8184" s="18"/>
      <c r="U8184" s="18"/>
      <c r="V8184" s="18"/>
      <c r="W8184" s="18"/>
      <c r="X8184" s="18"/>
    </row>
    <row r="8185" spans="13:24">
      <c r="M8185" s="558">
        <f t="shared" si="386"/>
        <v>8183</v>
      </c>
      <c r="N8185" s="15">
        <f t="shared" si="384"/>
        <v>4.9655921909130936E-2</v>
      </c>
      <c r="O8185" s="165">
        <f t="shared" si="385"/>
        <v>4.9655921909130936E-2</v>
      </c>
      <c r="P8185" s="18"/>
      <c r="Q8185" s="18"/>
      <c r="R8185" s="18"/>
      <c r="S8185" s="18"/>
      <c r="T8185" s="18"/>
      <c r="U8185" s="18"/>
      <c r="V8185" s="18"/>
      <c r="W8185" s="18"/>
      <c r="X8185" s="18"/>
    </row>
    <row r="8186" spans="13:24">
      <c r="M8186" s="558">
        <f t="shared" si="386"/>
        <v>8184</v>
      </c>
      <c r="N8186" s="15">
        <f t="shared" si="384"/>
        <v>4.960453258112036E-2</v>
      </c>
      <c r="O8186" s="165">
        <f t="shared" si="385"/>
        <v>4.960453258112036E-2</v>
      </c>
      <c r="P8186" s="18"/>
      <c r="Q8186" s="18"/>
      <c r="R8186" s="18"/>
      <c r="S8186" s="18"/>
      <c r="T8186" s="18"/>
      <c r="U8186" s="18"/>
      <c r="V8186" s="18"/>
      <c r="W8186" s="18"/>
      <c r="X8186" s="18"/>
    </row>
    <row r="8187" spans="13:24">
      <c r="M8187" s="558">
        <f t="shared" si="386"/>
        <v>8185</v>
      </c>
      <c r="N8187" s="15">
        <f t="shared" si="384"/>
        <v>4.9553143277536793E-2</v>
      </c>
      <c r="O8187" s="165">
        <f t="shared" si="385"/>
        <v>4.9553143277536793E-2</v>
      </c>
      <c r="P8187" s="18"/>
      <c r="Q8187" s="18"/>
      <c r="R8187" s="18"/>
      <c r="S8187" s="18"/>
      <c r="T8187" s="18"/>
      <c r="U8187" s="18"/>
      <c r="V8187" s="18"/>
      <c r="W8187" s="18"/>
      <c r="X8187" s="18"/>
    </row>
    <row r="8188" spans="13:24">
      <c r="M8188" s="558">
        <f t="shared" si="386"/>
        <v>8186</v>
      </c>
      <c r="N8188" s="15">
        <f t="shared" si="384"/>
        <v>4.9501753998349586E-2</v>
      </c>
      <c r="O8188" s="165">
        <f t="shared" si="385"/>
        <v>4.9501753998349586E-2</v>
      </c>
      <c r="P8188" s="18"/>
      <c r="Q8188" s="18"/>
      <c r="R8188" s="18"/>
      <c r="S8188" s="18"/>
      <c r="T8188" s="18"/>
      <c r="U8188" s="18"/>
      <c r="V8188" s="18"/>
      <c r="W8188" s="18"/>
      <c r="X8188" s="18"/>
    </row>
    <row r="8189" spans="13:24">
      <c r="M8189" s="558">
        <f t="shared" si="386"/>
        <v>8187</v>
      </c>
      <c r="N8189" s="15">
        <f t="shared" si="384"/>
        <v>4.9450364743528111E-2</v>
      </c>
      <c r="O8189" s="165">
        <f t="shared" si="385"/>
        <v>4.9450364743528111E-2</v>
      </c>
      <c r="P8189" s="18"/>
      <c r="Q8189" s="18"/>
      <c r="R8189" s="18"/>
      <c r="S8189" s="18"/>
      <c r="T8189" s="18"/>
      <c r="U8189" s="18"/>
      <c r="V8189" s="18"/>
      <c r="W8189" s="18"/>
      <c r="X8189" s="18"/>
    </row>
    <row r="8190" spans="13:24">
      <c r="M8190" s="558">
        <f t="shared" si="386"/>
        <v>8188</v>
      </c>
      <c r="N8190" s="15">
        <f t="shared" si="384"/>
        <v>4.9398975513041808E-2</v>
      </c>
      <c r="O8190" s="165">
        <f t="shared" si="385"/>
        <v>4.9398975513041808E-2</v>
      </c>
      <c r="P8190" s="18"/>
      <c r="Q8190" s="18"/>
      <c r="R8190" s="18"/>
      <c r="S8190" s="18"/>
      <c r="T8190" s="18"/>
      <c r="U8190" s="18"/>
      <c r="V8190" s="18"/>
      <c r="W8190" s="18"/>
      <c r="X8190" s="18"/>
    </row>
    <row r="8191" spans="13:24">
      <c r="M8191" s="558">
        <f t="shared" si="386"/>
        <v>8189</v>
      </c>
      <c r="N8191" s="15">
        <f t="shared" si="384"/>
        <v>4.9347586306860119E-2</v>
      </c>
      <c r="O8191" s="165">
        <f t="shared" si="385"/>
        <v>4.9347586306860119E-2</v>
      </c>
      <c r="P8191" s="18"/>
      <c r="Q8191" s="18"/>
      <c r="R8191" s="18"/>
      <c r="S8191" s="18"/>
      <c r="T8191" s="18"/>
      <c r="U8191" s="18"/>
      <c r="V8191" s="18"/>
      <c r="W8191" s="18"/>
      <c r="X8191" s="18"/>
    </row>
    <row r="8192" spans="13:24">
      <c r="M8192" s="558">
        <f t="shared" si="386"/>
        <v>8190</v>
      </c>
      <c r="N8192" s="15">
        <f t="shared" si="384"/>
        <v>4.9296197124952555E-2</v>
      </c>
      <c r="O8192" s="165">
        <f t="shared" si="385"/>
        <v>4.9296197124952555E-2</v>
      </c>
      <c r="P8192" s="18"/>
      <c r="Q8192" s="18"/>
      <c r="R8192" s="18"/>
      <c r="S8192" s="18"/>
      <c r="T8192" s="18"/>
      <c r="U8192" s="18"/>
      <c r="V8192" s="18"/>
      <c r="W8192" s="18"/>
      <c r="X8192" s="18"/>
    </row>
    <row r="8193" spans="13:24">
      <c r="M8193" s="558">
        <f t="shared" si="386"/>
        <v>8191</v>
      </c>
      <c r="N8193" s="15">
        <f t="shared" si="384"/>
        <v>4.9244807967288654E-2</v>
      </c>
      <c r="O8193" s="165">
        <f t="shared" si="385"/>
        <v>4.9244807967288654E-2</v>
      </c>
      <c r="P8193" s="18"/>
      <c r="Q8193" s="18"/>
      <c r="R8193" s="18"/>
      <c r="S8193" s="18"/>
      <c r="T8193" s="18"/>
      <c r="U8193" s="18"/>
      <c r="V8193" s="18"/>
      <c r="W8193" s="18"/>
      <c r="X8193" s="18"/>
    </row>
    <row r="8194" spans="13:24">
      <c r="M8194" s="558">
        <f t="shared" si="386"/>
        <v>8192</v>
      </c>
      <c r="N8194" s="15">
        <f t="shared" si="384"/>
        <v>4.9193418833837987E-2</v>
      </c>
      <c r="O8194" s="165">
        <f t="shared" si="385"/>
        <v>4.9193418833837987E-2</v>
      </c>
      <c r="P8194" s="18"/>
      <c r="Q8194" s="18"/>
      <c r="R8194" s="18"/>
      <c r="S8194" s="18"/>
      <c r="T8194" s="18"/>
      <c r="U8194" s="18"/>
      <c r="V8194" s="18"/>
      <c r="W8194" s="18"/>
      <c r="X8194" s="18"/>
    </row>
    <row r="8195" spans="13:24">
      <c r="M8195" s="558">
        <f t="shared" si="386"/>
        <v>8193</v>
      </c>
      <c r="N8195" s="15">
        <f t="shared" si="384"/>
        <v>4.9142029724570171E-2</v>
      </c>
      <c r="O8195" s="165">
        <f t="shared" si="385"/>
        <v>4.9142029724570171E-2</v>
      </c>
      <c r="P8195" s="18"/>
      <c r="Q8195" s="18"/>
      <c r="R8195" s="18"/>
      <c r="S8195" s="18"/>
      <c r="T8195" s="18"/>
      <c r="U8195" s="18"/>
      <c r="V8195" s="18"/>
      <c r="W8195" s="18"/>
      <c r="X8195" s="18"/>
    </row>
    <row r="8196" spans="13:24">
      <c r="M8196" s="558">
        <f t="shared" si="386"/>
        <v>8194</v>
      </c>
      <c r="N8196" s="15">
        <f t="shared" ref="N8196:N8259" si="387">IF(M8196&lt;$B$31+1,$B$32+$B$33/$B$31*(8760-M8196)+$B$34*IF(M8196&lt;$B$36-$B$31/(2*$B$35),1,IF(M8196&lt;$B$36+$B$31/(2*$B$35),COS(PI()/2*(M8196-($B$36-$B$31/(2*$B$35)))*$B$35/$B$31)^2,0))+$B$37*EXP((8760-M8196)/8760*$B$38)/EXP($B$38)-(8760-$B$31)*$B$33/$B$31,0)</f>
        <v>4.9090640639454855E-2</v>
      </c>
      <c r="O8196" s="165">
        <f t="shared" ref="O8196:O8259" si="388">MIN(N8196,C$24)</f>
        <v>4.9090640639454855E-2</v>
      </c>
      <c r="P8196" s="18"/>
      <c r="Q8196" s="18"/>
      <c r="R8196" s="18"/>
      <c r="S8196" s="18"/>
      <c r="T8196" s="18"/>
      <c r="U8196" s="18"/>
      <c r="V8196" s="18"/>
      <c r="W8196" s="18"/>
      <c r="X8196" s="18"/>
    </row>
    <row r="8197" spans="13:24">
      <c r="M8197" s="558">
        <f t="shared" ref="M8197:M8260" si="389">M8196+1</f>
        <v>8195</v>
      </c>
      <c r="N8197" s="15">
        <f t="shared" si="387"/>
        <v>4.9039251578461736E-2</v>
      </c>
      <c r="O8197" s="165">
        <f t="shared" si="388"/>
        <v>4.9039251578461736E-2</v>
      </c>
      <c r="P8197" s="18"/>
      <c r="Q8197" s="18"/>
      <c r="R8197" s="18"/>
      <c r="S8197" s="18"/>
      <c r="T8197" s="18"/>
      <c r="U8197" s="18"/>
      <c r="V8197" s="18"/>
      <c r="W8197" s="18"/>
      <c r="X8197" s="18"/>
    </row>
    <row r="8198" spans="13:24">
      <c r="M8198" s="558">
        <f t="shared" si="389"/>
        <v>8196</v>
      </c>
      <c r="N8198" s="15">
        <f t="shared" si="387"/>
        <v>4.898786254156054E-2</v>
      </c>
      <c r="O8198" s="165">
        <f t="shared" si="388"/>
        <v>4.898786254156054E-2</v>
      </c>
      <c r="P8198" s="18"/>
      <c r="Q8198" s="18"/>
      <c r="R8198" s="18"/>
      <c r="S8198" s="18"/>
      <c r="T8198" s="18"/>
      <c r="U8198" s="18"/>
      <c r="V8198" s="18"/>
      <c r="W8198" s="18"/>
      <c r="X8198" s="18"/>
    </row>
    <row r="8199" spans="13:24">
      <c r="M8199" s="558">
        <f t="shared" si="389"/>
        <v>8197</v>
      </c>
      <c r="N8199" s="15">
        <f t="shared" si="387"/>
        <v>4.8936473528721026E-2</v>
      </c>
      <c r="O8199" s="165">
        <f t="shared" si="388"/>
        <v>4.8936473528721026E-2</v>
      </c>
      <c r="P8199" s="18"/>
      <c r="Q8199" s="18"/>
      <c r="R8199" s="18"/>
      <c r="S8199" s="18"/>
      <c r="T8199" s="18"/>
      <c r="U8199" s="18"/>
      <c r="V8199" s="18"/>
      <c r="W8199" s="18"/>
      <c r="X8199" s="18"/>
    </row>
    <row r="8200" spans="13:24">
      <c r="M8200" s="558">
        <f t="shared" si="389"/>
        <v>8198</v>
      </c>
      <c r="N8200" s="15">
        <f t="shared" si="387"/>
        <v>4.8885084539913012E-2</v>
      </c>
      <c r="O8200" s="165">
        <f t="shared" si="388"/>
        <v>4.8885084539913012E-2</v>
      </c>
      <c r="P8200" s="18"/>
      <c r="Q8200" s="18"/>
      <c r="R8200" s="18"/>
      <c r="S8200" s="18"/>
      <c r="T8200" s="18"/>
      <c r="U8200" s="18"/>
      <c r="V8200" s="18"/>
      <c r="W8200" s="18"/>
      <c r="X8200" s="18"/>
    </row>
    <row r="8201" spans="13:24">
      <c r="M8201" s="558">
        <f t="shared" si="389"/>
        <v>8199</v>
      </c>
      <c r="N8201" s="15">
        <f t="shared" si="387"/>
        <v>4.8833695575106334E-2</v>
      </c>
      <c r="O8201" s="165">
        <f t="shared" si="388"/>
        <v>4.8833695575106334E-2</v>
      </c>
      <c r="P8201" s="18"/>
      <c r="Q8201" s="18"/>
      <c r="R8201" s="18"/>
      <c r="S8201" s="18"/>
      <c r="T8201" s="18"/>
      <c r="U8201" s="18"/>
      <c r="V8201" s="18"/>
      <c r="W8201" s="18"/>
      <c r="X8201" s="18"/>
    </row>
    <row r="8202" spans="13:24">
      <c r="M8202" s="558">
        <f t="shared" si="389"/>
        <v>8200</v>
      </c>
      <c r="N8202" s="15">
        <f t="shared" si="387"/>
        <v>4.8782306634270869E-2</v>
      </c>
      <c r="O8202" s="165">
        <f t="shared" si="388"/>
        <v>4.8782306634270869E-2</v>
      </c>
      <c r="P8202" s="18"/>
      <c r="Q8202" s="18"/>
      <c r="R8202" s="18"/>
      <c r="S8202" s="18"/>
      <c r="T8202" s="18"/>
      <c r="U8202" s="18"/>
      <c r="V8202" s="18"/>
      <c r="W8202" s="18"/>
      <c r="X8202" s="18"/>
    </row>
    <row r="8203" spans="13:24">
      <c r="M8203" s="558">
        <f t="shared" si="389"/>
        <v>8201</v>
      </c>
      <c r="N8203" s="15">
        <f t="shared" si="387"/>
        <v>4.8730917717376539E-2</v>
      </c>
      <c r="O8203" s="165">
        <f t="shared" si="388"/>
        <v>4.8730917717376539E-2</v>
      </c>
      <c r="P8203" s="18"/>
      <c r="Q8203" s="18"/>
      <c r="R8203" s="18"/>
      <c r="S8203" s="18"/>
      <c r="T8203" s="18"/>
      <c r="U8203" s="18"/>
      <c r="V8203" s="18"/>
      <c r="W8203" s="18"/>
      <c r="X8203" s="18"/>
    </row>
    <row r="8204" spans="13:24">
      <c r="M8204" s="558">
        <f t="shared" si="389"/>
        <v>8202</v>
      </c>
      <c r="N8204" s="15">
        <f t="shared" si="387"/>
        <v>4.8679528824393296E-2</v>
      </c>
      <c r="O8204" s="165">
        <f t="shared" si="388"/>
        <v>4.8679528824393296E-2</v>
      </c>
      <c r="P8204" s="18"/>
      <c r="Q8204" s="18"/>
      <c r="R8204" s="18"/>
      <c r="S8204" s="18"/>
      <c r="T8204" s="18"/>
      <c r="U8204" s="18"/>
      <c r="V8204" s="18"/>
      <c r="W8204" s="18"/>
      <c r="X8204" s="18"/>
    </row>
    <row r="8205" spans="13:24">
      <c r="M8205" s="558">
        <f t="shared" si="389"/>
        <v>8203</v>
      </c>
      <c r="N8205" s="15">
        <f t="shared" si="387"/>
        <v>4.8628139955291146E-2</v>
      </c>
      <c r="O8205" s="165">
        <f t="shared" si="388"/>
        <v>4.8628139955291146E-2</v>
      </c>
      <c r="P8205" s="18"/>
      <c r="Q8205" s="18"/>
      <c r="R8205" s="18"/>
      <c r="S8205" s="18"/>
      <c r="T8205" s="18"/>
      <c r="U8205" s="18"/>
      <c r="V8205" s="18"/>
      <c r="W8205" s="18"/>
      <c r="X8205" s="18"/>
    </row>
    <row r="8206" spans="13:24">
      <c r="M8206" s="558">
        <f t="shared" si="389"/>
        <v>8204</v>
      </c>
      <c r="N8206" s="15">
        <f t="shared" si="387"/>
        <v>4.8576751110040103E-2</v>
      </c>
      <c r="O8206" s="165">
        <f t="shared" si="388"/>
        <v>4.8576751110040103E-2</v>
      </c>
      <c r="P8206" s="18"/>
      <c r="Q8206" s="18"/>
      <c r="R8206" s="18"/>
      <c r="S8206" s="18"/>
      <c r="T8206" s="18"/>
      <c r="U8206" s="18"/>
      <c r="V8206" s="18"/>
      <c r="W8206" s="18"/>
      <c r="X8206" s="18"/>
    </row>
    <row r="8207" spans="13:24">
      <c r="M8207" s="558">
        <f t="shared" si="389"/>
        <v>8205</v>
      </c>
      <c r="N8207" s="15">
        <f t="shared" si="387"/>
        <v>4.8525362288610249E-2</v>
      </c>
      <c r="O8207" s="165">
        <f t="shared" si="388"/>
        <v>4.8525362288610249E-2</v>
      </c>
      <c r="P8207" s="18"/>
      <c r="Q8207" s="18"/>
      <c r="R8207" s="18"/>
      <c r="S8207" s="18"/>
      <c r="T8207" s="18"/>
      <c r="U8207" s="18"/>
      <c r="V8207" s="18"/>
      <c r="W8207" s="18"/>
      <c r="X8207" s="18"/>
    </row>
    <row r="8208" spans="13:24">
      <c r="M8208" s="558">
        <f t="shared" si="389"/>
        <v>8206</v>
      </c>
      <c r="N8208" s="15">
        <f t="shared" si="387"/>
        <v>4.8473973490971684E-2</v>
      </c>
      <c r="O8208" s="165">
        <f t="shared" si="388"/>
        <v>4.8473973490971684E-2</v>
      </c>
      <c r="P8208" s="18"/>
      <c r="Q8208" s="18"/>
      <c r="R8208" s="18"/>
      <c r="S8208" s="18"/>
      <c r="T8208" s="18"/>
      <c r="U8208" s="18"/>
      <c r="V8208" s="18"/>
      <c r="W8208" s="18"/>
      <c r="X8208" s="18"/>
    </row>
    <row r="8209" spans="13:24">
      <c r="M8209" s="558">
        <f t="shared" si="389"/>
        <v>8207</v>
      </c>
      <c r="N8209" s="15">
        <f t="shared" si="387"/>
        <v>4.8422584717094548E-2</v>
      </c>
      <c r="O8209" s="165">
        <f t="shared" si="388"/>
        <v>4.8422584717094548E-2</v>
      </c>
      <c r="P8209" s="18"/>
      <c r="Q8209" s="18"/>
      <c r="R8209" s="18"/>
      <c r="S8209" s="18"/>
      <c r="T8209" s="18"/>
      <c r="U8209" s="18"/>
      <c r="V8209" s="18"/>
      <c r="W8209" s="18"/>
      <c r="X8209" s="18"/>
    </row>
    <row r="8210" spans="13:24">
      <c r="M8210" s="558">
        <f t="shared" si="389"/>
        <v>8208</v>
      </c>
      <c r="N8210" s="15">
        <f t="shared" si="387"/>
        <v>4.8371195966949027E-2</v>
      </c>
      <c r="O8210" s="165">
        <f t="shared" si="388"/>
        <v>4.8371195966949027E-2</v>
      </c>
      <c r="P8210" s="18"/>
      <c r="Q8210" s="18"/>
      <c r="R8210" s="18"/>
      <c r="S8210" s="18"/>
      <c r="T8210" s="18"/>
      <c r="U8210" s="18"/>
      <c r="V8210" s="18"/>
      <c r="W8210" s="18"/>
      <c r="X8210" s="18"/>
    </row>
    <row r="8211" spans="13:24">
      <c r="M8211" s="558">
        <f t="shared" si="389"/>
        <v>8209</v>
      </c>
      <c r="N8211" s="15">
        <f t="shared" si="387"/>
        <v>4.8319807240505344E-2</v>
      </c>
      <c r="O8211" s="165">
        <f t="shared" si="388"/>
        <v>4.8319807240505344E-2</v>
      </c>
      <c r="P8211" s="18"/>
      <c r="Q8211" s="18"/>
      <c r="R8211" s="18"/>
      <c r="S8211" s="18"/>
      <c r="T8211" s="18"/>
      <c r="U8211" s="18"/>
      <c r="V8211" s="18"/>
      <c r="W8211" s="18"/>
      <c r="X8211" s="18"/>
    </row>
    <row r="8212" spans="13:24">
      <c r="M8212" s="558">
        <f t="shared" si="389"/>
        <v>8210</v>
      </c>
      <c r="N8212" s="15">
        <f t="shared" si="387"/>
        <v>4.8268418537733754E-2</v>
      </c>
      <c r="O8212" s="165">
        <f t="shared" si="388"/>
        <v>4.8268418537733754E-2</v>
      </c>
      <c r="P8212" s="18"/>
      <c r="Q8212" s="18"/>
      <c r="R8212" s="18"/>
      <c r="S8212" s="18"/>
      <c r="T8212" s="18"/>
      <c r="U8212" s="18"/>
      <c r="V8212" s="18"/>
      <c r="W8212" s="18"/>
      <c r="X8212" s="18"/>
    </row>
    <row r="8213" spans="13:24">
      <c r="M8213" s="558">
        <f t="shared" si="389"/>
        <v>8211</v>
      </c>
      <c r="N8213" s="15">
        <f t="shared" si="387"/>
        <v>4.8217029858604536E-2</v>
      </c>
      <c r="O8213" s="165">
        <f t="shared" si="388"/>
        <v>4.8217029858604536E-2</v>
      </c>
      <c r="P8213" s="18"/>
      <c r="Q8213" s="18"/>
      <c r="R8213" s="18"/>
      <c r="S8213" s="18"/>
      <c r="T8213" s="18"/>
      <c r="U8213" s="18"/>
      <c r="V8213" s="18"/>
      <c r="W8213" s="18"/>
      <c r="X8213" s="18"/>
    </row>
    <row r="8214" spans="13:24">
      <c r="M8214" s="558">
        <f t="shared" si="389"/>
        <v>8212</v>
      </c>
      <c r="N8214" s="15">
        <f t="shared" si="387"/>
        <v>4.8165641203088035E-2</v>
      </c>
      <c r="O8214" s="165">
        <f t="shared" si="388"/>
        <v>4.8165641203088035E-2</v>
      </c>
      <c r="P8214" s="18"/>
      <c r="Q8214" s="18"/>
      <c r="R8214" s="18"/>
      <c r="S8214" s="18"/>
      <c r="T8214" s="18"/>
      <c r="U8214" s="18"/>
      <c r="V8214" s="18"/>
      <c r="W8214" s="18"/>
      <c r="X8214" s="18"/>
    </row>
    <row r="8215" spans="13:24">
      <c r="M8215" s="558">
        <f t="shared" si="389"/>
        <v>8213</v>
      </c>
      <c r="N8215" s="15">
        <f t="shared" si="387"/>
        <v>4.811425257115462E-2</v>
      </c>
      <c r="O8215" s="165">
        <f t="shared" si="388"/>
        <v>4.811425257115462E-2</v>
      </c>
      <c r="P8215" s="18"/>
      <c r="Q8215" s="18"/>
      <c r="R8215" s="18"/>
      <c r="S8215" s="18"/>
      <c r="T8215" s="18"/>
      <c r="U8215" s="18"/>
      <c r="V8215" s="18"/>
      <c r="W8215" s="18"/>
      <c r="X8215" s="18"/>
    </row>
    <row r="8216" spans="13:24">
      <c r="M8216" s="558">
        <f t="shared" si="389"/>
        <v>8214</v>
      </c>
      <c r="N8216" s="15">
        <f t="shared" si="387"/>
        <v>4.8062863962774691E-2</v>
      </c>
      <c r="O8216" s="165">
        <f t="shared" si="388"/>
        <v>4.8062863962774691E-2</v>
      </c>
      <c r="P8216" s="18"/>
      <c r="Q8216" s="18"/>
      <c r="R8216" s="18"/>
      <c r="S8216" s="18"/>
      <c r="T8216" s="18"/>
      <c r="U8216" s="18"/>
      <c r="V8216" s="18"/>
      <c r="W8216" s="18"/>
      <c r="X8216" s="18"/>
    </row>
    <row r="8217" spans="13:24">
      <c r="M8217" s="558">
        <f t="shared" si="389"/>
        <v>8215</v>
      </c>
      <c r="N8217" s="15">
        <f t="shared" si="387"/>
        <v>4.8011475377918687E-2</v>
      </c>
      <c r="O8217" s="165">
        <f t="shared" si="388"/>
        <v>4.8011475377918687E-2</v>
      </c>
      <c r="P8217" s="18"/>
      <c r="Q8217" s="18"/>
      <c r="R8217" s="18"/>
      <c r="S8217" s="18"/>
      <c r="T8217" s="18"/>
      <c r="U8217" s="18"/>
      <c r="V8217" s="18"/>
      <c r="W8217" s="18"/>
      <c r="X8217" s="18"/>
    </row>
    <row r="8218" spans="13:24">
      <c r="M8218" s="558">
        <f t="shared" si="389"/>
        <v>8216</v>
      </c>
      <c r="N8218" s="15">
        <f t="shared" si="387"/>
        <v>4.7960086816557092E-2</v>
      </c>
      <c r="O8218" s="165">
        <f t="shared" si="388"/>
        <v>4.7960086816557092E-2</v>
      </c>
      <c r="P8218" s="18"/>
      <c r="Q8218" s="18"/>
      <c r="R8218" s="18"/>
      <c r="S8218" s="18"/>
      <c r="T8218" s="18"/>
      <c r="U8218" s="18"/>
      <c r="V8218" s="18"/>
      <c r="W8218" s="18"/>
      <c r="X8218" s="18"/>
    </row>
    <row r="8219" spans="13:24">
      <c r="M8219" s="558">
        <f t="shared" si="389"/>
        <v>8217</v>
      </c>
      <c r="N8219" s="15">
        <f t="shared" si="387"/>
        <v>4.7908698278660428E-2</v>
      </c>
      <c r="O8219" s="165">
        <f t="shared" si="388"/>
        <v>4.7908698278660428E-2</v>
      </c>
      <c r="P8219" s="18"/>
      <c r="Q8219" s="18"/>
      <c r="R8219" s="18"/>
      <c r="S8219" s="18"/>
      <c r="T8219" s="18"/>
      <c r="U8219" s="18"/>
      <c r="V8219" s="18"/>
      <c r="W8219" s="18"/>
      <c r="X8219" s="18"/>
    </row>
    <row r="8220" spans="13:24">
      <c r="M8220" s="558">
        <f t="shared" si="389"/>
        <v>8218</v>
      </c>
      <c r="N8220" s="15">
        <f t="shared" si="387"/>
        <v>4.7857309764199239E-2</v>
      </c>
      <c r="O8220" s="165">
        <f t="shared" si="388"/>
        <v>4.7857309764199239E-2</v>
      </c>
      <c r="P8220" s="18"/>
      <c r="Q8220" s="18"/>
      <c r="R8220" s="18"/>
      <c r="S8220" s="18"/>
      <c r="T8220" s="18"/>
      <c r="U8220" s="18"/>
      <c r="V8220" s="18"/>
      <c r="W8220" s="18"/>
      <c r="X8220" s="18"/>
    </row>
    <row r="8221" spans="13:24">
      <c r="M8221" s="558">
        <f t="shared" si="389"/>
        <v>8219</v>
      </c>
      <c r="N8221" s="15">
        <f t="shared" si="387"/>
        <v>4.780592127314412E-2</v>
      </c>
      <c r="O8221" s="165">
        <f t="shared" si="388"/>
        <v>4.780592127314412E-2</v>
      </c>
      <c r="P8221" s="18"/>
      <c r="Q8221" s="18"/>
      <c r="R8221" s="18"/>
      <c r="S8221" s="18"/>
      <c r="T8221" s="18"/>
      <c r="U8221" s="18"/>
      <c r="V8221" s="18"/>
      <c r="W8221" s="18"/>
      <c r="X8221" s="18"/>
    </row>
    <row r="8222" spans="13:24">
      <c r="M8222" s="558">
        <f t="shared" si="389"/>
        <v>8220</v>
      </c>
      <c r="N8222" s="15">
        <f t="shared" si="387"/>
        <v>4.7754532805465696E-2</v>
      </c>
      <c r="O8222" s="165">
        <f t="shared" si="388"/>
        <v>4.7754532805465696E-2</v>
      </c>
      <c r="P8222" s="18"/>
      <c r="Q8222" s="18"/>
      <c r="R8222" s="18"/>
      <c r="S8222" s="18"/>
      <c r="T8222" s="18"/>
      <c r="U8222" s="18"/>
      <c r="V8222" s="18"/>
      <c r="W8222" s="18"/>
      <c r="X8222" s="18"/>
    </row>
    <row r="8223" spans="13:24">
      <c r="M8223" s="558">
        <f t="shared" si="389"/>
        <v>8221</v>
      </c>
      <c r="N8223" s="15">
        <f t="shared" si="387"/>
        <v>4.7703144361134632E-2</v>
      </c>
      <c r="O8223" s="165">
        <f t="shared" si="388"/>
        <v>4.7703144361134632E-2</v>
      </c>
      <c r="P8223" s="18"/>
      <c r="Q8223" s="18"/>
      <c r="R8223" s="18"/>
      <c r="S8223" s="18"/>
      <c r="T8223" s="18"/>
      <c r="U8223" s="18"/>
      <c r="V8223" s="18"/>
      <c r="W8223" s="18"/>
      <c r="X8223" s="18"/>
    </row>
    <row r="8224" spans="13:24">
      <c r="M8224" s="558">
        <f t="shared" si="389"/>
        <v>8222</v>
      </c>
      <c r="N8224" s="15">
        <f t="shared" si="387"/>
        <v>4.765175594012163E-2</v>
      </c>
      <c r="O8224" s="165">
        <f t="shared" si="388"/>
        <v>4.765175594012163E-2</v>
      </c>
      <c r="P8224" s="18"/>
      <c r="Q8224" s="18"/>
      <c r="R8224" s="18"/>
      <c r="S8224" s="18"/>
      <c r="T8224" s="18"/>
      <c r="U8224" s="18"/>
      <c r="V8224" s="18"/>
      <c r="W8224" s="18"/>
      <c r="X8224" s="18"/>
    </row>
    <row r="8225" spans="13:24">
      <c r="M8225" s="558">
        <f t="shared" si="389"/>
        <v>8223</v>
      </c>
      <c r="N8225" s="15">
        <f t="shared" si="387"/>
        <v>4.760036754239743E-2</v>
      </c>
      <c r="O8225" s="165">
        <f t="shared" si="388"/>
        <v>4.760036754239743E-2</v>
      </c>
      <c r="P8225" s="18"/>
      <c r="Q8225" s="18"/>
      <c r="R8225" s="18"/>
      <c r="S8225" s="18"/>
      <c r="T8225" s="18"/>
      <c r="U8225" s="18"/>
      <c r="V8225" s="18"/>
      <c r="W8225" s="18"/>
      <c r="X8225" s="18"/>
    </row>
    <row r="8226" spans="13:24">
      <c r="M8226" s="558">
        <f t="shared" si="389"/>
        <v>8224</v>
      </c>
      <c r="N8226" s="15">
        <f t="shared" si="387"/>
        <v>4.7548979167932798E-2</v>
      </c>
      <c r="O8226" s="165">
        <f t="shared" si="388"/>
        <v>4.7548979167932798E-2</v>
      </c>
      <c r="P8226" s="18"/>
      <c r="Q8226" s="18"/>
      <c r="R8226" s="18"/>
      <c r="S8226" s="18"/>
      <c r="T8226" s="18"/>
      <c r="U8226" s="18"/>
      <c r="V8226" s="18"/>
      <c r="W8226" s="18"/>
      <c r="X8226" s="18"/>
    </row>
    <row r="8227" spans="13:24">
      <c r="M8227" s="558">
        <f t="shared" si="389"/>
        <v>8225</v>
      </c>
      <c r="N8227" s="15">
        <f t="shared" si="387"/>
        <v>4.7497590816698555E-2</v>
      </c>
      <c r="O8227" s="165">
        <f t="shared" si="388"/>
        <v>4.7497590816698555E-2</v>
      </c>
      <c r="P8227" s="18"/>
      <c r="Q8227" s="18"/>
      <c r="R8227" s="18"/>
      <c r="S8227" s="18"/>
      <c r="T8227" s="18"/>
      <c r="U8227" s="18"/>
      <c r="V8227" s="18"/>
      <c r="W8227" s="18"/>
      <c r="X8227" s="18"/>
    </row>
    <row r="8228" spans="13:24">
      <c r="M8228" s="558">
        <f t="shared" si="389"/>
        <v>8226</v>
      </c>
      <c r="N8228" s="15">
        <f t="shared" si="387"/>
        <v>4.7446202488665538E-2</v>
      </c>
      <c r="O8228" s="165">
        <f t="shared" si="388"/>
        <v>4.7446202488665538E-2</v>
      </c>
      <c r="P8228" s="18"/>
      <c r="Q8228" s="18"/>
      <c r="R8228" s="18"/>
      <c r="S8228" s="18"/>
      <c r="T8228" s="18"/>
      <c r="U8228" s="18"/>
      <c r="V8228" s="18"/>
      <c r="W8228" s="18"/>
      <c r="X8228" s="18"/>
    </row>
    <row r="8229" spans="13:24">
      <c r="M8229" s="558">
        <f t="shared" si="389"/>
        <v>8227</v>
      </c>
      <c r="N8229" s="15">
        <f t="shared" si="387"/>
        <v>4.7394814183804639E-2</v>
      </c>
      <c r="O8229" s="165">
        <f t="shared" si="388"/>
        <v>4.7394814183804639E-2</v>
      </c>
      <c r="P8229" s="18"/>
      <c r="Q8229" s="18"/>
      <c r="R8229" s="18"/>
      <c r="S8229" s="18"/>
      <c r="T8229" s="18"/>
      <c r="U8229" s="18"/>
      <c r="V8229" s="18"/>
      <c r="W8229" s="18"/>
      <c r="X8229" s="18"/>
    </row>
    <row r="8230" spans="13:24">
      <c r="M8230" s="558">
        <f t="shared" si="389"/>
        <v>8228</v>
      </c>
      <c r="N8230" s="15">
        <f t="shared" si="387"/>
        <v>4.7343425902086775E-2</v>
      </c>
      <c r="O8230" s="165">
        <f t="shared" si="388"/>
        <v>4.7343425902086775E-2</v>
      </c>
      <c r="P8230" s="18"/>
      <c r="Q8230" s="18"/>
      <c r="R8230" s="18"/>
      <c r="S8230" s="18"/>
      <c r="T8230" s="18"/>
      <c r="U8230" s="18"/>
      <c r="V8230" s="18"/>
      <c r="W8230" s="18"/>
      <c r="X8230" s="18"/>
    </row>
    <row r="8231" spans="13:24">
      <c r="M8231" s="558">
        <f t="shared" si="389"/>
        <v>8229</v>
      </c>
      <c r="N8231" s="15">
        <f t="shared" si="387"/>
        <v>4.7292037643482908E-2</v>
      </c>
      <c r="O8231" s="165">
        <f t="shared" si="388"/>
        <v>4.7292037643482908E-2</v>
      </c>
      <c r="P8231" s="18"/>
      <c r="Q8231" s="18"/>
      <c r="R8231" s="18"/>
      <c r="S8231" s="18"/>
      <c r="T8231" s="18"/>
      <c r="U8231" s="18"/>
      <c r="V8231" s="18"/>
      <c r="W8231" s="18"/>
      <c r="X8231" s="18"/>
    </row>
    <row r="8232" spans="13:24">
      <c r="M8232" s="558">
        <f t="shared" si="389"/>
        <v>8230</v>
      </c>
      <c r="N8232" s="15">
        <f t="shared" si="387"/>
        <v>4.7240649407964033E-2</v>
      </c>
      <c r="O8232" s="165">
        <f t="shared" si="388"/>
        <v>4.7240649407964033E-2</v>
      </c>
      <c r="P8232" s="18"/>
      <c r="Q8232" s="18"/>
      <c r="R8232" s="18"/>
      <c r="S8232" s="18"/>
      <c r="T8232" s="18"/>
      <c r="U8232" s="18"/>
      <c r="V8232" s="18"/>
      <c r="W8232" s="18"/>
      <c r="X8232" s="18"/>
    </row>
    <row r="8233" spans="13:24">
      <c r="M8233" s="558">
        <f t="shared" si="389"/>
        <v>8231</v>
      </c>
      <c r="N8233" s="15">
        <f t="shared" si="387"/>
        <v>4.7189261195501167E-2</v>
      </c>
      <c r="O8233" s="165">
        <f t="shared" si="388"/>
        <v>4.7189261195501167E-2</v>
      </c>
      <c r="P8233" s="18"/>
      <c r="Q8233" s="18"/>
      <c r="R8233" s="18"/>
      <c r="S8233" s="18"/>
      <c r="T8233" s="18"/>
      <c r="U8233" s="18"/>
      <c r="V8233" s="18"/>
      <c r="W8233" s="18"/>
      <c r="X8233" s="18"/>
    </row>
    <row r="8234" spans="13:24">
      <c r="M8234" s="558">
        <f t="shared" si="389"/>
        <v>8232</v>
      </c>
      <c r="N8234" s="15">
        <f t="shared" si="387"/>
        <v>4.7137873006065395E-2</v>
      </c>
      <c r="O8234" s="165">
        <f t="shared" si="388"/>
        <v>4.7137873006065395E-2</v>
      </c>
      <c r="P8234" s="18"/>
      <c r="Q8234" s="18"/>
      <c r="R8234" s="18"/>
      <c r="S8234" s="18"/>
      <c r="T8234" s="18"/>
      <c r="U8234" s="18"/>
      <c r="V8234" s="18"/>
      <c r="W8234" s="18"/>
      <c r="X8234" s="18"/>
    </row>
    <row r="8235" spans="13:24">
      <c r="M8235" s="558">
        <f t="shared" si="389"/>
        <v>8233</v>
      </c>
      <c r="N8235" s="15">
        <f t="shared" si="387"/>
        <v>4.708648483962781E-2</v>
      </c>
      <c r="O8235" s="165">
        <f t="shared" si="388"/>
        <v>4.708648483962781E-2</v>
      </c>
      <c r="P8235" s="18"/>
      <c r="Q8235" s="18"/>
      <c r="R8235" s="18"/>
      <c r="S8235" s="18"/>
      <c r="T8235" s="18"/>
      <c r="U8235" s="18"/>
      <c r="V8235" s="18"/>
      <c r="W8235" s="18"/>
      <c r="X8235" s="18"/>
    </row>
    <row r="8236" spans="13:24">
      <c r="M8236" s="558">
        <f t="shared" si="389"/>
        <v>8234</v>
      </c>
      <c r="N8236" s="15">
        <f t="shared" si="387"/>
        <v>4.7035096696159552E-2</v>
      </c>
      <c r="O8236" s="165">
        <f t="shared" si="388"/>
        <v>4.7035096696159552E-2</v>
      </c>
      <c r="P8236" s="18"/>
      <c r="Q8236" s="18"/>
      <c r="R8236" s="18"/>
      <c r="S8236" s="18"/>
      <c r="T8236" s="18"/>
      <c r="U8236" s="18"/>
      <c r="V8236" s="18"/>
      <c r="W8236" s="18"/>
      <c r="X8236" s="18"/>
    </row>
    <row r="8237" spans="13:24">
      <c r="M8237" s="558">
        <f t="shared" si="389"/>
        <v>8235</v>
      </c>
      <c r="N8237" s="15">
        <f t="shared" si="387"/>
        <v>4.6983708575631791E-2</v>
      </c>
      <c r="O8237" s="165">
        <f t="shared" si="388"/>
        <v>4.6983708575631791E-2</v>
      </c>
      <c r="P8237" s="18"/>
      <c r="Q8237" s="18"/>
      <c r="R8237" s="18"/>
      <c r="S8237" s="18"/>
      <c r="T8237" s="18"/>
      <c r="U8237" s="18"/>
      <c r="V8237" s="18"/>
      <c r="W8237" s="18"/>
      <c r="X8237" s="18"/>
    </row>
    <row r="8238" spans="13:24">
      <c r="M8238" s="558">
        <f t="shared" si="389"/>
        <v>8236</v>
      </c>
      <c r="N8238" s="15">
        <f t="shared" si="387"/>
        <v>4.6932320478015752E-2</v>
      </c>
      <c r="O8238" s="165">
        <f t="shared" si="388"/>
        <v>4.6932320478015752E-2</v>
      </c>
      <c r="P8238" s="18"/>
      <c r="Q8238" s="18"/>
      <c r="R8238" s="18"/>
      <c r="S8238" s="18"/>
      <c r="T8238" s="18"/>
      <c r="U8238" s="18"/>
      <c r="V8238" s="18"/>
      <c r="W8238" s="18"/>
      <c r="X8238" s="18"/>
    </row>
    <row r="8239" spans="13:24">
      <c r="M8239" s="558">
        <f t="shared" si="389"/>
        <v>8237</v>
      </c>
      <c r="N8239" s="15">
        <f t="shared" si="387"/>
        <v>4.6880932403282671E-2</v>
      </c>
      <c r="O8239" s="165">
        <f t="shared" si="388"/>
        <v>4.6880932403282671E-2</v>
      </c>
      <c r="P8239" s="18"/>
      <c r="Q8239" s="18"/>
      <c r="R8239" s="18"/>
      <c r="S8239" s="18"/>
      <c r="T8239" s="18"/>
      <c r="U8239" s="18"/>
      <c r="V8239" s="18"/>
      <c r="W8239" s="18"/>
      <c r="X8239" s="18"/>
    </row>
    <row r="8240" spans="13:24">
      <c r="M8240" s="558">
        <f t="shared" si="389"/>
        <v>8238</v>
      </c>
      <c r="N8240" s="15">
        <f t="shared" si="387"/>
        <v>4.6829544351403837E-2</v>
      </c>
      <c r="O8240" s="165">
        <f t="shared" si="388"/>
        <v>4.6829544351403837E-2</v>
      </c>
      <c r="P8240" s="18"/>
      <c r="Q8240" s="18"/>
      <c r="R8240" s="18"/>
      <c r="S8240" s="18"/>
      <c r="T8240" s="18"/>
      <c r="U8240" s="18"/>
      <c r="V8240" s="18"/>
      <c r="W8240" s="18"/>
      <c r="X8240" s="18"/>
    </row>
    <row r="8241" spans="13:24">
      <c r="M8241" s="558">
        <f t="shared" si="389"/>
        <v>8239</v>
      </c>
      <c r="N8241" s="15">
        <f t="shared" si="387"/>
        <v>4.6778156322350564E-2</v>
      </c>
      <c r="O8241" s="165">
        <f t="shared" si="388"/>
        <v>4.6778156322350564E-2</v>
      </c>
      <c r="P8241" s="18"/>
      <c r="Q8241" s="18"/>
      <c r="R8241" s="18"/>
      <c r="S8241" s="18"/>
      <c r="T8241" s="18"/>
      <c r="U8241" s="18"/>
      <c r="V8241" s="18"/>
      <c r="W8241" s="18"/>
      <c r="X8241" s="18"/>
    </row>
    <row r="8242" spans="13:24">
      <c r="M8242" s="558">
        <f t="shared" si="389"/>
        <v>8240</v>
      </c>
      <c r="N8242" s="15">
        <f t="shared" si="387"/>
        <v>4.6726768316094215E-2</v>
      </c>
      <c r="O8242" s="165">
        <f t="shared" si="388"/>
        <v>4.6726768316094215E-2</v>
      </c>
      <c r="P8242" s="18"/>
      <c r="Q8242" s="18"/>
      <c r="R8242" s="18"/>
      <c r="S8242" s="18"/>
      <c r="T8242" s="18"/>
      <c r="U8242" s="18"/>
      <c r="V8242" s="18"/>
      <c r="W8242" s="18"/>
      <c r="X8242" s="18"/>
    </row>
    <row r="8243" spans="13:24">
      <c r="M8243" s="558">
        <f t="shared" si="389"/>
        <v>8241</v>
      </c>
      <c r="N8243" s="15">
        <f t="shared" si="387"/>
        <v>4.6675380332606181E-2</v>
      </c>
      <c r="O8243" s="165">
        <f t="shared" si="388"/>
        <v>4.6675380332606181E-2</v>
      </c>
      <c r="P8243" s="18"/>
      <c r="Q8243" s="18"/>
      <c r="R8243" s="18"/>
      <c r="S8243" s="18"/>
      <c r="T8243" s="18"/>
      <c r="U8243" s="18"/>
      <c r="V8243" s="18"/>
      <c r="W8243" s="18"/>
      <c r="X8243" s="18"/>
    </row>
    <row r="8244" spans="13:24">
      <c r="M8244" s="558">
        <f t="shared" si="389"/>
        <v>8242</v>
      </c>
      <c r="N8244" s="15">
        <f t="shared" si="387"/>
        <v>4.6623992371857881E-2</v>
      </c>
      <c r="O8244" s="165">
        <f t="shared" si="388"/>
        <v>4.6623992371857881E-2</v>
      </c>
      <c r="P8244" s="18"/>
      <c r="Q8244" s="18"/>
      <c r="R8244" s="18"/>
      <c r="S8244" s="18"/>
      <c r="T8244" s="18"/>
      <c r="U8244" s="18"/>
      <c r="V8244" s="18"/>
      <c r="W8244" s="18"/>
      <c r="X8244" s="18"/>
    </row>
    <row r="8245" spans="13:24">
      <c r="M8245" s="558">
        <f t="shared" si="389"/>
        <v>8243</v>
      </c>
      <c r="N8245" s="15">
        <f t="shared" si="387"/>
        <v>4.6572604433820781E-2</v>
      </c>
      <c r="O8245" s="165">
        <f t="shared" si="388"/>
        <v>4.6572604433820781E-2</v>
      </c>
      <c r="P8245" s="18"/>
      <c r="Q8245" s="18"/>
      <c r="R8245" s="18"/>
      <c r="S8245" s="18"/>
      <c r="T8245" s="18"/>
      <c r="U8245" s="18"/>
      <c r="V8245" s="18"/>
      <c r="W8245" s="18"/>
      <c r="X8245" s="18"/>
    </row>
    <row r="8246" spans="13:24">
      <c r="M8246" s="558">
        <f t="shared" si="389"/>
        <v>8244</v>
      </c>
      <c r="N8246" s="15">
        <f t="shared" si="387"/>
        <v>4.6521216518466392E-2</v>
      </c>
      <c r="O8246" s="165">
        <f t="shared" si="388"/>
        <v>4.6521216518466392E-2</v>
      </c>
      <c r="P8246" s="18"/>
      <c r="Q8246" s="18"/>
      <c r="R8246" s="18"/>
      <c r="S8246" s="18"/>
      <c r="T8246" s="18"/>
      <c r="U8246" s="18"/>
      <c r="V8246" s="18"/>
      <c r="W8246" s="18"/>
      <c r="X8246" s="18"/>
    </row>
    <row r="8247" spans="13:24">
      <c r="M8247" s="558">
        <f t="shared" si="389"/>
        <v>8245</v>
      </c>
      <c r="N8247" s="15">
        <f t="shared" si="387"/>
        <v>4.6469828625766235E-2</v>
      </c>
      <c r="O8247" s="165">
        <f t="shared" si="388"/>
        <v>4.6469828625766235E-2</v>
      </c>
      <c r="P8247" s="18"/>
      <c r="Q8247" s="18"/>
      <c r="R8247" s="18"/>
      <c r="S8247" s="18"/>
      <c r="T8247" s="18"/>
      <c r="U8247" s="18"/>
      <c r="V8247" s="18"/>
      <c r="W8247" s="18"/>
      <c r="X8247" s="18"/>
    </row>
    <row r="8248" spans="13:24">
      <c r="M8248" s="558">
        <f t="shared" si="389"/>
        <v>8246</v>
      </c>
      <c r="N8248" s="15">
        <f t="shared" si="387"/>
        <v>4.6418440755691889E-2</v>
      </c>
      <c r="O8248" s="165">
        <f t="shared" si="388"/>
        <v>4.6418440755691889E-2</v>
      </c>
      <c r="P8248" s="18"/>
      <c r="Q8248" s="18"/>
      <c r="R8248" s="18"/>
      <c r="S8248" s="18"/>
      <c r="T8248" s="18"/>
      <c r="U8248" s="18"/>
      <c r="V8248" s="18"/>
      <c r="W8248" s="18"/>
      <c r="X8248" s="18"/>
    </row>
    <row r="8249" spans="13:24">
      <c r="M8249" s="558">
        <f t="shared" si="389"/>
        <v>8247</v>
      </c>
      <c r="N8249" s="15">
        <f t="shared" si="387"/>
        <v>4.6367052908214954E-2</v>
      </c>
      <c r="O8249" s="165">
        <f t="shared" si="388"/>
        <v>4.6367052908214954E-2</v>
      </c>
      <c r="P8249" s="18"/>
      <c r="Q8249" s="18"/>
      <c r="R8249" s="18"/>
      <c r="S8249" s="18"/>
      <c r="T8249" s="18"/>
      <c r="U8249" s="18"/>
      <c r="V8249" s="18"/>
      <c r="W8249" s="18"/>
      <c r="X8249" s="18"/>
    </row>
    <row r="8250" spans="13:24">
      <c r="M8250" s="558">
        <f t="shared" si="389"/>
        <v>8248</v>
      </c>
      <c r="N8250" s="15">
        <f t="shared" si="387"/>
        <v>4.6315665083307082E-2</v>
      </c>
      <c r="O8250" s="165">
        <f t="shared" si="388"/>
        <v>4.6315665083307082E-2</v>
      </c>
      <c r="P8250" s="18"/>
      <c r="Q8250" s="18"/>
      <c r="R8250" s="18"/>
      <c r="S8250" s="18"/>
      <c r="T8250" s="18"/>
      <c r="U8250" s="18"/>
      <c r="V8250" s="18"/>
      <c r="W8250" s="18"/>
      <c r="X8250" s="18"/>
    </row>
    <row r="8251" spans="13:24">
      <c r="M8251" s="558">
        <f t="shared" si="389"/>
        <v>8249</v>
      </c>
      <c r="N8251" s="15">
        <f t="shared" si="387"/>
        <v>4.6264277280939944E-2</v>
      </c>
      <c r="O8251" s="165">
        <f t="shared" si="388"/>
        <v>4.6264277280939944E-2</v>
      </c>
      <c r="P8251" s="18"/>
      <c r="Q8251" s="18"/>
      <c r="R8251" s="18"/>
      <c r="S8251" s="18"/>
      <c r="T8251" s="18"/>
      <c r="U8251" s="18"/>
      <c r="V8251" s="18"/>
      <c r="W8251" s="18"/>
      <c r="X8251" s="18"/>
    </row>
    <row r="8252" spans="13:24">
      <c r="M8252" s="558">
        <f t="shared" si="389"/>
        <v>8250</v>
      </c>
      <c r="N8252" s="15">
        <f t="shared" si="387"/>
        <v>4.6212889501085257E-2</v>
      </c>
      <c r="O8252" s="165">
        <f t="shared" si="388"/>
        <v>4.6212889501085257E-2</v>
      </c>
      <c r="P8252" s="18"/>
      <c r="Q8252" s="18"/>
      <c r="R8252" s="18"/>
      <c r="S8252" s="18"/>
      <c r="T8252" s="18"/>
      <c r="U8252" s="18"/>
      <c r="V8252" s="18"/>
      <c r="W8252" s="18"/>
      <c r="X8252" s="18"/>
    </row>
    <row r="8253" spans="13:24">
      <c r="M8253" s="558">
        <f t="shared" si="389"/>
        <v>8251</v>
      </c>
      <c r="N8253" s="15">
        <f t="shared" si="387"/>
        <v>4.6161501743714764E-2</v>
      </c>
      <c r="O8253" s="165">
        <f t="shared" si="388"/>
        <v>4.6161501743714764E-2</v>
      </c>
      <c r="P8253" s="18"/>
      <c r="Q8253" s="18"/>
      <c r="R8253" s="18"/>
      <c r="S8253" s="18"/>
      <c r="T8253" s="18"/>
      <c r="U8253" s="18"/>
      <c r="V8253" s="18"/>
      <c r="W8253" s="18"/>
      <c r="X8253" s="18"/>
    </row>
    <row r="8254" spans="13:24">
      <c r="M8254" s="558">
        <f t="shared" si="389"/>
        <v>8252</v>
      </c>
      <c r="N8254" s="15">
        <f t="shared" si="387"/>
        <v>4.6110114008800253E-2</v>
      </c>
      <c r="O8254" s="165">
        <f t="shared" si="388"/>
        <v>4.6110114008800253E-2</v>
      </c>
      <c r="P8254" s="18"/>
      <c r="Q8254" s="18"/>
      <c r="R8254" s="18"/>
      <c r="S8254" s="18"/>
      <c r="T8254" s="18"/>
      <c r="U8254" s="18"/>
      <c r="V8254" s="18"/>
      <c r="W8254" s="18"/>
      <c r="X8254" s="18"/>
    </row>
    <row r="8255" spans="13:24">
      <c r="M8255" s="558">
        <f t="shared" si="389"/>
        <v>8253</v>
      </c>
      <c r="N8255" s="15">
        <f t="shared" si="387"/>
        <v>4.6058726296313537E-2</v>
      </c>
      <c r="O8255" s="165">
        <f t="shared" si="388"/>
        <v>4.6058726296313537E-2</v>
      </c>
      <c r="P8255" s="18"/>
      <c r="Q8255" s="18"/>
      <c r="R8255" s="18"/>
      <c r="S8255" s="18"/>
      <c r="T8255" s="18"/>
      <c r="U8255" s="18"/>
      <c r="V8255" s="18"/>
      <c r="W8255" s="18"/>
      <c r="X8255" s="18"/>
    </row>
    <row r="8256" spans="13:24">
      <c r="M8256" s="558">
        <f t="shared" si="389"/>
        <v>8254</v>
      </c>
      <c r="N8256" s="15">
        <f t="shared" si="387"/>
        <v>4.6007338606226481E-2</v>
      </c>
      <c r="O8256" s="165">
        <f t="shared" si="388"/>
        <v>4.6007338606226481E-2</v>
      </c>
      <c r="P8256" s="18"/>
      <c r="Q8256" s="18"/>
      <c r="R8256" s="18"/>
      <c r="S8256" s="18"/>
      <c r="T8256" s="18"/>
      <c r="U8256" s="18"/>
      <c r="V8256" s="18"/>
      <c r="W8256" s="18"/>
      <c r="X8256" s="18"/>
    </row>
    <row r="8257" spans="13:24">
      <c r="M8257" s="558">
        <f t="shared" si="389"/>
        <v>8255</v>
      </c>
      <c r="N8257" s="15">
        <f t="shared" si="387"/>
        <v>4.5955950938510966E-2</v>
      </c>
      <c r="O8257" s="165">
        <f t="shared" si="388"/>
        <v>4.5955950938510966E-2</v>
      </c>
      <c r="P8257" s="18"/>
      <c r="Q8257" s="18"/>
      <c r="R8257" s="18"/>
      <c r="S8257" s="18"/>
      <c r="T8257" s="18"/>
      <c r="U8257" s="18"/>
      <c r="V8257" s="18"/>
      <c r="W8257" s="18"/>
      <c r="X8257" s="18"/>
    </row>
    <row r="8258" spans="13:24">
      <c r="M8258" s="558">
        <f t="shared" si="389"/>
        <v>8256</v>
      </c>
      <c r="N8258" s="15">
        <f t="shared" si="387"/>
        <v>4.5904563293138925E-2</v>
      </c>
      <c r="O8258" s="165">
        <f t="shared" si="388"/>
        <v>4.5904563293138925E-2</v>
      </c>
      <c r="P8258" s="18"/>
      <c r="Q8258" s="18"/>
      <c r="R8258" s="18"/>
      <c r="S8258" s="18"/>
      <c r="T8258" s="18"/>
      <c r="U8258" s="18"/>
      <c r="V8258" s="18"/>
      <c r="W8258" s="18"/>
      <c r="X8258" s="18"/>
    </row>
    <row r="8259" spans="13:24">
      <c r="M8259" s="558">
        <f t="shared" si="389"/>
        <v>8257</v>
      </c>
      <c r="N8259" s="15">
        <f t="shared" si="387"/>
        <v>4.5853175670082319E-2</v>
      </c>
      <c r="O8259" s="165">
        <f t="shared" si="388"/>
        <v>4.5853175670082319E-2</v>
      </c>
      <c r="P8259" s="18"/>
      <c r="Q8259" s="18"/>
      <c r="R8259" s="18"/>
      <c r="S8259" s="18"/>
      <c r="T8259" s="18"/>
      <c r="U8259" s="18"/>
      <c r="V8259" s="18"/>
      <c r="W8259" s="18"/>
      <c r="X8259" s="18"/>
    </row>
    <row r="8260" spans="13:24">
      <c r="M8260" s="558">
        <f t="shared" si="389"/>
        <v>8258</v>
      </c>
      <c r="N8260" s="15">
        <f t="shared" ref="N8260:N8323" si="390">IF(M8260&lt;$B$31+1,$B$32+$B$33/$B$31*(8760-M8260)+$B$34*IF(M8260&lt;$B$36-$B$31/(2*$B$35),1,IF(M8260&lt;$B$36+$B$31/(2*$B$35),COS(PI()/2*(M8260-($B$36-$B$31/(2*$B$35)))*$B$35/$B$31)^2,0))+$B$37*EXP((8760-M8260)/8760*$B$38)/EXP($B$38)-(8760-$B$31)*$B$33/$B$31,0)</f>
        <v>4.5801788069313128E-2</v>
      </c>
      <c r="O8260" s="165">
        <f t="shared" ref="O8260:O8323" si="391">MIN(N8260,C$24)</f>
        <v>4.5801788069313128E-2</v>
      </c>
      <c r="P8260" s="18"/>
      <c r="Q8260" s="18"/>
      <c r="R8260" s="18"/>
      <c r="S8260" s="18"/>
      <c r="T8260" s="18"/>
      <c r="U8260" s="18"/>
      <c r="V8260" s="18"/>
      <c r="W8260" s="18"/>
      <c r="X8260" s="18"/>
    </row>
    <row r="8261" spans="13:24">
      <c r="M8261" s="558">
        <f t="shared" ref="M8261:M8324" si="392">M8260+1</f>
        <v>8259</v>
      </c>
      <c r="N8261" s="15">
        <f t="shared" si="390"/>
        <v>4.5750400490803408E-2</v>
      </c>
      <c r="O8261" s="165">
        <f t="shared" si="391"/>
        <v>4.5750400490803408E-2</v>
      </c>
      <c r="P8261" s="18"/>
      <c r="Q8261" s="18"/>
      <c r="R8261" s="18"/>
      <c r="S8261" s="18"/>
      <c r="T8261" s="18"/>
      <c r="U8261" s="18"/>
      <c r="V8261" s="18"/>
      <c r="W8261" s="18"/>
      <c r="X8261" s="18"/>
    </row>
    <row r="8262" spans="13:24">
      <c r="M8262" s="558">
        <f t="shared" si="392"/>
        <v>8260</v>
      </c>
      <c r="N8262" s="15">
        <f t="shared" si="390"/>
        <v>4.5699012934525211E-2</v>
      </c>
      <c r="O8262" s="165">
        <f t="shared" si="391"/>
        <v>4.5699012934525211E-2</v>
      </c>
      <c r="P8262" s="18"/>
      <c r="Q8262" s="18"/>
      <c r="R8262" s="18"/>
      <c r="S8262" s="18"/>
      <c r="T8262" s="18"/>
      <c r="U8262" s="18"/>
      <c r="V8262" s="18"/>
      <c r="W8262" s="18"/>
      <c r="X8262" s="18"/>
    </row>
    <row r="8263" spans="13:24">
      <c r="M8263" s="558">
        <f t="shared" si="392"/>
        <v>8261</v>
      </c>
      <c r="N8263" s="15">
        <f t="shared" si="390"/>
        <v>4.5647625400450635E-2</v>
      </c>
      <c r="O8263" s="165">
        <f t="shared" si="391"/>
        <v>4.5647625400450635E-2</v>
      </c>
      <c r="P8263" s="18"/>
      <c r="Q8263" s="18"/>
      <c r="R8263" s="18"/>
      <c r="S8263" s="18"/>
      <c r="T8263" s="18"/>
      <c r="U8263" s="18"/>
      <c r="V8263" s="18"/>
      <c r="W8263" s="18"/>
      <c r="X8263" s="18"/>
    </row>
    <row r="8264" spans="13:24">
      <c r="M8264" s="558">
        <f t="shared" si="392"/>
        <v>8262</v>
      </c>
      <c r="N8264" s="15">
        <f t="shared" si="390"/>
        <v>4.559623788855182E-2</v>
      </c>
      <c r="O8264" s="165">
        <f t="shared" si="391"/>
        <v>4.559623788855182E-2</v>
      </c>
      <c r="P8264" s="18"/>
      <c r="Q8264" s="18"/>
      <c r="R8264" s="18"/>
      <c r="S8264" s="18"/>
      <c r="T8264" s="18"/>
      <c r="U8264" s="18"/>
      <c r="V8264" s="18"/>
      <c r="W8264" s="18"/>
      <c r="X8264" s="18"/>
    </row>
    <row r="8265" spans="13:24">
      <c r="M8265" s="558">
        <f t="shared" si="392"/>
        <v>8263</v>
      </c>
      <c r="N8265" s="15">
        <f t="shared" si="390"/>
        <v>4.5544850398800941E-2</v>
      </c>
      <c r="O8265" s="165">
        <f t="shared" si="391"/>
        <v>4.5544850398800941E-2</v>
      </c>
      <c r="P8265" s="18"/>
      <c r="Q8265" s="18"/>
      <c r="R8265" s="18"/>
      <c r="S8265" s="18"/>
      <c r="T8265" s="18"/>
      <c r="U8265" s="18"/>
      <c r="V8265" s="18"/>
      <c r="W8265" s="18"/>
      <c r="X8265" s="18"/>
    </row>
    <row r="8266" spans="13:24">
      <c r="M8266" s="558">
        <f t="shared" si="392"/>
        <v>8264</v>
      </c>
      <c r="N8266" s="15">
        <f t="shared" si="390"/>
        <v>4.5493462931170209E-2</v>
      </c>
      <c r="O8266" s="165">
        <f t="shared" si="391"/>
        <v>4.5493462931170209E-2</v>
      </c>
      <c r="P8266" s="18"/>
      <c r="Q8266" s="18"/>
      <c r="R8266" s="18"/>
      <c r="S8266" s="18"/>
      <c r="T8266" s="18"/>
      <c r="U8266" s="18"/>
      <c r="V8266" s="18"/>
      <c r="W8266" s="18"/>
      <c r="X8266" s="18"/>
    </row>
    <row r="8267" spans="13:24">
      <c r="M8267" s="558">
        <f t="shared" si="392"/>
        <v>8265</v>
      </c>
      <c r="N8267" s="15">
        <f t="shared" si="390"/>
        <v>4.5442075485631853E-2</v>
      </c>
      <c r="O8267" s="165">
        <f t="shared" si="391"/>
        <v>4.5442075485631853E-2</v>
      </c>
      <c r="P8267" s="18"/>
      <c r="Q8267" s="18"/>
      <c r="R8267" s="18"/>
      <c r="S8267" s="18"/>
      <c r="T8267" s="18"/>
      <c r="U8267" s="18"/>
      <c r="V8267" s="18"/>
      <c r="W8267" s="18"/>
      <c r="X8267" s="18"/>
    </row>
    <row r="8268" spans="13:24">
      <c r="M8268" s="558">
        <f t="shared" si="392"/>
        <v>8266</v>
      </c>
      <c r="N8268" s="15">
        <f t="shared" si="390"/>
        <v>4.5390688062158152E-2</v>
      </c>
      <c r="O8268" s="165">
        <f t="shared" si="391"/>
        <v>4.5390688062158152E-2</v>
      </c>
      <c r="P8268" s="18"/>
      <c r="Q8268" s="18"/>
      <c r="R8268" s="18"/>
      <c r="S8268" s="18"/>
      <c r="T8268" s="18"/>
      <c r="U8268" s="18"/>
      <c r="V8268" s="18"/>
      <c r="W8268" s="18"/>
      <c r="X8268" s="18"/>
    </row>
    <row r="8269" spans="13:24">
      <c r="M8269" s="558">
        <f t="shared" si="392"/>
        <v>8267</v>
      </c>
      <c r="N8269" s="15">
        <f t="shared" si="390"/>
        <v>4.5339300660721421E-2</v>
      </c>
      <c r="O8269" s="165">
        <f t="shared" si="391"/>
        <v>4.5339300660721421E-2</v>
      </c>
      <c r="P8269" s="18"/>
      <c r="Q8269" s="18"/>
      <c r="R8269" s="18"/>
      <c r="S8269" s="18"/>
      <c r="T8269" s="18"/>
      <c r="U8269" s="18"/>
      <c r="V8269" s="18"/>
      <c r="W8269" s="18"/>
      <c r="X8269" s="18"/>
    </row>
    <row r="8270" spans="13:24">
      <c r="M8270" s="558">
        <f t="shared" si="392"/>
        <v>8268</v>
      </c>
      <c r="N8270" s="15">
        <f t="shared" si="390"/>
        <v>4.5287913281294001E-2</v>
      </c>
      <c r="O8270" s="165">
        <f t="shared" si="391"/>
        <v>4.5287913281294001E-2</v>
      </c>
      <c r="P8270" s="18"/>
      <c r="Q8270" s="18"/>
      <c r="R8270" s="18"/>
      <c r="S8270" s="18"/>
      <c r="T8270" s="18"/>
      <c r="U8270" s="18"/>
      <c r="V8270" s="18"/>
      <c r="W8270" s="18"/>
      <c r="X8270" s="18"/>
    </row>
    <row r="8271" spans="13:24">
      <c r="M8271" s="558">
        <f t="shared" si="392"/>
        <v>8269</v>
      </c>
      <c r="N8271" s="15">
        <f t="shared" si="390"/>
        <v>4.5236525923848268E-2</v>
      </c>
      <c r="O8271" s="165">
        <f t="shared" si="391"/>
        <v>4.5236525923848268E-2</v>
      </c>
      <c r="P8271" s="18"/>
      <c r="Q8271" s="18"/>
      <c r="R8271" s="18"/>
      <c r="S8271" s="18"/>
      <c r="T8271" s="18"/>
      <c r="U8271" s="18"/>
      <c r="V8271" s="18"/>
      <c r="W8271" s="18"/>
      <c r="X8271" s="18"/>
    </row>
    <row r="8272" spans="13:24">
      <c r="M8272" s="558">
        <f t="shared" si="392"/>
        <v>8270</v>
      </c>
      <c r="N8272" s="15">
        <f t="shared" si="390"/>
        <v>4.5185138588356648E-2</v>
      </c>
      <c r="O8272" s="165">
        <f t="shared" si="391"/>
        <v>4.5185138588356648E-2</v>
      </c>
      <c r="P8272" s="18"/>
      <c r="Q8272" s="18"/>
      <c r="R8272" s="18"/>
      <c r="S8272" s="18"/>
      <c r="T8272" s="18"/>
      <c r="U8272" s="18"/>
      <c r="V8272" s="18"/>
      <c r="W8272" s="18"/>
      <c r="X8272" s="18"/>
    </row>
    <row r="8273" spans="13:24">
      <c r="M8273" s="558">
        <f t="shared" si="392"/>
        <v>8271</v>
      </c>
      <c r="N8273" s="15">
        <f t="shared" si="390"/>
        <v>4.5133751274791585E-2</v>
      </c>
      <c r="O8273" s="165">
        <f t="shared" si="391"/>
        <v>4.5133751274791585E-2</v>
      </c>
      <c r="P8273" s="18"/>
      <c r="Q8273" s="18"/>
      <c r="R8273" s="18"/>
      <c r="S8273" s="18"/>
      <c r="T8273" s="18"/>
      <c r="U8273" s="18"/>
      <c r="V8273" s="18"/>
      <c r="W8273" s="18"/>
      <c r="X8273" s="18"/>
    </row>
    <row r="8274" spans="13:24">
      <c r="M8274" s="558">
        <f t="shared" si="392"/>
        <v>8272</v>
      </c>
      <c r="N8274" s="15">
        <f t="shared" si="390"/>
        <v>4.508236398312556E-2</v>
      </c>
      <c r="O8274" s="165">
        <f t="shared" si="391"/>
        <v>4.508236398312556E-2</v>
      </c>
      <c r="P8274" s="18"/>
      <c r="Q8274" s="18"/>
      <c r="R8274" s="18"/>
      <c r="S8274" s="18"/>
      <c r="T8274" s="18"/>
      <c r="U8274" s="18"/>
      <c r="V8274" s="18"/>
      <c r="W8274" s="18"/>
      <c r="X8274" s="18"/>
    </row>
    <row r="8275" spans="13:24">
      <c r="M8275" s="558">
        <f t="shared" si="392"/>
        <v>8273</v>
      </c>
      <c r="N8275" s="15">
        <f t="shared" si="390"/>
        <v>4.5030976713331089E-2</v>
      </c>
      <c r="O8275" s="165">
        <f t="shared" si="391"/>
        <v>4.5030976713331089E-2</v>
      </c>
      <c r="P8275" s="18"/>
      <c r="Q8275" s="18"/>
      <c r="R8275" s="18"/>
      <c r="S8275" s="18"/>
      <c r="T8275" s="18"/>
      <c r="U8275" s="18"/>
      <c r="V8275" s="18"/>
      <c r="W8275" s="18"/>
      <c r="X8275" s="18"/>
    </row>
    <row r="8276" spans="13:24">
      <c r="M8276" s="558">
        <f t="shared" si="392"/>
        <v>8274</v>
      </c>
      <c r="N8276" s="15">
        <f t="shared" si="390"/>
        <v>4.4979589465380741E-2</v>
      </c>
      <c r="O8276" s="165">
        <f t="shared" si="391"/>
        <v>4.4979589465380741E-2</v>
      </c>
      <c r="P8276" s="18"/>
      <c r="Q8276" s="18"/>
      <c r="R8276" s="18"/>
      <c r="S8276" s="18"/>
      <c r="T8276" s="18"/>
      <c r="U8276" s="18"/>
      <c r="V8276" s="18"/>
      <c r="W8276" s="18"/>
      <c r="X8276" s="18"/>
    </row>
    <row r="8277" spans="13:24">
      <c r="M8277" s="558">
        <f t="shared" si="392"/>
        <v>8275</v>
      </c>
      <c r="N8277" s="15">
        <f t="shared" si="390"/>
        <v>4.4928202239247088E-2</v>
      </c>
      <c r="O8277" s="165">
        <f t="shared" si="391"/>
        <v>4.4928202239247088E-2</v>
      </c>
      <c r="P8277" s="18"/>
      <c r="Q8277" s="18"/>
      <c r="R8277" s="18"/>
      <c r="S8277" s="18"/>
      <c r="T8277" s="18"/>
      <c r="U8277" s="18"/>
      <c r="V8277" s="18"/>
      <c r="W8277" s="18"/>
      <c r="X8277" s="18"/>
    </row>
    <row r="8278" spans="13:24">
      <c r="M8278" s="558">
        <f t="shared" si="392"/>
        <v>8276</v>
      </c>
      <c r="N8278" s="15">
        <f t="shared" si="390"/>
        <v>4.4876815034902755E-2</v>
      </c>
      <c r="O8278" s="165">
        <f t="shared" si="391"/>
        <v>4.4876815034902755E-2</v>
      </c>
      <c r="P8278" s="18"/>
      <c r="Q8278" s="18"/>
      <c r="R8278" s="18"/>
      <c r="S8278" s="18"/>
      <c r="T8278" s="18"/>
      <c r="U8278" s="18"/>
      <c r="V8278" s="18"/>
      <c r="W8278" s="18"/>
      <c r="X8278" s="18"/>
    </row>
    <row r="8279" spans="13:24">
      <c r="M8279" s="558">
        <f t="shared" si="392"/>
        <v>8277</v>
      </c>
      <c r="N8279" s="15">
        <f t="shared" si="390"/>
        <v>4.4825427852320389E-2</v>
      </c>
      <c r="O8279" s="165">
        <f t="shared" si="391"/>
        <v>4.4825427852320389E-2</v>
      </c>
      <c r="P8279" s="18"/>
      <c r="Q8279" s="18"/>
      <c r="R8279" s="18"/>
      <c r="S8279" s="18"/>
      <c r="T8279" s="18"/>
      <c r="U8279" s="18"/>
      <c r="V8279" s="18"/>
      <c r="W8279" s="18"/>
      <c r="X8279" s="18"/>
    </row>
    <row r="8280" spans="13:24">
      <c r="M8280" s="558">
        <f t="shared" si="392"/>
        <v>8278</v>
      </c>
      <c r="N8280" s="15">
        <f t="shared" si="390"/>
        <v>4.4774040691472707E-2</v>
      </c>
      <c r="O8280" s="165">
        <f t="shared" si="391"/>
        <v>4.4774040691472707E-2</v>
      </c>
      <c r="P8280" s="18"/>
      <c r="Q8280" s="18"/>
      <c r="R8280" s="18"/>
      <c r="S8280" s="18"/>
      <c r="T8280" s="18"/>
      <c r="U8280" s="18"/>
      <c r="V8280" s="18"/>
      <c r="W8280" s="18"/>
      <c r="X8280" s="18"/>
    </row>
    <row r="8281" spans="13:24">
      <c r="M8281" s="558">
        <f t="shared" si="392"/>
        <v>8279</v>
      </c>
      <c r="N8281" s="15">
        <f t="shared" si="390"/>
        <v>4.472265355233241E-2</v>
      </c>
      <c r="O8281" s="165">
        <f t="shared" si="391"/>
        <v>4.472265355233241E-2</v>
      </c>
      <c r="P8281" s="18"/>
      <c r="Q8281" s="18"/>
      <c r="R8281" s="18"/>
      <c r="S8281" s="18"/>
      <c r="T8281" s="18"/>
      <c r="U8281" s="18"/>
      <c r="V8281" s="18"/>
      <c r="W8281" s="18"/>
      <c r="X8281" s="18"/>
    </row>
    <row r="8282" spans="13:24">
      <c r="M8282" s="558">
        <f t="shared" si="392"/>
        <v>8280</v>
      </c>
      <c r="N8282" s="15">
        <f t="shared" si="390"/>
        <v>4.4671266434872264E-2</v>
      </c>
      <c r="O8282" s="165">
        <f t="shared" si="391"/>
        <v>4.4671266434872264E-2</v>
      </c>
      <c r="P8282" s="18"/>
      <c r="Q8282" s="18"/>
      <c r="R8282" s="18"/>
      <c r="S8282" s="18"/>
      <c r="T8282" s="18"/>
      <c r="U8282" s="18"/>
      <c r="V8282" s="18"/>
      <c r="W8282" s="18"/>
      <c r="X8282" s="18"/>
    </row>
    <row r="8283" spans="13:24">
      <c r="M8283" s="558">
        <f t="shared" si="392"/>
        <v>8281</v>
      </c>
      <c r="N8283" s="15">
        <f t="shared" si="390"/>
        <v>4.4619879339065069E-2</v>
      </c>
      <c r="O8283" s="165">
        <f t="shared" si="391"/>
        <v>4.4619879339065069E-2</v>
      </c>
      <c r="P8283" s="18"/>
      <c r="Q8283" s="18"/>
      <c r="R8283" s="18"/>
      <c r="S8283" s="18"/>
      <c r="T8283" s="18"/>
      <c r="U8283" s="18"/>
      <c r="V8283" s="18"/>
      <c r="W8283" s="18"/>
      <c r="X8283" s="18"/>
    </row>
    <row r="8284" spans="13:24">
      <c r="M8284" s="558">
        <f t="shared" si="392"/>
        <v>8282</v>
      </c>
      <c r="N8284" s="15">
        <f t="shared" si="390"/>
        <v>4.4568492264883644E-2</v>
      </c>
      <c r="O8284" s="165">
        <f t="shared" si="391"/>
        <v>4.4568492264883644E-2</v>
      </c>
      <c r="P8284" s="18"/>
      <c r="Q8284" s="18"/>
      <c r="R8284" s="18"/>
      <c r="S8284" s="18"/>
      <c r="T8284" s="18"/>
      <c r="U8284" s="18"/>
      <c r="V8284" s="18"/>
      <c r="W8284" s="18"/>
      <c r="X8284" s="18"/>
    </row>
    <row r="8285" spans="13:24">
      <c r="M8285" s="558">
        <f t="shared" si="392"/>
        <v>8283</v>
      </c>
      <c r="N8285" s="15">
        <f t="shared" si="390"/>
        <v>4.4517105212300852E-2</v>
      </c>
      <c r="O8285" s="165">
        <f t="shared" si="391"/>
        <v>4.4517105212300852E-2</v>
      </c>
      <c r="P8285" s="18"/>
      <c r="Q8285" s="18"/>
      <c r="R8285" s="18"/>
      <c r="S8285" s="18"/>
      <c r="T8285" s="18"/>
      <c r="U8285" s="18"/>
      <c r="V8285" s="18"/>
      <c r="W8285" s="18"/>
      <c r="X8285" s="18"/>
    </row>
    <row r="8286" spans="13:24">
      <c r="M8286" s="558">
        <f t="shared" si="392"/>
        <v>8284</v>
      </c>
      <c r="N8286" s="15">
        <f t="shared" si="390"/>
        <v>4.4465718181289582E-2</v>
      </c>
      <c r="O8286" s="165">
        <f t="shared" si="391"/>
        <v>4.4465718181289582E-2</v>
      </c>
      <c r="P8286" s="18"/>
      <c r="Q8286" s="18"/>
      <c r="R8286" s="18"/>
      <c r="S8286" s="18"/>
      <c r="T8286" s="18"/>
      <c r="U8286" s="18"/>
      <c r="V8286" s="18"/>
      <c r="W8286" s="18"/>
      <c r="X8286" s="18"/>
    </row>
    <row r="8287" spans="13:24">
      <c r="M8287" s="558">
        <f t="shared" si="392"/>
        <v>8285</v>
      </c>
      <c r="N8287" s="15">
        <f t="shared" si="390"/>
        <v>4.441433117182278E-2</v>
      </c>
      <c r="O8287" s="165">
        <f t="shared" si="391"/>
        <v>4.441433117182278E-2</v>
      </c>
      <c r="P8287" s="18"/>
      <c r="Q8287" s="18"/>
      <c r="R8287" s="18"/>
      <c r="S8287" s="18"/>
      <c r="T8287" s="18"/>
      <c r="U8287" s="18"/>
      <c r="V8287" s="18"/>
      <c r="W8287" s="18"/>
      <c r="X8287" s="18"/>
    </row>
    <row r="8288" spans="13:24">
      <c r="M8288" s="558">
        <f t="shared" si="392"/>
        <v>8286</v>
      </c>
      <c r="N8288" s="15">
        <f t="shared" si="390"/>
        <v>4.4362944183873397E-2</v>
      </c>
      <c r="O8288" s="165">
        <f t="shared" si="391"/>
        <v>4.4362944183873397E-2</v>
      </c>
      <c r="P8288" s="18"/>
      <c r="Q8288" s="18"/>
      <c r="R8288" s="18"/>
      <c r="S8288" s="18"/>
      <c r="T8288" s="18"/>
      <c r="U8288" s="18"/>
      <c r="V8288" s="18"/>
      <c r="W8288" s="18"/>
      <c r="X8288" s="18"/>
    </row>
    <row r="8289" spans="13:24">
      <c r="M8289" s="558">
        <f t="shared" si="392"/>
        <v>8287</v>
      </c>
      <c r="N8289" s="15">
        <f t="shared" si="390"/>
        <v>4.4311557217414428E-2</v>
      </c>
      <c r="O8289" s="165">
        <f t="shared" si="391"/>
        <v>4.4311557217414428E-2</v>
      </c>
      <c r="P8289" s="18"/>
      <c r="Q8289" s="18"/>
      <c r="R8289" s="18"/>
      <c r="S8289" s="18"/>
      <c r="T8289" s="18"/>
      <c r="U8289" s="18"/>
      <c r="V8289" s="18"/>
      <c r="W8289" s="18"/>
      <c r="X8289" s="18"/>
    </row>
    <row r="8290" spans="13:24">
      <c r="M8290" s="558">
        <f t="shared" si="392"/>
        <v>8288</v>
      </c>
      <c r="N8290" s="15">
        <f t="shared" si="390"/>
        <v>4.4260170272418915E-2</v>
      </c>
      <c r="O8290" s="165">
        <f t="shared" si="391"/>
        <v>4.4260170272418915E-2</v>
      </c>
      <c r="P8290" s="18"/>
      <c r="Q8290" s="18"/>
      <c r="R8290" s="18"/>
      <c r="S8290" s="18"/>
      <c r="T8290" s="18"/>
      <c r="U8290" s="18"/>
      <c r="V8290" s="18"/>
      <c r="W8290" s="18"/>
      <c r="X8290" s="18"/>
    </row>
    <row r="8291" spans="13:24">
      <c r="M8291" s="558">
        <f t="shared" si="392"/>
        <v>8289</v>
      </c>
      <c r="N8291" s="15">
        <f t="shared" si="390"/>
        <v>4.4208783348859908E-2</v>
      </c>
      <c r="O8291" s="165">
        <f t="shared" si="391"/>
        <v>4.4208783348859908E-2</v>
      </c>
      <c r="P8291" s="18"/>
      <c r="Q8291" s="18"/>
      <c r="R8291" s="18"/>
      <c r="S8291" s="18"/>
      <c r="T8291" s="18"/>
      <c r="U8291" s="18"/>
      <c r="V8291" s="18"/>
      <c r="W8291" s="18"/>
      <c r="X8291" s="18"/>
    </row>
    <row r="8292" spans="13:24">
      <c r="M8292" s="558">
        <f t="shared" si="392"/>
        <v>8290</v>
      </c>
      <c r="N8292" s="15">
        <f t="shared" si="390"/>
        <v>4.4157396446710517E-2</v>
      </c>
      <c r="O8292" s="165">
        <f t="shared" si="391"/>
        <v>4.4157396446710517E-2</v>
      </c>
      <c r="P8292" s="18"/>
      <c r="Q8292" s="18"/>
      <c r="R8292" s="18"/>
      <c r="S8292" s="18"/>
      <c r="T8292" s="18"/>
      <c r="U8292" s="18"/>
      <c r="V8292" s="18"/>
      <c r="W8292" s="18"/>
      <c r="X8292" s="18"/>
    </row>
    <row r="8293" spans="13:24">
      <c r="M8293" s="558">
        <f t="shared" si="392"/>
        <v>8291</v>
      </c>
      <c r="N8293" s="15">
        <f t="shared" si="390"/>
        <v>4.4106009565943884E-2</v>
      </c>
      <c r="O8293" s="165">
        <f t="shared" si="391"/>
        <v>4.4106009565943884E-2</v>
      </c>
      <c r="P8293" s="18"/>
      <c r="Q8293" s="18"/>
      <c r="R8293" s="18"/>
      <c r="S8293" s="18"/>
      <c r="T8293" s="18"/>
      <c r="U8293" s="18"/>
      <c r="V8293" s="18"/>
      <c r="W8293" s="18"/>
      <c r="X8293" s="18"/>
    </row>
    <row r="8294" spans="13:24">
      <c r="M8294" s="558">
        <f t="shared" si="392"/>
        <v>8292</v>
      </c>
      <c r="N8294" s="15">
        <f t="shared" si="390"/>
        <v>4.4054622706533146E-2</v>
      </c>
      <c r="O8294" s="165">
        <f t="shared" si="391"/>
        <v>4.4054622706533146E-2</v>
      </c>
      <c r="P8294" s="18"/>
      <c r="Q8294" s="18"/>
      <c r="R8294" s="18"/>
      <c r="S8294" s="18"/>
      <c r="T8294" s="18"/>
      <c r="U8294" s="18"/>
      <c r="V8294" s="18"/>
      <c r="W8294" s="18"/>
      <c r="X8294" s="18"/>
    </row>
    <row r="8295" spans="13:24">
      <c r="M8295" s="558">
        <f t="shared" si="392"/>
        <v>8293</v>
      </c>
      <c r="N8295" s="15">
        <f t="shared" si="390"/>
        <v>4.4003235868451535E-2</v>
      </c>
      <c r="O8295" s="165">
        <f t="shared" si="391"/>
        <v>4.4003235868451535E-2</v>
      </c>
      <c r="P8295" s="18"/>
      <c r="Q8295" s="18"/>
      <c r="R8295" s="18"/>
      <c r="S8295" s="18"/>
      <c r="T8295" s="18"/>
      <c r="U8295" s="18"/>
      <c r="V8295" s="18"/>
      <c r="W8295" s="18"/>
      <c r="X8295" s="18"/>
    </row>
    <row r="8296" spans="13:24">
      <c r="M8296" s="558">
        <f t="shared" si="392"/>
        <v>8294</v>
      </c>
      <c r="N8296" s="15">
        <f t="shared" si="390"/>
        <v>4.3951849051672272E-2</v>
      </c>
      <c r="O8296" s="165">
        <f t="shared" si="391"/>
        <v>4.3951849051672272E-2</v>
      </c>
      <c r="P8296" s="18"/>
      <c r="Q8296" s="18"/>
      <c r="R8296" s="18"/>
      <c r="S8296" s="18"/>
      <c r="T8296" s="18"/>
      <c r="U8296" s="18"/>
      <c r="V8296" s="18"/>
      <c r="W8296" s="18"/>
      <c r="X8296" s="18"/>
    </row>
    <row r="8297" spans="13:24">
      <c r="M8297" s="558">
        <f t="shared" si="392"/>
        <v>8295</v>
      </c>
      <c r="N8297" s="15">
        <f t="shared" si="390"/>
        <v>4.3900462256168622E-2</v>
      </c>
      <c r="O8297" s="165">
        <f t="shared" si="391"/>
        <v>4.3900462256168622E-2</v>
      </c>
      <c r="P8297" s="18"/>
      <c r="Q8297" s="18"/>
      <c r="R8297" s="18"/>
      <c r="S8297" s="18"/>
      <c r="T8297" s="18"/>
      <c r="U8297" s="18"/>
      <c r="V8297" s="18"/>
      <c r="W8297" s="18"/>
      <c r="X8297" s="18"/>
    </row>
    <row r="8298" spans="13:24">
      <c r="M8298" s="558">
        <f t="shared" si="392"/>
        <v>8296</v>
      </c>
      <c r="N8298" s="15">
        <f t="shared" si="390"/>
        <v>4.3849075481913885E-2</v>
      </c>
      <c r="O8298" s="165">
        <f t="shared" si="391"/>
        <v>4.3849075481913885E-2</v>
      </c>
      <c r="P8298" s="18"/>
      <c r="Q8298" s="18"/>
      <c r="R8298" s="18"/>
      <c r="S8298" s="18"/>
      <c r="T8298" s="18"/>
      <c r="U8298" s="18"/>
      <c r="V8298" s="18"/>
      <c r="W8298" s="18"/>
      <c r="X8298" s="18"/>
    </row>
    <row r="8299" spans="13:24">
      <c r="M8299" s="558">
        <f t="shared" si="392"/>
        <v>8297</v>
      </c>
      <c r="N8299" s="15">
        <f t="shared" si="390"/>
        <v>4.3797688728881401E-2</v>
      </c>
      <c r="O8299" s="165">
        <f t="shared" si="391"/>
        <v>4.3797688728881401E-2</v>
      </c>
      <c r="P8299" s="18"/>
      <c r="Q8299" s="18"/>
      <c r="R8299" s="18"/>
      <c r="S8299" s="18"/>
      <c r="T8299" s="18"/>
      <c r="U8299" s="18"/>
      <c r="V8299" s="18"/>
      <c r="W8299" s="18"/>
      <c r="X8299" s="18"/>
    </row>
    <row r="8300" spans="13:24">
      <c r="M8300" s="558">
        <f t="shared" si="392"/>
        <v>8298</v>
      </c>
      <c r="N8300" s="15">
        <f t="shared" si="390"/>
        <v>4.3746301997044532E-2</v>
      </c>
      <c r="O8300" s="165">
        <f t="shared" si="391"/>
        <v>4.3746301997044532E-2</v>
      </c>
      <c r="P8300" s="18"/>
      <c r="Q8300" s="18"/>
      <c r="R8300" s="18"/>
      <c r="S8300" s="18"/>
      <c r="T8300" s="18"/>
      <c r="U8300" s="18"/>
      <c r="V8300" s="18"/>
      <c r="W8300" s="18"/>
      <c r="X8300" s="18"/>
    </row>
    <row r="8301" spans="13:24">
      <c r="M8301" s="558">
        <f t="shared" si="392"/>
        <v>8299</v>
      </c>
      <c r="N8301" s="15">
        <f t="shared" si="390"/>
        <v>4.369491528637668E-2</v>
      </c>
      <c r="O8301" s="165">
        <f t="shared" si="391"/>
        <v>4.369491528637668E-2</v>
      </c>
      <c r="P8301" s="18"/>
      <c r="Q8301" s="18"/>
      <c r="R8301" s="18"/>
      <c r="S8301" s="18"/>
      <c r="T8301" s="18"/>
      <c r="U8301" s="18"/>
      <c r="V8301" s="18"/>
      <c r="W8301" s="18"/>
      <c r="X8301" s="18"/>
    </row>
    <row r="8302" spans="13:24">
      <c r="M8302" s="558">
        <f t="shared" si="392"/>
        <v>8300</v>
      </c>
      <c r="N8302" s="15">
        <f t="shared" si="390"/>
        <v>4.3643528596851278E-2</v>
      </c>
      <c r="O8302" s="165">
        <f t="shared" si="391"/>
        <v>4.3643528596851278E-2</v>
      </c>
      <c r="P8302" s="18"/>
      <c r="Q8302" s="18"/>
      <c r="R8302" s="18"/>
      <c r="S8302" s="18"/>
      <c r="T8302" s="18"/>
      <c r="U8302" s="18"/>
      <c r="V8302" s="18"/>
      <c r="W8302" s="18"/>
      <c r="X8302" s="18"/>
    </row>
    <row r="8303" spans="13:24">
      <c r="M8303" s="558">
        <f t="shared" si="392"/>
        <v>8301</v>
      </c>
      <c r="N8303" s="15">
        <f t="shared" si="390"/>
        <v>4.3592141928441804E-2</v>
      </c>
      <c r="O8303" s="165">
        <f t="shared" si="391"/>
        <v>4.3592141928441804E-2</v>
      </c>
      <c r="P8303" s="18"/>
      <c r="Q8303" s="18"/>
      <c r="R8303" s="18"/>
      <c r="S8303" s="18"/>
      <c r="T8303" s="18"/>
      <c r="U8303" s="18"/>
      <c r="V8303" s="18"/>
      <c r="W8303" s="18"/>
      <c r="X8303" s="18"/>
    </row>
    <row r="8304" spans="13:24">
      <c r="M8304" s="558">
        <f t="shared" si="392"/>
        <v>8302</v>
      </c>
      <c r="N8304" s="15">
        <f t="shared" si="390"/>
        <v>4.3540755281121744E-2</v>
      </c>
      <c r="O8304" s="165">
        <f t="shared" si="391"/>
        <v>4.3540755281121744E-2</v>
      </c>
      <c r="P8304" s="18"/>
      <c r="Q8304" s="18"/>
      <c r="R8304" s="18"/>
      <c r="S8304" s="18"/>
      <c r="T8304" s="18"/>
      <c r="U8304" s="18"/>
      <c r="V8304" s="18"/>
      <c r="W8304" s="18"/>
      <c r="X8304" s="18"/>
    </row>
    <row r="8305" spans="13:24">
      <c r="M8305" s="558">
        <f t="shared" si="392"/>
        <v>8303</v>
      </c>
      <c r="N8305" s="15">
        <f t="shared" si="390"/>
        <v>4.3489368654864649E-2</v>
      </c>
      <c r="O8305" s="165">
        <f t="shared" si="391"/>
        <v>4.3489368654864649E-2</v>
      </c>
      <c r="P8305" s="18"/>
      <c r="Q8305" s="18"/>
      <c r="R8305" s="18"/>
      <c r="S8305" s="18"/>
      <c r="T8305" s="18"/>
      <c r="U8305" s="18"/>
      <c r="V8305" s="18"/>
      <c r="W8305" s="18"/>
      <c r="X8305" s="18"/>
    </row>
    <row r="8306" spans="13:24">
      <c r="M8306" s="558">
        <f t="shared" si="392"/>
        <v>8304</v>
      </c>
      <c r="N8306" s="15">
        <f t="shared" si="390"/>
        <v>4.3437982049644067E-2</v>
      </c>
      <c r="O8306" s="165">
        <f t="shared" si="391"/>
        <v>4.3437982049644067E-2</v>
      </c>
      <c r="P8306" s="18"/>
      <c r="Q8306" s="18"/>
      <c r="R8306" s="18"/>
      <c r="S8306" s="18"/>
      <c r="T8306" s="18"/>
      <c r="U8306" s="18"/>
      <c r="V8306" s="18"/>
      <c r="W8306" s="18"/>
      <c r="X8306" s="18"/>
    </row>
    <row r="8307" spans="13:24">
      <c r="M8307" s="558">
        <f t="shared" si="392"/>
        <v>8305</v>
      </c>
      <c r="N8307" s="15">
        <f t="shared" si="390"/>
        <v>4.3386595465433622E-2</v>
      </c>
      <c r="O8307" s="165">
        <f t="shared" si="391"/>
        <v>4.3386595465433622E-2</v>
      </c>
      <c r="P8307" s="18"/>
      <c r="Q8307" s="18"/>
      <c r="R8307" s="18"/>
      <c r="S8307" s="18"/>
      <c r="T8307" s="18"/>
      <c r="U8307" s="18"/>
      <c r="V8307" s="18"/>
      <c r="W8307" s="18"/>
      <c r="X8307" s="18"/>
    </row>
    <row r="8308" spans="13:24">
      <c r="M8308" s="558">
        <f t="shared" si="392"/>
        <v>8306</v>
      </c>
      <c r="N8308" s="15">
        <f t="shared" si="390"/>
        <v>4.3335208902206927E-2</v>
      </c>
      <c r="O8308" s="165">
        <f t="shared" si="391"/>
        <v>4.3335208902206927E-2</v>
      </c>
      <c r="P8308" s="18"/>
      <c r="Q8308" s="18"/>
      <c r="R8308" s="18"/>
      <c r="S8308" s="18"/>
      <c r="T8308" s="18"/>
      <c r="U8308" s="18"/>
      <c r="V8308" s="18"/>
      <c r="W8308" s="18"/>
      <c r="X8308" s="18"/>
    </row>
    <row r="8309" spans="13:24">
      <c r="M8309" s="558">
        <f t="shared" si="392"/>
        <v>8307</v>
      </c>
      <c r="N8309" s="15">
        <f t="shared" si="390"/>
        <v>4.3283822359937663E-2</v>
      </c>
      <c r="O8309" s="165">
        <f t="shared" si="391"/>
        <v>4.3283822359937663E-2</v>
      </c>
      <c r="P8309" s="18"/>
      <c r="Q8309" s="18"/>
      <c r="R8309" s="18"/>
      <c r="S8309" s="18"/>
      <c r="T8309" s="18"/>
      <c r="U8309" s="18"/>
      <c r="V8309" s="18"/>
      <c r="W8309" s="18"/>
      <c r="X8309" s="18"/>
    </row>
    <row r="8310" spans="13:24">
      <c r="M8310" s="558">
        <f t="shared" si="392"/>
        <v>8308</v>
      </c>
      <c r="N8310" s="15">
        <f t="shared" si="390"/>
        <v>4.3232435838599523E-2</v>
      </c>
      <c r="O8310" s="165">
        <f t="shared" si="391"/>
        <v>4.3232435838599523E-2</v>
      </c>
      <c r="P8310" s="18"/>
      <c r="Q8310" s="18"/>
      <c r="R8310" s="18"/>
      <c r="S8310" s="18"/>
      <c r="T8310" s="18"/>
      <c r="U8310" s="18"/>
      <c r="V8310" s="18"/>
      <c r="W8310" s="18"/>
      <c r="X8310" s="18"/>
    </row>
    <row r="8311" spans="13:24">
      <c r="M8311" s="558">
        <f t="shared" si="392"/>
        <v>8309</v>
      </c>
      <c r="N8311" s="15">
        <f t="shared" si="390"/>
        <v>4.3181049338166244E-2</v>
      </c>
      <c r="O8311" s="165">
        <f t="shared" si="391"/>
        <v>4.3181049338166244E-2</v>
      </c>
      <c r="P8311" s="18"/>
      <c r="Q8311" s="18"/>
      <c r="R8311" s="18"/>
      <c r="S8311" s="18"/>
      <c r="T8311" s="18"/>
      <c r="U8311" s="18"/>
      <c r="V8311" s="18"/>
      <c r="W8311" s="18"/>
      <c r="X8311" s="18"/>
    </row>
    <row r="8312" spans="13:24">
      <c r="M8312" s="558">
        <f t="shared" si="392"/>
        <v>8310</v>
      </c>
      <c r="N8312" s="15">
        <f t="shared" si="390"/>
        <v>4.3129662858611591E-2</v>
      </c>
      <c r="O8312" s="165">
        <f t="shared" si="391"/>
        <v>4.3129662858611591E-2</v>
      </c>
      <c r="P8312" s="18"/>
      <c r="Q8312" s="18"/>
      <c r="R8312" s="18"/>
      <c r="S8312" s="18"/>
      <c r="T8312" s="18"/>
      <c r="U8312" s="18"/>
      <c r="V8312" s="18"/>
      <c r="W8312" s="18"/>
      <c r="X8312" s="18"/>
    </row>
    <row r="8313" spans="13:24">
      <c r="M8313" s="558">
        <f t="shared" si="392"/>
        <v>8311</v>
      </c>
      <c r="N8313" s="15">
        <f t="shared" si="390"/>
        <v>4.3078276399909361E-2</v>
      </c>
      <c r="O8313" s="165">
        <f t="shared" si="391"/>
        <v>4.3078276399909361E-2</v>
      </c>
      <c r="P8313" s="18"/>
      <c r="Q8313" s="18"/>
      <c r="R8313" s="18"/>
      <c r="S8313" s="18"/>
      <c r="T8313" s="18"/>
      <c r="U8313" s="18"/>
      <c r="V8313" s="18"/>
      <c r="W8313" s="18"/>
      <c r="X8313" s="18"/>
    </row>
    <row r="8314" spans="13:24">
      <c r="M8314" s="558">
        <f t="shared" si="392"/>
        <v>8312</v>
      </c>
      <c r="N8314" s="15">
        <f t="shared" si="390"/>
        <v>4.3026889962033389E-2</v>
      </c>
      <c r="O8314" s="165">
        <f t="shared" si="391"/>
        <v>4.3026889962033389E-2</v>
      </c>
      <c r="P8314" s="18"/>
      <c r="Q8314" s="18"/>
      <c r="R8314" s="18"/>
      <c r="S8314" s="18"/>
      <c r="T8314" s="18"/>
      <c r="U8314" s="18"/>
      <c r="V8314" s="18"/>
      <c r="W8314" s="18"/>
      <c r="X8314" s="18"/>
    </row>
    <row r="8315" spans="13:24">
      <c r="M8315" s="558">
        <f t="shared" si="392"/>
        <v>8313</v>
      </c>
      <c r="N8315" s="15">
        <f t="shared" si="390"/>
        <v>4.2975503544957536E-2</v>
      </c>
      <c r="O8315" s="165">
        <f t="shared" si="391"/>
        <v>4.2975503544957536E-2</v>
      </c>
      <c r="P8315" s="18"/>
      <c r="Q8315" s="18"/>
      <c r="R8315" s="18"/>
      <c r="S8315" s="18"/>
      <c r="T8315" s="18"/>
      <c r="U8315" s="18"/>
      <c r="V8315" s="18"/>
      <c r="W8315" s="18"/>
      <c r="X8315" s="18"/>
    </row>
    <row r="8316" spans="13:24">
      <c r="M8316" s="558">
        <f t="shared" si="392"/>
        <v>8314</v>
      </c>
      <c r="N8316" s="15">
        <f t="shared" si="390"/>
        <v>4.2924117148655704E-2</v>
      </c>
      <c r="O8316" s="165">
        <f t="shared" si="391"/>
        <v>4.2924117148655704E-2</v>
      </c>
      <c r="P8316" s="18"/>
      <c r="Q8316" s="18"/>
      <c r="R8316" s="18"/>
      <c r="S8316" s="18"/>
      <c r="T8316" s="18"/>
      <c r="U8316" s="18"/>
      <c r="V8316" s="18"/>
      <c r="W8316" s="18"/>
      <c r="X8316" s="18"/>
    </row>
    <row r="8317" spans="13:24">
      <c r="M8317" s="558">
        <f t="shared" si="392"/>
        <v>8315</v>
      </c>
      <c r="N8317" s="15">
        <f t="shared" si="390"/>
        <v>4.2872730773101823E-2</v>
      </c>
      <c r="O8317" s="165">
        <f t="shared" si="391"/>
        <v>4.2872730773101823E-2</v>
      </c>
      <c r="P8317" s="18"/>
      <c r="Q8317" s="18"/>
      <c r="R8317" s="18"/>
      <c r="S8317" s="18"/>
      <c r="T8317" s="18"/>
      <c r="U8317" s="18"/>
      <c r="V8317" s="18"/>
      <c r="W8317" s="18"/>
      <c r="X8317" s="18"/>
    </row>
    <row r="8318" spans="13:24">
      <c r="M8318" s="558">
        <f t="shared" si="392"/>
        <v>8316</v>
      </c>
      <c r="N8318" s="15">
        <f t="shared" si="390"/>
        <v>4.2821344418269847E-2</v>
      </c>
      <c r="O8318" s="165">
        <f t="shared" si="391"/>
        <v>4.2821344418269847E-2</v>
      </c>
      <c r="P8318" s="18"/>
      <c r="Q8318" s="18"/>
      <c r="R8318" s="18"/>
      <c r="S8318" s="18"/>
      <c r="T8318" s="18"/>
      <c r="U8318" s="18"/>
      <c r="V8318" s="18"/>
      <c r="W8318" s="18"/>
      <c r="X8318" s="18"/>
    </row>
    <row r="8319" spans="13:24">
      <c r="M8319" s="558">
        <f t="shared" si="392"/>
        <v>8317</v>
      </c>
      <c r="N8319" s="15">
        <f t="shared" si="390"/>
        <v>4.2769958084133787E-2</v>
      </c>
      <c r="O8319" s="165">
        <f t="shared" si="391"/>
        <v>4.2769958084133787E-2</v>
      </c>
      <c r="P8319" s="18"/>
      <c r="Q8319" s="18"/>
      <c r="R8319" s="18"/>
      <c r="S8319" s="18"/>
      <c r="T8319" s="18"/>
      <c r="U8319" s="18"/>
      <c r="V8319" s="18"/>
      <c r="W8319" s="18"/>
      <c r="X8319" s="18"/>
    </row>
    <row r="8320" spans="13:24">
      <c r="M8320" s="558">
        <f t="shared" si="392"/>
        <v>8318</v>
      </c>
      <c r="N8320" s="15">
        <f t="shared" si="390"/>
        <v>4.2718571770667658E-2</v>
      </c>
      <c r="O8320" s="165">
        <f t="shared" si="391"/>
        <v>4.2718571770667658E-2</v>
      </c>
      <c r="P8320" s="18"/>
      <c r="Q8320" s="18"/>
      <c r="R8320" s="18"/>
      <c r="S8320" s="18"/>
      <c r="T8320" s="18"/>
      <c r="U8320" s="18"/>
      <c r="V8320" s="18"/>
      <c r="W8320" s="18"/>
      <c r="X8320" s="18"/>
    </row>
    <row r="8321" spans="13:24">
      <c r="M8321" s="558">
        <f t="shared" si="392"/>
        <v>8319</v>
      </c>
      <c r="N8321" s="15">
        <f t="shared" si="390"/>
        <v>4.2667185477845516E-2</v>
      </c>
      <c r="O8321" s="165">
        <f t="shared" si="391"/>
        <v>4.2667185477845516E-2</v>
      </c>
      <c r="P8321" s="18"/>
      <c r="Q8321" s="18"/>
      <c r="R8321" s="18"/>
      <c r="S8321" s="18"/>
      <c r="T8321" s="18"/>
      <c r="U8321" s="18"/>
      <c r="V8321" s="18"/>
      <c r="W8321" s="18"/>
      <c r="X8321" s="18"/>
    </row>
    <row r="8322" spans="13:24">
      <c r="M8322" s="558">
        <f t="shared" si="392"/>
        <v>8320</v>
      </c>
      <c r="N8322" s="15">
        <f t="shared" si="390"/>
        <v>4.2615799205641472E-2</v>
      </c>
      <c r="O8322" s="165">
        <f t="shared" si="391"/>
        <v>4.2615799205641472E-2</v>
      </c>
      <c r="P8322" s="18"/>
      <c r="Q8322" s="18"/>
      <c r="R8322" s="18"/>
      <c r="S8322" s="18"/>
      <c r="T8322" s="18"/>
      <c r="U8322" s="18"/>
      <c r="V8322" s="18"/>
      <c r="W8322" s="18"/>
      <c r="X8322" s="18"/>
    </row>
    <row r="8323" spans="13:24">
      <c r="M8323" s="558">
        <f t="shared" si="392"/>
        <v>8321</v>
      </c>
      <c r="N8323" s="15">
        <f t="shared" si="390"/>
        <v>4.256441295402965E-2</v>
      </c>
      <c r="O8323" s="165">
        <f t="shared" si="391"/>
        <v>4.256441295402965E-2</v>
      </c>
      <c r="P8323" s="18"/>
      <c r="Q8323" s="18"/>
      <c r="R8323" s="18"/>
      <c r="S8323" s="18"/>
      <c r="T8323" s="18"/>
      <c r="U8323" s="18"/>
      <c r="V8323" s="18"/>
      <c r="W8323" s="18"/>
      <c r="X8323" s="18"/>
    </row>
    <row r="8324" spans="13:24">
      <c r="M8324" s="558">
        <f t="shared" si="392"/>
        <v>8322</v>
      </c>
      <c r="N8324" s="15">
        <f t="shared" ref="N8324:N8387" si="393">IF(M8324&lt;$B$31+1,$B$32+$B$33/$B$31*(8760-M8324)+$B$34*IF(M8324&lt;$B$36-$B$31/(2*$B$35),1,IF(M8324&lt;$B$36+$B$31/(2*$B$35),COS(PI()/2*(M8324-($B$36-$B$31/(2*$B$35)))*$B$35/$B$31)^2,0))+$B$37*EXP((8760-M8324)/8760*$B$38)/EXP($B$38)-(8760-$B$31)*$B$33/$B$31,0)</f>
        <v>4.2513026722984196E-2</v>
      </c>
      <c r="O8324" s="165">
        <f t="shared" ref="O8324:O8387" si="394">MIN(N8324,C$24)</f>
        <v>4.2513026722984196E-2</v>
      </c>
      <c r="P8324" s="18"/>
      <c r="Q8324" s="18"/>
      <c r="R8324" s="18"/>
      <c r="S8324" s="18"/>
      <c r="T8324" s="18"/>
      <c r="U8324" s="18"/>
      <c r="V8324" s="18"/>
      <c r="W8324" s="18"/>
      <c r="X8324" s="18"/>
    </row>
    <row r="8325" spans="13:24">
      <c r="M8325" s="558">
        <f t="shared" ref="M8325:M8388" si="395">M8324+1</f>
        <v>8323</v>
      </c>
      <c r="N8325" s="15">
        <f t="shared" si="393"/>
        <v>4.2461640512479304E-2</v>
      </c>
      <c r="O8325" s="165">
        <f t="shared" si="394"/>
        <v>4.2461640512479304E-2</v>
      </c>
      <c r="P8325" s="18"/>
      <c r="Q8325" s="18"/>
      <c r="R8325" s="18"/>
      <c r="S8325" s="18"/>
      <c r="T8325" s="18"/>
      <c r="U8325" s="18"/>
      <c r="V8325" s="18"/>
      <c r="W8325" s="18"/>
      <c r="X8325" s="18"/>
    </row>
    <row r="8326" spans="13:24">
      <c r="M8326" s="558">
        <f t="shared" si="395"/>
        <v>8324</v>
      </c>
      <c r="N8326" s="15">
        <f t="shared" si="393"/>
        <v>4.241025432248921E-2</v>
      </c>
      <c r="O8326" s="165">
        <f t="shared" si="394"/>
        <v>4.241025432248921E-2</v>
      </c>
      <c r="P8326" s="18"/>
      <c r="Q8326" s="18"/>
      <c r="R8326" s="18"/>
      <c r="S8326" s="18"/>
      <c r="T8326" s="18"/>
      <c r="U8326" s="18"/>
      <c r="V8326" s="18"/>
      <c r="W8326" s="18"/>
      <c r="X8326" s="18"/>
    </row>
    <row r="8327" spans="13:24">
      <c r="M8327" s="558">
        <f t="shared" si="395"/>
        <v>8325</v>
      </c>
      <c r="N8327" s="15">
        <f t="shared" si="393"/>
        <v>4.2358868152988158E-2</v>
      </c>
      <c r="O8327" s="165">
        <f t="shared" si="394"/>
        <v>4.2358868152988158E-2</v>
      </c>
      <c r="P8327" s="18"/>
      <c r="Q8327" s="18"/>
      <c r="R8327" s="18"/>
      <c r="S8327" s="18"/>
      <c r="T8327" s="18"/>
      <c r="U8327" s="18"/>
      <c r="V8327" s="18"/>
      <c r="W8327" s="18"/>
      <c r="X8327" s="18"/>
    </row>
    <row r="8328" spans="13:24">
      <c r="M8328" s="558">
        <f t="shared" si="395"/>
        <v>8326</v>
      </c>
      <c r="N8328" s="15">
        <f t="shared" si="393"/>
        <v>4.2307482003950438E-2</v>
      </c>
      <c r="O8328" s="165">
        <f t="shared" si="394"/>
        <v>4.2307482003950438E-2</v>
      </c>
      <c r="P8328" s="18"/>
      <c r="Q8328" s="18"/>
      <c r="R8328" s="18"/>
      <c r="S8328" s="18"/>
      <c r="T8328" s="18"/>
      <c r="U8328" s="18"/>
      <c r="V8328" s="18"/>
      <c r="W8328" s="18"/>
      <c r="X8328" s="18"/>
    </row>
    <row r="8329" spans="13:24">
      <c r="M8329" s="558">
        <f t="shared" si="395"/>
        <v>8327</v>
      </c>
      <c r="N8329" s="15">
        <f t="shared" si="393"/>
        <v>4.2256095875350369E-2</v>
      </c>
      <c r="O8329" s="165">
        <f t="shared" si="394"/>
        <v>4.2256095875350369E-2</v>
      </c>
      <c r="P8329" s="18"/>
      <c r="Q8329" s="18"/>
      <c r="R8329" s="18"/>
      <c r="S8329" s="18"/>
      <c r="T8329" s="18"/>
      <c r="U8329" s="18"/>
      <c r="V8329" s="18"/>
      <c r="W8329" s="18"/>
      <c r="X8329" s="18"/>
    </row>
    <row r="8330" spans="13:24">
      <c r="M8330" s="558">
        <f t="shared" si="395"/>
        <v>8328</v>
      </c>
      <c r="N8330" s="15">
        <f t="shared" si="393"/>
        <v>4.2204709767162299E-2</v>
      </c>
      <c r="O8330" s="165">
        <f t="shared" si="394"/>
        <v>4.2204709767162299E-2</v>
      </c>
      <c r="P8330" s="18"/>
      <c r="Q8330" s="18"/>
      <c r="R8330" s="18"/>
      <c r="S8330" s="18"/>
      <c r="T8330" s="18"/>
      <c r="U8330" s="18"/>
      <c r="V8330" s="18"/>
      <c r="W8330" s="18"/>
      <c r="X8330" s="18"/>
    </row>
    <row r="8331" spans="13:24">
      <c r="M8331" s="558">
        <f t="shared" si="395"/>
        <v>8329</v>
      </c>
      <c r="N8331" s="15">
        <f t="shared" si="393"/>
        <v>4.215332367936063E-2</v>
      </c>
      <c r="O8331" s="165">
        <f t="shared" si="394"/>
        <v>4.215332367936063E-2</v>
      </c>
      <c r="P8331" s="18"/>
      <c r="Q8331" s="18"/>
      <c r="R8331" s="18"/>
      <c r="S8331" s="18"/>
      <c r="T8331" s="18"/>
      <c r="U8331" s="18"/>
      <c r="V8331" s="18"/>
      <c r="W8331" s="18"/>
      <c r="X8331" s="18"/>
    </row>
    <row r="8332" spans="13:24">
      <c r="M8332" s="558">
        <f t="shared" si="395"/>
        <v>8330</v>
      </c>
      <c r="N8332" s="15">
        <f t="shared" si="393"/>
        <v>4.2101937611919757E-2</v>
      </c>
      <c r="O8332" s="165">
        <f t="shared" si="394"/>
        <v>4.2101937611919757E-2</v>
      </c>
      <c r="P8332" s="18"/>
      <c r="Q8332" s="18"/>
      <c r="R8332" s="18"/>
      <c r="S8332" s="18"/>
      <c r="T8332" s="18"/>
      <c r="U8332" s="18"/>
      <c r="V8332" s="18"/>
      <c r="W8332" s="18"/>
      <c r="X8332" s="18"/>
    </row>
    <row r="8333" spans="13:24">
      <c r="M8333" s="558">
        <f t="shared" si="395"/>
        <v>8331</v>
      </c>
      <c r="N8333" s="15">
        <f t="shared" si="393"/>
        <v>4.2050551564814145E-2</v>
      </c>
      <c r="O8333" s="165">
        <f t="shared" si="394"/>
        <v>4.2050551564814145E-2</v>
      </c>
      <c r="P8333" s="18"/>
      <c r="Q8333" s="18"/>
      <c r="R8333" s="18"/>
      <c r="S8333" s="18"/>
      <c r="T8333" s="18"/>
      <c r="U8333" s="18"/>
      <c r="V8333" s="18"/>
      <c r="W8333" s="18"/>
      <c r="X8333" s="18"/>
    </row>
    <row r="8334" spans="13:24">
      <c r="M8334" s="558">
        <f t="shared" si="395"/>
        <v>8332</v>
      </c>
      <c r="N8334" s="15">
        <f t="shared" si="393"/>
        <v>4.1999165538018267E-2</v>
      </c>
      <c r="O8334" s="165">
        <f t="shared" si="394"/>
        <v>4.1999165538018267E-2</v>
      </c>
      <c r="P8334" s="18"/>
      <c r="Q8334" s="18"/>
      <c r="R8334" s="18"/>
      <c r="S8334" s="18"/>
      <c r="T8334" s="18"/>
      <c r="U8334" s="18"/>
      <c r="V8334" s="18"/>
      <c r="W8334" s="18"/>
      <c r="X8334" s="18"/>
    </row>
    <row r="8335" spans="13:24">
      <c r="M8335" s="558">
        <f t="shared" si="395"/>
        <v>8333</v>
      </c>
      <c r="N8335" s="15">
        <f t="shared" si="393"/>
        <v>4.1947779531506635E-2</v>
      </c>
      <c r="O8335" s="165">
        <f t="shared" si="394"/>
        <v>4.1947779531506635E-2</v>
      </c>
      <c r="P8335" s="18"/>
      <c r="Q8335" s="18"/>
      <c r="R8335" s="18"/>
      <c r="S8335" s="18"/>
      <c r="T8335" s="18"/>
      <c r="U8335" s="18"/>
      <c r="V8335" s="18"/>
      <c r="W8335" s="18"/>
      <c r="X8335" s="18"/>
    </row>
    <row r="8336" spans="13:24">
      <c r="M8336" s="558">
        <f t="shared" si="395"/>
        <v>8334</v>
      </c>
      <c r="N8336" s="15">
        <f t="shared" si="393"/>
        <v>4.1896393545253791E-2</v>
      </c>
      <c r="O8336" s="165">
        <f t="shared" si="394"/>
        <v>4.1896393545253791E-2</v>
      </c>
      <c r="P8336" s="18"/>
      <c r="Q8336" s="18"/>
      <c r="R8336" s="18"/>
      <c r="S8336" s="18"/>
      <c r="T8336" s="18"/>
      <c r="U8336" s="18"/>
      <c r="V8336" s="18"/>
      <c r="W8336" s="18"/>
      <c r="X8336" s="18"/>
    </row>
    <row r="8337" spans="13:24">
      <c r="M8337" s="558">
        <f t="shared" si="395"/>
        <v>8335</v>
      </c>
      <c r="N8337" s="15">
        <f t="shared" si="393"/>
        <v>4.1845007579234324E-2</v>
      </c>
      <c r="O8337" s="165">
        <f t="shared" si="394"/>
        <v>4.1845007579234324E-2</v>
      </c>
      <c r="P8337" s="18"/>
      <c r="Q8337" s="18"/>
      <c r="R8337" s="18"/>
      <c r="S8337" s="18"/>
      <c r="T8337" s="18"/>
      <c r="U8337" s="18"/>
      <c r="V8337" s="18"/>
      <c r="W8337" s="18"/>
      <c r="X8337" s="18"/>
    </row>
    <row r="8338" spans="13:24">
      <c r="M8338" s="558">
        <f t="shared" si="395"/>
        <v>8336</v>
      </c>
      <c r="N8338" s="15">
        <f t="shared" si="393"/>
        <v>4.1793621633422838E-2</v>
      </c>
      <c r="O8338" s="165">
        <f t="shared" si="394"/>
        <v>4.1793621633422838E-2</v>
      </c>
      <c r="P8338" s="18"/>
      <c r="Q8338" s="18"/>
      <c r="R8338" s="18"/>
      <c r="S8338" s="18"/>
      <c r="T8338" s="18"/>
      <c r="U8338" s="18"/>
      <c r="V8338" s="18"/>
      <c r="W8338" s="18"/>
      <c r="X8338" s="18"/>
    </row>
    <row r="8339" spans="13:24">
      <c r="M8339" s="558">
        <f t="shared" si="395"/>
        <v>8337</v>
      </c>
      <c r="N8339" s="15">
        <f t="shared" si="393"/>
        <v>4.1742235707793972E-2</v>
      </c>
      <c r="O8339" s="165">
        <f t="shared" si="394"/>
        <v>4.1742235707793972E-2</v>
      </c>
      <c r="P8339" s="18"/>
      <c r="Q8339" s="18"/>
      <c r="R8339" s="18"/>
      <c r="S8339" s="18"/>
      <c r="T8339" s="18"/>
      <c r="U8339" s="18"/>
      <c r="V8339" s="18"/>
      <c r="W8339" s="18"/>
      <c r="X8339" s="18"/>
    </row>
    <row r="8340" spans="13:24">
      <c r="M8340" s="558">
        <f t="shared" si="395"/>
        <v>8338</v>
      </c>
      <c r="N8340" s="15">
        <f t="shared" si="393"/>
        <v>4.1690849802322391E-2</v>
      </c>
      <c r="O8340" s="165">
        <f t="shared" si="394"/>
        <v>4.1690849802322391E-2</v>
      </c>
      <c r="P8340" s="18"/>
      <c r="Q8340" s="18"/>
      <c r="R8340" s="18"/>
      <c r="S8340" s="18"/>
      <c r="T8340" s="18"/>
      <c r="U8340" s="18"/>
      <c r="V8340" s="18"/>
      <c r="W8340" s="18"/>
      <c r="X8340" s="18"/>
    </row>
    <row r="8341" spans="13:24">
      <c r="M8341" s="558">
        <f t="shared" si="395"/>
        <v>8339</v>
      </c>
      <c r="N8341" s="15">
        <f t="shared" si="393"/>
        <v>4.1639463916982811E-2</v>
      </c>
      <c r="O8341" s="165">
        <f t="shared" si="394"/>
        <v>4.1639463916982811E-2</v>
      </c>
      <c r="P8341" s="18"/>
      <c r="Q8341" s="18"/>
      <c r="R8341" s="18"/>
      <c r="S8341" s="18"/>
      <c r="T8341" s="18"/>
      <c r="U8341" s="18"/>
      <c r="V8341" s="18"/>
      <c r="W8341" s="18"/>
      <c r="X8341" s="18"/>
    </row>
    <row r="8342" spans="13:24">
      <c r="M8342" s="558">
        <f t="shared" si="395"/>
        <v>8340</v>
      </c>
      <c r="N8342" s="15">
        <f t="shared" si="393"/>
        <v>4.1588078051749959E-2</v>
      </c>
      <c r="O8342" s="165">
        <f t="shared" si="394"/>
        <v>4.1588078051749959E-2</v>
      </c>
      <c r="P8342" s="18"/>
      <c r="Q8342" s="18"/>
      <c r="R8342" s="18"/>
      <c r="S8342" s="18"/>
      <c r="T8342" s="18"/>
      <c r="U8342" s="18"/>
      <c r="V8342" s="18"/>
      <c r="W8342" s="18"/>
      <c r="X8342" s="18"/>
    </row>
    <row r="8343" spans="13:24">
      <c r="M8343" s="558">
        <f t="shared" si="395"/>
        <v>8341</v>
      </c>
      <c r="N8343" s="15">
        <f t="shared" si="393"/>
        <v>4.1536692206598613E-2</v>
      </c>
      <c r="O8343" s="165">
        <f t="shared" si="394"/>
        <v>4.1536692206598613E-2</v>
      </c>
      <c r="P8343" s="18"/>
      <c r="Q8343" s="18"/>
      <c r="R8343" s="18"/>
      <c r="S8343" s="18"/>
      <c r="T8343" s="18"/>
      <c r="U8343" s="18"/>
      <c r="V8343" s="18"/>
      <c r="W8343" s="18"/>
      <c r="X8343" s="18"/>
    </row>
    <row r="8344" spans="13:24">
      <c r="M8344" s="558">
        <f t="shared" si="395"/>
        <v>8342</v>
      </c>
      <c r="N8344" s="15">
        <f t="shared" si="393"/>
        <v>4.1485306381503564E-2</v>
      </c>
      <c r="O8344" s="165">
        <f t="shared" si="394"/>
        <v>4.1485306381503564E-2</v>
      </c>
      <c r="P8344" s="18"/>
      <c r="Q8344" s="18"/>
      <c r="R8344" s="18"/>
      <c r="S8344" s="18"/>
      <c r="T8344" s="18"/>
      <c r="U8344" s="18"/>
      <c r="V8344" s="18"/>
      <c r="W8344" s="18"/>
      <c r="X8344" s="18"/>
    </row>
    <row r="8345" spans="13:24">
      <c r="M8345" s="558">
        <f t="shared" si="395"/>
        <v>8343</v>
      </c>
      <c r="N8345" s="15">
        <f t="shared" si="393"/>
        <v>4.1433920576439652E-2</v>
      </c>
      <c r="O8345" s="165">
        <f t="shared" si="394"/>
        <v>4.1433920576439652E-2</v>
      </c>
      <c r="P8345" s="18"/>
      <c r="Q8345" s="18"/>
      <c r="R8345" s="18"/>
      <c r="S8345" s="18"/>
      <c r="T8345" s="18"/>
      <c r="U8345" s="18"/>
      <c r="V8345" s="18"/>
      <c r="W8345" s="18"/>
      <c r="X8345" s="18"/>
    </row>
    <row r="8346" spans="13:24">
      <c r="M8346" s="558">
        <f t="shared" si="395"/>
        <v>8344</v>
      </c>
      <c r="N8346" s="15">
        <f t="shared" si="393"/>
        <v>4.1382534791381723E-2</v>
      </c>
      <c r="O8346" s="165">
        <f t="shared" si="394"/>
        <v>4.1382534791381723E-2</v>
      </c>
      <c r="P8346" s="18"/>
      <c r="Q8346" s="18"/>
      <c r="R8346" s="18"/>
      <c r="S8346" s="18"/>
      <c r="T8346" s="18"/>
      <c r="U8346" s="18"/>
      <c r="V8346" s="18"/>
      <c r="W8346" s="18"/>
      <c r="X8346" s="18"/>
    </row>
    <row r="8347" spans="13:24">
      <c r="M8347" s="558">
        <f t="shared" si="395"/>
        <v>8345</v>
      </c>
      <c r="N8347" s="15">
        <f t="shared" si="393"/>
        <v>4.1331149026304685E-2</v>
      </c>
      <c r="O8347" s="165">
        <f t="shared" si="394"/>
        <v>4.1331149026304685E-2</v>
      </c>
      <c r="P8347" s="18"/>
      <c r="Q8347" s="18"/>
      <c r="R8347" s="18"/>
      <c r="S8347" s="18"/>
      <c r="T8347" s="18"/>
      <c r="U8347" s="18"/>
      <c r="V8347" s="18"/>
      <c r="W8347" s="18"/>
      <c r="X8347" s="18"/>
    </row>
    <row r="8348" spans="13:24">
      <c r="M8348" s="558">
        <f t="shared" si="395"/>
        <v>8346</v>
      </c>
      <c r="N8348" s="15">
        <f t="shared" si="393"/>
        <v>4.1279763281183462E-2</v>
      </c>
      <c r="O8348" s="165">
        <f t="shared" si="394"/>
        <v>4.1279763281183462E-2</v>
      </c>
      <c r="P8348" s="18"/>
      <c r="Q8348" s="18"/>
      <c r="R8348" s="18"/>
      <c r="S8348" s="18"/>
      <c r="T8348" s="18"/>
      <c r="U8348" s="18"/>
      <c r="V8348" s="18"/>
      <c r="W8348" s="18"/>
      <c r="X8348" s="18"/>
    </row>
    <row r="8349" spans="13:24">
      <c r="M8349" s="558">
        <f t="shared" si="395"/>
        <v>8347</v>
      </c>
      <c r="N8349" s="15">
        <f t="shared" si="393"/>
        <v>4.1228377555993005E-2</v>
      </c>
      <c r="O8349" s="165">
        <f t="shared" si="394"/>
        <v>4.1228377555993005E-2</v>
      </c>
      <c r="P8349" s="18"/>
      <c r="Q8349" s="18"/>
      <c r="R8349" s="18"/>
      <c r="S8349" s="18"/>
      <c r="T8349" s="18"/>
      <c r="U8349" s="18"/>
      <c r="V8349" s="18"/>
      <c r="W8349" s="18"/>
      <c r="X8349" s="18"/>
    </row>
    <row r="8350" spans="13:24">
      <c r="M8350" s="558">
        <f t="shared" si="395"/>
        <v>8348</v>
      </c>
      <c r="N8350" s="15">
        <f t="shared" si="393"/>
        <v>4.1176991850708305E-2</v>
      </c>
      <c r="O8350" s="165">
        <f t="shared" si="394"/>
        <v>4.1176991850708305E-2</v>
      </c>
      <c r="P8350" s="18"/>
      <c r="Q8350" s="18"/>
      <c r="R8350" s="18"/>
      <c r="S8350" s="18"/>
      <c r="T8350" s="18"/>
      <c r="U8350" s="18"/>
      <c r="V8350" s="18"/>
      <c r="W8350" s="18"/>
      <c r="X8350" s="18"/>
    </row>
    <row r="8351" spans="13:24">
      <c r="M8351" s="558">
        <f t="shared" si="395"/>
        <v>8349</v>
      </c>
      <c r="N8351" s="15">
        <f t="shared" si="393"/>
        <v>4.1125606165304383E-2</v>
      </c>
      <c r="O8351" s="165">
        <f t="shared" si="394"/>
        <v>4.1125606165304383E-2</v>
      </c>
      <c r="P8351" s="18"/>
      <c r="Q8351" s="18"/>
      <c r="R8351" s="18"/>
      <c r="S8351" s="18"/>
      <c r="T8351" s="18"/>
      <c r="U8351" s="18"/>
      <c r="V8351" s="18"/>
      <c r="W8351" s="18"/>
      <c r="X8351" s="18"/>
    </row>
    <row r="8352" spans="13:24">
      <c r="M8352" s="558">
        <f t="shared" si="395"/>
        <v>8350</v>
      </c>
      <c r="N8352" s="15">
        <f t="shared" si="393"/>
        <v>4.1074220499756287E-2</v>
      </c>
      <c r="O8352" s="165">
        <f t="shared" si="394"/>
        <v>4.1074220499756287E-2</v>
      </c>
      <c r="P8352" s="18"/>
      <c r="Q8352" s="18"/>
      <c r="R8352" s="18"/>
      <c r="S8352" s="18"/>
      <c r="T8352" s="18"/>
      <c r="U8352" s="18"/>
      <c r="V8352" s="18"/>
      <c r="W8352" s="18"/>
      <c r="X8352" s="18"/>
    </row>
    <row r="8353" spans="13:24">
      <c r="M8353" s="558">
        <f t="shared" si="395"/>
        <v>8351</v>
      </c>
      <c r="N8353" s="15">
        <f t="shared" si="393"/>
        <v>4.1022834854039104E-2</v>
      </c>
      <c r="O8353" s="165">
        <f t="shared" si="394"/>
        <v>4.1022834854039104E-2</v>
      </c>
      <c r="P8353" s="18"/>
      <c r="Q8353" s="18"/>
      <c r="R8353" s="18"/>
      <c r="S8353" s="18"/>
      <c r="T8353" s="18"/>
      <c r="U8353" s="18"/>
      <c r="V8353" s="18"/>
      <c r="W8353" s="18"/>
      <c r="X8353" s="18"/>
    </row>
    <row r="8354" spans="13:24">
      <c r="M8354" s="558">
        <f t="shared" si="395"/>
        <v>8352</v>
      </c>
      <c r="N8354" s="15">
        <f t="shared" si="393"/>
        <v>4.0971449228127954E-2</v>
      </c>
      <c r="O8354" s="165">
        <f t="shared" si="394"/>
        <v>4.0971449228127954E-2</v>
      </c>
      <c r="P8354" s="18"/>
      <c r="Q8354" s="18"/>
      <c r="R8354" s="18"/>
      <c r="S8354" s="18"/>
      <c r="T8354" s="18"/>
      <c r="U8354" s="18"/>
      <c r="V8354" s="18"/>
      <c r="W8354" s="18"/>
      <c r="X8354" s="18"/>
    </row>
    <row r="8355" spans="13:24">
      <c r="M8355" s="558">
        <f t="shared" si="395"/>
        <v>8353</v>
      </c>
      <c r="N8355" s="15">
        <f t="shared" si="393"/>
        <v>4.0920063621997967E-2</v>
      </c>
      <c r="O8355" s="165">
        <f t="shared" si="394"/>
        <v>4.0920063621997967E-2</v>
      </c>
      <c r="P8355" s="18"/>
      <c r="Q8355" s="18"/>
      <c r="R8355" s="18"/>
      <c r="S8355" s="18"/>
      <c r="T8355" s="18"/>
      <c r="U8355" s="18"/>
      <c r="V8355" s="18"/>
      <c r="W8355" s="18"/>
      <c r="X8355" s="18"/>
    </row>
    <row r="8356" spans="13:24">
      <c r="M8356" s="558">
        <f t="shared" si="395"/>
        <v>8354</v>
      </c>
      <c r="N8356" s="15">
        <f t="shared" si="393"/>
        <v>4.0868678035624328E-2</v>
      </c>
      <c r="O8356" s="165">
        <f t="shared" si="394"/>
        <v>4.0868678035624328E-2</v>
      </c>
      <c r="P8356" s="18"/>
      <c r="Q8356" s="18"/>
      <c r="R8356" s="18"/>
      <c r="S8356" s="18"/>
      <c r="T8356" s="18"/>
      <c r="U8356" s="18"/>
      <c r="V8356" s="18"/>
      <c r="W8356" s="18"/>
      <c r="X8356" s="18"/>
    </row>
    <row r="8357" spans="13:24">
      <c r="M8357" s="558">
        <f t="shared" si="395"/>
        <v>8355</v>
      </c>
      <c r="N8357" s="15">
        <f t="shared" si="393"/>
        <v>4.081729246898224E-2</v>
      </c>
      <c r="O8357" s="165">
        <f t="shared" si="394"/>
        <v>4.081729246898224E-2</v>
      </c>
      <c r="P8357" s="18"/>
      <c r="Q8357" s="18"/>
      <c r="R8357" s="18"/>
      <c r="S8357" s="18"/>
      <c r="T8357" s="18"/>
      <c r="U8357" s="18"/>
      <c r="V8357" s="18"/>
      <c r="W8357" s="18"/>
      <c r="X8357" s="18"/>
    </row>
    <row r="8358" spans="13:24">
      <c r="M8358" s="558">
        <f t="shared" si="395"/>
        <v>8356</v>
      </c>
      <c r="N8358" s="15">
        <f t="shared" si="393"/>
        <v>4.076590692204695E-2</v>
      </c>
      <c r="O8358" s="165">
        <f t="shared" si="394"/>
        <v>4.076590692204695E-2</v>
      </c>
      <c r="P8358" s="18"/>
      <c r="Q8358" s="18"/>
      <c r="R8358" s="18"/>
      <c r="S8358" s="18"/>
      <c r="T8358" s="18"/>
      <c r="U8358" s="18"/>
      <c r="V8358" s="18"/>
      <c r="W8358" s="18"/>
      <c r="X8358" s="18"/>
    </row>
    <row r="8359" spans="13:24">
      <c r="M8359" s="558">
        <f t="shared" si="395"/>
        <v>8357</v>
      </c>
      <c r="N8359" s="15">
        <f t="shared" si="393"/>
        <v>4.0714521394793722E-2</v>
      </c>
      <c r="O8359" s="165">
        <f t="shared" si="394"/>
        <v>4.0714521394793722E-2</v>
      </c>
      <c r="P8359" s="18"/>
      <c r="Q8359" s="18"/>
      <c r="R8359" s="18"/>
      <c r="S8359" s="18"/>
      <c r="T8359" s="18"/>
      <c r="U8359" s="18"/>
      <c r="V8359" s="18"/>
      <c r="W8359" s="18"/>
      <c r="X8359" s="18"/>
    </row>
    <row r="8360" spans="13:24">
      <c r="M8360" s="558">
        <f t="shared" si="395"/>
        <v>8358</v>
      </c>
      <c r="N8360" s="15">
        <f t="shared" si="393"/>
        <v>4.0663135887197853E-2</v>
      </c>
      <c r="O8360" s="165">
        <f t="shared" si="394"/>
        <v>4.0663135887197853E-2</v>
      </c>
      <c r="P8360" s="18"/>
      <c r="Q8360" s="18"/>
      <c r="R8360" s="18"/>
      <c r="S8360" s="18"/>
      <c r="T8360" s="18"/>
      <c r="U8360" s="18"/>
      <c r="V8360" s="18"/>
      <c r="W8360" s="18"/>
      <c r="X8360" s="18"/>
    </row>
    <row r="8361" spans="13:24">
      <c r="M8361" s="558">
        <f t="shared" si="395"/>
        <v>8359</v>
      </c>
      <c r="N8361" s="15">
        <f t="shared" si="393"/>
        <v>4.0611750399234682E-2</v>
      </c>
      <c r="O8361" s="165">
        <f t="shared" si="394"/>
        <v>4.0611750399234682E-2</v>
      </c>
      <c r="P8361" s="18"/>
      <c r="Q8361" s="18"/>
      <c r="R8361" s="18"/>
      <c r="S8361" s="18"/>
      <c r="T8361" s="18"/>
      <c r="U8361" s="18"/>
      <c r="V8361" s="18"/>
      <c r="W8361" s="18"/>
      <c r="X8361" s="18"/>
    </row>
    <row r="8362" spans="13:24">
      <c r="M8362" s="558">
        <f t="shared" si="395"/>
        <v>8360</v>
      </c>
      <c r="N8362" s="15">
        <f t="shared" si="393"/>
        <v>4.0560364930879569E-2</v>
      </c>
      <c r="O8362" s="165">
        <f t="shared" si="394"/>
        <v>4.0560364930879569E-2</v>
      </c>
      <c r="P8362" s="18"/>
      <c r="Q8362" s="18"/>
      <c r="R8362" s="18"/>
      <c r="S8362" s="18"/>
      <c r="T8362" s="18"/>
      <c r="U8362" s="18"/>
      <c r="V8362" s="18"/>
      <c r="W8362" s="18"/>
      <c r="X8362" s="18"/>
    </row>
    <row r="8363" spans="13:24">
      <c r="M8363" s="558">
        <f t="shared" si="395"/>
        <v>8361</v>
      </c>
      <c r="N8363" s="15">
        <f t="shared" si="393"/>
        <v>4.0508979482107903E-2</v>
      </c>
      <c r="O8363" s="165">
        <f t="shared" si="394"/>
        <v>4.0508979482107903E-2</v>
      </c>
      <c r="P8363" s="18"/>
      <c r="Q8363" s="18"/>
      <c r="R8363" s="18"/>
      <c r="S8363" s="18"/>
      <c r="T8363" s="18"/>
      <c r="U8363" s="18"/>
      <c r="V8363" s="18"/>
      <c r="W8363" s="18"/>
      <c r="X8363" s="18"/>
    </row>
    <row r="8364" spans="13:24">
      <c r="M8364" s="558">
        <f t="shared" si="395"/>
        <v>8362</v>
      </c>
      <c r="N8364" s="15">
        <f t="shared" si="393"/>
        <v>4.0457594052895111E-2</v>
      </c>
      <c r="O8364" s="165">
        <f t="shared" si="394"/>
        <v>4.0457594052895111E-2</v>
      </c>
      <c r="P8364" s="18"/>
      <c r="Q8364" s="18"/>
      <c r="R8364" s="18"/>
      <c r="S8364" s="18"/>
      <c r="T8364" s="18"/>
      <c r="U8364" s="18"/>
      <c r="V8364" s="18"/>
      <c r="W8364" s="18"/>
      <c r="X8364" s="18"/>
    </row>
    <row r="8365" spans="13:24">
      <c r="M8365" s="558">
        <f t="shared" si="395"/>
        <v>8363</v>
      </c>
      <c r="N8365" s="15">
        <f t="shared" si="393"/>
        <v>4.0406208643216653E-2</v>
      </c>
      <c r="O8365" s="165">
        <f t="shared" si="394"/>
        <v>4.0406208643216653E-2</v>
      </c>
      <c r="P8365" s="18"/>
      <c r="Q8365" s="18"/>
      <c r="R8365" s="18"/>
      <c r="S8365" s="18"/>
      <c r="T8365" s="18"/>
      <c r="U8365" s="18"/>
      <c r="V8365" s="18"/>
      <c r="W8365" s="18"/>
      <c r="X8365" s="18"/>
    </row>
    <row r="8366" spans="13:24">
      <c r="M8366" s="558">
        <f t="shared" si="395"/>
        <v>8364</v>
      </c>
      <c r="N8366" s="15">
        <f t="shared" si="393"/>
        <v>4.0354823253048011E-2</v>
      </c>
      <c r="O8366" s="165">
        <f t="shared" si="394"/>
        <v>4.0354823253048011E-2</v>
      </c>
      <c r="P8366" s="18"/>
      <c r="Q8366" s="18"/>
      <c r="R8366" s="18"/>
      <c r="S8366" s="18"/>
      <c r="T8366" s="18"/>
      <c r="U8366" s="18"/>
      <c r="V8366" s="18"/>
      <c r="W8366" s="18"/>
      <c r="X8366" s="18"/>
    </row>
    <row r="8367" spans="13:24">
      <c r="M8367" s="558">
        <f t="shared" si="395"/>
        <v>8365</v>
      </c>
      <c r="N8367" s="15">
        <f t="shared" si="393"/>
        <v>4.0303437882364693E-2</v>
      </c>
      <c r="O8367" s="165">
        <f t="shared" si="394"/>
        <v>4.0303437882364693E-2</v>
      </c>
      <c r="P8367" s="18"/>
      <c r="Q8367" s="18"/>
      <c r="R8367" s="18"/>
      <c r="S8367" s="18"/>
      <c r="T8367" s="18"/>
      <c r="U8367" s="18"/>
      <c r="V8367" s="18"/>
      <c r="W8367" s="18"/>
      <c r="X8367" s="18"/>
    </row>
    <row r="8368" spans="13:24">
      <c r="M8368" s="558">
        <f t="shared" si="395"/>
        <v>8366</v>
      </c>
      <c r="N8368" s="15">
        <f t="shared" si="393"/>
        <v>4.0252052531142259E-2</v>
      </c>
      <c r="O8368" s="165">
        <f t="shared" si="394"/>
        <v>4.0252052531142259E-2</v>
      </c>
      <c r="P8368" s="18"/>
      <c r="Q8368" s="18"/>
      <c r="R8368" s="18"/>
      <c r="S8368" s="18"/>
      <c r="T8368" s="18"/>
      <c r="U8368" s="18"/>
      <c r="V8368" s="18"/>
      <c r="W8368" s="18"/>
      <c r="X8368" s="18"/>
    </row>
    <row r="8369" spans="13:24">
      <c r="M8369" s="558">
        <f t="shared" si="395"/>
        <v>8367</v>
      </c>
      <c r="N8369" s="15">
        <f t="shared" si="393"/>
        <v>4.0200667199356284E-2</v>
      </c>
      <c r="O8369" s="165">
        <f t="shared" si="394"/>
        <v>4.0200667199356284E-2</v>
      </c>
      <c r="P8369" s="18"/>
      <c r="Q8369" s="18"/>
      <c r="R8369" s="18"/>
      <c r="S8369" s="18"/>
      <c r="T8369" s="18"/>
      <c r="U8369" s="18"/>
      <c r="V8369" s="18"/>
      <c r="W8369" s="18"/>
      <c r="X8369" s="18"/>
    </row>
    <row r="8370" spans="13:24">
      <c r="M8370" s="558">
        <f t="shared" si="395"/>
        <v>8368</v>
      </c>
      <c r="N8370" s="15">
        <f t="shared" si="393"/>
        <v>4.0149281886982378E-2</v>
      </c>
      <c r="O8370" s="165">
        <f t="shared" si="394"/>
        <v>4.0149281886982378E-2</v>
      </c>
      <c r="P8370" s="18"/>
      <c r="Q8370" s="18"/>
      <c r="R8370" s="18"/>
      <c r="S8370" s="18"/>
      <c r="T8370" s="18"/>
      <c r="U8370" s="18"/>
      <c r="V8370" s="18"/>
      <c r="W8370" s="18"/>
      <c r="X8370" s="18"/>
    </row>
    <row r="8371" spans="13:24">
      <c r="M8371" s="558">
        <f t="shared" si="395"/>
        <v>8369</v>
      </c>
      <c r="N8371" s="15">
        <f t="shared" si="393"/>
        <v>4.0097896593996166E-2</v>
      </c>
      <c r="O8371" s="165">
        <f t="shared" si="394"/>
        <v>4.0097896593996166E-2</v>
      </c>
      <c r="P8371" s="18"/>
      <c r="Q8371" s="18"/>
      <c r="R8371" s="18"/>
      <c r="S8371" s="18"/>
      <c r="T8371" s="18"/>
      <c r="U8371" s="18"/>
      <c r="V8371" s="18"/>
      <c r="W8371" s="18"/>
      <c r="X8371" s="18"/>
    </row>
    <row r="8372" spans="13:24">
      <c r="M8372" s="558">
        <f t="shared" si="395"/>
        <v>8370</v>
      </c>
      <c r="N8372" s="15">
        <f t="shared" si="393"/>
        <v>4.0046511320373346E-2</v>
      </c>
      <c r="O8372" s="165">
        <f t="shared" si="394"/>
        <v>4.0046511320373346E-2</v>
      </c>
      <c r="P8372" s="18"/>
      <c r="Q8372" s="18"/>
      <c r="R8372" s="18"/>
      <c r="S8372" s="18"/>
      <c r="T8372" s="18"/>
      <c r="U8372" s="18"/>
      <c r="V8372" s="18"/>
      <c r="W8372" s="18"/>
      <c r="X8372" s="18"/>
    </row>
    <row r="8373" spans="13:24">
      <c r="M8373" s="558">
        <f t="shared" si="395"/>
        <v>8371</v>
      </c>
      <c r="N8373" s="15">
        <f t="shared" si="393"/>
        <v>3.9995126066089598E-2</v>
      </c>
      <c r="O8373" s="165">
        <f t="shared" si="394"/>
        <v>3.9995126066089598E-2</v>
      </c>
      <c r="P8373" s="18"/>
      <c r="Q8373" s="18"/>
      <c r="R8373" s="18"/>
      <c r="S8373" s="18"/>
      <c r="T8373" s="18"/>
      <c r="U8373" s="18"/>
      <c r="V8373" s="18"/>
      <c r="W8373" s="18"/>
      <c r="X8373" s="18"/>
    </row>
    <row r="8374" spans="13:24">
      <c r="M8374" s="558">
        <f t="shared" si="395"/>
        <v>8372</v>
      </c>
      <c r="N8374" s="15">
        <f t="shared" si="393"/>
        <v>3.9943740831120657E-2</v>
      </c>
      <c r="O8374" s="165">
        <f t="shared" si="394"/>
        <v>3.9943740831120657E-2</v>
      </c>
      <c r="P8374" s="18"/>
      <c r="Q8374" s="18"/>
      <c r="R8374" s="18"/>
      <c r="S8374" s="18"/>
      <c r="T8374" s="18"/>
      <c r="U8374" s="18"/>
      <c r="V8374" s="18"/>
      <c r="W8374" s="18"/>
      <c r="X8374" s="18"/>
    </row>
    <row r="8375" spans="13:24">
      <c r="M8375" s="558">
        <f t="shared" si="395"/>
        <v>8373</v>
      </c>
      <c r="N8375" s="15">
        <f t="shared" si="393"/>
        <v>3.9892355615442285E-2</v>
      </c>
      <c r="O8375" s="165">
        <f t="shared" si="394"/>
        <v>3.9892355615442285E-2</v>
      </c>
      <c r="P8375" s="18"/>
      <c r="Q8375" s="18"/>
      <c r="R8375" s="18"/>
      <c r="S8375" s="18"/>
      <c r="T8375" s="18"/>
      <c r="U8375" s="18"/>
      <c r="V8375" s="18"/>
      <c r="W8375" s="18"/>
      <c r="X8375" s="18"/>
    </row>
    <row r="8376" spans="13:24">
      <c r="M8376" s="558">
        <f t="shared" si="395"/>
        <v>8374</v>
      </c>
      <c r="N8376" s="15">
        <f t="shared" si="393"/>
        <v>3.9840970419030279E-2</v>
      </c>
      <c r="O8376" s="165">
        <f t="shared" si="394"/>
        <v>3.9840970419030279E-2</v>
      </c>
      <c r="P8376" s="18"/>
      <c r="Q8376" s="18"/>
      <c r="R8376" s="18"/>
      <c r="S8376" s="18"/>
      <c r="T8376" s="18"/>
      <c r="U8376" s="18"/>
      <c r="V8376" s="18"/>
      <c r="W8376" s="18"/>
      <c r="X8376" s="18"/>
    </row>
    <row r="8377" spans="13:24">
      <c r="M8377" s="558">
        <f t="shared" si="395"/>
        <v>8375</v>
      </c>
      <c r="N8377" s="15">
        <f t="shared" si="393"/>
        <v>3.9789585241860451E-2</v>
      </c>
      <c r="O8377" s="165">
        <f t="shared" si="394"/>
        <v>3.9789585241860451E-2</v>
      </c>
      <c r="P8377" s="18"/>
      <c r="Q8377" s="18"/>
      <c r="R8377" s="18"/>
      <c r="S8377" s="18"/>
      <c r="T8377" s="18"/>
      <c r="U8377" s="18"/>
      <c r="V8377" s="18"/>
      <c r="W8377" s="18"/>
      <c r="X8377" s="18"/>
    </row>
    <row r="8378" spans="13:24">
      <c r="M8378" s="558">
        <f t="shared" si="395"/>
        <v>8376</v>
      </c>
      <c r="N8378" s="15">
        <f t="shared" si="393"/>
        <v>3.9738200083908659E-2</v>
      </c>
      <c r="O8378" s="165">
        <f t="shared" si="394"/>
        <v>3.9738200083908659E-2</v>
      </c>
      <c r="P8378" s="18"/>
      <c r="Q8378" s="18"/>
      <c r="R8378" s="18"/>
      <c r="S8378" s="18"/>
      <c r="T8378" s="18"/>
      <c r="U8378" s="18"/>
      <c r="V8378" s="18"/>
      <c r="W8378" s="18"/>
      <c r="X8378" s="18"/>
    </row>
    <row r="8379" spans="13:24">
      <c r="M8379" s="558">
        <f t="shared" si="395"/>
        <v>8377</v>
      </c>
      <c r="N8379" s="15">
        <f t="shared" si="393"/>
        <v>3.9686814945150792E-2</v>
      </c>
      <c r="O8379" s="165">
        <f t="shared" si="394"/>
        <v>3.9686814945150792E-2</v>
      </c>
      <c r="P8379" s="18"/>
      <c r="Q8379" s="18"/>
      <c r="R8379" s="18"/>
      <c r="S8379" s="18"/>
      <c r="T8379" s="18"/>
      <c r="U8379" s="18"/>
      <c r="V8379" s="18"/>
      <c r="W8379" s="18"/>
      <c r="X8379" s="18"/>
    </row>
    <row r="8380" spans="13:24">
      <c r="M8380" s="558">
        <f t="shared" si="395"/>
        <v>8378</v>
      </c>
      <c r="N8380" s="15">
        <f t="shared" si="393"/>
        <v>3.963542982556275E-2</v>
      </c>
      <c r="O8380" s="165">
        <f t="shared" si="394"/>
        <v>3.963542982556275E-2</v>
      </c>
      <c r="P8380" s="18"/>
      <c r="Q8380" s="18"/>
      <c r="R8380" s="18"/>
      <c r="S8380" s="18"/>
      <c r="T8380" s="18"/>
      <c r="U8380" s="18"/>
      <c r="V8380" s="18"/>
      <c r="W8380" s="18"/>
      <c r="X8380" s="18"/>
    </row>
    <row r="8381" spans="13:24">
      <c r="M8381" s="558">
        <f t="shared" si="395"/>
        <v>8379</v>
      </c>
      <c r="N8381" s="15">
        <f t="shared" si="393"/>
        <v>3.958404472512049E-2</v>
      </c>
      <c r="O8381" s="165">
        <f t="shared" si="394"/>
        <v>3.958404472512049E-2</v>
      </c>
      <c r="P8381" s="18"/>
      <c r="Q8381" s="18"/>
      <c r="R8381" s="18"/>
      <c r="S8381" s="18"/>
      <c r="T8381" s="18"/>
      <c r="U8381" s="18"/>
      <c r="V8381" s="18"/>
      <c r="W8381" s="18"/>
      <c r="X8381" s="18"/>
    </row>
    <row r="8382" spans="13:24">
      <c r="M8382" s="558">
        <f t="shared" si="395"/>
        <v>8380</v>
      </c>
      <c r="N8382" s="15">
        <f t="shared" si="393"/>
        <v>3.9532659643799969E-2</v>
      </c>
      <c r="O8382" s="165">
        <f t="shared" si="394"/>
        <v>3.9532659643799969E-2</v>
      </c>
      <c r="P8382" s="18"/>
      <c r="Q8382" s="18"/>
      <c r="R8382" s="18"/>
      <c r="S8382" s="18"/>
      <c r="T8382" s="18"/>
      <c r="U8382" s="18"/>
      <c r="V8382" s="18"/>
      <c r="W8382" s="18"/>
      <c r="X8382" s="18"/>
    </row>
    <row r="8383" spans="13:24">
      <c r="M8383" s="558">
        <f t="shared" si="395"/>
        <v>8381</v>
      </c>
      <c r="N8383" s="15">
        <f t="shared" si="393"/>
        <v>3.9481274581577207E-2</v>
      </c>
      <c r="O8383" s="165">
        <f t="shared" si="394"/>
        <v>3.9481274581577207E-2</v>
      </c>
      <c r="P8383" s="18"/>
      <c r="Q8383" s="18"/>
      <c r="R8383" s="18"/>
      <c r="S8383" s="18"/>
      <c r="T8383" s="18"/>
      <c r="U8383" s="18"/>
      <c r="V8383" s="18"/>
      <c r="W8383" s="18"/>
      <c r="X8383" s="18"/>
    </row>
    <row r="8384" spans="13:24">
      <c r="M8384" s="558">
        <f t="shared" si="395"/>
        <v>8382</v>
      </c>
      <c r="N8384" s="15">
        <f t="shared" si="393"/>
        <v>3.9429889538428235E-2</v>
      </c>
      <c r="O8384" s="165">
        <f t="shared" si="394"/>
        <v>3.9429889538428235E-2</v>
      </c>
      <c r="P8384" s="18"/>
      <c r="Q8384" s="18"/>
      <c r="R8384" s="18"/>
      <c r="S8384" s="18"/>
      <c r="T8384" s="18"/>
      <c r="U8384" s="18"/>
      <c r="V8384" s="18"/>
      <c r="W8384" s="18"/>
      <c r="X8384" s="18"/>
    </row>
    <row r="8385" spans="13:24">
      <c r="M8385" s="558">
        <f t="shared" si="395"/>
        <v>8383</v>
      </c>
      <c r="N8385" s="15">
        <f t="shared" si="393"/>
        <v>3.9378504514329109E-2</v>
      </c>
      <c r="O8385" s="165">
        <f t="shared" si="394"/>
        <v>3.9378504514329109E-2</v>
      </c>
      <c r="P8385" s="18"/>
      <c r="Q8385" s="18"/>
      <c r="R8385" s="18"/>
      <c r="S8385" s="18"/>
      <c r="T8385" s="18"/>
      <c r="U8385" s="18"/>
      <c r="V8385" s="18"/>
      <c r="W8385" s="18"/>
      <c r="X8385" s="18"/>
    </row>
    <row r="8386" spans="13:24">
      <c r="M8386" s="558">
        <f t="shared" si="395"/>
        <v>8384</v>
      </c>
      <c r="N8386" s="15">
        <f t="shared" si="393"/>
        <v>3.9327119509255923E-2</v>
      </c>
      <c r="O8386" s="165">
        <f t="shared" si="394"/>
        <v>3.9327119509255923E-2</v>
      </c>
      <c r="P8386" s="18"/>
      <c r="Q8386" s="18"/>
      <c r="R8386" s="18"/>
      <c r="S8386" s="18"/>
      <c r="T8386" s="18"/>
      <c r="U8386" s="18"/>
      <c r="V8386" s="18"/>
      <c r="W8386" s="18"/>
      <c r="X8386" s="18"/>
    </row>
    <row r="8387" spans="13:24">
      <c r="M8387" s="558">
        <f t="shared" si="395"/>
        <v>8385</v>
      </c>
      <c r="N8387" s="15">
        <f t="shared" si="393"/>
        <v>3.9275734523184815E-2</v>
      </c>
      <c r="O8387" s="165">
        <f t="shared" si="394"/>
        <v>3.9275734523184815E-2</v>
      </c>
      <c r="P8387" s="18"/>
      <c r="Q8387" s="18"/>
      <c r="R8387" s="18"/>
      <c r="S8387" s="18"/>
      <c r="T8387" s="18"/>
      <c r="U8387" s="18"/>
      <c r="V8387" s="18"/>
      <c r="W8387" s="18"/>
      <c r="X8387" s="18"/>
    </row>
    <row r="8388" spans="13:24">
      <c r="M8388" s="558">
        <f t="shared" si="395"/>
        <v>8386</v>
      </c>
      <c r="N8388" s="15">
        <f t="shared" ref="N8388:N8451" si="396">IF(M8388&lt;$B$31+1,$B$32+$B$33/$B$31*(8760-M8388)+$B$34*IF(M8388&lt;$B$36-$B$31/(2*$B$35),1,IF(M8388&lt;$B$36+$B$31/(2*$B$35),COS(PI()/2*(M8388-($B$36-$B$31/(2*$B$35)))*$B$35/$B$31)^2,0))+$B$37*EXP((8760-M8388)/8760*$B$38)/EXP($B$38)-(8760-$B$31)*$B$33/$B$31,0)</f>
        <v>3.9224349556091921E-2</v>
      </c>
      <c r="O8388" s="165">
        <f t="shared" ref="O8388:O8451" si="397">MIN(N8388,C$24)</f>
        <v>3.9224349556091921E-2</v>
      </c>
      <c r="P8388" s="18"/>
      <c r="Q8388" s="18"/>
      <c r="R8388" s="18"/>
      <c r="S8388" s="18"/>
      <c r="T8388" s="18"/>
      <c r="U8388" s="18"/>
      <c r="V8388" s="18"/>
      <c r="W8388" s="18"/>
      <c r="X8388" s="18"/>
    </row>
    <row r="8389" spans="13:24">
      <c r="M8389" s="558">
        <f t="shared" ref="M8389:M8452" si="398">M8388+1</f>
        <v>8387</v>
      </c>
      <c r="N8389" s="15">
        <f t="shared" si="396"/>
        <v>3.9172964607953442E-2</v>
      </c>
      <c r="O8389" s="165">
        <f t="shared" si="397"/>
        <v>3.9172964607953442E-2</v>
      </c>
      <c r="P8389" s="18"/>
      <c r="Q8389" s="18"/>
      <c r="R8389" s="18"/>
      <c r="S8389" s="18"/>
      <c r="T8389" s="18"/>
      <c r="U8389" s="18"/>
      <c r="V8389" s="18"/>
      <c r="W8389" s="18"/>
      <c r="X8389" s="18"/>
    </row>
    <row r="8390" spans="13:24">
      <c r="M8390" s="558">
        <f t="shared" si="398"/>
        <v>8388</v>
      </c>
      <c r="N8390" s="15">
        <f t="shared" si="396"/>
        <v>3.9121579678745584E-2</v>
      </c>
      <c r="O8390" s="165">
        <f t="shared" si="397"/>
        <v>3.9121579678745584E-2</v>
      </c>
      <c r="P8390" s="18"/>
      <c r="Q8390" s="18"/>
      <c r="R8390" s="18"/>
      <c r="S8390" s="18"/>
      <c r="T8390" s="18"/>
      <c r="U8390" s="18"/>
      <c r="V8390" s="18"/>
      <c r="W8390" s="18"/>
      <c r="X8390" s="18"/>
    </row>
    <row r="8391" spans="13:24">
      <c r="M8391" s="558">
        <f t="shared" si="398"/>
        <v>8389</v>
      </c>
      <c r="N8391" s="15">
        <f t="shared" si="396"/>
        <v>3.9070194768444581E-2</v>
      </c>
      <c r="O8391" s="165">
        <f t="shared" si="397"/>
        <v>3.9070194768444581E-2</v>
      </c>
      <c r="P8391" s="18"/>
      <c r="Q8391" s="18"/>
      <c r="R8391" s="18"/>
      <c r="S8391" s="18"/>
      <c r="T8391" s="18"/>
      <c r="U8391" s="18"/>
      <c r="V8391" s="18"/>
      <c r="W8391" s="18"/>
      <c r="X8391" s="18"/>
    </row>
    <row r="8392" spans="13:24">
      <c r="M8392" s="558">
        <f t="shared" si="398"/>
        <v>8390</v>
      </c>
      <c r="N8392" s="15">
        <f t="shared" si="396"/>
        <v>3.9018809877026724E-2</v>
      </c>
      <c r="O8392" s="165">
        <f t="shared" si="397"/>
        <v>3.9018809877026724E-2</v>
      </c>
      <c r="P8392" s="18"/>
      <c r="Q8392" s="18"/>
      <c r="R8392" s="18"/>
      <c r="S8392" s="18"/>
      <c r="T8392" s="18"/>
      <c r="U8392" s="18"/>
      <c r="V8392" s="18"/>
      <c r="W8392" s="18"/>
      <c r="X8392" s="18"/>
    </row>
    <row r="8393" spans="13:24">
      <c r="M8393" s="558">
        <f t="shared" si="398"/>
        <v>8391</v>
      </c>
      <c r="N8393" s="15">
        <f t="shared" si="396"/>
        <v>3.8967425004468301E-2</v>
      </c>
      <c r="O8393" s="165">
        <f t="shared" si="397"/>
        <v>3.8967425004468301E-2</v>
      </c>
      <c r="P8393" s="18"/>
      <c r="Q8393" s="18"/>
      <c r="R8393" s="18"/>
      <c r="S8393" s="18"/>
      <c r="T8393" s="18"/>
      <c r="U8393" s="18"/>
      <c r="V8393" s="18"/>
      <c r="W8393" s="18"/>
      <c r="X8393" s="18"/>
    </row>
    <row r="8394" spans="13:24">
      <c r="M8394" s="558">
        <f t="shared" si="398"/>
        <v>8392</v>
      </c>
      <c r="N8394" s="15">
        <f t="shared" si="396"/>
        <v>3.8916040150745658E-2</v>
      </c>
      <c r="O8394" s="165">
        <f t="shared" si="397"/>
        <v>3.8916040150745658E-2</v>
      </c>
      <c r="P8394" s="18"/>
      <c r="Q8394" s="18"/>
      <c r="R8394" s="18"/>
      <c r="S8394" s="18"/>
      <c r="T8394" s="18"/>
      <c r="U8394" s="18"/>
      <c r="V8394" s="18"/>
      <c r="W8394" s="18"/>
      <c r="X8394" s="18"/>
    </row>
    <row r="8395" spans="13:24">
      <c r="M8395" s="558">
        <f t="shared" si="398"/>
        <v>8393</v>
      </c>
      <c r="N8395" s="15">
        <f t="shared" si="396"/>
        <v>3.8864655315835148E-2</v>
      </c>
      <c r="O8395" s="165">
        <f t="shared" si="397"/>
        <v>3.8864655315835148E-2</v>
      </c>
      <c r="P8395" s="18"/>
      <c r="Q8395" s="18"/>
      <c r="R8395" s="18"/>
      <c r="S8395" s="18"/>
      <c r="T8395" s="18"/>
      <c r="U8395" s="18"/>
      <c r="V8395" s="18"/>
      <c r="W8395" s="18"/>
      <c r="X8395" s="18"/>
    </row>
    <row r="8396" spans="13:24">
      <c r="M8396" s="558">
        <f t="shared" si="398"/>
        <v>8394</v>
      </c>
      <c r="N8396" s="15">
        <f t="shared" si="396"/>
        <v>3.8813270499713164E-2</v>
      </c>
      <c r="O8396" s="165">
        <f t="shared" si="397"/>
        <v>3.8813270499713164E-2</v>
      </c>
      <c r="P8396" s="18"/>
      <c r="Q8396" s="18"/>
      <c r="R8396" s="18"/>
      <c r="S8396" s="18"/>
      <c r="T8396" s="18"/>
      <c r="U8396" s="18"/>
      <c r="V8396" s="18"/>
      <c r="W8396" s="18"/>
      <c r="X8396" s="18"/>
    </row>
    <row r="8397" spans="13:24">
      <c r="M8397" s="558">
        <f t="shared" si="398"/>
        <v>8395</v>
      </c>
      <c r="N8397" s="15">
        <f t="shared" si="396"/>
        <v>3.8761885702356128E-2</v>
      </c>
      <c r="O8397" s="165">
        <f t="shared" si="397"/>
        <v>3.8761885702356128E-2</v>
      </c>
      <c r="P8397" s="18"/>
      <c r="Q8397" s="18"/>
      <c r="R8397" s="18"/>
      <c r="S8397" s="18"/>
      <c r="T8397" s="18"/>
      <c r="U8397" s="18"/>
      <c r="V8397" s="18"/>
      <c r="W8397" s="18"/>
      <c r="X8397" s="18"/>
    </row>
    <row r="8398" spans="13:24">
      <c r="M8398" s="558">
        <f t="shared" si="398"/>
        <v>8396</v>
      </c>
      <c r="N8398" s="15">
        <f t="shared" si="396"/>
        <v>3.8710500923740496E-2</v>
      </c>
      <c r="O8398" s="165">
        <f t="shared" si="397"/>
        <v>3.8710500923740496E-2</v>
      </c>
      <c r="P8398" s="18"/>
      <c r="Q8398" s="18"/>
      <c r="R8398" s="18"/>
      <c r="S8398" s="18"/>
      <c r="T8398" s="18"/>
      <c r="U8398" s="18"/>
      <c r="V8398" s="18"/>
      <c r="W8398" s="18"/>
      <c r="X8398" s="18"/>
    </row>
    <row r="8399" spans="13:24">
      <c r="M8399" s="558">
        <f t="shared" si="398"/>
        <v>8397</v>
      </c>
      <c r="N8399" s="15">
        <f t="shared" si="396"/>
        <v>3.8659116163842745E-2</v>
      </c>
      <c r="O8399" s="165">
        <f t="shared" si="397"/>
        <v>3.8659116163842745E-2</v>
      </c>
      <c r="P8399" s="18"/>
      <c r="Q8399" s="18"/>
      <c r="R8399" s="18"/>
      <c r="S8399" s="18"/>
      <c r="T8399" s="18"/>
      <c r="U8399" s="18"/>
      <c r="V8399" s="18"/>
      <c r="W8399" s="18"/>
      <c r="X8399" s="18"/>
    </row>
    <row r="8400" spans="13:24">
      <c r="M8400" s="558">
        <f t="shared" si="398"/>
        <v>8398</v>
      </c>
      <c r="N8400" s="15">
        <f t="shared" si="396"/>
        <v>3.8607731422639388E-2</v>
      </c>
      <c r="O8400" s="165">
        <f t="shared" si="397"/>
        <v>3.8607731422639388E-2</v>
      </c>
      <c r="P8400" s="18"/>
      <c r="Q8400" s="18"/>
      <c r="R8400" s="18"/>
      <c r="S8400" s="18"/>
      <c r="T8400" s="18"/>
      <c r="U8400" s="18"/>
      <c r="V8400" s="18"/>
      <c r="W8400" s="18"/>
      <c r="X8400" s="18"/>
    </row>
    <row r="8401" spans="13:24">
      <c r="M8401" s="558">
        <f t="shared" si="398"/>
        <v>8399</v>
      </c>
      <c r="N8401" s="15">
        <f t="shared" si="396"/>
        <v>3.8556346700106957E-2</v>
      </c>
      <c r="O8401" s="165">
        <f t="shared" si="397"/>
        <v>3.8556346700106957E-2</v>
      </c>
      <c r="P8401" s="18"/>
      <c r="Q8401" s="18"/>
      <c r="R8401" s="18"/>
      <c r="S8401" s="18"/>
      <c r="T8401" s="18"/>
      <c r="U8401" s="18"/>
      <c r="V8401" s="18"/>
      <c r="W8401" s="18"/>
      <c r="X8401" s="18"/>
    </row>
    <row r="8402" spans="13:24">
      <c r="M8402" s="558">
        <f t="shared" si="398"/>
        <v>8400</v>
      </c>
      <c r="N8402" s="15">
        <f t="shared" si="396"/>
        <v>3.850496199622204E-2</v>
      </c>
      <c r="O8402" s="165">
        <f t="shared" si="397"/>
        <v>3.850496199622204E-2</v>
      </c>
      <c r="P8402" s="18"/>
      <c r="Q8402" s="18"/>
      <c r="R8402" s="18"/>
      <c r="S8402" s="18"/>
      <c r="T8402" s="18"/>
      <c r="U8402" s="18"/>
      <c r="V8402" s="18"/>
      <c r="W8402" s="18"/>
      <c r="X8402" s="18"/>
    </row>
    <row r="8403" spans="13:24">
      <c r="M8403" s="558">
        <f t="shared" si="398"/>
        <v>8401</v>
      </c>
      <c r="N8403" s="15">
        <f t="shared" si="396"/>
        <v>3.8453577310961218E-2</v>
      </c>
      <c r="O8403" s="165">
        <f t="shared" si="397"/>
        <v>3.8453577310961218E-2</v>
      </c>
      <c r="P8403" s="18"/>
      <c r="Q8403" s="18"/>
      <c r="R8403" s="18"/>
      <c r="S8403" s="18"/>
      <c r="T8403" s="18"/>
      <c r="U8403" s="18"/>
      <c r="V8403" s="18"/>
      <c r="W8403" s="18"/>
      <c r="X8403" s="18"/>
    </row>
    <row r="8404" spans="13:24">
      <c r="M8404" s="558">
        <f t="shared" si="398"/>
        <v>8402</v>
      </c>
      <c r="N8404" s="15">
        <f t="shared" si="396"/>
        <v>3.8402192644301135E-2</v>
      </c>
      <c r="O8404" s="165">
        <f t="shared" si="397"/>
        <v>3.8402192644301135E-2</v>
      </c>
      <c r="P8404" s="18"/>
      <c r="Q8404" s="18"/>
      <c r="R8404" s="18"/>
      <c r="S8404" s="18"/>
      <c r="T8404" s="18"/>
      <c r="U8404" s="18"/>
      <c r="V8404" s="18"/>
      <c r="W8404" s="18"/>
      <c r="X8404" s="18"/>
    </row>
    <row r="8405" spans="13:24">
      <c r="M8405" s="558">
        <f t="shared" si="398"/>
        <v>8403</v>
      </c>
      <c r="N8405" s="15">
        <f t="shared" si="396"/>
        <v>3.8350807996218428E-2</v>
      </c>
      <c r="O8405" s="165">
        <f t="shared" si="397"/>
        <v>3.8350807996218428E-2</v>
      </c>
      <c r="P8405" s="18"/>
      <c r="Q8405" s="18"/>
      <c r="R8405" s="18"/>
      <c r="S8405" s="18"/>
      <c r="T8405" s="18"/>
      <c r="U8405" s="18"/>
      <c r="V8405" s="18"/>
      <c r="W8405" s="18"/>
      <c r="X8405" s="18"/>
    </row>
    <row r="8406" spans="13:24">
      <c r="M8406" s="558">
        <f t="shared" si="398"/>
        <v>8404</v>
      </c>
      <c r="N8406" s="15">
        <f t="shared" si="396"/>
        <v>3.8299423366689803E-2</v>
      </c>
      <c r="O8406" s="165">
        <f t="shared" si="397"/>
        <v>3.8299423366689803E-2</v>
      </c>
      <c r="P8406" s="18"/>
      <c r="Q8406" s="18"/>
      <c r="R8406" s="18"/>
      <c r="S8406" s="18"/>
      <c r="T8406" s="18"/>
      <c r="U8406" s="18"/>
      <c r="V8406" s="18"/>
      <c r="W8406" s="18"/>
      <c r="X8406" s="18"/>
    </row>
    <row r="8407" spans="13:24">
      <c r="M8407" s="558">
        <f t="shared" si="398"/>
        <v>8405</v>
      </c>
      <c r="N8407" s="15">
        <f t="shared" si="396"/>
        <v>3.8248038755691965E-2</v>
      </c>
      <c r="O8407" s="165">
        <f t="shared" si="397"/>
        <v>3.8248038755691965E-2</v>
      </c>
      <c r="P8407" s="18"/>
      <c r="Q8407" s="18"/>
      <c r="R8407" s="18"/>
      <c r="S8407" s="18"/>
      <c r="T8407" s="18"/>
      <c r="U8407" s="18"/>
      <c r="V8407" s="18"/>
      <c r="W8407" s="18"/>
      <c r="X8407" s="18"/>
    </row>
    <row r="8408" spans="13:24">
      <c r="M8408" s="558">
        <f t="shared" si="398"/>
        <v>8406</v>
      </c>
      <c r="N8408" s="15">
        <f t="shared" si="396"/>
        <v>3.8196654163201664E-2</v>
      </c>
      <c r="O8408" s="165">
        <f t="shared" si="397"/>
        <v>3.8196654163201664E-2</v>
      </c>
      <c r="P8408" s="18"/>
      <c r="Q8408" s="18"/>
      <c r="R8408" s="18"/>
      <c r="S8408" s="18"/>
      <c r="T8408" s="18"/>
      <c r="U8408" s="18"/>
      <c r="V8408" s="18"/>
      <c r="W8408" s="18"/>
      <c r="X8408" s="18"/>
    </row>
    <row r="8409" spans="13:24">
      <c r="M8409" s="558">
        <f t="shared" si="398"/>
        <v>8407</v>
      </c>
      <c r="N8409" s="15">
        <f t="shared" si="396"/>
        <v>3.8145269589195674E-2</v>
      </c>
      <c r="O8409" s="165">
        <f t="shared" si="397"/>
        <v>3.8145269589195674E-2</v>
      </c>
      <c r="P8409" s="18"/>
      <c r="Q8409" s="18"/>
      <c r="R8409" s="18"/>
      <c r="S8409" s="18"/>
      <c r="T8409" s="18"/>
      <c r="U8409" s="18"/>
      <c r="V8409" s="18"/>
      <c r="W8409" s="18"/>
      <c r="X8409" s="18"/>
    </row>
    <row r="8410" spans="13:24">
      <c r="M8410" s="558">
        <f t="shared" si="398"/>
        <v>8408</v>
      </c>
      <c r="N8410" s="15">
        <f t="shared" si="396"/>
        <v>3.8093885033650798E-2</v>
      </c>
      <c r="O8410" s="165">
        <f t="shared" si="397"/>
        <v>3.8093885033650798E-2</v>
      </c>
      <c r="P8410" s="18"/>
      <c r="Q8410" s="18"/>
      <c r="R8410" s="18"/>
      <c r="S8410" s="18"/>
      <c r="T8410" s="18"/>
      <c r="U8410" s="18"/>
      <c r="V8410" s="18"/>
      <c r="W8410" s="18"/>
      <c r="X8410" s="18"/>
    </row>
    <row r="8411" spans="13:24">
      <c r="M8411" s="558">
        <f t="shared" si="398"/>
        <v>8409</v>
      </c>
      <c r="N8411" s="15">
        <f t="shared" si="396"/>
        <v>3.8042500496543868E-2</v>
      </c>
      <c r="O8411" s="165">
        <f t="shared" si="397"/>
        <v>3.8042500496543868E-2</v>
      </c>
      <c r="P8411" s="18"/>
      <c r="Q8411" s="18"/>
      <c r="R8411" s="18"/>
      <c r="S8411" s="18"/>
      <c r="T8411" s="18"/>
      <c r="U8411" s="18"/>
      <c r="V8411" s="18"/>
      <c r="W8411" s="18"/>
      <c r="X8411" s="18"/>
    </row>
    <row r="8412" spans="13:24">
      <c r="M8412" s="558">
        <f t="shared" si="398"/>
        <v>8410</v>
      </c>
      <c r="N8412" s="15">
        <f t="shared" si="396"/>
        <v>3.799111597785175E-2</v>
      </c>
      <c r="O8412" s="165">
        <f t="shared" si="397"/>
        <v>3.799111597785175E-2</v>
      </c>
      <c r="P8412" s="18"/>
      <c r="Q8412" s="18"/>
      <c r="R8412" s="18"/>
      <c r="S8412" s="18"/>
      <c r="T8412" s="18"/>
      <c r="U8412" s="18"/>
      <c r="V8412" s="18"/>
      <c r="W8412" s="18"/>
      <c r="X8412" s="18"/>
    </row>
    <row r="8413" spans="13:24">
      <c r="M8413" s="558">
        <f t="shared" si="398"/>
        <v>8411</v>
      </c>
      <c r="N8413" s="15">
        <f t="shared" si="396"/>
        <v>3.7939731477551322E-2</v>
      </c>
      <c r="O8413" s="165">
        <f t="shared" si="397"/>
        <v>3.7939731477551322E-2</v>
      </c>
      <c r="P8413" s="18"/>
      <c r="Q8413" s="18"/>
      <c r="R8413" s="18"/>
      <c r="S8413" s="18"/>
      <c r="T8413" s="18"/>
      <c r="U8413" s="18"/>
      <c r="V8413" s="18"/>
      <c r="W8413" s="18"/>
      <c r="X8413" s="18"/>
    </row>
    <row r="8414" spans="13:24">
      <c r="M8414" s="558">
        <f t="shared" si="398"/>
        <v>8412</v>
      </c>
      <c r="N8414" s="15">
        <f t="shared" si="396"/>
        <v>3.7888346995619521E-2</v>
      </c>
      <c r="O8414" s="165">
        <f t="shared" si="397"/>
        <v>3.7888346995619521E-2</v>
      </c>
      <c r="P8414" s="18"/>
      <c r="Q8414" s="18"/>
      <c r="R8414" s="18"/>
      <c r="S8414" s="18"/>
      <c r="T8414" s="18"/>
      <c r="U8414" s="18"/>
      <c r="V8414" s="18"/>
      <c r="W8414" s="18"/>
      <c r="X8414" s="18"/>
    </row>
    <row r="8415" spans="13:24">
      <c r="M8415" s="558">
        <f t="shared" si="398"/>
        <v>8413</v>
      </c>
      <c r="N8415" s="15">
        <f t="shared" si="396"/>
        <v>3.783696253203328E-2</v>
      </c>
      <c r="O8415" s="165">
        <f t="shared" si="397"/>
        <v>3.783696253203328E-2</v>
      </c>
      <c r="P8415" s="18"/>
      <c r="Q8415" s="18"/>
      <c r="R8415" s="18"/>
      <c r="S8415" s="18"/>
      <c r="T8415" s="18"/>
      <c r="U8415" s="18"/>
      <c r="V8415" s="18"/>
      <c r="W8415" s="18"/>
      <c r="X8415" s="18"/>
    </row>
    <row r="8416" spans="13:24">
      <c r="M8416" s="558">
        <f t="shared" si="398"/>
        <v>8414</v>
      </c>
      <c r="N8416" s="15">
        <f t="shared" si="396"/>
        <v>3.7785578086769592E-2</v>
      </c>
      <c r="O8416" s="165">
        <f t="shared" si="397"/>
        <v>3.7785578086769592E-2</v>
      </c>
      <c r="P8416" s="18"/>
      <c r="Q8416" s="18"/>
      <c r="R8416" s="18"/>
      <c r="S8416" s="18"/>
      <c r="T8416" s="18"/>
      <c r="U8416" s="18"/>
      <c r="V8416" s="18"/>
      <c r="W8416" s="18"/>
      <c r="X8416" s="18"/>
    </row>
    <row r="8417" spans="13:24">
      <c r="M8417" s="558">
        <f t="shared" si="398"/>
        <v>8415</v>
      </c>
      <c r="N8417" s="15">
        <f t="shared" si="396"/>
        <v>3.7734193659805453E-2</v>
      </c>
      <c r="O8417" s="165">
        <f t="shared" si="397"/>
        <v>3.7734193659805453E-2</v>
      </c>
      <c r="P8417" s="18"/>
      <c r="Q8417" s="18"/>
      <c r="R8417" s="18"/>
      <c r="S8417" s="18"/>
      <c r="T8417" s="18"/>
      <c r="U8417" s="18"/>
      <c r="V8417" s="18"/>
      <c r="W8417" s="18"/>
      <c r="X8417" s="18"/>
    </row>
    <row r="8418" spans="13:24">
      <c r="M8418" s="558">
        <f t="shared" si="398"/>
        <v>8416</v>
      </c>
      <c r="N8418" s="15">
        <f t="shared" si="396"/>
        <v>3.7682809251117902E-2</v>
      </c>
      <c r="O8418" s="165">
        <f t="shared" si="397"/>
        <v>3.7682809251117902E-2</v>
      </c>
      <c r="P8418" s="18"/>
      <c r="Q8418" s="18"/>
      <c r="R8418" s="18"/>
      <c r="S8418" s="18"/>
      <c r="T8418" s="18"/>
      <c r="U8418" s="18"/>
      <c r="V8418" s="18"/>
      <c r="W8418" s="18"/>
      <c r="X8418" s="18"/>
    </row>
    <row r="8419" spans="13:24">
      <c r="M8419" s="558">
        <f t="shared" si="398"/>
        <v>8417</v>
      </c>
      <c r="N8419" s="15">
        <f t="shared" si="396"/>
        <v>3.7631424860684007E-2</v>
      </c>
      <c r="O8419" s="165">
        <f t="shared" si="397"/>
        <v>3.7631424860684007E-2</v>
      </c>
      <c r="P8419" s="18"/>
      <c r="Q8419" s="18"/>
      <c r="R8419" s="18"/>
      <c r="S8419" s="18"/>
      <c r="T8419" s="18"/>
      <c r="U8419" s="18"/>
      <c r="V8419" s="18"/>
      <c r="W8419" s="18"/>
      <c r="X8419" s="18"/>
    </row>
    <row r="8420" spans="13:24">
      <c r="M8420" s="558">
        <f t="shared" si="398"/>
        <v>8418</v>
      </c>
      <c r="N8420" s="15">
        <f t="shared" si="396"/>
        <v>3.7580040488480862E-2</v>
      </c>
      <c r="O8420" s="165">
        <f t="shared" si="397"/>
        <v>3.7580040488480862E-2</v>
      </c>
      <c r="P8420" s="18"/>
      <c r="Q8420" s="18"/>
      <c r="R8420" s="18"/>
      <c r="S8420" s="18"/>
      <c r="T8420" s="18"/>
      <c r="U8420" s="18"/>
      <c r="V8420" s="18"/>
      <c r="W8420" s="18"/>
      <c r="X8420" s="18"/>
    </row>
    <row r="8421" spans="13:24">
      <c r="M8421" s="558">
        <f t="shared" si="398"/>
        <v>8419</v>
      </c>
      <c r="N8421" s="15">
        <f t="shared" si="396"/>
        <v>3.7528656134485576E-2</v>
      </c>
      <c r="O8421" s="165">
        <f t="shared" si="397"/>
        <v>3.7528656134485576E-2</v>
      </c>
      <c r="P8421" s="18"/>
      <c r="Q8421" s="18"/>
      <c r="R8421" s="18"/>
      <c r="S8421" s="18"/>
      <c r="T8421" s="18"/>
      <c r="U8421" s="18"/>
      <c r="V8421" s="18"/>
      <c r="W8421" s="18"/>
      <c r="X8421" s="18"/>
    </row>
    <row r="8422" spans="13:24">
      <c r="M8422" s="558">
        <f t="shared" si="398"/>
        <v>8420</v>
      </c>
      <c r="N8422" s="15">
        <f t="shared" si="396"/>
        <v>3.7477271798675313E-2</v>
      </c>
      <c r="O8422" s="165">
        <f t="shared" si="397"/>
        <v>3.7477271798675313E-2</v>
      </c>
      <c r="P8422" s="18"/>
      <c r="Q8422" s="18"/>
      <c r="R8422" s="18"/>
      <c r="S8422" s="18"/>
      <c r="T8422" s="18"/>
      <c r="U8422" s="18"/>
      <c r="V8422" s="18"/>
      <c r="W8422" s="18"/>
      <c r="X8422" s="18"/>
    </row>
    <row r="8423" spans="13:24">
      <c r="M8423" s="558">
        <f t="shared" si="398"/>
        <v>8421</v>
      </c>
      <c r="N8423" s="15">
        <f t="shared" si="396"/>
        <v>3.7425887481027251E-2</v>
      </c>
      <c r="O8423" s="165">
        <f t="shared" si="397"/>
        <v>3.7425887481027251E-2</v>
      </c>
      <c r="P8423" s="18"/>
      <c r="Q8423" s="18"/>
      <c r="R8423" s="18"/>
      <c r="S8423" s="18"/>
      <c r="T8423" s="18"/>
      <c r="U8423" s="18"/>
      <c r="V8423" s="18"/>
      <c r="W8423" s="18"/>
      <c r="X8423" s="18"/>
    </row>
    <row r="8424" spans="13:24">
      <c r="M8424" s="558">
        <f t="shared" si="398"/>
        <v>8422</v>
      </c>
      <c r="N8424" s="15">
        <f t="shared" si="396"/>
        <v>3.7374503181518588E-2</v>
      </c>
      <c r="O8424" s="165">
        <f t="shared" si="397"/>
        <v>3.7374503181518588E-2</v>
      </c>
      <c r="P8424" s="18"/>
      <c r="Q8424" s="18"/>
      <c r="R8424" s="18"/>
      <c r="S8424" s="18"/>
      <c r="T8424" s="18"/>
      <c r="U8424" s="18"/>
      <c r="V8424" s="18"/>
      <c r="W8424" s="18"/>
      <c r="X8424" s="18"/>
    </row>
    <row r="8425" spans="13:24">
      <c r="M8425" s="558">
        <f t="shared" si="398"/>
        <v>8423</v>
      </c>
      <c r="N8425" s="15">
        <f t="shared" si="396"/>
        <v>3.7323118900126566E-2</v>
      </c>
      <c r="O8425" s="165">
        <f t="shared" si="397"/>
        <v>3.7323118900126566E-2</v>
      </c>
      <c r="P8425" s="18"/>
      <c r="Q8425" s="18"/>
      <c r="R8425" s="18"/>
      <c r="S8425" s="18"/>
      <c r="T8425" s="18"/>
      <c r="U8425" s="18"/>
      <c r="V8425" s="18"/>
      <c r="W8425" s="18"/>
      <c r="X8425" s="18"/>
    </row>
    <row r="8426" spans="13:24">
      <c r="M8426" s="558">
        <f t="shared" si="398"/>
        <v>8424</v>
      </c>
      <c r="N8426" s="15">
        <f t="shared" si="396"/>
        <v>3.7271734636828459E-2</v>
      </c>
      <c r="O8426" s="165">
        <f t="shared" si="397"/>
        <v>3.7271734636828459E-2</v>
      </c>
      <c r="P8426" s="18"/>
      <c r="Q8426" s="18"/>
      <c r="R8426" s="18"/>
      <c r="S8426" s="18"/>
      <c r="T8426" s="18"/>
      <c r="U8426" s="18"/>
      <c r="V8426" s="18"/>
      <c r="W8426" s="18"/>
      <c r="X8426" s="18"/>
    </row>
    <row r="8427" spans="13:24">
      <c r="M8427" s="558">
        <f t="shared" si="398"/>
        <v>8425</v>
      </c>
      <c r="N8427" s="15">
        <f t="shared" si="396"/>
        <v>3.7220350391601542E-2</v>
      </c>
      <c r="O8427" s="165">
        <f t="shared" si="397"/>
        <v>3.7220350391601542E-2</v>
      </c>
      <c r="P8427" s="18"/>
      <c r="Q8427" s="18"/>
      <c r="R8427" s="18"/>
      <c r="S8427" s="18"/>
      <c r="T8427" s="18"/>
      <c r="U8427" s="18"/>
      <c r="V8427" s="18"/>
      <c r="W8427" s="18"/>
      <c r="X8427" s="18"/>
    </row>
    <row r="8428" spans="13:24">
      <c r="M8428" s="558">
        <f t="shared" si="398"/>
        <v>8426</v>
      </c>
      <c r="N8428" s="15">
        <f t="shared" si="396"/>
        <v>3.7168966164423146E-2</v>
      </c>
      <c r="O8428" s="165">
        <f t="shared" si="397"/>
        <v>3.7168966164423146E-2</v>
      </c>
      <c r="P8428" s="18"/>
      <c r="Q8428" s="18"/>
      <c r="R8428" s="18"/>
      <c r="S8428" s="18"/>
      <c r="T8428" s="18"/>
      <c r="U8428" s="18"/>
      <c r="V8428" s="18"/>
      <c r="W8428" s="18"/>
      <c r="X8428" s="18"/>
    </row>
    <row r="8429" spans="13:24">
      <c r="M8429" s="558">
        <f t="shared" si="398"/>
        <v>8427</v>
      </c>
      <c r="N8429" s="15">
        <f t="shared" si="396"/>
        <v>3.711758195527063E-2</v>
      </c>
      <c r="O8429" s="165">
        <f t="shared" si="397"/>
        <v>3.711758195527063E-2</v>
      </c>
      <c r="P8429" s="18"/>
      <c r="Q8429" s="18"/>
      <c r="R8429" s="18"/>
      <c r="S8429" s="18"/>
      <c r="T8429" s="18"/>
      <c r="U8429" s="18"/>
      <c r="V8429" s="18"/>
      <c r="W8429" s="18"/>
      <c r="X8429" s="18"/>
    </row>
    <row r="8430" spans="13:24">
      <c r="M8430" s="558">
        <f t="shared" si="398"/>
        <v>8428</v>
      </c>
      <c r="N8430" s="15">
        <f t="shared" si="396"/>
        <v>3.7066197764121366E-2</v>
      </c>
      <c r="O8430" s="165">
        <f t="shared" si="397"/>
        <v>3.7066197764121366E-2</v>
      </c>
      <c r="P8430" s="18"/>
      <c r="Q8430" s="18"/>
      <c r="R8430" s="18"/>
      <c r="S8430" s="18"/>
      <c r="T8430" s="18"/>
      <c r="U8430" s="18"/>
      <c r="V8430" s="18"/>
      <c r="W8430" s="18"/>
      <c r="X8430" s="18"/>
    </row>
    <row r="8431" spans="13:24">
      <c r="M8431" s="558">
        <f t="shared" si="398"/>
        <v>8429</v>
      </c>
      <c r="N8431" s="15">
        <f t="shared" si="396"/>
        <v>3.7014813590952766E-2</v>
      </c>
      <c r="O8431" s="165">
        <f t="shared" si="397"/>
        <v>3.7014813590952766E-2</v>
      </c>
      <c r="P8431" s="18"/>
      <c r="Q8431" s="18"/>
      <c r="R8431" s="18"/>
      <c r="S8431" s="18"/>
      <c r="T8431" s="18"/>
      <c r="U8431" s="18"/>
      <c r="V8431" s="18"/>
      <c r="W8431" s="18"/>
      <c r="X8431" s="18"/>
    </row>
    <row r="8432" spans="13:24">
      <c r="M8432" s="558">
        <f t="shared" si="398"/>
        <v>8430</v>
      </c>
      <c r="N8432" s="15">
        <f t="shared" si="396"/>
        <v>3.6963429435742247E-2</v>
      </c>
      <c r="O8432" s="165">
        <f t="shared" si="397"/>
        <v>3.6963429435742247E-2</v>
      </c>
      <c r="P8432" s="18"/>
      <c r="Q8432" s="18"/>
      <c r="R8432" s="18"/>
      <c r="S8432" s="18"/>
      <c r="T8432" s="18"/>
      <c r="U8432" s="18"/>
      <c r="V8432" s="18"/>
      <c r="W8432" s="18"/>
      <c r="X8432" s="18"/>
    </row>
    <row r="8433" spans="13:24">
      <c r="M8433" s="558">
        <f t="shared" si="398"/>
        <v>8431</v>
      </c>
      <c r="N8433" s="15">
        <f t="shared" si="396"/>
        <v>3.6912045298467297E-2</v>
      </c>
      <c r="O8433" s="165">
        <f t="shared" si="397"/>
        <v>3.6912045298467297E-2</v>
      </c>
      <c r="P8433" s="18"/>
      <c r="Q8433" s="18"/>
      <c r="R8433" s="18"/>
      <c r="S8433" s="18"/>
      <c r="T8433" s="18"/>
      <c r="U8433" s="18"/>
      <c r="V8433" s="18"/>
      <c r="W8433" s="18"/>
      <c r="X8433" s="18"/>
    </row>
    <row r="8434" spans="13:24">
      <c r="M8434" s="558">
        <f t="shared" si="398"/>
        <v>8432</v>
      </c>
      <c r="N8434" s="15">
        <f t="shared" si="396"/>
        <v>3.68606611791054E-2</v>
      </c>
      <c r="O8434" s="165">
        <f t="shared" si="397"/>
        <v>3.68606611791054E-2</v>
      </c>
      <c r="P8434" s="18"/>
      <c r="Q8434" s="18"/>
      <c r="R8434" s="18"/>
      <c r="S8434" s="18"/>
      <c r="T8434" s="18"/>
      <c r="U8434" s="18"/>
      <c r="V8434" s="18"/>
      <c r="W8434" s="18"/>
      <c r="X8434" s="18"/>
    </row>
    <row r="8435" spans="13:24">
      <c r="M8435" s="558">
        <f t="shared" si="398"/>
        <v>8433</v>
      </c>
      <c r="N8435" s="15">
        <f t="shared" si="396"/>
        <v>3.6809277077634074E-2</v>
      </c>
      <c r="O8435" s="165">
        <f t="shared" si="397"/>
        <v>3.6809277077634074E-2</v>
      </c>
      <c r="P8435" s="18"/>
      <c r="Q8435" s="18"/>
      <c r="R8435" s="18"/>
      <c r="S8435" s="18"/>
      <c r="T8435" s="18"/>
      <c r="U8435" s="18"/>
      <c r="V8435" s="18"/>
      <c r="W8435" s="18"/>
      <c r="X8435" s="18"/>
    </row>
    <row r="8436" spans="13:24">
      <c r="M8436" s="558">
        <f t="shared" si="398"/>
        <v>8434</v>
      </c>
      <c r="N8436" s="15">
        <f t="shared" si="396"/>
        <v>3.6757892994030865E-2</v>
      </c>
      <c r="O8436" s="165">
        <f t="shared" si="397"/>
        <v>3.6757892994030865E-2</v>
      </c>
      <c r="P8436" s="18"/>
      <c r="Q8436" s="18"/>
      <c r="R8436" s="18"/>
      <c r="S8436" s="18"/>
      <c r="T8436" s="18"/>
      <c r="U8436" s="18"/>
      <c r="V8436" s="18"/>
      <c r="W8436" s="18"/>
      <c r="X8436" s="18"/>
    </row>
    <row r="8437" spans="13:24">
      <c r="M8437" s="558">
        <f t="shared" si="398"/>
        <v>8435</v>
      </c>
      <c r="N8437" s="15">
        <f t="shared" si="396"/>
        <v>3.670650892827336E-2</v>
      </c>
      <c r="O8437" s="165">
        <f t="shared" si="397"/>
        <v>3.670650892827336E-2</v>
      </c>
      <c r="P8437" s="18"/>
      <c r="Q8437" s="18"/>
      <c r="R8437" s="18"/>
      <c r="S8437" s="18"/>
      <c r="T8437" s="18"/>
      <c r="U8437" s="18"/>
      <c r="V8437" s="18"/>
      <c r="W8437" s="18"/>
      <c r="X8437" s="18"/>
    </row>
    <row r="8438" spans="13:24">
      <c r="M8438" s="558">
        <f t="shared" si="398"/>
        <v>8436</v>
      </c>
      <c r="N8438" s="15">
        <f t="shared" si="396"/>
        <v>3.6655124880339153E-2</v>
      </c>
      <c r="O8438" s="165">
        <f t="shared" si="397"/>
        <v>3.6655124880339153E-2</v>
      </c>
      <c r="P8438" s="18"/>
      <c r="Q8438" s="18"/>
      <c r="R8438" s="18"/>
      <c r="S8438" s="18"/>
      <c r="T8438" s="18"/>
      <c r="U8438" s="18"/>
      <c r="V8438" s="18"/>
      <c r="W8438" s="18"/>
      <c r="X8438" s="18"/>
    </row>
    <row r="8439" spans="13:24">
      <c r="M8439" s="558">
        <f t="shared" si="398"/>
        <v>8437</v>
      </c>
      <c r="N8439" s="15">
        <f t="shared" si="396"/>
        <v>3.6603740850205888E-2</v>
      </c>
      <c r="O8439" s="165">
        <f t="shared" si="397"/>
        <v>3.6603740850205888E-2</v>
      </c>
      <c r="P8439" s="18"/>
      <c r="Q8439" s="18"/>
      <c r="R8439" s="18"/>
      <c r="S8439" s="18"/>
      <c r="T8439" s="18"/>
      <c r="U8439" s="18"/>
      <c r="V8439" s="18"/>
      <c r="W8439" s="18"/>
      <c r="X8439" s="18"/>
    </row>
    <row r="8440" spans="13:24">
      <c r="M8440" s="558">
        <f t="shared" si="398"/>
        <v>8438</v>
      </c>
      <c r="N8440" s="15">
        <f t="shared" si="396"/>
        <v>3.6552356837851213E-2</v>
      </c>
      <c r="O8440" s="165">
        <f t="shared" si="397"/>
        <v>3.6552356837851213E-2</v>
      </c>
      <c r="P8440" s="18"/>
      <c r="Q8440" s="18"/>
      <c r="R8440" s="18"/>
      <c r="S8440" s="18"/>
      <c r="T8440" s="18"/>
      <c r="U8440" s="18"/>
      <c r="V8440" s="18"/>
      <c r="W8440" s="18"/>
      <c r="X8440" s="18"/>
    </row>
    <row r="8441" spans="13:24">
      <c r="M8441" s="558">
        <f t="shared" si="398"/>
        <v>8439</v>
      </c>
      <c r="N8441" s="15">
        <f t="shared" si="396"/>
        <v>3.6500972843252828E-2</v>
      </c>
      <c r="O8441" s="165">
        <f t="shared" si="397"/>
        <v>3.6500972843252828E-2</v>
      </c>
      <c r="P8441" s="18"/>
      <c r="Q8441" s="18"/>
      <c r="R8441" s="18"/>
      <c r="S8441" s="18"/>
      <c r="T8441" s="18"/>
      <c r="U8441" s="18"/>
      <c r="V8441" s="18"/>
      <c r="W8441" s="18"/>
      <c r="X8441" s="18"/>
    </row>
    <row r="8442" spans="13:24">
      <c r="M8442" s="558">
        <f t="shared" si="398"/>
        <v>8440</v>
      </c>
      <c r="N8442" s="15">
        <f t="shared" si="396"/>
        <v>3.6449588866388445E-2</v>
      </c>
      <c r="O8442" s="165">
        <f t="shared" si="397"/>
        <v>3.6449588866388445E-2</v>
      </c>
      <c r="P8442" s="18"/>
      <c r="Q8442" s="18"/>
      <c r="R8442" s="18"/>
      <c r="S8442" s="18"/>
      <c r="T8442" s="18"/>
      <c r="U8442" s="18"/>
      <c r="V8442" s="18"/>
      <c r="W8442" s="18"/>
      <c r="X8442" s="18"/>
    </row>
    <row r="8443" spans="13:24">
      <c r="M8443" s="558">
        <f t="shared" si="398"/>
        <v>8441</v>
      </c>
      <c r="N8443" s="15">
        <f t="shared" si="396"/>
        <v>3.6398204907235811E-2</v>
      </c>
      <c r="O8443" s="165">
        <f t="shared" si="397"/>
        <v>3.6398204907235811E-2</v>
      </c>
      <c r="P8443" s="18"/>
      <c r="Q8443" s="18"/>
      <c r="R8443" s="18"/>
      <c r="S8443" s="18"/>
      <c r="T8443" s="18"/>
      <c r="U8443" s="18"/>
      <c r="V8443" s="18"/>
      <c r="W8443" s="18"/>
      <c r="X8443" s="18"/>
    </row>
    <row r="8444" spans="13:24">
      <c r="M8444" s="558">
        <f t="shared" si="398"/>
        <v>8442</v>
      </c>
      <c r="N8444" s="15">
        <f t="shared" si="396"/>
        <v>3.63468209657727E-2</v>
      </c>
      <c r="O8444" s="165">
        <f t="shared" si="397"/>
        <v>3.63468209657727E-2</v>
      </c>
      <c r="P8444" s="18"/>
      <c r="Q8444" s="18"/>
      <c r="R8444" s="18"/>
      <c r="S8444" s="18"/>
      <c r="T8444" s="18"/>
      <c r="U8444" s="18"/>
      <c r="V8444" s="18"/>
      <c r="W8444" s="18"/>
      <c r="X8444" s="18"/>
    </row>
    <row r="8445" spans="13:24">
      <c r="M8445" s="558">
        <f t="shared" si="398"/>
        <v>8443</v>
      </c>
      <c r="N8445" s="15">
        <f t="shared" si="396"/>
        <v>3.6295437041976915E-2</v>
      </c>
      <c r="O8445" s="165">
        <f t="shared" si="397"/>
        <v>3.6295437041976915E-2</v>
      </c>
      <c r="P8445" s="18"/>
      <c r="Q8445" s="18"/>
      <c r="R8445" s="18"/>
      <c r="S8445" s="18"/>
      <c r="T8445" s="18"/>
      <c r="U8445" s="18"/>
      <c r="V8445" s="18"/>
      <c r="W8445" s="18"/>
      <c r="X8445" s="18"/>
    </row>
    <row r="8446" spans="13:24">
      <c r="M8446" s="558">
        <f t="shared" si="398"/>
        <v>8444</v>
      </c>
      <c r="N8446" s="15">
        <f t="shared" si="396"/>
        <v>3.6244053135826279E-2</v>
      </c>
      <c r="O8446" s="165">
        <f t="shared" si="397"/>
        <v>3.6244053135826279E-2</v>
      </c>
      <c r="P8446" s="18"/>
      <c r="Q8446" s="18"/>
      <c r="R8446" s="18"/>
      <c r="S8446" s="18"/>
      <c r="T8446" s="18"/>
      <c r="U8446" s="18"/>
      <c r="V8446" s="18"/>
      <c r="W8446" s="18"/>
      <c r="X8446" s="18"/>
    </row>
    <row r="8447" spans="13:24">
      <c r="M8447" s="558">
        <f t="shared" si="398"/>
        <v>8445</v>
      </c>
      <c r="N8447" s="15">
        <f t="shared" si="396"/>
        <v>3.6192669247298644E-2</v>
      </c>
      <c r="O8447" s="165">
        <f t="shared" si="397"/>
        <v>3.6192669247298644E-2</v>
      </c>
      <c r="P8447" s="18"/>
      <c r="Q8447" s="18"/>
      <c r="R8447" s="18"/>
      <c r="S8447" s="18"/>
      <c r="T8447" s="18"/>
      <c r="U8447" s="18"/>
      <c r="V8447" s="18"/>
      <c r="W8447" s="18"/>
      <c r="X8447" s="18"/>
    </row>
    <row r="8448" spans="13:24">
      <c r="M8448" s="558">
        <f t="shared" si="398"/>
        <v>8446</v>
      </c>
      <c r="N8448" s="15">
        <f t="shared" si="396"/>
        <v>3.6141285376371915E-2</v>
      </c>
      <c r="O8448" s="165">
        <f t="shared" si="397"/>
        <v>3.6141285376371915E-2</v>
      </c>
      <c r="P8448" s="18"/>
      <c r="Q8448" s="18"/>
      <c r="R8448" s="18"/>
      <c r="S8448" s="18"/>
      <c r="T8448" s="18"/>
      <c r="U8448" s="18"/>
      <c r="V8448" s="18"/>
      <c r="W8448" s="18"/>
      <c r="X8448" s="18"/>
    </row>
    <row r="8449" spans="13:24">
      <c r="M8449" s="558">
        <f t="shared" si="398"/>
        <v>8447</v>
      </c>
      <c r="N8449" s="15">
        <f t="shared" si="396"/>
        <v>3.6089901523023986E-2</v>
      </c>
      <c r="O8449" s="165">
        <f t="shared" si="397"/>
        <v>3.6089901523023986E-2</v>
      </c>
      <c r="P8449" s="18"/>
      <c r="Q8449" s="18"/>
      <c r="R8449" s="18"/>
      <c r="S8449" s="18"/>
      <c r="T8449" s="18"/>
      <c r="U8449" s="18"/>
      <c r="V8449" s="18"/>
      <c r="W8449" s="18"/>
      <c r="X8449" s="18"/>
    </row>
    <row r="8450" spans="13:24">
      <c r="M8450" s="558">
        <f t="shared" si="398"/>
        <v>8448</v>
      </c>
      <c r="N8450" s="15">
        <f t="shared" si="396"/>
        <v>3.6038517687232811E-2</v>
      </c>
      <c r="O8450" s="165">
        <f t="shared" si="397"/>
        <v>3.6038517687232811E-2</v>
      </c>
      <c r="P8450" s="18"/>
      <c r="Q8450" s="18"/>
      <c r="R8450" s="18"/>
      <c r="S8450" s="18"/>
      <c r="T8450" s="18"/>
      <c r="U8450" s="18"/>
      <c r="V8450" s="18"/>
      <c r="W8450" s="18"/>
      <c r="X8450" s="18"/>
    </row>
    <row r="8451" spans="13:24">
      <c r="M8451" s="558">
        <f t="shared" si="398"/>
        <v>8449</v>
      </c>
      <c r="N8451" s="15">
        <f t="shared" si="396"/>
        <v>3.5987133868976347E-2</v>
      </c>
      <c r="O8451" s="165">
        <f t="shared" si="397"/>
        <v>3.5987133868976347E-2</v>
      </c>
      <c r="P8451" s="18"/>
      <c r="Q8451" s="18"/>
      <c r="R8451" s="18"/>
      <c r="S8451" s="18"/>
      <c r="T8451" s="18"/>
      <c r="U8451" s="18"/>
      <c r="V8451" s="18"/>
      <c r="W8451" s="18"/>
      <c r="X8451" s="18"/>
    </row>
    <row r="8452" spans="13:24">
      <c r="M8452" s="558">
        <f t="shared" si="398"/>
        <v>8450</v>
      </c>
      <c r="N8452" s="15">
        <f t="shared" ref="N8452:N8515" si="399">IF(M8452&lt;$B$31+1,$B$32+$B$33/$B$31*(8760-M8452)+$B$34*IF(M8452&lt;$B$36-$B$31/(2*$B$35),1,IF(M8452&lt;$B$36+$B$31/(2*$B$35),COS(PI()/2*(M8452-($B$36-$B$31/(2*$B$35)))*$B$35/$B$31)^2,0))+$B$37*EXP((8760-M8452)/8760*$B$38)/EXP($B$38)-(8760-$B$31)*$B$33/$B$31,0)</f>
        <v>3.5935750068232589E-2</v>
      </c>
      <c r="O8452" s="165">
        <f t="shared" ref="O8452:O8515" si="400">MIN(N8452,C$24)</f>
        <v>3.5935750068232589E-2</v>
      </c>
      <c r="P8452" s="18"/>
      <c r="Q8452" s="18"/>
      <c r="R8452" s="18"/>
      <c r="S8452" s="18"/>
      <c r="T8452" s="18"/>
      <c r="U8452" s="18"/>
      <c r="V8452" s="18"/>
      <c r="W8452" s="18"/>
      <c r="X8452" s="18"/>
    </row>
    <row r="8453" spans="13:24">
      <c r="M8453" s="558">
        <f t="shared" ref="M8453:M8516" si="401">M8452+1</f>
        <v>8451</v>
      </c>
      <c r="N8453" s="15">
        <f t="shared" si="399"/>
        <v>3.5884366284979562E-2</v>
      </c>
      <c r="O8453" s="165">
        <f t="shared" si="400"/>
        <v>3.5884366284979562E-2</v>
      </c>
      <c r="P8453" s="18"/>
      <c r="Q8453" s="18"/>
      <c r="R8453" s="18"/>
      <c r="S8453" s="18"/>
      <c r="T8453" s="18"/>
      <c r="U8453" s="18"/>
      <c r="V8453" s="18"/>
      <c r="W8453" s="18"/>
      <c r="X8453" s="18"/>
    </row>
    <row r="8454" spans="13:24">
      <c r="M8454" s="558">
        <f t="shared" si="401"/>
        <v>8452</v>
      </c>
      <c r="N8454" s="15">
        <f t="shared" si="399"/>
        <v>3.5832982519195318E-2</v>
      </c>
      <c r="O8454" s="165">
        <f t="shared" si="400"/>
        <v>3.5832982519195318E-2</v>
      </c>
      <c r="P8454" s="18"/>
      <c r="Q8454" s="18"/>
      <c r="R8454" s="18"/>
      <c r="S8454" s="18"/>
      <c r="T8454" s="18"/>
      <c r="U8454" s="18"/>
      <c r="V8454" s="18"/>
      <c r="W8454" s="18"/>
      <c r="X8454" s="18"/>
    </row>
    <row r="8455" spans="13:24">
      <c r="M8455" s="558">
        <f t="shared" si="401"/>
        <v>8453</v>
      </c>
      <c r="N8455" s="15">
        <f t="shared" si="399"/>
        <v>3.5781598770857938E-2</v>
      </c>
      <c r="O8455" s="165">
        <f t="shared" si="400"/>
        <v>3.5781598770857938E-2</v>
      </c>
      <c r="P8455" s="18"/>
      <c r="Q8455" s="18"/>
      <c r="R8455" s="18"/>
      <c r="S8455" s="18"/>
      <c r="T8455" s="18"/>
      <c r="U8455" s="18"/>
      <c r="V8455" s="18"/>
      <c r="W8455" s="18"/>
      <c r="X8455" s="18"/>
    </row>
    <row r="8456" spans="13:24">
      <c r="M8456" s="558">
        <f t="shared" si="401"/>
        <v>8454</v>
      </c>
      <c r="N8456" s="15">
        <f t="shared" si="399"/>
        <v>3.5730215039945522E-2</v>
      </c>
      <c r="O8456" s="165">
        <f t="shared" si="400"/>
        <v>3.5730215039945522E-2</v>
      </c>
      <c r="P8456" s="18"/>
      <c r="Q8456" s="18"/>
      <c r="R8456" s="18"/>
      <c r="S8456" s="18"/>
      <c r="T8456" s="18"/>
      <c r="U8456" s="18"/>
      <c r="V8456" s="18"/>
      <c r="W8456" s="18"/>
      <c r="X8456" s="18"/>
    </row>
    <row r="8457" spans="13:24">
      <c r="M8457" s="558">
        <f t="shared" si="401"/>
        <v>8455</v>
      </c>
      <c r="N8457" s="15">
        <f t="shared" si="399"/>
        <v>3.5678831326436206E-2</v>
      </c>
      <c r="O8457" s="165">
        <f t="shared" si="400"/>
        <v>3.5678831326436206E-2</v>
      </c>
      <c r="P8457" s="18"/>
      <c r="Q8457" s="18"/>
      <c r="R8457" s="18"/>
      <c r="S8457" s="18"/>
      <c r="T8457" s="18"/>
      <c r="U8457" s="18"/>
      <c r="V8457" s="18"/>
      <c r="W8457" s="18"/>
      <c r="X8457" s="18"/>
    </row>
    <row r="8458" spans="13:24">
      <c r="M8458" s="558">
        <f t="shared" si="401"/>
        <v>8456</v>
      </c>
      <c r="N8458" s="15">
        <f t="shared" si="399"/>
        <v>3.5627447630308139E-2</v>
      </c>
      <c r="O8458" s="165">
        <f t="shared" si="400"/>
        <v>3.5627447630308139E-2</v>
      </c>
      <c r="P8458" s="18"/>
      <c r="Q8458" s="18"/>
      <c r="R8458" s="18"/>
      <c r="S8458" s="18"/>
      <c r="T8458" s="18"/>
      <c r="U8458" s="18"/>
      <c r="V8458" s="18"/>
      <c r="W8458" s="18"/>
      <c r="X8458" s="18"/>
    </row>
    <row r="8459" spans="13:24">
      <c r="M8459" s="558">
        <f t="shared" si="401"/>
        <v>8457</v>
      </c>
      <c r="N8459" s="15">
        <f t="shared" si="399"/>
        <v>3.5576063951539533E-2</v>
      </c>
      <c r="O8459" s="165">
        <f t="shared" si="400"/>
        <v>3.5576063951539533E-2</v>
      </c>
      <c r="P8459" s="18"/>
      <c r="Q8459" s="18"/>
      <c r="R8459" s="18"/>
      <c r="S8459" s="18"/>
      <c r="T8459" s="18"/>
      <c r="U8459" s="18"/>
      <c r="V8459" s="18"/>
      <c r="W8459" s="18"/>
      <c r="X8459" s="18"/>
    </row>
    <row r="8460" spans="13:24">
      <c r="M8460" s="558">
        <f t="shared" si="401"/>
        <v>8458</v>
      </c>
      <c r="N8460" s="15">
        <f t="shared" si="399"/>
        <v>3.5524680290108586E-2</v>
      </c>
      <c r="O8460" s="165">
        <f t="shared" si="400"/>
        <v>3.5524680290108586E-2</v>
      </c>
      <c r="P8460" s="18"/>
      <c r="Q8460" s="18"/>
      <c r="R8460" s="18"/>
      <c r="S8460" s="18"/>
      <c r="T8460" s="18"/>
      <c r="U8460" s="18"/>
      <c r="V8460" s="18"/>
      <c r="W8460" s="18"/>
      <c r="X8460" s="18"/>
    </row>
    <row r="8461" spans="13:24">
      <c r="M8461" s="558">
        <f t="shared" si="401"/>
        <v>8459</v>
      </c>
      <c r="N8461" s="15">
        <f t="shared" si="399"/>
        <v>3.5473296645993545E-2</v>
      </c>
      <c r="O8461" s="165">
        <f t="shared" si="400"/>
        <v>3.5473296645993545E-2</v>
      </c>
      <c r="P8461" s="18"/>
      <c r="Q8461" s="18"/>
      <c r="R8461" s="18"/>
      <c r="S8461" s="18"/>
      <c r="T8461" s="18"/>
      <c r="U8461" s="18"/>
      <c r="V8461" s="18"/>
      <c r="W8461" s="18"/>
      <c r="X8461" s="18"/>
    </row>
    <row r="8462" spans="13:24">
      <c r="M8462" s="558">
        <f t="shared" si="401"/>
        <v>8460</v>
      </c>
      <c r="N8462" s="15">
        <f t="shared" si="399"/>
        <v>3.5421913019172677E-2</v>
      </c>
      <c r="O8462" s="165">
        <f t="shared" si="400"/>
        <v>3.5421913019172677E-2</v>
      </c>
      <c r="P8462" s="18"/>
      <c r="Q8462" s="18"/>
      <c r="R8462" s="18"/>
      <c r="S8462" s="18"/>
      <c r="T8462" s="18"/>
      <c r="U8462" s="18"/>
      <c r="V8462" s="18"/>
      <c r="W8462" s="18"/>
      <c r="X8462" s="18"/>
    </row>
    <row r="8463" spans="13:24">
      <c r="M8463" s="558">
        <f t="shared" si="401"/>
        <v>8461</v>
      </c>
      <c r="N8463" s="15">
        <f t="shared" si="399"/>
        <v>3.5370529409624284E-2</v>
      </c>
      <c r="O8463" s="165">
        <f t="shared" si="400"/>
        <v>3.5370529409624284E-2</v>
      </c>
      <c r="P8463" s="18"/>
      <c r="Q8463" s="18"/>
      <c r="R8463" s="18"/>
      <c r="S8463" s="18"/>
      <c r="T8463" s="18"/>
      <c r="U8463" s="18"/>
      <c r="V8463" s="18"/>
      <c r="W8463" s="18"/>
      <c r="X8463" s="18"/>
    </row>
    <row r="8464" spans="13:24">
      <c r="M8464" s="558">
        <f t="shared" si="401"/>
        <v>8462</v>
      </c>
      <c r="N8464" s="15">
        <f t="shared" si="399"/>
        <v>3.5319145817326682E-2</v>
      </c>
      <c r="O8464" s="165">
        <f t="shared" si="400"/>
        <v>3.5319145817326682E-2</v>
      </c>
      <c r="P8464" s="18"/>
      <c r="Q8464" s="18"/>
      <c r="R8464" s="18"/>
      <c r="S8464" s="18"/>
      <c r="T8464" s="18"/>
      <c r="U8464" s="18"/>
      <c r="V8464" s="18"/>
      <c r="W8464" s="18"/>
      <c r="X8464" s="18"/>
    </row>
    <row r="8465" spans="13:24">
      <c r="M8465" s="558">
        <f t="shared" si="401"/>
        <v>8463</v>
      </c>
      <c r="N8465" s="15">
        <f t="shared" si="399"/>
        <v>3.5267762242258235E-2</v>
      </c>
      <c r="O8465" s="165">
        <f t="shared" si="400"/>
        <v>3.5267762242258235E-2</v>
      </c>
      <c r="P8465" s="18"/>
      <c r="Q8465" s="18"/>
      <c r="R8465" s="18"/>
      <c r="S8465" s="18"/>
      <c r="T8465" s="18"/>
      <c r="U8465" s="18"/>
      <c r="V8465" s="18"/>
      <c r="W8465" s="18"/>
      <c r="X8465" s="18"/>
    </row>
    <row r="8466" spans="13:24">
      <c r="M8466" s="558">
        <f t="shared" si="401"/>
        <v>8464</v>
      </c>
      <c r="N8466" s="15">
        <f t="shared" si="399"/>
        <v>3.5216378684397316E-2</v>
      </c>
      <c r="O8466" s="165">
        <f t="shared" si="400"/>
        <v>3.5216378684397316E-2</v>
      </c>
      <c r="P8466" s="18"/>
      <c r="Q8466" s="18"/>
      <c r="R8466" s="18"/>
      <c r="S8466" s="18"/>
      <c r="T8466" s="18"/>
      <c r="U8466" s="18"/>
      <c r="V8466" s="18"/>
      <c r="W8466" s="18"/>
      <c r="X8466" s="18"/>
    </row>
    <row r="8467" spans="13:24">
      <c r="M8467" s="558">
        <f t="shared" si="401"/>
        <v>8465</v>
      </c>
      <c r="N8467" s="15">
        <f t="shared" si="399"/>
        <v>3.516499514372233E-2</v>
      </c>
      <c r="O8467" s="165">
        <f t="shared" si="400"/>
        <v>3.516499514372233E-2</v>
      </c>
      <c r="P8467" s="18"/>
      <c r="Q8467" s="18"/>
      <c r="R8467" s="18"/>
      <c r="S8467" s="18"/>
      <c r="T8467" s="18"/>
      <c r="U8467" s="18"/>
      <c r="V8467" s="18"/>
      <c r="W8467" s="18"/>
      <c r="X8467" s="18"/>
    </row>
    <row r="8468" spans="13:24">
      <c r="M8468" s="558">
        <f t="shared" si="401"/>
        <v>8466</v>
      </c>
      <c r="N8468" s="15">
        <f t="shared" si="399"/>
        <v>3.5113611620211711E-2</v>
      </c>
      <c r="O8468" s="165">
        <f t="shared" si="400"/>
        <v>3.5113611620211711E-2</v>
      </c>
      <c r="P8468" s="18"/>
      <c r="Q8468" s="18"/>
      <c r="R8468" s="18"/>
      <c r="S8468" s="18"/>
      <c r="T8468" s="18"/>
      <c r="U8468" s="18"/>
      <c r="V8468" s="18"/>
      <c r="W8468" s="18"/>
      <c r="X8468" s="18"/>
    </row>
    <row r="8469" spans="13:24">
      <c r="M8469" s="558">
        <f t="shared" si="401"/>
        <v>8467</v>
      </c>
      <c r="N8469" s="15">
        <f t="shared" si="399"/>
        <v>3.5062228113843914E-2</v>
      </c>
      <c r="O8469" s="165">
        <f t="shared" si="400"/>
        <v>3.5062228113843914E-2</v>
      </c>
      <c r="P8469" s="18"/>
      <c r="Q8469" s="18"/>
      <c r="R8469" s="18"/>
      <c r="S8469" s="18"/>
      <c r="T8469" s="18"/>
      <c r="U8469" s="18"/>
      <c r="V8469" s="18"/>
      <c r="W8469" s="18"/>
      <c r="X8469" s="18"/>
    </row>
    <row r="8470" spans="13:24">
      <c r="M8470" s="558">
        <f t="shared" si="401"/>
        <v>8468</v>
      </c>
      <c r="N8470" s="15">
        <f t="shared" si="399"/>
        <v>3.5010844624597436E-2</v>
      </c>
      <c r="O8470" s="165">
        <f t="shared" si="400"/>
        <v>3.5010844624597436E-2</v>
      </c>
      <c r="P8470" s="18"/>
      <c r="Q8470" s="18"/>
      <c r="R8470" s="18"/>
      <c r="S8470" s="18"/>
      <c r="T8470" s="18"/>
      <c r="U8470" s="18"/>
      <c r="V8470" s="18"/>
      <c r="W8470" s="18"/>
      <c r="X8470" s="18"/>
    </row>
    <row r="8471" spans="13:24">
      <c r="M8471" s="558">
        <f t="shared" si="401"/>
        <v>8469</v>
      </c>
      <c r="N8471" s="15">
        <f t="shared" si="399"/>
        <v>3.4959461152450785E-2</v>
      </c>
      <c r="O8471" s="165">
        <f t="shared" si="400"/>
        <v>3.4959461152450785E-2</v>
      </c>
      <c r="P8471" s="18"/>
      <c r="Q8471" s="18"/>
      <c r="R8471" s="18"/>
      <c r="S8471" s="18"/>
      <c r="T8471" s="18"/>
      <c r="U8471" s="18"/>
      <c r="V8471" s="18"/>
      <c r="W8471" s="18"/>
      <c r="X8471" s="18"/>
    </row>
    <row r="8472" spans="13:24">
      <c r="M8472" s="558">
        <f t="shared" si="401"/>
        <v>8470</v>
      </c>
      <c r="N8472" s="15">
        <f t="shared" si="399"/>
        <v>3.4908077697382502E-2</v>
      </c>
      <c r="O8472" s="165">
        <f t="shared" si="400"/>
        <v>3.4908077697382502E-2</v>
      </c>
      <c r="P8472" s="18"/>
      <c r="Q8472" s="18"/>
      <c r="R8472" s="18"/>
      <c r="S8472" s="18"/>
      <c r="T8472" s="18"/>
      <c r="U8472" s="18"/>
      <c r="V8472" s="18"/>
      <c r="W8472" s="18"/>
      <c r="X8472" s="18"/>
    </row>
    <row r="8473" spans="13:24">
      <c r="M8473" s="558">
        <f t="shared" si="401"/>
        <v>8471</v>
      </c>
      <c r="N8473" s="15">
        <f t="shared" si="399"/>
        <v>3.485669425937115E-2</v>
      </c>
      <c r="O8473" s="165">
        <f t="shared" si="400"/>
        <v>3.485669425937115E-2</v>
      </c>
      <c r="P8473" s="18"/>
      <c r="Q8473" s="18"/>
      <c r="R8473" s="18"/>
      <c r="S8473" s="18"/>
      <c r="T8473" s="18"/>
      <c r="U8473" s="18"/>
      <c r="V8473" s="18"/>
      <c r="W8473" s="18"/>
      <c r="X8473" s="18"/>
    </row>
    <row r="8474" spans="13:24">
      <c r="M8474" s="558">
        <f t="shared" si="401"/>
        <v>8472</v>
      </c>
      <c r="N8474" s="15">
        <f t="shared" si="399"/>
        <v>3.4805310838395338E-2</v>
      </c>
      <c r="O8474" s="165">
        <f t="shared" si="400"/>
        <v>3.4805310838395338E-2</v>
      </c>
      <c r="P8474" s="18"/>
      <c r="Q8474" s="18"/>
      <c r="R8474" s="18"/>
      <c r="S8474" s="18"/>
      <c r="T8474" s="18"/>
      <c r="U8474" s="18"/>
      <c r="V8474" s="18"/>
      <c r="W8474" s="18"/>
      <c r="X8474" s="18"/>
    </row>
    <row r="8475" spans="13:24">
      <c r="M8475" s="558">
        <f t="shared" si="401"/>
        <v>8473</v>
      </c>
      <c r="N8475" s="15">
        <f t="shared" si="399"/>
        <v>3.4753927434433673E-2</v>
      </c>
      <c r="O8475" s="165">
        <f t="shared" si="400"/>
        <v>3.4753927434433673E-2</v>
      </c>
      <c r="P8475" s="18"/>
      <c r="Q8475" s="18"/>
      <c r="R8475" s="18"/>
      <c r="S8475" s="18"/>
      <c r="T8475" s="18"/>
      <c r="U8475" s="18"/>
      <c r="V8475" s="18"/>
      <c r="W8475" s="18"/>
      <c r="X8475" s="18"/>
    </row>
    <row r="8476" spans="13:24">
      <c r="M8476" s="558">
        <f t="shared" si="401"/>
        <v>8474</v>
      </c>
      <c r="N8476" s="15">
        <f t="shared" si="399"/>
        <v>3.4702544047464819E-2</v>
      </c>
      <c r="O8476" s="165">
        <f t="shared" si="400"/>
        <v>3.4702544047464819E-2</v>
      </c>
      <c r="P8476" s="18"/>
      <c r="Q8476" s="18"/>
      <c r="R8476" s="18"/>
      <c r="S8476" s="18"/>
      <c r="T8476" s="18"/>
      <c r="U8476" s="18"/>
      <c r="V8476" s="18"/>
      <c r="W8476" s="18"/>
      <c r="X8476" s="18"/>
    </row>
    <row r="8477" spans="13:24">
      <c r="M8477" s="558">
        <f t="shared" si="401"/>
        <v>8475</v>
      </c>
      <c r="N8477" s="15">
        <f t="shared" si="399"/>
        <v>3.4651160677467437E-2</v>
      </c>
      <c r="O8477" s="165">
        <f t="shared" si="400"/>
        <v>3.4651160677467437E-2</v>
      </c>
      <c r="P8477" s="18"/>
      <c r="Q8477" s="18"/>
      <c r="R8477" s="18"/>
      <c r="S8477" s="18"/>
      <c r="T8477" s="18"/>
      <c r="U8477" s="18"/>
      <c r="V8477" s="18"/>
      <c r="W8477" s="18"/>
      <c r="X8477" s="18"/>
    </row>
    <row r="8478" spans="13:24">
      <c r="M8478" s="558">
        <f t="shared" si="401"/>
        <v>8476</v>
      </c>
      <c r="N8478" s="15">
        <f t="shared" si="399"/>
        <v>3.4599777324420239E-2</v>
      </c>
      <c r="O8478" s="165">
        <f t="shared" si="400"/>
        <v>3.4599777324420239E-2</v>
      </c>
      <c r="P8478" s="18"/>
      <c r="Q8478" s="18"/>
      <c r="R8478" s="18"/>
      <c r="S8478" s="18"/>
      <c r="T8478" s="18"/>
      <c r="U8478" s="18"/>
      <c r="V8478" s="18"/>
      <c r="W8478" s="18"/>
      <c r="X8478" s="18"/>
    </row>
    <row r="8479" spans="13:24">
      <c r="M8479" s="558">
        <f t="shared" si="401"/>
        <v>8477</v>
      </c>
      <c r="N8479" s="15">
        <f t="shared" si="399"/>
        <v>3.4548393988301937E-2</v>
      </c>
      <c r="O8479" s="165">
        <f t="shared" si="400"/>
        <v>3.4548393988301937E-2</v>
      </c>
      <c r="P8479" s="18"/>
      <c r="Q8479" s="18"/>
      <c r="R8479" s="18"/>
      <c r="S8479" s="18"/>
      <c r="T8479" s="18"/>
      <c r="U8479" s="18"/>
      <c r="V8479" s="18"/>
      <c r="W8479" s="18"/>
      <c r="X8479" s="18"/>
    </row>
    <row r="8480" spans="13:24">
      <c r="M8480" s="558">
        <f t="shared" si="401"/>
        <v>8478</v>
      </c>
      <c r="N8480" s="15">
        <f t="shared" si="399"/>
        <v>3.4497010669091312E-2</v>
      </c>
      <c r="O8480" s="165">
        <f t="shared" si="400"/>
        <v>3.4497010669091312E-2</v>
      </c>
      <c r="P8480" s="18"/>
      <c r="Q8480" s="18"/>
      <c r="R8480" s="18"/>
      <c r="S8480" s="18"/>
      <c r="T8480" s="18"/>
      <c r="U8480" s="18"/>
      <c r="V8480" s="18"/>
      <c r="W8480" s="18"/>
      <c r="X8480" s="18"/>
    </row>
    <row r="8481" spans="13:24">
      <c r="M8481" s="558">
        <f t="shared" si="401"/>
        <v>8479</v>
      </c>
      <c r="N8481" s="15">
        <f t="shared" si="399"/>
        <v>3.444562736676713E-2</v>
      </c>
      <c r="O8481" s="165">
        <f t="shared" si="400"/>
        <v>3.444562736676713E-2</v>
      </c>
      <c r="P8481" s="18"/>
      <c r="Q8481" s="18"/>
      <c r="R8481" s="18"/>
      <c r="S8481" s="18"/>
      <c r="T8481" s="18"/>
      <c r="U8481" s="18"/>
      <c r="V8481" s="18"/>
      <c r="W8481" s="18"/>
      <c r="X8481" s="18"/>
    </row>
    <row r="8482" spans="13:24">
      <c r="M8482" s="558">
        <f t="shared" si="401"/>
        <v>8480</v>
      </c>
      <c r="N8482" s="15">
        <f t="shared" si="399"/>
        <v>3.4394244081308208E-2</v>
      </c>
      <c r="O8482" s="165">
        <f t="shared" si="400"/>
        <v>3.4394244081308208E-2</v>
      </c>
      <c r="P8482" s="18"/>
      <c r="Q8482" s="18"/>
      <c r="R8482" s="18"/>
      <c r="S8482" s="18"/>
      <c r="T8482" s="18"/>
      <c r="U8482" s="18"/>
      <c r="V8482" s="18"/>
      <c r="W8482" s="18"/>
      <c r="X8482" s="18"/>
    </row>
    <row r="8483" spans="13:24">
      <c r="M8483" s="558">
        <f t="shared" si="401"/>
        <v>8481</v>
      </c>
      <c r="N8483" s="15">
        <f t="shared" si="399"/>
        <v>3.4342860812693367E-2</v>
      </c>
      <c r="O8483" s="165">
        <f t="shared" si="400"/>
        <v>3.4342860812693367E-2</v>
      </c>
      <c r="P8483" s="18"/>
      <c r="Q8483" s="18"/>
      <c r="R8483" s="18"/>
      <c r="S8483" s="18"/>
      <c r="T8483" s="18"/>
      <c r="U8483" s="18"/>
      <c r="V8483" s="18"/>
      <c r="W8483" s="18"/>
      <c r="X8483" s="18"/>
    </row>
    <row r="8484" spans="13:24">
      <c r="M8484" s="558">
        <f t="shared" si="401"/>
        <v>8482</v>
      </c>
      <c r="N8484" s="15">
        <f t="shared" si="399"/>
        <v>3.4291477560901486E-2</v>
      </c>
      <c r="O8484" s="165">
        <f t="shared" si="400"/>
        <v>3.4291477560901486E-2</v>
      </c>
      <c r="P8484" s="18"/>
      <c r="Q8484" s="18"/>
      <c r="R8484" s="18"/>
      <c r="S8484" s="18"/>
      <c r="T8484" s="18"/>
      <c r="U8484" s="18"/>
      <c r="V8484" s="18"/>
      <c r="W8484" s="18"/>
      <c r="X8484" s="18"/>
    </row>
    <row r="8485" spans="13:24">
      <c r="M8485" s="558">
        <f t="shared" si="401"/>
        <v>8483</v>
      </c>
      <c r="N8485" s="15">
        <f t="shared" si="399"/>
        <v>3.4240094325911449E-2</v>
      </c>
      <c r="O8485" s="165">
        <f t="shared" si="400"/>
        <v>3.4240094325911449E-2</v>
      </c>
      <c r="P8485" s="18"/>
      <c r="Q8485" s="18"/>
      <c r="R8485" s="18"/>
      <c r="S8485" s="18"/>
      <c r="T8485" s="18"/>
      <c r="U8485" s="18"/>
      <c r="V8485" s="18"/>
      <c r="W8485" s="18"/>
      <c r="X8485" s="18"/>
    </row>
    <row r="8486" spans="13:24">
      <c r="M8486" s="558">
        <f t="shared" si="401"/>
        <v>8484</v>
      </c>
      <c r="N8486" s="15">
        <f t="shared" si="399"/>
        <v>3.4188711107702163E-2</v>
      </c>
      <c r="O8486" s="165">
        <f t="shared" si="400"/>
        <v>3.4188711107702163E-2</v>
      </c>
      <c r="P8486" s="18"/>
      <c r="Q8486" s="18"/>
      <c r="R8486" s="18"/>
      <c r="S8486" s="18"/>
      <c r="T8486" s="18"/>
      <c r="U8486" s="18"/>
      <c r="V8486" s="18"/>
      <c r="W8486" s="18"/>
      <c r="X8486" s="18"/>
    </row>
    <row r="8487" spans="13:24">
      <c r="M8487" s="558">
        <f t="shared" si="401"/>
        <v>8485</v>
      </c>
      <c r="N8487" s="15">
        <f t="shared" si="399"/>
        <v>3.4137327906252575E-2</v>
      </c>
      <c r="O8487" s="165">
        <f t="shared" si="400"/>
        <v>3.4137327906252575E-2</v>
      </c>
      <c r="P8487" s="18"/>
      <c r="Q8487" s="18"/>
      <c r="R8487" s="18"/>
      <c r="S8487" s="18"/>
      <c r="T8487" s="18"/>
      <c r="U8487" s="18"/>
      <c r="V8487" s="18"/>
      <c r="W8487" s="18"/>
      <c r="X8487" s="18"/>
    </row>
    <row r="8488" spans="13:24">
      <c r="M8488" s="558">
        <f t="shared" si="401"/>
        <v>8486</v>
      </c>
      <c r="N8488" s="15">
        <f t="shared" si="399"/>
        <v>3.4085944721541653E-2</v>
      </c>
      <c r="O8488" s="165">
        <f t="shared" si="400"/>
        <v>3.4085944721541653E-2</v>
      </c>
      <c r="P8488" s="18"/>
      <c r="Q8488" s="18"/>
      <c r="R8488" s="18"/>
      <c r="S8488" s="18"/>
      <c r="T8488" s="18"/>
      <c r="U8488" s="18"/>
      <c r="V8488" s="18"/>
      <c r="W8488" s="18"/>
      <c r="X8488" s="18"/>
    </row>
    <row r="8489" spans="13:24">
      <c r="M8489" s="558">
        <f t="shared" si="401"/>
        <v>8487</v>
      </c>
      <c r="N8489" s="15">
        <f t="shared" si="399"/>
        <v>3.4034561553548393E-2</v>
      </c>
      <c r="O8489" s="165">
        <f t="shared" si="400"/>
        <v>3.4034561553548393E-2</v>
      </c>
      <c r="P8489" s="18"/>
      <c r="Q8489" s="18"/>
      <c r="R8489" s="18"/>
      <c r="S8489" s="18"/>
      <c r="T8489" s="18"/>
      <c r="U8489" s="18"/>
      <c r="V8489" s="18"/>
      <c r="W8489" s="18"/>
      <c r="X8489" s="18"/>
    </row>
    <row r="8490" spans="13:24">
      <c r="M8490" s="558">
        <f t="shared" si="401"/>
        <v>8488</v>
      </c>
      <c r="N8490" s="15">
        <f t="shared" si="399"/>
        <v>3.3983178402251811E-2</v>
      </c>
      <c r="O8490" s="165">
        <f t="shared" si="400"/>
        <v>3.3983178402251811E-2</v>
      </c>
      <c r="P8490" s="18"/>
      <c r="Q8490" s="18"/>
      <c r="R8490" s="18"/>
      <c r="S8490" s="18"/>
      <c r="T8490" s="18"/>
      <c r="U8490" s="18"/>
      <c r="V8490" s="18"/>
      <c r="W8490" s="18"/>
      <c r="X8490" s="18"/>
    </row>
    <row r="8491" spans="13:24">
      <c r="M8491" s="558">
        <f t="shared" si="401"/>
        <v>8489</v>
      </c>
      <c r="N8491" s="15">
        <f t="shared" si="399"/>
        <v>3.393179526763096E-2</v>
      </c>
      <c r="O8491" s="165">
        <f t="shared" si="400"/>
        <v>3.393179526763096E-2</v>
      </c>
      <c r="P8491" s="18"/>
      <c r="Q8491" s="18"/>
      <c r="R8491" s="18"/>
      <c r="S8491" s="18"/>
      <c r="T8491" s="18"/>
      <c r="U8491" s="18"/>
      <c r="V8491" s="18"/>
      <c r="W8491" s="18"/>
      <c r="X8491" s="18"/>
    </row>
    <row r="8492" spans="13:24">
      <c r="M8492" s="558">
        <f t="shared" si="401"/>
        <v>8490</v>
      </c>
      <c r="N8492" s="15">
        <f t="shared" si="399"/>
        <v>3.3880412149664911E-2</v>
      </c>
      <c r="O8492" s="165">
        <f t="shared" si="400"/>
        <v>3.3880412149664911E-2</v>
      </c>
      <c r="P8492" s="18"/>
      <c r="Q8492" s="18"/>
      <c r="R8492" s="18"/>
      <c r="S8492" s="18"/>
      <c r="T8492" s="18"/>
      <c r="U8492" s="18"/>
      <c r="V8492" s="18"/>
      <c r="W8492" s="18"/>
      <c r="X8492" s="18"/>
    </row>
    <row r="8493" spans="13:24">
      <c r="M8493" s="558">
        <f t="shared" si="401"/>
        <v>8491</v>
      </c>
      <c r="N8493" s="15">
        <f t="shared" si="399"/>
        <v>3.3829029048332758E-2</v>
      </c>
      <c r="O8493" s="165">
        <f t="shared" si="400"/>
        <v>3.3829029048332758E-2</v>
      </c>
      <c r="P8493" s="18"/>
      <c r="Q8493" s="18"/>
      <c r="R8493" s="18"/>
      <c r="S8493" s="18"/>
      <c r="T8493" s="18"/>
      <c r="U8493" s="18"/>
      <c r="V8493" s="18"/>
      <c r="W8493" s="18"/>
      <c r="X8493" s="18"/>
    </row>
    <row r="8494" spans="13:24">
      <c r="M8494" s="558">
        <f t="shared" si="401"/>
        <v>8492</v>
      </c>
      <c r="N8494" s="15">
        <f t="shared" si="399"/>
        <v>3.3777645963613628E-2</v>
      </c>
      <c r="O8494" s="165">
        <f t="shared" si="400"/>
        <v>3.3777645963613628E-2</v>
      </c>
      <c r="P8494" s="18"/>
      <c r="Q8494" s="18"/>
      <c r="R8494" s="18"/>
      <c r="S8494" s="18"/>
      <c r="T8494" s="18"/>
      <c r="U8494" s="18"/>
      <c r="V8494" s="18"/>
      <c r="W8494" s="18"/>
      <c r="X8494" s="18"/>
    </row>
    <row r="8495" spans="13:24">
      <c r="M8495" s="558">
        <f t="shared" si="401"/>
        <v>8493</v>
      </c>
      <c r="N8495" s="15">
        <f t="shared" si="399"/>
        <v>3.3726262895486685E-2</v>
      </c>
      <c r="O8495" s="165">
        <f t="shared" si="400"/>
        <v>3.3726262895486685E-2</v>
      </c>
      <c r="P8495" s="18"/>
      <c r="Q8495" s="18"/>
      <c r="R8495" s="18"/>
      <c r="S8495" s="18"/>
      <c r="T8495" s="18"/>
      <c r="U8495" s="18"/>
      <c r="V8495" s="18"/>
      <c r="W8495" s="18"/>
      <c r="X8495" s="18"/>
    </row>
    <row r="8496" spans="13:24">
      <c r="M8496" s="558">
        <f t="shared" si="401"/>
        <v>8494</v>
      </c>
      <c r="N8496" s="15">
        <f t="shared" si="399"/>
        <v>3.3674879843931096E-2</v>
      </c>
      <c r="O8496" s="165">
        <f t="shared" si="400"/>
        <v>3.3674879843931096E-2</v>
      </c>
      <c r="P8496" s="18"/>
      <c r="Q8496" s="18"/>
      <c r="R8496" s="18"/>
      <c r="S8496" s="18"/>
      <c r="T8496" s="18"/>
      <c r="U8496" s="18"/>
      <c r="V8496" s="18"/>
      <c r="W8496" s="18"/>
      <c r="X8496" s="18"/>
    </row>
    <row r="8497" spans="13:24">
      <c r="M8497" s="558">
        <f t="shared" si="401"/>
        <v>8495</v>
      </c>
      <c r="N8497" s="15">
        <f t="shared" si="399"/>
        <v>3.3623496808926068E-2</v>
      </c>
      <c r="O8497" s="165">
        <f t="shared" si="400"/>
        <v>3.3623496808926068E-2</v>
      </c>
      <c r="P8497" s="18"/>
      <c r="Q8497" s="18"/>
      <c r="R8497" s="18"/>
      <c r="S8497" s="18"/>
      <c r="T8497" s="18"/>
      <c r="U8497" s="18"/>
      <c r="V8497" s="18"/>
      <c r="W8497" s="18"/>
      <c r="X8497" s="18"/>
    </row>
    <row r="8498" spans="13:24">
      <c r="M8498" s="558">
        <f t="shared" si="401"/>
        <v>8496</v>
      </c>
      <c r="N8498" s="15">
        <f t="shared" si="399"/>
        <v>3.357211379045083E-2</v>
      </c>
      <c r="O8498" s="165">
        <f t="shared" si="400"/>
        <v>3.357211379045083E-2</v>
      </c>
      <c r="P8498" s="18"/>
      <c r="Q8498" s="18"/>
      <c r="R8498" s="18"/>
      <c r="S8498" s="18"/>
      <c r="T8498" s="18"/>
      <c r="U8498" s="18"/>
      <c r="V8498" s="18"/>
      <c r="W8498" s="18"/>
      <c r="X8498" s="18"/>
    </row>
    <row r="8499" spans="13:24">
      <c r="M8499" s="558">
        <f t="shared" si="401"/>
        <v>8497</v>
      </c>
      <c r="N8499" s="15">
        <f t="shared" si="399"/>
        <v>3.3520730788484644E-2</v>
      </c>
      <c r="O8499" s="165">
        <f t="shared" si="400"/>
        <v>3.3520730788484644E-2</v>
      </c>
      <c r="P8499" s="18"/>
      <c r="Q8499" s="18"/>
      <c r="R8499" s="18"/>
      <c r="S8499" s="18"/>
      <c r="T8499" s="18"/>
      <c r="U8499" s="18"/>
      <c r="V8499" s="18"/>
      <c r="W8499" s="18"/>
      <c r="X8499" s="18"/>
    </row>
    <row r="8500" spans="13:24">
      <c r="M8500" s="558">
        <f t="shared" si="401"/>
        <v>8498</v>
      </c>
      <c r="N8500" s="15">
        <f t="shared" si="399"/>
        <v>3.346934780300679E-2</v>
      </c>
      <c r="O8500" s="165">
        <f t="shared" si="400"/>
        <v>3.346934780300679E-2</v>
      </c>
      <c r="P8500" s="18"/>
      <c r="Q8500" s="18"/>
      <c r="R8500" s="18"/>
      <c r="S8500" s="18"/>
      <c r="T8500" s="18"/>
      <c r="U8500" s="18"/>
      <c r="V8500" s="18"/>
      <c r="W8500" s="18"/>
      <c r="X8500" s="18"/>
    </row>
    <row r="8501" spans="13:24">
      <c r="M8501" s="558">
        <f t="shared" si="401"/>
        <v>8499</v>
      </c>
      <c r="N8501" s="15">
        <f t="shared" si="399"/>
        <v>3.3417964833996568E-2</v>
      </c>
      <c r="O8501" s="165">
        <f t="shared" si="400"/>
        <v>3.3417964833996568E-2</v>
      </c>
      <c r="P8501" s="18"/>
      <c r="Q8501" s="18"/>
      <c r="R8501" s="18"/>
      <c r="S8501" s="18"/>
      <c r="T8501" s="18"/>
      <c r="U8501" s="18"/>
      <c r="V8501" s="18"/>
      <c r="W8501" s="18"/>
      <c r="X8501" s="18"/>
    </row>
    <row r="8502" spans="13:24">
      <c r="M8502" s="558">
        <f t="shared" si="401"/>
        <v>8500</v>
      </c>
      <c r="N8502" s="15">
        <f t="shared" si="399"/>
        <v>3.3366581881433321E-2</v>
      </c>
      <c r="O8502" s="165">
        <f t="shared" si="400"/>
        <v>3.3366581881433321E-2</v>
      </c>
      <c r="P8502" s="18"/>
      <c r="Q8502" s="18"/>
      <c r="R8502" s="18"/>
      <c r="S8502" s="18"/>
      <c r="T8502" s="18"/>
      <c r="U8502" s="18"/>
      <c r="V8502" s="18"/>
      <c r="W8502" s="18"/>
      <c r="X8502" s="18"/>
    </row>
    <row r="8503" spans="13:24">
      <c r="M8503" s="558">
        <f t="shared" si="401"/>
        <v>8501</v>
      </c>
      <c r="N8503" s="15">
        <f t="shared" si="399"/>
        <v>3.3315198945296408E-2</v>
      </c>
      <c r="O8503" s="165">
        <f t="shared" si="400"/>
        <v>3.3315198945296408E-2</v>
      </c>
      <c r="P8503" s="18"/>
      <c r="Q8503" s="18"/>
      <c r="R8503" s="18"/>
      <c r="S8503" s="18"/>
      <c r="T8503" s="18"/>
      <c r="U8503" s="18"/>
      <c r="V8503" s="18"/>
      <c r="W8503" s="18"/>
      <c r="X8503" s="18"/>
    </row>
    <row r="8504" spans="13:24">
      <c r="M8504" s="558">
        <f t="shared" si="401"/>
        <v>8502</v>
      </c>
      <c r="N8504" s="15">
        <f t="shared" si="399"/>
        <v>3.3263816025565211E-2</v>
      </c>
      <c r="O8504" s="165">
        <f t="shared" si="400"/>
        <v>3.3263816025565211E-2</v>
      </c>
      <c r="P8504" s="18"/>
      <c r="Q8504" s="18"/>
      <c r="R8504" s="18"/>
      <c r="S8504" s="18"/>
      <c r="T8504" s="18"/>
      <c r="U8504" s="18"/>
      <c r="V8504" s="18"/>
      <c r="W8504" s="18"/>
      <c r="X8504" s="18"/>
    </row>
    <row r="8505" spans="13:24">
      <c r="M8505" s="558">
        <f t="shared" si="401"/>
        <v>8503</v>
      </c>
      <c r="N8505" s="15">
        <f t="shared" si="399"/>
        <v>3.3212433122219144E-2</v>
      </c>
      <c r="O8505" s="165">
        <f t="shared" si="400"/>
        <v>3.3212433122219144E-2</v>
      </c>
      <c r="P8505" s="18"/>
      <c r="Q8505" s="18"/>
      <c r="R8505" s="18"/>
      <c r="S8505" s="18"/>
      <c r="T8505" s="18"/>
      <c r="U8505" s="18"/>
      <c r="V8505" s="18"/>
      <c r="W8505" s="18"/>
      <c r="X8505" s="18"/>
    </row>
    <row r="8506" spans="13:24">
      <c r="M8506" s="558">
        <f t="shared" si="401"/>
        <v>8504</v>
      </c>
      <c r="N8506" s="15">
        <f t="shared" si="399"/>
        <v>3.3161050235237653E-2</v>
      </c>
      <c r="O8506" s="165">
        <f t="shared" si="400"/>
        <v>3.3161050235237653E-2</v>
      </c>
      <c r="P8506" s="18"/>
      <c r="Q8506" s="18"/>
      <c r="R8506" s="18"/>
      <c r="S8506" s="18"/>
      <c r="T8506" s="18"/>
      <c r="U8506" s="18"/>
      <c r="V8506" s="18"/>
      <c r="W8506" s="18"/>
      <c r="X8506" s="18"/>
    </row>
    <row r="8507" spans="13:24">
      <c r="M8507" s="558">
        <f t="shared" si="401"/>
        <v>8505</v>
      </c>
      <c r="N8507" s="15">
        <f t="shared" si="399"/>
        <v>3.31096673646002E-2</v>
      </c>
      <c r="O8507" s="165">
        <f t="shared" si="400"/>
        <v>3.31096673646002E-2</v>
      </c>
      <c r="P8507" s="18"/>
      <c r="Q8507" s="18"/>
      <c r="R8507" s="18"/>
      <c r="S8507" s="18"/>
      <c r="T8507" s="18"/>
      <c r="U8507" s="18"/>
      <c r="V8507" s="18"/>
      <c r="W8507" s="18"/>
      <c r="X8507" s="18"/>
    </row>
    <row r="8508" spans="13:24">
      <c r="M8508" s="558">
        <f t="shared" si="401"/>
        <v>8506</v>
      </c>
      <c r="N8508" s="15">
        <f t="shared" si="399"/>
        <v>3.3058284510286265E-2</v>
      </c>
      <c r="O8508" s="165">
        <f t="shared" si="400"/>
        <v>3.3058284510286265E-2</v>
      </c>
      <c r="P8508" s="18"/>
      <c r="Q8508" s="18"/>
      <c r="R8508" s="18"/>
      <c r="S8508" s="18"/>
      <c r="T8508" s="18"/>
      <c r="U8508" s="18"/>
      <c r="V8508" s="18"/>
      <c r="W8508" s="18"/>
      <c r="X8508" s="18"/>
    </row>
    <row r="8509" spans="13:24">
      <c r="M8509" s="558">
        <f t="shared" si="401"/>
        <v>8507</v>
      </c>
      <c r="N8509" s="15">
        <f t="shared" si="399"/>
        <v>3.3006901672275359E-2</v>
      </c>
      <c r="O8509" s="165">
        <f t="shared" si="400"/>
        <v>3.3006901672275359E-2</v>
      </c>
      <c r="P8509" s="18"/>
      <c r="Q8509" s="18"/>
      <c r="R8509" s="18"/>
      <c r="S8509" s="18"/>
      <c r="T8509" s="18"/>
      <c r="U8509" s="18"/>
      <c r="V8509" s="18"/>
      <c r="W8509" s="18"/>
      <c r="X8509" s="18"/>
    </row>
    <row r="8510" spans="13:24">
      <c r="M8510" s="558">
        <f t="shared" si="401"/>
        <v>8508</v>
      </c>
      <c r="N8510" s="15">
        <f t="shared" si="399"/>
        <v>3.2955518850547046E-2</v>
      </c>
      <c r="O8510" s="165">
        <f t="shared" si="400"/>
        <v>3.2955518850547046E-2</v>
      </c>
      <c r="P8510" s="18"/>
      <c r="Q8510" s="18"/>
      <c r="R8510" s="18"/>
      <c r="S8510" s="18"/>
      <c r="T8510" s="18"/>
      <c r="U8510" s="18"/>
      <c r="V8510" s="18"/>
      <c r="W8510" s="18"/>
      <c r="X8510" s="18"/>
    </row>
    <row r="8511" spans="13:24">
      <c r="M8511" s="558">
        <f t="shared" si="401"/>
        <v>8509</v>
      </c>
      <c r="N8511" s="15">
        <f t="shared" si="399"/>
        <v>3.2904136045080877E-2</v>
      </c>
      <c r="O8511" s="165">
        <f t="shared" si="400"/>
        <v>3.2904136045080877E-2</v>
      </c>
      <c r="P8511" s="18"/>
      <c r="Q8511" s="18"/>
      <c r="R8511" s="18"/>
      <c r="S8511" s="18"/>
      <c r="T8511" s="18"/>
      <c r="U8511" s="18"/>
      <c r="V8511" s="18"/>
      <c r="W8511" s="18"/>
      <c r="X8511" s="18"/>
    </row>
    <row r="8512" spans="13:24">
      <c r="M8512" s="558">
        <f t="shared" si="401"/>
        <v>8510</v>
      </c>
      <c r="N8512" s="15">
        <f t="shared" si="399"/>
        <v>3.2852753255856446E-2</v>
      </c>
      <c r="O8512" s="165">
        <f t="shared" si="400"/>
        <v>3.2852753255856446E-2</v>
      </c>
      <c r="P8512" s="18"/>
      <c r="Q8512" s="18"/>
      <c r="R8512" s="18"/>
      <c r="S8512" s="18"/>
      <c r="T8512" s="18"/>
      <c r="U8512" s="18"/>
      <c r="V8512" s="18"/>
      <c r="W8512" s="18"/>
      <c r="X8512" s="18"/>
    </row>
    <row r="8513" spans="13:24">
      <c r="M8513" s="558">
        <f t="shared" si="401"/>
        <v>8511</v>
      </c>
      <c r="N8513" s="15">
        <f t="shared" si="399"/>
        <v>3.2801370482853365E-2</v>
      </c>
      <c r="O8513" s="165">
        <f t="shared" si="400"/>
        <v>3.2801370482853365E-2</v>
      </c>
      <c r="P8513" s="18"/>
      <c r="Q8513" s="18"/>
      <c r="R8513" s="18"/>
      <c r="S8513" s="18"/>
      <c r="T8513" s="18"/>
      <c r="U8513" s="18"/>
      <c r="V8513" s="18"/>
      <c r="W8513" s="18"/>
      <c r="X8513" s="18"/>
    </row>
    <row r="8514" spans="13:24">
      <c r="M8514" s="558">
        <f t="shared" si="401"/>
        <v>8512</v>
      </c>
      <c r="N8514" s="15">
        <f t="shared" si="399"/>
        <v>3.274998772605129E-2</v>
      </c>
      <c r="O8514" s="165">
        <f t="shared" si="400"/>
        <v>3.274998772605129E-2</v>
      </c>
      <c r="P8514" s="18"/>
      <c r="Q8514" s="18"/>
      <c r="R8514" s="18"/>
      <c r="S8514" s="18"/>
      <c r="T8514" s="18"/>
      <c r="U8514" s="18"/>
      <c r="V8514" s="18"/>
      <c r="W8514" s="18"/>
      <c r="X8514" s="18"/>
    </row>
    <row r="8515" spans="13:24">
      <c r="M8515" s="558">
        <f t="shared" si="401"/>
        <v>8513</v>
      </c>
      <c r="N8515" s="15">
        <f t="shared" si="399"/>
        <v>3.2698604985429883E-2</v>
      </c>
      <c r="O8515" s="165">
        <f t="shared" si="400"/>
        <v>3.2698604985429883E-2</v>
      </c>
      <c r="P8515" s="18"/>
      <c r="Q8515" s="18"/>
      <c r="R8515" s="18"/>
      <c r="S8515" s="18"/>
      <c r="T8515" s="18"/>
      <c r="U8515" s="18"/>
      <c r="V8515" s="18"/>
      <c r="W8515" s="18"/>
      <c r="X8515" s="18"/>
    </row>
    <row r="8516" spans="13:24">
      <c r="M8516" s="558">
        <f t="shared" si="401"/>
        <v>8514</v>
      </c>
      <c r="N8516" s="15">
        <f t="shared" ref="N8516:N8579" si="402">IF(M8516&lt;$B$31+1,$B$32+$B$33/$B$31*(8760-M8516)+$B$34*IF(M8516&lt;$B$36-$B$31/(2*$B$35),1,IF(M8516&lt;$B$36+$B$31/(2*$B$35),COS(PI()/2*(M8516-($B$36-$B$31/(2*$B$35)))*$B$35/$B$31)^2,0))+$B$37*EXP((8760-M8516)/8760*$B$38)/EXP($B$38)-(8760-$B$31)*$B$33/$B$31,0)</f>
        <v>3.264722226096884E-2</v>
      </c>
      <c r="O8516" s="165">
        <f t="shared" ref="O8516:O8579" si="403">MIN(N8516,C$24)</f>
        <v>3.264722226096884E-2</v>
      </c>
      <c r="P8516" s="18"/>
      <c r="Q8516" s="18"/>
      <c r="R8516" s="18"/>
      <c r="S8516" s="18"/>
      <c r="T8516" s="18"/>
      <c r="U8516" s="18"/>
      <c r="V8516" s="18"/>
      <c r="W8516" s="18"/>
      <c r="X8516" s="18"/>
    </row>
    <row r="8517" spans="13:24">
      <c r="M8517" s="558">
        <f t="shared" ref="M8517:M8580" si="404">M8516+1</f>
        <v>8515</v>
      </c>
      <c r="N8517" s="15">
        <f t="shared" si="402"/>
        <v>3.259583955264788E-2</v>
      </c>
      <c r="O8517" s="165">
        <f t="shared" si="403"/>
        <v>3.259583955264788E-2</v>
      </c>
      <c r="P8517" s="18"/>
      <c r="Q8517" s="18"/>
      <c r="R8517" s="18"/>
      <c r="S8517" s="18"/>
      <c r="T8517" s="18"/>
      <c r="U8517" s="18"/>
      <c r="V8517" s="18"/>
      <c r="W8517" s="18"/>
      <c r="X8517" s="18"/>
    </row>
    <row r="8518" spans="13:24">
      <c r="M8518" s="558">
        <f t="shared" si="404"/>
        <v>8516</v>
      </c>
      <c r="N8518" s="15">
        <f t="shared" si="402"/>
        <v>3.2544456860446755E-2</v>
      </c>
      <c r="O8518" s="165">
        <f t="shared" si="403"/>
        <v>3.2544456860446755E-2</v>
      </c>
      <c r="P8518" s="18"/>
      <c r="Q8518" s="18"/>
      <c r="R8518" s="18"/>
      <c r="S8518" s="18"/>
      <c r="T8518" s="18"/>
      <c r="U8518" s="18"/>
      <c r="V8518" s="18"/>
      <c r="W8518" s="18"/>
      <c r="X8518" s="18"/>
    </row>
    <row r="8519" spans="13:24">
      <c r="M8519" s="558">
        <f t="shared" si="404"/>
        <v>8517</v>
      </c>
      <c r="N8519" s="15">
        <f t="shared" si="402"/>
        <v>3.2493074184345216E-2</v>
      </c>
      <c r="O8519" s="165">
        <f t="shared" si="403"/>
        <v>3.2493074184345216E-2</v>
      </c>
      <c r="P8519" s="18"/>
      <c r="Q8519" s="18"/>
      <c r="R8519" s="18"/>
      <c r="S8519" s="18"/>
      <c r="T8519" s="18"/>
      <c r="U8519" s="18"/>
      <c r="V8519" s="18"/>
      <c r="W8519" s="18"/>
      <c r="X8519" s="18"/>
    </row>
    <row r="8520" spans="13:24">
      <c r="M8520" s="558">
        <f t="shared" si="404"/>
        <v>8518</v>
      </c>
      <c r="N8520" s="15">
        <f t="shared" si="402"/>
        <v>3.244169152432308E-2</v>
      </c>
      <c r="O8520" s="165">
        <f t="shared" si="403"/>
        <v>3.244169152432308E-2</v>
      </c>
      <c r="P8520" s="18"/>
      <c r="Q8520" s="18"/>
      <c r="R8520" s="18"/>
      <c r="S8520" s="18"/>
      <c r="T8520" s="18"/>
      <c r="U8520" s="18"/>
      <c r="V8520" s="18"/>
      <c r="W8520" s="18"/>
      <c r="X8520" s="18"/>
    </row>
    <row r="8521" spans="13:24">
      <c r="M8521" s="558">
        <f t="shared" si="404"/>
        <v>8519</v>
      </c>
      <c r="N8521" s="15">
        <f t="shared" si="402"/>
        <v>3.2390308880360166E-2</v>
      </c>
      <c r="O8521" s="165">
        <f t="shared" si="403"/>
        <v>3.2390308880360166E-2</v>
      </c>
      <c r="P8521" s="18"/>
      <c r="Q8521" s="18"/>
      <c r="R8521" s="18"/>
      <c r="S8521" s="18"/>
      <c r="T8521" s="18"/>
      <c r="U8521" s="18"/>
      <c r="V8521" s="18"/>
      <c r="W8521" s="18"/>
      <c r="X8521" s="18"/>
    </row>
    <row r="8522" spans="13:24">
      <c r="M8522" s="558">
        <f t="shared" si="404"/>
        <v>8520</v>
      </c>
      <c r="N8522" s="15">
        <f t="shared" si="402"/>
        <v>3.2338926252436312E-2</v>
      </c>
      <c r="O8522" s="165">
        <f t="shared" si="403"/>
        <v>3.2338926252436312E-2</v>
      </c>
      <c r="P8522" s="18"/>
      <c r="Q8522" s="18"/>
      <c r="R8522" s="18"/>
      <c r="S8522" s="18"/>
      <c r="T8522" s="18"/>
      <c r="U8522" s="18"/>
      <c r="V8522" s="18"/>
      <c r="W8522" s="18"/>
      <c r="X8522" s="18"/>
    </row>
    <row r="8523" spans="13:24">
      <c r="M8523" s="558">
        <f t="shared" si="404"/>
        <v>8521</v>
      </c>
      <c r="N8523" s="15">
        <f t="shared" si="402"/>
        <v>3.2287543640531401E-2</v>
      </c>
      <c r="O8523" s="165">
        <f t="shared" si="403"/>
        <v>3.2287543640531401E-2</v>
      </c>
      <c r="P8523" s="18"/>
      <c r="Q8523" s="18"/>
      <c r="R8523" s="18"/>
      <c r="S8523" s="18"/>
      <c r="T8523" s="18"/>
      <c r="U8523" s="18"/>
      <c r="V8523" s="18"/>
      <c r="W8523" s="18"/>
      <c r="X8523" s="18"/>
    </row>
    <row r="8524" spans="13:24">
      <c r="M8524" s="558">
        <f t="shared" si="404"/>
        <v>8522</v>
      </c>
      <c r="N8524" s="15">
        <f t="shared" si="402"/>
        <v>3.2236161044625317E-2</v>
      </c>
      <c r="O8524" s="165">
        <f t="shared" si="403"/>
        <v>3.2236161044625317E-2</v>
      </c>
      <c r="P8524" s="18"/>
      <c r="Q8524" s="18"/>
      <c r="R8524" s="18"/>
      <c r="S8524" s="18"/>
      <c r="T8524" s="18"/>
      <c r="U8524" s="18"/>
      <c r="V8524" s="18"/>
      <c r="W8524" s="18"/>
      <c r="X8524" s="18"/>
    </row>
    <row r="8525" spans="13:24">
      <c r="M8525" s="558">
        <f t="shared" si="404"/>
        <v>8523</v>
      </c>
      <c r="N8525" s="15">
        <f t="shared" si="402"/>
        <v>3.2184778464697993E-2</v>
      </c>
      <c r="O8525" s="165">
        <f t="shared" si="403"/>
        <v>3.2184778464697993E-2</v>
      </c>
      <c r="P8525" s="18"/>
      <c r="Q8525" s="18"/>
      <c r="R8525" s="18"/>
      <c r="S8525" s="18"/>
      <c r="T8525" s="18"/>
      <c r="U8525" s="18"/>
      <c r="V8525" s="18"/>
      <c r="W8525" s="18"/>
      <c r="X8525" s="18"/>
    </row>
    <row r="8526" spans="13:24">
      <c r="M8526" s="558">
        <f t="shared" si="404"/>
        <v>8524</v>
      </c>
      <c r="N8526" s="15">
        <f t="shared" si="402"/>
        <v>3.2133395900729375E-2</v>
      </c>
      <c r="O8526" s="165">
        <f t="shared" si="403"/>
        <v>3.2133395900729375E-2</v>
      </c>
      <c r="P8526" s="18"/>
      <c r="Q8526" s="18"/>
      <c r="R8526" s="18"/>
      <c r="S8526" s="18"/>
      <c r="T8526" s="18"/>
      <c r="U8526" s="18"/>
      <c r="V8526" s="18"/>
      <c r="W8526" s="18"/>
      <c r="X8526" s="18"/>
    </row>
    <row r="8527" spans="13:24">
      <c r="M8527" s="558">
        <f t="shared" si="404"/>
        <v>8525</v>
      </c>
      <c r="N8527" s="15">
        <f t="shared" si="402"/>
        <v>3.2082013352699432E-2</v>
      </c>
      <c r="O8527" s="165">
        <f t="shared" si="403"/>
        <v>3.2082013352699432E-2</v>
      </c>
      <c r="P8527" s="18"/>
      <c r="Q8527" s="18"/>
      <c r="R8527" s="18"/>
      <c r="S8527" s="18"/>
      <c r="T8527" s="18"/>
      <c r="U8527" s="18"/>
      <c r="V8527" s="18"/>
      <c r="W8527" s="18"/>
      <c r="X8527" s="18"/>
    </row>
    <row r="8528" spans="13:24">
      <c r="M8528" s="558">
        <f t="shared" si="404"/>
        <v>8526</v>
      </c>
      <c r="N8528" s="15">
        <f t="shared" si="402"/>
        <v>3.2030630820588171E-2</v>
      </c>
      <c r="O8528" s="165">
        <f t="shared" si="403"/>
        <v>3.2030630820588171E-2</v>
      </c>
      <c r="P8528" s="18"/>
      <c r="Q8528" s="18"/>
      <c r="R8528" s="18"/>
      <c r="S8528" s="18"/>
      <c r="T8528" s="18"/>
      <c r="U8528" s="18"/>
      <c r="V8528" s="18"/>
      <c r="W8528" s="18"/>
      <c r="X8528" s="18"/>
    </row>
    <row r="8529" spans="13:24">
      <c r="M8529" s="558">
        <f t="shared" si="404"/>
        <v>8527</v>
      </c>
      <c r="N8529" s="15">
        <f t="shared" si="402"/>
        <v>3.197924830437561E-2</v>
      </c>
      <c r="O8529" s="165">
        <f t="shared" si="403"/>
        <v>3.197924830437561E-2</v>
      </c>
      <c r="P8529" s="18"/>
      <c r="Q8529" s="18"/>
      <c r="R8529" s="18"/>
      <c r="S8529" s="18"/>
      <c r="T8529" s="18"/>
      <c r="U8529" s="18"/>
      <c r="V8529" s="18"/>
      <c r="W8529" s="18"/>
      <c r="X8529" s="18"/>
    </row>
    <row r="8530" spans="13:24">
      <c r="M8530" s="558">
        <f t="shared" si="404"/>
        <v>8528</v>
      </c>
      <c r="N8530" s="15">
        <f t="shared" si="402"/>
        <v>3.1927865804041798E-2</v>
      </c>
      <c r="O8530" s="165">
        <f t="shared" si="403"/>
        <v>3.1927865804041798E-2</v>
      </c>
      <c r="P8530" s="18"/>
      <c r="Q8530" s="18"/>
      <c r="R8530" s="18"/>
      <c r="S8530" s="18"/>
      <c r="T8530" s="18"/>
      <c r="U8530" s="18"/>
      <c r="V8530" s="18"/>
      <c r="W8530" s="18"/>
      <c r="X8530" s="18"/>
    </row>
    <row r="8531" spans="13:24">
      <c r="M8531" s="558">
        <f t="shared" si="404"/>
        <v>8529</v>
      </c>
      <c r="N8531" s="15">
        <f t="shared" si="402"/>
        <v>3.1876483319566808E-2</v>
      </c>
      <c r="O8531" s="165">
        <f t="shared" si="403"/>
        <v>3.1876483319566808E-2</v>
      </c>
      <c r="P8531" s="18"/>
      <c r="Q8531" s="18"/>
      <c r="R8531" s="18"/>
      <c r="S8531" s="18"/>
      <c r="T8531" s="18"/>
      <c r="U8531" s="18"/>
      <c r="V8531" s="18"/>
      <c r="W8531" s="18"/>
      <c r="X8531" s="18"/>
    </row>
    <row r="8532" spans="13:24">
      <c r="M8532" s="558">
        <f t="shared" si="404"/>
        <v>8530</v>
      </c>
      <c r="N8532" s="15">
        <f t="shared" si="402"/>
        <v>3.1825100850930731E-2</v>
      </c>
      <c r="O8532" s="165">
        <f t="shared" si="403"/>
        <v>3.1825100850930731E-2</v>
      </c>
      <c r="P8532" s="18"/>
      <c r="Q8532" s="18"/>
      <c r="R8532" s="18"/>
      <c r="S8532" s="18"/>
      <c r="T8532" s="18"/>
      <c r="U8532" s="18"/>
      <c r="V8532" s="18"/>
      <c r="W8532" s="18"/>
      <c r="X8532" s="18"/>
    </row>
    <row r="8533" spans="13:24">
      <c r="M8533" s="558">
        <f t="shared" si="404"/>
        <v>8531</v>
      </c>
      <c r="N8533" s="15">
        <f t="shared" si="402"/>
        <v>3.1773718398113708E-2</v>
      </c>
      <c r="O8533" s="165">
        <f t="shared" si="403"/>
        <v>3.1773718398113708E-2</v>
      </c>
      <c r="P8533" s="18"/>
      <c r="Q8533" s="18"/>
      <c r="R8533" s="18"/>
      <c r="S8533" s="18"/>
      <c r="T8533" s="18"/>
      <c r="U8533" s="18"/>
      <c r="V8533" s="18"/>
      <c r="W8533" s="18"/>
      <c r="X8533" s="18"/>
    </row>
    <row r="8534" spans="13:24">
      <c r="M8534" s="558">
        <f t="shared" si="404"/>
        <v>8532</v>
      </c>
      <c r="N8534" s="15">
        <f t="shared" si="402"/>
        <v>3.172233596109586E-2</v>
      </c>
      <c r="O8534" s="165">
        <f t="shared" si="403"/>
        <v>3.172233596109586E-2</v>
      </c>
      <c r="P8534" s="18"/>
      <c r="Q8534" s="18"/>
      <c r="R8534" s="18"/>
      <c r="S8534" s="18"/>
      <c r="T8534" s="18"/>
      <c r="U8534" s="18"/>
      <c r="V8534" s="18"/>
      <c r="W8534" s="18"/>
      <c r="X8534" s="18"/>
    </row>
    <row r="8535" spans="13:24">
      <c r="M8535" s="558">
        <f t="shared" si="404"/>
        <v>8533</v>
      </c>
      <c r="N8535" s="15">
        <f t="shared" si="402"/>
        <v>3.167095353985739E-2</v>
      </c>
      <c r="O8535" s="165">
        <f t="shared" si="403"/>
        <v>3.167095353985739E-2</v>
      </c>
      <c r="P8535" s="18"/>
      <c r="Q8535" s="18"/>
      <c r="R8535" s="18"/>
      <c r="S8535" s="18"/>
      <c r="T8535" s="18"/>
      <c r="U8535" s="18"/>
      <c r="V8535" s="18"/>
      <c r="W8535" s="18"/>
      <c r="X8535" s="18"/>
    </row>
    <row r="8536" spans="13:24">
      <c r="M8536" s="558">
        <f t="shared" si="404"/>
        <v>8534</v>
      </c>
      <c r="N8536" s="15">
        <f t="shared" si="402"/>
        <v>3.1619571134378487E-2</v>
      </c>
      <c r="O8536" s="165">
        <f t="shared" si="403"/>
        <v>3.1619571134378487E-2</v>
      </c>
      <c r="P8536" s="18"/>
      <c r="Q8536" s="18"/>
      <c r="R8536" s="18"/>
      <c r="S8536" s="18"/>
      <c r="T8536" s="18"/>
      <c r="U8536" s="18"/>
      <c r="V8536" s="18"/>
      <c r="W8536" s="18"/>
      <c r="X8536" s="18"/>
    </row>
    <row r="8537" spans="13:24">
      <c r="M8537" s="558">
        <f t="shared" si="404"/>
        <v>8535</v>
      </c>
      <c r="N8537" s="15">
        <f t="shared" si="402"/>
        <v>3.1568188744639368E-2</v>
      </c>
      <c r="O8537" s="165">
        <f t="shared" si="403"/>
        <v>3.1568188744639368E-2</v>
      </c>
      <c r="P8537" s="18"/>
      <c r="Q8537" s="18"/>
      <c r="R8537" s="18"/>
      <c r="S8537" s="18"/>
      <c r="T8537" s="18"/>
      <c r="U8537" s="18"/>
      <c r="V8537" s="18"/>
      <c r="W8537" s="18"/>
      <c r="X8537" s="18"/>
    </row>
    <row r="8538" spans="13:24">
      <c r="M8538" s="558">
        <f t="shared" si="404"/>
        <v>8536</v>
      </c>
      <c r="N8538" s="15">
        <f t="shared" si="402"/>
        <v>3.1516806370620279E-2</v>
      </c>
      <c r="O8538" s="165">
        <f t="shared" si="403"/>
        <v>3.1516806370620279E-2</v>
      </c>
      <c r="P8538" s="18"/>
      <c r="Q8538" s="18"/>
      <c r="R8538" s="18"/>
      <c r="S8538" s="18"/>
      <c r="T8538" s="18"/>
      <c r="U8538" s="18"/>
      <c r="V8538" s="18"/>
      <c r="W8538" s="18"/>
      <c r="X8538" s="18"/>
    </row>
    <row r="8539" spans="13:24">
      <c r="M8539" s="558">
        <f t="shared" si="404"/>
        <v>8537</v>
      </c>
      <c r="N8539" s="15">
        <f t="shared" si="402"/>
        <v>3.1465424012301499E-2</v>
      </c>
      <c r="O8539" s="165">
        <f t="shared" si="403"/>
        <v>3.1465424012301499E-2</v>
      </c>
      <c r="P8539" s="18"/>
      <c r="Q8539" s="18"/>
      <c r="R8539" s="18"/>
      <c r="S8539" s="18"/>
      <c r="T8539" s="18"/>
      <c r="U8539" s="18"/>
      <c r="V8539" s="18"/>
      <c r="W8539" s="18"/>
      <c r="X8539" s="18"/>
    </row>
    <row r="8540" spans="13:24">
      <c r="M8540" s="558">
        <f t="shared" si="404"/>
        <v>8538</v>
      </c>
      <c r="N8540" s="15">
        <f t="shared" si="402"/>
        <v>3.1414041669663322E-2</v>
      </c>
      <c r="O8540" s="165">
        <f t="shared" si="403"/>
        <v>3.1414041669663322E-2</v>
      </c>
      <c r="P8540" s="18"/>
      <c r="Q8540" s="18"/>
      <c r="R8540" s="18"/>
      <c r="S8540" s="18"/>
      <c r="T8540" s="18"/>
      <c r="U8540" s="18"/>
      <c r="V8540" s="18"/>
      <c r="W8540" s="18"/>
      <c r="X8540" s="18"/>
    </row>
    <row r="8541" spans="13:24">
      <c r="M8541" s="558">
        <f t="shared" si="404"/>
        <v>8539</v>
      </c>
      <c r="N8541" s="15">
        <f t="shared" si="402"/>
        <v>3.1362659342686075E-2</v>
      </c>
      <c r="O8541" s="165">
        <f t="shared" si="403"/>
        <v>3.1362659342686075E-2</v>
      </c>
      <c r="P8541" s="18"/>
      <c r="Q8541" s="18"/>
      <c r="R8541" s="18"/>
      <c r="S8541" s="18"/>
      <c r="T8541" s="18"/>
      <c r="U8541" s="18"/>
      <c r="V8541" s="18"/>
      <c r="W8541" s="18"/>
      <c r="X8541" s="18"/>
    </row>
    <row r="8542" spans="13:24">
      <c r="M8542" s="558">
        <f t="shared" si="404"/>
        <v>8540</v>
      </c>
      <c r="N8542" s="15">
        <f t="shared" si="402"/>
        <v>3.1311277031350102E-2</v>
      </c>
      <c r="O8542" s="165">
        <f t="shared" si="403"/>
        <v>3.1311277031350102E-2</v>
      </c>
      <c r="P8542" s="18"/>
      <c r="Q8542" s="18"/>
      <c r="R8542" s="18"/>
      <c r="S8542" s="18"/>
      <c r="T8542" s="18"/>
      <c r="U8542" s="18"/>
      <c r="V8542" s="18"/>
      <c r="W8542" s="18"/>
      <c r="X8542" s="18"/>
    </row>
    <row r="8543" spans="13:24">
      <c r="M8543" s="558">
        <f t="shared" si="404"/>
        <v>8541</v>
      </c>
      <c r="N8543" s="15">
        <f t="shared" si="402"/>
        <v>3.1259894735635771E-2</v>
      </c>
      <c r="O8543" s="165">
        <f t="shared" si="403"/>
        <v>3.1259894735635771E-2</v>
      </c>
      <c r="P8543" s="18"/>
      <c r="Q8543" s="18"/>
      <c r="R8543" s="18"/>
      <c r="S8543" s="18"/>
      <c r="T8543" s="18"/>
      <c r="U8543" s="18"/>
      <c r="V8543" s="18"/>
      <c r="W8543" s="18"/>
      <c r="X8543" s="18"/>
    </row>
    <row r="8544" spans="13:24">
      <c r="M8544" s="558">
        <f t="shared" si="404"/>
        <v>8542</v>
      </c>
      <c r="N8544" s="15">
        <f t="shared" si="402"/>
        <v>3.1208512455523481E-2</v>
      </c>
      <c r="O8544" s="165">
        <f t="shared" si="403"/>
        <v>3.1208512455523481E-2</v>
      </c>
      <c r="P8544" s="18"/>
      <c r="Q8544" s="18"/>
      <c r="R8544" s="18"/>
      <c r="S8544" s="18"/>
      <c r="T8544" s="18"/>
      <c r="U8544" s="18"/>
      <c r="V8544" s="18"/>
      <c r="W8544" s="18"/>
      <c r="X8544" s="18"/>
    </row>
    <row r="8545" spans="13:24">
      <c r="M8545" s="558">
        <f t="shared" si="404"/>
        <v>8543</v>
      </c>
      <c r="N8545" s="15">
        <f t="shared" si="402"/>
        <v>3.1157130190993653E-2</v>
      </c>
      <c r="O8545" s="165">
        <f t="shared" si="403"/>
        <v>3.1157130190993653E-2</v>
      </c>
      <c r="P8545" s="18"/>
      <c r="Q8545" s="18"/>
      <c r="R8545" s="18"/>
      <c r="S8545" s="18"/>
      <c r="T8545" s="18"/>
      <c r="U8545" s="18"/>
      <c r="V8545" s="18"/>
      <c r="W8545" s="18"/>
      <c r="X8545" s="18"/>
    </row>
    <row r="8546" spans="13:24">
      <c r="M8546" s="558">
        <f t="shared" si="404"/>
        <v>8544</v>
      </c>
      <c r="N8546" s="15">
        <f t="shared" si="402"/>
        <v>3.110574794202673E-2</v>
      </c>
      <c r="O8546" s="165">
        <f t="shared" si="403"/>
        <v>3.110574794202673E-2</v>
      </c>
      <c r="P8546" s="18"/>
      <c r="Q8546" s="18"/>
      <c r="R8546" s="18"/>
      <c r="S8546" s="18"/>
      <c r="T8546" s="18"/>
      <c r="U8546" s="18"/>
      <c r="V8546" s="18"/>
      <c r="W8546" s="18"/>
      <c r="X8546" s="18"/>
    </row>
    <row r="8547" spans="13:24">
      <c r="M8547" s="558">
        <f t="shared" si="404"/>
        <v>8545</v>
      </c>
      <c r="N8547" s="15">
        <f t="shared" si="402"/>
        <v>3.1054365708603187E-2</v>
      </c>
      <c r="O8547" s="165">
        <f t="shared" si="403"/>
        <v>3.1054365708603187E-2</v>
      </c>
      <c r="P8547" s="18"/>
      <c r="Q8547" s="18"/>
      <c r="R8547" s="18"/>
      <c r="S8547" s="18"/>
      <c r="T8547" s="18"/>
      <c r="U8547" s="18"/>
      <c r="V8547" s="18"/>
      <c r="W8547" s="18"/>
      <c r="X8547" s="18"/>
    </row>
    <row r="8548" spans="13:24">
      <c r="M8548" s="558">
        <f t="shared" si="404"/>
        <v>8546</v>
      </c>
      <c r="N8548" s="15">
        <f t="shared" si="402"/>
        <v>3.100298349070351E-2</v>
      </c>
      <c r="O8548" s="165">
        <f t="shared" si="403"/>
        <v>3.100298349070351E-2</v>
      </c>
      <c r="P8548" s="18"/>
      <c r="Q8548" s="18"/>
      <c r="R8548" s="18"/>
      <c r="S8548" s="18"/>
      <c r="T8548" s="18"/>
      <c r="U8548" s="18"/>
      <c r="V8548" s="18"/>
      <c r="W8548" s="18"/>
      <c r="X8548" s="18"/>
    </row>
    <row r="8549" spans="13:24">
      <c r="M8549" s="558">
        <f t="shared" si="404"/>
        <v>8547</v>
      </c>
      <c r="N8549" s="15">
        <f t="shared" si="402"/>
        <v>3.0951601288308223E-2</v>
      </c>
      <c r="O8549" s="165">
        <f t="shared" si="403"/>
        <v>3.0951601288308223E-2</v>
      </c>
      <c r="P8549" s="18"/>
      <c r="Q8549" s="18"/>
      <c r="R8549" s="18"/>
      <c r="S8549" s="18"/>
      <c r="T8549" s="18"/>
      <c r="U8549" s="18"/>
      <c r="V8549" s="18"/>
      <c r="W8549" s="18"/>
      <c r="X8549" s="18"/>
    </row>
    <row r="8550" spans="13:24">
      <c r="M8550" s="558">
        <f t="shared" si="404"/>
        <v>8548</v>
      </c>
      <c r="N8550" s="15">
        <f t="shared" si="402"/>
        <v>3.0900219101397876E-2</v>
      </c>
      <c r="O8550" s="165">
        <f t="shared" si="403"/>
        <v>3.0900219101397876E-2</v>
      </c>
      <c r="P8550" s="18"/>
      <c r="Q8550" s="18"/>
      <c r="R8550" s="18"/>
      <c r="S8550" s="18"/>
      <c r="T8550" s="18"/>
      <c r="U8550" s="18"/>
      <c r="V8550" s="18"/>
      <c r="W8550" s="18"/>
      <c r="X8550" s="18"/>
    </row>
    <row r="8551" spans="13:24">
      <c r="M8551" s="558">
        <f t="shared" si="404"/>
        <v>8549</v>
      </c>
      <c r="N8551" s="15">
        <f t="shared" si="402"/>
        <v>3.0848836929953025E-2</v>
      </c>
      <c r="O8551" s="165">
        <f t="shared" si="403"/>
        <v>3.0848836929953025E-2</v>
      </c>
      <c r="P8551" s="18"/>
      <c r="Q8551" s="18"/>
      <c r="R8551" s="18"/>
      <c r="S8551" s="18"/>
      <c r="T8551" s="18"/>
      <c r="U8551" s="18"/>
      <c r="V8551" s="18"/>
      <c r="W8551" s="18"/>
      <c r="X8551" s="18"/>
    </row>
    <row r="8552" spans="13:24">
      <c r="M8552" s="558">
        <f t="shared" si="404"/>
        <v>8550</v>
      </c>
      <c r="N8552" s="15">
        <f t="shared" si="402"/>
        <v>3.0797454773954267E-2</v>
      </c>
      <c r="O8552" s="165">
        <f t="shared" si="403"/>
        <v>3.0797454773954267E-2</v>
      </c>
      <c r="P8552" s="18"/>
      <c r="Q8552" s="18"/>
      <c r="R8552" s="18"/>
      <c r="S8552" s="18"/>
      <c r="T8552" s="18"/>
      <c r="U8552" s="18"/>
      <c r="V8552" s="18"/>
      <c r="W8552" s="18"/>
      <c r="X8552" s="18"/>
    </row>
    <row r="8553" spans="13:24">
      <c r="M8553" s="558">
        <f t="shared" si="404"/>
        <v>8551</v>
      </c>
      <c r="N8553" s="15">
        <f t="shared" si="402"/>
        <v>3.0746072633382217E-2</v>
      </c>
      <c r="O8553" s="165">
        <f t="shared" si="403"/>
        <v>3.0746072633382217E-2</v>
      </c>
      <c r="P8553" s="18"/>
      <c r="Q8553" s="18"/>
      <c r="R8553" s="18"/>
      <c r="S8553" s="18"/>
      <c r="T8553" s="18"/>
      <c r="U8553" s="18"/>
      <c r="V8553" s="18"/>
      <c r="W8553" s="18"/>
      <c r="X8553" s="18"/>
    </row>
    <row r="8554" spans="13:24">
      <c r="M8554" s="558">
        <f t="shared" si="404"/>
        <v>8552</v>
      </c>
      <c r="N8554" s="15">
        <f t="shared" si="402"/>
        <v>3.069469050821752E-2</v>
      </c>
      <c r="O8554" s="165">
        <f t="shared" si="403"/>
        <v>3.069469050821752E-2</v>
      </c>
      <c r="P8554" s="18"/>
      <c r="Q8554" s="18"/>
      <c r="R8554" s="18"/>
      <c r="S8554" s="18"/>
      <c r="T8554" s="18"/>
      <c r="U8554" s="18"/>
      <c r="V8554" s="18"/>
      <c r="W8554" s="18"/>
      <c r="X8554" s="18"/>
    </row>
    <row r="8555" spans="13:24">
      <c r="M8555" s="558">
        <f t="shared" si="404"/>
        <v>8553</v>
      </c>
      <c r="N8555" s="15">
        <f t="shared" si="402"/>
        <v>3.0643308398440833E-2</v>
      </c>
      <c r="O8555" s="165">
        <f t="shared" si="403"/>
        <v>3.0643308398440833E-2</v>
      </c>
      <c r="P8555" s="18"/>
      <c r="Q8555" s="18"/>
      <c r="R8555" s="18"/>
      <c r="S8555" s="18"/>
      <c r="T8555" s="18"/>
      <c r="U8555" s="18"/>
      <c r="V8555" s="18"/>
      <c r="W8555" s="18"/>
      <c r="X8555" s="18"/>
    </row>
    <row r="8556" spans="13:24">
      <c r="M8556" s="558">
        <f t="shared" si="404"/>
        <v>8554</v>
      </c>
      <c r="N8556" s="15">
        <f t="shared" si="402"/>
        <v>3.0591926304032853E-2</v>
      </c>
      <c r="O8556" s="165">
        <f t="shared" si="403"/>
        <v>3.0591926304032853E-2</v>
      </c>
      <c r="P8556" s="18"/>
      <c r="Q8556" s="18"/>
      <c r="R8556" s="18"/>
      <c r="S8556" s="18"/>
      <c r="T8556" s="18"/>
      <c r="U8556" s="18"/>
      <c r="V8556" s="18"/>
      <c r="W8556" s="18"/>
      <c r="X8556" s="18"/>
    </row>
    <row r="8557" spans="13:24">
      <c r="M8557" s="558">
        <f t="shared" si="404"/>
        <v>8555</v>
      </c>
      <c r="N8557" s="15">
        <f t="shared" si="402"/>
        <v>3.0540544224974289E-2</v>
      </c>
      <c r="O8557" s="165">
        <f t="shared" si="403"/>
        <v>3.0540544224974289E-2</v>
      </c>
      <c r="P8557" s="18"/>
      <c r="Q8557" s="18"/>
      <c r="R8557" s="18"/>
      <c r="S8557" s="18"/>
      <c r="T8557" s="18"/>
      <c r="U8557" s="18"/>
      <c r="V8557" s="18"/>
      <c r="W8557" s="18"/>
      <c r="X8557" s="18"/>
    </row>
    <row r="8558" spans="13:24">
      <c r="M8558" s="558">
        <f t="shared" si="404"/>
        <v>8556</v>
      </c>
      <c r="N8558" s="15">
        <f t="shared" si="402"/>
        <v>3.0489162161245881E-2</v>
      </c>
      <c r="O8558" s="165">
        <f t="shared" si="403"/>
        <v>3.0489162161245881E-2</v>
      </c>
      <c r="P8558" s="18"/>
      <c r="Q8558" s="18"/>
      <c r="R8558" s="18"/>
      <c r="S8558" s="18"/>
      <c r="T8558" s="18"/>
      <c r="U8558" s="18"/>
      <c r="V8558" s="18"/>
      <c r="W8558" s="18"/>
      <c r="X8558" s="18"/>
    </row>
    <row r="8559" spans="13:24">
      <c r="M8559" s="558">
        <f t="shared" si="404"/>
        <v>8557</v>
      </c>
      <c r="N8559" s="15">
        <f t="shared" si="402"/>
        <v>3.043778011282839E-2</v>
      </c>
      <c r="O8559" s="165">
        <f t="shared" si="403"/>
        <v>3.043778011282839E-2</v>
      </c>
      <c r="P8559" s="18"/>
      <c r="Q8559" s="18"/>
      <c r="R8559" s="18"/>
      <c r="S8559" s="18"/>
      <c r="T8559" s="18"/>
      <c r="U8559" s="18"/>
      <c r="V8559" s="18"/>
      <c r="W8559" s="18"/>
      <c r="X8559" s="18"/>
    </row>
    <row r="8560" spans="13:24">
      <c r="M8560" s="558">
        <f t="shared" si="404"/>
        <v>8558</v>
      </c>
      <c r="N8560" s="15">
        <f t="shared" si="402"/>
        <v>3.0386398079702604E-2</v>
      </c>
      <c r="O8560" s="165">
        <f t="shared" si="403"/>
        <v>3.0386398079702604E-2</v>
      </c>
      <c r="P8560" s="18"/>
      <c r="Q8560" s="18"/>
      <c r="R8560" s="18"/>
      <c r="S8560" s="18"/>
      <c r="T8560" s="18"/>
      <c r="U8560" s="18"/>
      <c r="V8560" s="18"/>
      <c r="W8560" s="18"/>
      <c r="X8560" s="18"/>
    </row>
    <row r="8561" spans="13:24">
      <c r="M8561" s="558">
        <f t="shared" si="404"/>
        <v>8559</v>
      </c>
      <c r="N8561" s="15">
        <f t="shared" si="402"/>
        <v>3.0335016061849331E-2</v>
      </c>
      <c r="O8561" s="165">
        <f t="shared" si="403"/>
        <v>3.0335016061849331E-2</v>
      </c>
      <c r="P8561" s="18"/>
      <c r="Q8561" s="18"/>
      <c r="R8561" s="18"/>
      <c r="S8561" s="18"/>
      <c r="T8561" s="18"/>
      <c r="U8561" s="18"/>
      <c r="V8561" s="18"/>
      <c r="W8561" s="18"/>
      <c r="X8561" s="18"/>
    </row>
    <row r="8562" spans="13:24">
      <c r="M8562" s="558">
        <f t="shared" si="404"/>
        <v>8560</v>
      </c>
      <c r="N8562" s="15">
        <f t="shared" si="402"/>
        <v>3.0283634059249408E-2</v>
      </c>
      <c r="O8562" s="165">
        <f t="shared" si="403"/>
        <v>3.0283634059249408E-2</v>
      </c>
      <c r="P8562" s="18"/>
      <c r="Q8562" s="18"/>
      <c r="R8562" s="18"/>
      <c r="S8562" s="18"/>
      <c r="T8562" s="18"/>
      <c r="U8562" s="18"/>
      <c r="V8562" s="18"/>
      <c r="W8562" s="18"/>
      <c r="X8562" s="18"/>
    </row>
    <row r="8563" spans="13:24">
      <c r="M8563" s="558">
        <f t="shared" si="404"/>
        <v>8561</v>
      </c>
      <c r="N8563" s="15">
        <f t="shared" si="402"/>
        <v>3.0232252071883684E-2</v>
      </c>
      <c r="O8563" s="165">
        <f t="shared" si="403"/>
        <v>3.0232252071883684E-2</v>
      </c>
      <c r="P8563" s="18"/>
      <c r="Q8563" s="18"/>
      <c r="R8563" s="18"/>
      <c r="S8563" s="18"/>
      <c r="T8563" s="18"/>
      <c r="U8563" s="18"/>
      <c r="V8563" s="18"/>
      <c r="W8563" s="18"/>
      <c r="X8563" s="18"/>
    </row>
    <row r="8564" spans="13:24">
      <c r="M8564" s="558">
        <f t="shared" si="404"/>
        <v>8562</v>
      </c>
      <c r="N8564" s="15">
        <f t="shared" si="402"/>
        <v>3.018087009973305E-2</v>
      </c>
      <c r="O8564" s="165">
        <f t="shared" si="403"/>
        <v>3.018087009973305E-2</v>
      </c>
      <c r="P8564" s="18"/>
      <c r="Q8564" s="18"/>
      <c r="R8564" s="18"/>
      <c r="S8564" s="18"/>
      <c r="T8564" s="18"/>
      <c r="U8564" s="18"/>
      <c r="V8564" s="18"/>
      <c r="W8564" s="18"/>
      <c r="X8564" s="18"/>
    </row>
    <row r="8565" spans="13:24">
      <c r="M8565" s="558">
        <f t="shared" si="404"/>
        <v>8563</v>
      </c>
      <c r="N8565" s="15">
        <f t="shared" si="402"/>
        <v>3.012948814277841E-2</v>
      </c>
      <c r="O8565" s="165">
        <f t="shared" si="403"/>
        <v>3.012948814277841E-2</v>
      </c>
      <c r="P8565" s="18"/>
      <c r="Q8565" s="18"/>
      <c r="R8565" s="18"/>
      <c r="S8565" s="18"/>
      <c r="T8565" s="18"/>
      <c r="U8565" s="18"/>
      <c r="V8565" s="18"/>
      <c r="W8565" s="18"/>
      <c r="X8565" s="18"/>
    </row>
    <row r="8566" spans="13:24">
      <c r="M8566" s="558">
        <f t="shared" si="404"/>
        <v>8564</v>
      </c>
      <c r="N8566" s="15">
        <f t="shared" si="402"/>
        <v>3.0078106201000699E-2</v>
      </c>
      <c r="O8566" s="165">
        <f t="shared" si="403"/>
        <v>3.0078106201000699E-2</v>
      </c>
      <c r="P8566" s="18"/>
      <c r="Q8566" s="18"/>
      <c r="R8566" s="18"/>
      <c r="S8566" s="18"/>
      <c r="T8566" s="18"/>
      <c r="U8566" s="18"/>
      <c r="V8566" s="18"/>
      <c r="W8566" s="18"/>
      <c r="X8566" s="18"/>
    </row>
    <row r="8567" spans="13:24">
      <c r="M8567" s="558">
        <f t="shared" si="404"/>
        <v>8565</v>
      </c>
      <c r="N8567" s="15">
        <f t="shared" si="402"/>
        <v>3.0026724274380863E-2</v>
      </c>
      <c r="O8567" s="165">
        <f t="shared" si="403"/>
        <v>3.0026724274380863E-2</v>
      </c>
      <c r="P8567" s="18"/>
      <c r="Q8567" s="18"/>
      <c r="R8567" s="18"/>
      <c r="S8567" s="18"/>
      <c r="T8567" s="18"/>
      <c r="U8567" s="18"/>
      <c r="V8567" s="18"/>
      <c r="W8567" s="18"/>
      <c r="X8567" s="18"/>
    </row>
    <row r="8568" spans="13:24">
      <c r="M8568" s="558">
        <f t="shared" si="404"/>
        <v>8566</v>
      </c>
      <c r="N8568" s="15">
        <f t="shared" si="402"/>
        <v>2.9975342362899886E-2</v>
      </c>
      <c r="O8568" s="165">
        <f t="shared" si="403"/>
        <v>2.9975342362899886E-2</v>
      </c>
      <c r="P8568" s="18"/>
      <c r="Q8568" s="18"/>
      <c r="R8568" s="18"/>
      <c r="S8568" s="18"/>
      <c r="T8568" s="18"/>
      <c r="U8568" s="18"/>
      <c r="V8568" s="18"/>
      <c r="W8568" s="18"/>
      <c r="X8568" s="18"/>
    </row>
    <row r="8569" spans="13:24">
      <c r="M8569" s="558">
        <f t="shared" si="404"/>
        <v>8567</v>
      </c>
      <c r="N8569" s="15">
        <f t="shared" si="402"/>
        <v>2.9923960466538769E-2</v>
      </c>
      <c r="O8569" s="165">
        <f t="shared" si="403"/>
        <v>2.9923960466538769E-2</v>
      </c>
      <c r="P8569" s="18"/>
      <c r="Q8569" s="18"/>
      <c r="R8569" s="18"/>
      <c r="S8569" s="18"/>
      <c r="T8569" s="18"/>
      <c r="U8569" s="18"/>
      <c r="V8569" s="18"/>
      <c r="W8569" s="18"/>
      <c r="X8569" s="18"/>
    </row>
    <row r="8570" spans="13:24">
      <c r="M8570" s="558">
        <f t="shared" si="404"/>
        <v>8568</v>
      </c>
      <c r="N8570" s="15">
        <f t="shared" si="402"/>
        <v>2.9872578585278531E-2</v>
      </c>
      <c r="O8570" s="165">
        <f t="shared" si="403"/>
        <v>2.9872578585278531E-2</v>
      </c>
      <c r="P8570" s="18"/>
      <c r="Q8570" s="18"/>
      <c r="R8570" s="18"/>
      <c r="S8570" s="18"/>
      <c r="T8570" s="18"/>
      <c r="U8570" s="18"/>
      <c r="V8570" s="18"/>
      <c r="W8570" s="18"/>
      <c r="X8570" s="18"/>
    </row>
    <row r="8571" spans="13:24">
      <c r="M8571" s="558">
        <f t="shared" si="404"/>
        <v>8569</v>
      </c>
      <c r="N8571" s="15">
        <f t="shared" si="402"/>
        <v>2.9821196719100232E-2</v>
      </c>
      <c r="O8571" s="165">
        <f t="shared" si="403"/>
        <v>2.9821196719100232E-2</v>
      </c>
      <c r="P8571" s="18"/>
      <c r="Q8571" s="18"/>
      <c r="R8571" s="18"/>
      <c r="S8571" s="18"/>
      <c r="T8571" s="18"/>
      <c r="U8571" s="18"/>
      <c r="V8571" s="18"/>
      <c r="W8571" s="18"/>
      <c r="X8571" s="18"/>
    </row>
    <row r="8572" spans="13:24">
      <c r="M8572" s="558">
        <f t="shared" si="404"/>
        <v>8570</v>
      </c>
      <c r="N8572" s="15">
        <f t="shared" si="402"/>
        <v>2.9769814867984936E-2</v>
      </c>
      <c r="O8572" s="165">
        <f t="shared" si="403"/>
        <v>2.9769814867984936E-2</v>
      </c>
      <c r="P8572" s="18"/>
      <c r="Q8572" s="18"/>
      <c r="R8572" s="18"/>
      <c r="S8572" s="18"/>
      <c r="T8572" s="18"/>
      <c r="U8572" s="18"/>
      <c r="V8572" s="18"/>
      <c r="W8572" s="18"/>
      <c r="X8572" s="18"/>
    </row>
    <row r="8573" spans="13:24">
      <c r="M8573" s="558">
        <f t="shared" si="404"/>
        <v>8571</v>
      </c>
      <c r="N8573" s="15">
        <f t="shared" si="402"/>
        <v>2.9718433031913748E-2</v>
      </c>
      <c r="O8573" s="165">
        <f t="shared" si="403"/>
        <v>2.9718433031913748E-2</v>
      </c>
      <c r="P8573" s="18"/>
      <c r="Q8573" s="18"/>
      <c r="R8573" s="18"/>
      <c r="S8573" s="18"/>
      <c r="T8573" s="18"/>
      <c r="U8573" s="18"/>
      <c r="V8573" s="18"/>
      <c r="W8573" s="18"/>
      <c r="X8573" s="18"/>
    </row>
    <row r="8574" spans="13:24">
      <c r="M8574" s="558">
        <f t="shared" si="404"/>
        <v>8572</v>
      </c>
      <c r="N8574" s="15">
        <f t="shared" si="402"/>
        <v>2.9667051210867788E-2</v>
      </c>
      <c r="O8574" s="165">
        <f t="shared" si="403"/>
        <v>2.9667051210867788E-2</v>
      </c>
      <c r="P8574" s="18"/>
      <c r="Q8574" s="18"/>
      <c r="R8574" s="18"/>
      <c r="S8574" s="18"/>
      <c r="T8574" s="18"/>
      <c r="U8574" s="18"/>
      <c r="V8574" s="18"/>
      <c r="W8574" s="18"/>
      <c r="X8574" s="18"/>
    </row>
    <row r="8575" spans="13:24">
      <c r="M8575" s="558">
        <f t="shared" si="404"/>
        <v>8573</v>
      </c>
      <c r="N8575" s="15">
        <f t="shared" si="402"/>
        <v>2.9615669404828196E-2</v>
      </c>
      <c r="O8575" s="165">
        <f t="shared" si="403"/>
        <v>2.9615669404828196E-2</v>
      </c>
      <c r="P8575" s="18"/>
      <c r="Q8575" s="18"/>
      <c r="R8575" s="18"/>
      <c r="S8575" s="18"/>
      <c r="T8575" s="18"/>
      <c r="U8575" s="18"/>
      <c r="V8575" s="18"/>
      <c r="W8575" s="18"/>
      <c r="X8575" s="18"/>
    </row>
    <row r="8576" spans="13:24">
      <c r="M8576" s="558">
        <f t="shared" si="404"/>
        <v>8574</v>
      </c>
      <c r="N8576" s="15">
        <f t="shared" si="402"/>
        <v>2.9564287613776143E-2</v>
      </c>
      <c r="O8576" s="165">
        <f t="shared" si="403"/>
        <v>2.9564287613776143E-2</v>
      </c>
      <c r="P8576" s="18"/>
      <c r="Q8576" s="18"/>
      <c r="R8576" s="18"/>
      <c r="S8576" s="18"/>
      <c r="T8576" s="18"/>
      <c r="U8576" s="18"/>
      <c r="V8576" s="18"/>
      <c r="W8576" s="18"/>
      <c r="X8576" s="18"/>
    </row>
    <row r="8577" spans="13:24">
      <c r="M8577" s="558">
        <f t="shared" si="404"/>
        <v>8575</v>
      </c>
      <c r="N8577" s="15">
        <f t="shared" si="402"/>
        <v>2.951290583769282E-2</v>
      </c>
      <c r="O8577" s="165">
        <f t="shared" si="403"/>
        <v>2.951290583769282E-2</v>
      </c>
      <c r="P8577" s="18"/>
      <c r="Q8577" s="18"/>
      <c r="R8577" s="18"/>
      <c r="S8577" s="18"/>
      <c r="T8577" s="18"/>
      <c r="U8577" s="18"/>
      <c r="V8577" s="18"/>
      <c r="W8577" s="18"/>
      <c r="X8577" s="18"/>
    </row>
    <row r="8578" spans="13:24">
      <c r="M8578" s="558">
        <f t="shared" si="404"/>
        <v>8576</v>
      </c>
      <c r="N8578" s="15">
        <f t="shared" si="402"/>
        <v>2.9461524076559442E-2</v>
      </c>
      <c r="O8578" s="165">
        <f t="shared" si="403"/>
        <v>2.9461524076559442E-2</v>
      </c>
      <c r="P8578" s="18"/>
      <c r="Q8578" s="18"/>
      <c r="R8578" s="18"/>
      <c r="S8578" s="18"/>
      <c r="T8578" s="18"/>
      <c r="U8578" s="18"/>
      <c r="V8578" s="18"/>
      <c r="W8578" s="18"/>
      <c r="X8578" s="18"/>
    </row>
    <row r="8579" spans="13:24">
      <c r="M8579" s="558">
        <f t="shared" si="404"/>
        <v>8577</v>
      </c>
      <c r="N8579" s="15">
        <f t="shared" si="402"/>
        <v>2.9410142330357249E-2</v>
      </c>
      <c r="O8579" s="165">
        <f t="shared" si="403"/>
        <v>2.9410142330357249E-2</v>
      </c>
      <c r="P8579" s="18"/>
      <c r="Q8579" s="18"/>
      <c r="R8579" s="18"/>
      <c r="S8579" s="18"/>
      <c r="T8579" s="18"/>
      <c r="U8579" s="18"/>
      <c r="V8579" s="18"/>
      <c r="W8579" s="18"/>
      <c r="X8579" s="18"/>
    </row>
    <row r="8580" spans="13:24">
      <c r="M8580" s="558">
        <f t="shared" si="404"/>
        <v>8578</v>
      </c>
      <c r="N8580" s="15">
        <f t="shared" ref="N8580:N8643" si="405">IF(M8580&lt;$B$31+1,$B$32+$B$33/$B$31*(8760-M8580)+$B$34*IF(M8580&lt;$B$36-$B$31/(2*$B$35),1,IF(M8580&lt;$B$36+$B$31/(2*$B$35),COS(PI()/2*(M8580-($B$36-$B$31/(2*$B$35)))*$B$35/$B$31)^2,0))+$B$37*EXP((8760-M8580)/8760*$B$38)/EXP($B$38)-(8760-$B$31)*$B$33/$B$31,0)</f>
        <v>2.9358760599067498E-2</v>
      </c>
      <c r="O8580" s="165">
        <f t="shared" ref="O8580:O8643" si="406">MIN(N8580,C$24)</f>
        <v>2.9358760599067498E-2</v>
      </c>
      <c r="P8580" s="18"/>
      <c r="Q8580" s="18"/>
      <c r="R8580" s="18"/>
      <c r="S8580" s="18"/>
      <c r="T8580" s="18"/>
      <c r="U8580" s="18"/>
      <c r="V8580" s="18"/>
      <c r="W8580" s="18"/>
      <c r="X8580" s="18"/>
    </row>
    <row r="8581" spans="13:24">
      <c r="M8581" s="558">
        <f t="shared" ref="M8581:M8644" si="407">M8580+1</f>
        <v>8579</v>
      </c>
      <c r="N8581" s="15">
        <f t="shared" si="405"/>
        <v>2.9307378882671486E-2</v>
      </c>
      <c r="O8581" s="165">
        <f t="shared" si="406"/>
        <v>2.9307378882671486E-2</v>
      </c>
      <c r="P8581" s="18"/>
      <c r="Q8581" s="18"/>
      <c r="R8581" s="18"/>
      <c r="S8581" s="18"/>
      <c r="T8581" s="18"/>
      <c r="U8581" s="18"/>
      <c r="V8581" s="18"/>
      <c r="W8581" s="18"/>
      <c r="X8581" s="18"/>
    </row>
    <row r="8582" spans="13:24">
      <c r="M8582" s="558">
        <f t="shared" si="407"/>
        <v>8580</v>
      </c>
      <c r="N8582" s="15">
        <f t="shared" si="405"/>
        <v>2.9255997181150521E-2</v>
      </c>
      <c r="O8582" s="165">
        <f t="shared" si="406"/>
        <v>2.9255997181150521E-2</v>
      </c>
      <c r="P8582" s="18"/>
      <c r="Q8582" s="18"/>
      <c r="R8582" s="18"/>
      <c r="S8582" s="18"/>
      <c r="T8582" s="18"/>
      <c r="U8582" s="18"/>
      <c r="V8582" s="18"/>
      <c r="W8582" s="18"/>
      <c r="X8582" s="18"/>
    </row>
    <row r="8583" spans="13:24">
      <c r="M8583" s="558">
        <f t="shared" si="407"/>
        <v>8581</v>
      </c>
      <c r="N8583" s="15">
        <f t="shared" si="405"/>
        <v>2.9204615494485928E-2</v>
      </c>
      <c r="O8583" s="165">
        <f t="shared" si="406"/>
        <v>2.9204615494485928E-2</v>
      </c>
      <c r="P8583" s="18"/>
      <c r="Q8583" s="18"/>
      <c r="R8583" s="18"/>
      <c r="S8583" s="18"/>
      <c r="T8583" s="18"/>
      <c r="U8583" s="18"/>
      <c r="V8583" s="18"/>
      <c r="W8583" s="18"/>
      <c r="X8583" s="18"/>
    </row>
    <row r="8584" spans="13:24">
      <c r="M8584" s="558">
        <f t="shared" si="407"/>
        <v>8582</v>
      </c>
      <c r="N8584" s="15">
        <f t="shared" si="405"/>
        <v>2.9153233822659066E-2</v>
      </c>
      <c r="O8584" s="165">
        <f t="shared" si="406"/>
        <v>2.9153233822659066E-2</v>
      </c>
      <c r="P8584" s="18"/>
      <c r="Q8584" s="18"/>
      <c r="R8584" s="18"/>
      <c r="S8584" s="18"/>
      <c r="T8584" s="18"/>
      <c r="U8584" s="18"/>
      <c r="V8584" s="18"/>
      <c r="W8584" s="18"/>
      <c r="X8584" s="18"/>
    </row>
    <row r="8585" spans="13:24">
      <c r="M8585" s="558">
        <f t="shared" si="407"/>
        <v>8583</v>
      </c>
      <c r="N8585" s="15">
        <f t="shared" si="405"/>
        <v>2.9101852165651317E-2</v>
      </c>
      <c r="O8585" s="165">
        <f t="shared" si="406"/>
        <v>2.9101852165651317E-2</v>
      </c>
      <c r="P8585" s="18"/>
      <c r="Q8585" s="18"/>
      <c r="R8585" s="18"/>
      <c r="S8585" s="18"/>
      <c r="T8585" s="18"/>
      <c r="U8585" s="18"/>
      <c r="V8585" s="18"/>
      <c r="W8585" s="18"/>
      <c r="X8585" s="18"/>
    </row>
    <row r="8586" spans="13:24">
      <c r="M8586" s="558">
        <f t="shared" si="407"/>
        <v>8584</v>
      </c>
      <c r="N8586" s="15">
        <f t="shared" si="405"/>
        <v>2.9050470523444082E-2</v>
      </c>
      <c r="O8586" s="165">
        <f t="shared" si="406"/>
        <v>2.9050470523444082E-2</v>
      </c>
      <c r="P8586" s="18"/>
      <c r="Q8586" s="18"/>
      <c r="R8586" s="18"/>
      <c r="S8586" s="18"/>
      <c r="T8586" s="18"/>
      <c r="U8586" s="18"/>
      <c r="V8586" s="18"/>
      <c r="W8586" s="18"/>
      <c r="X8586" s="18"/>
    </row>
    <row r="8587" spans="13:24">
      <c r="M8587" s="558">
        <f t="shared" si="407"/>
        <v>8585</v>
      </c>
      <c r="N8587" s="15">
        <f t="shared" si="405"/>
        <v>2.899908889601879E-2</v>
      </c>
      <c r="O8587" s="165">
        <f t="shared" si="406"/>
        <v>2.899908889601879E-2</v>
      </c>
      <c r="P8587" s="18"/>
      <c r="Q8587" s="18"/>
      <c r="R8587" s="18"/>
      <c r="S8587" s="18"/>
      <c r="T8587" s="18"/>
      <c r="U8587" s="18"/>
      <c r="V8587" s="18"/>
      <c r="W8587" s="18"/>
      <c r="X8587" s="18"/>
    </row>
    <row r="8588" spans="13:24">
      <c r="M8588" s="558">
        <f t="shared" si="407"/>
        <v>8586</v>
      </c>
      <c r="N8588" s="15">
        <f t="shared" si="405"/>
        <v>2.8947707283356886E-2</v>
      </c>
      <c r="O8588" s="165">
        <f t="shared" si="406"/>
        <v>2.8947707283356886E-2</v>
      </c>
      <c r="P8588" s="18"/>
      <c r="Q8588" s="18"/>
      <c r="R8588" s="18"/>
      <c r="S8588" s="18"/>
      <c r="T8588" s="18"/>
      <c r="U8588" s="18"/>
      <c r="V8588" s="18"/>
      <c r="W8588" s="18"/>
      <c r="X8588" s="18"/>
    </row>
    <row r="8589" spans="13:24">
      <c r="M8589" s="558">
        <f t="shared" si="407"/>
        <v>8587</v>
      </c>
      <c r="N8589" s="15">
        <f t="shared" si="405"/>
        <v>2.8896325685439851E-2</v>
      </c>
      <c r="O8589" s="165">
        <f t="shared" si="406"/>
        <v>2.8896325685439851E-2</v>
      </c>
      <c r="P8589" s="18"/>
      <c r="Q8589" s="18"/>
      <c r="R8589" s="18"/>
      <c r="S8589" s="18"/>
      <c r="T8589" s="18"/>
      <c r="U8589" s="18"/>
      <c r="V8589" s="18"/>
      <c r="W8589" s="18"/>
      <c r="X8589" s="18"/>
    </row>
    <row r="8590" spans="13:24">
      <c r="M8590" s="558">
        <f t="shared" si="407"/>
        <v>8588</v>
      </c>
      <c r="N8590" s="15">
        <f t="shared" si="405"/>
        <v>2.8844944102249179E-2</v>
      </c>
      <c r="O8590" s="165">
        <f t="shared" si="406"/>
        <v>2.8844944102249179E-2</v>
      </c>
      <c r="P8590" s="18"/>
      <c r="Q8590" s="18"/>
      <c r="R8590" s="18"/>
      <c r="S8590" s="18"/>
      <c r="T8590" s="18"/>
      <c r="U8590" s="18"/>
      <c r="V8590" s="18"/>
      <c r="W8590" s="18"/>
      <c r="X8590" s="18"/>
    </row>
    <row r="8591" spans="13:24">
      <c r="M8591" s="558">
        <f t="shared" si="407"/>
        <v>8589</v>
      </c>
      <c r="N8591" s="15">
        <f t="shared" si="405"/>
        <v>2.8793562533766387E-2</v>
      </c>
      <c r="O8591" s="165">
        <f t="shared" si="406"/>
        <v>2.8793562533766387E-2</v>
      </c>
      <c r="P8591" s="18"/>
      <c r="Q8591" s="18"/>
      <c r="R8591" s="18"/>
      <c r="S8591" s="18"/>
      <c r="T8591" s="18"/>
      <c r="U8591" s="18"/>
      <c r="V8591" s="18"/>
      <c r="W8591" s="18"/>
      <c r="X8591" s="18"/>
    </row>
    <row r="8592" spans="13:24">
      <c r="M8592" s="558">
        <f t="shared" si="407"/>
        <v>8590</v>
      </c>
      <c r="N8592" s="15">
        <f t="shared" si="405"/>
        <v>2.8742180979973019E-2</v>
      </c>
      <c r="O8592" s="165">
        <f t="shared" si="406"/>
        <v>2.8742180979973019E-2</v>
      </c>
      <c r="P8592" s="18"/>
      <c r="Q8592" s="18"/>
      <c r="R8592" s="18"/>
      <c r="S8592" s="18"/>
      <c r="T8592" s="18"/>
      <c r="U8592" s="18"/>
      <c r="V8592" s="18"/>
      <c r="W8592" s="18"/>
      <c r="X8592" s="18"/>
    </row>
    <row r="8593" spans="13:24">
      <c r="M8593" s="558">
        <f t="shared" si="407"/>
        <v>8591</v>
      </c>
      <c r="N8593" s="15">
        <f t="shared" si="405"/>
        <v>2.8690799440850633E-2</v>
      </c>
      <c r="O8593" s="165">
        <f t="shared" si="406"/>
        <v>2.8690799440850633E-2</v>
      </c>
      <c r="P8593" s="18"/>
      <c r="Q8593" s="18"/>
      <c r="R8593" s="18"/>
      <c r="S8593" s="18"/>
      <c r="T8593" s="18"/>
      <c r="U8593" s="18"/>
      <c r="V8593" s="18"/>
      <c r="W8593" s="18"/>
      <c r="X8593" s="18"/>
    </row>
    <row r="8594" spans="13:24">
      <c r="M8594" s="558">
        <f t="shared" si="407"/>
        <v>8592</v>
      </c>
      <c r="N8594" s="15">
        <f t="shared" si="405"/>
        <v>2.8639417916380833E-2</v>
      </c>
      <c r="O8594" s="165">
        <f t="shared" si="406"/>
        <v>2.8639417916380833E-2</v>
      </c>
      <c r="P8594" s="18"/>
      <c r="Q8594" s="18"/>
      <c r="R8594" s="18"/>
      <c r="S8594" s="18"/>
      <c r="T8594" s="18"/>
      <c r="U8594" s="18"/>
      <c r="V8594" s="18"/>
      <c r="W8594" s="18"/>
      <c r="X8594" s="18"/>
    </row>
    <row r="8595" spans="13:24">
      <c r="M8595" s="558">
        <f t="shared" si="407"/>
        <v>8593</v>
      </c>
      <c r="N8595" s="15">
        <f t="shared" si="405"/>
        <v>2.8588036406545222E-2</v>
      </c>
      <c r="O8595" s="165">
        <f t="shared" si="406"/>
        <v>2.8588036406545222E-2</v>
      </c>
      <c r="P8595" s="18"/>
      <c r="Q8595" s="18"/>
      <c r="R8595" s="18"/>
      <c r="S8595" s="18"/>
      <c r="T8595" s="18"/>
      <c r="U8595" s="18"/>
      <c r="V8595" s="18"/>
      <c r="W8595" s="18"/>
      <c r="X8595" s="18"/>
    </row>
    <row r="8596" spans="13:24">
      <c r="M8596" s="558">
        <f t="shared" si="407"/>
        <v>8594</v>
      </c>
      <c r="N8596" s="15">
        <f t="shared" si="405"/>
        <v>2.8536654911325437E-2</v>
      </c>
      <c r="O8596" s="165">
        <f t="shared" si="406"/>
        <v>2.8536654911325437E-2</v>
      </c>
      <c r="P8596" s="18"/>
      <c r="Q8596" s="18"/>
      <c r="R8596" s="18"/>
      <c r="S8596" s="18"/>
      <c r="T8596" s="18"/>
      <c r="U8596" s="18"/>
      <c r="V8596" s="18"/>
      <c r="W8596" s="18"/>
      <c r="X8596" s="18"/>
    </row>
    <row r="8597" spans="13:24">
      <c r="M8597" s="558">
        <f t="shared" si="407"/>
        <v>8595</v>
      </c>
      <c r="N8597" s="15">
        <f t="shared" si="405"/>
        <v>2.8485273430703138E-2</v>
      </c>
      <c r="O8597" s="165">
        <f t="shared" si="406"/>
        <v>2.8485273430703138E-2</v>
      </c>
      <c r="P8597" s="18"/>
      <c r="Q8597" s="18"/>
      <c r="R8597" s="18"/>
      <c r="S8597" s="18"/>
      <c r="T8597" s="18"/>
      <c r="U8597" s="18"/>
      <c r="V8597" s="18"/>
      <c r="W8597" s="18"/>
      <c r="X8597" s="18"/>
    </row>
    <row r="8598" spans="13:24">
      <c r="M8598" s="558">
        <f t="shared" si="407"/>
        <v>8596</v>
      </c>
      <c r="N8598" s="15">
        <f t="shared" si="405"/>
        <v>2.8433891964660007E-2</v>
      </c>
      <c r="O8598" s="165">
        <f t="shared" si="406"/>
        <v>2.8433891964660007E-2</v>
      </c>
      <c r="P8598" s="18"/>
      <c r="Q8598" s="18"/>
      <c r="R8598" s="18"/>
      <c r="S8598" s="18"/>
      <c r="T8598" s="18"/>
      <c r="U8598" s="18"/>
      <c r="V8598" s="18"/>
      <c r="W8598" s="18"/>
      <c r="X8598" s="18"/>
    </row>
    <row r="8599" spans="13:24">
      <c r="M8599" s="558">
        <f t="shared" si="407"/>
        <v>8597</v>
      </c>
      <c r="N8599" s="15">
        <f t="shared" si="405"/>
        <v>2.8382510513177743E-2</v>
      </c>
      <c r="O8599" s="165">
        <f t="shared" si="406"/>
        <v>2.8382510513177743E-2</v>
      </c>
      <c r="P8599" s="18"/>
      <c r="Q8599" s="18"/>
      <c r="R8599" s="18"/>
      <c r="S8599" s="18"/>
      <c r="T8599" s="18"/>
      <c r="U8599" s="18"/>
      <c r="V8599" s="18"/>
      <c r="W8599" s="18"/>
      <c r="X8599" s="18"/>
    </row>
    <row r="8600" spans="13:24">
      <c r="M8600" s="558">
        <f t="shared" si="407"/>
        <v>8598</v>
      </c>
      <c r="N8600" s="15">
        <f t="shared" si="405"/>
        <v>2.8331129076238078E-2</v>
      </c>
      <c r="O8600" s="165">
        <f t="shared" si="406"/>
        <v>2.8331129076238078E-2</v>
      </c>
      <c r="P8600" s="18"/>
      <c r="Q8600" s="18"/>
      <c r="R8600" s="18"/>
      <c r="S8600" s="18"/>
      <c r="T8600" s="18"/>
      <c r="U8600" s="18"/>
      <c r="V8600" s="18"/>
      <c r="W8600" s="18"/>
      <c r="X8600" s="18"/>
    </row>
    <row r="8601" spans="13:24">
      <c r="M8601" s="558">
        <f t="shared" si="407"/>
        <v>8599</v>
      </c>
      <c r="N8601" s="15">
        <f t="shared" si="405"/>
        <v>2.8279747653822757E-2</v>
      </c>
      <c r="O8601" s="165">
        <f t="shared" si="406"/>
        <v>2.8279747653822757E-2</v>
      </c>
      <c r="P8601" s="18"/>
      <c r="Q8601" s="18"/>
      <c r="R8601" s="18"/>
      <c r="S8601" s="18"/>
      <c r="T8601" s="18"/>
      <c r="U8601" s="18"/>
      <c r="V8601" s="18"/>
      <c r="W8601" s="18"/>
      <c r="X8601" s="18"/>
    </row>
    <row r="8602" spans="13:24">
      <c r="M8602" s="558">
        <f t="shared" si="407"/>
        <v>8600</v>
      </c>
      <c r="N8602" s="15">
        <f t="shared" si="405"/>
        <v>2.8228366245913558E-2</v>
      </c>
      <c r="O8602" s="165">
        <f t="shared" si="406"/>
        <v>2.8228366245913558E-2</v>
      </c>
      <c r="P8602" s="18"/>
      <c r="Q8602" s="18"/>
      <c r="R8602" s="18"/>
      <c r="S8602" s="18"/>
      <c r="T8602" s="18"/>
      <c r="U8602" s="18"/>
      <c r="V8602" s="18"/>
      <c r="W8602" s="18"/>
      <c r="X8602" s="18"/>
    </row>
    <row r="8603" spans="13:24">
      <c r="M8603" s="558">
        <f t="shared" si="407"/>
        <v>8601</v>
      </c>
      <c r="N8603" s="15">
        <f t="shared" si="405"/>
        <v>2.8176984852492273E-2</v>
      </c>
      <c r="O8603" s="165">
        <f t="shared" si="406"/>
        <v>2.8176984852492273E-2</v>
      </c>
      <c r="P8603" s="18"/>
      <c r="Q8603" s="18"/>
      <c r="R8603" s="18"/>
      <c r="S8603" s="18"/>
      <c r="T8603" s="18"/>
      <c r="U8603" s="18"/>
      <c r="V8603" s="18"/>
      <c r="W8603" s="18"/>
      <c r="X8603" s="18"/>
    </row>
    <row r="8604" spans="13:24">
      <c r="M8604" s="558">
        <f t="shared" si="407"/>
        <v>8602</v>
      </c>
      <c r="N8604" s="15">
        <f t="shared" si="405"/>
        <v>2.812560347354073E-2</v>
      </c>
      <c r="O8604" s="165">
        <f t="shared" si="406"/>
        <v>2.812560347354073E-2</v>
      </c>
      <c r="P8604" s="18"/>
      <c r="Q8604" s="18"/>
      <c r="R8604" s="18"/>
      <c r="S8604" s="18"/>
      <c r="T8604" s="18"/>
      <c r="U8604" s="18"/>
      <c r="V8604" s="18"/>
      <c r="W8604" s="18"/>
      <c r="X8604" s="18"/>
    </row>
    <row r="8605" spans="13:24">
      <c r="M8605" s="558">
        <f t="shared" si="407"/>
        <v>8603</v>
      </c>
      <c r="N8605" s="15">
        <f t="shared" si="405"/>
        <v>2.8074222109040762E-2</v>
      </c>
      <c r="O8605" s="165">
        <f t="shared" si="406"/>
        <v>2.8074222109040762E-2</v>
      </c>
      <c r="P8605" s="18"/>
      <c r="Q8605" s="18"/>
      <c r="R8605" s="18"/>
      <c r="S8605" s="18"/>
      <c r="T8605" s="18"/>
      <c r="U8605" s="18"/>
      <c r="V8605" s="18"/>
      <c r="W8605" s="18"/>
      <c r="X8605" s="18"/>
    </row>
    <row r="8606" spans="13:24">
      <c r="M8606" s="558">
        <f t="shared" si="407"/>
        <v>8604</v>
      </c>
      <c r="N8606" s="15">
        <f t="shared" si="405"/>
        <v>2.8022840758974234E-2</v>
      </c>
      <c r="O8606" s="165">
        <f t="shared" si="406"/>
        <v>2.8022840758974234E-2</v>
      </c>
      <c r="P8606" s="18"/>
      <c r="Q8606" s="18"/>
      <c r="R8606" s="18"/>
      <c r="S8606" s="18"/>
      <c r="T8606" s="18"/>
      <c r="U8606" s="18"/>
      <c r="V8606" s="18"/>
      <c r="W8606" s="18"/>
      <c r="X8606" s="18"/>
    </row>
    <row r="8607" spans="13:24">
      <c r="M8607" s="558">
        <f t="shared" si="407"/>
        <v>8605</v>
      </c>
      <c r="N8607" s="15">
        <f t="shared" si="405"/>
        <v>2.7971459423323037E-2</v>
      </c>
      <c r="O8607" s="165">
        <f t="shared" si="406"/>
        <v>2.7971459423323037E-2</v>
      </c>
      <c r="P8607" s="18"/>
      <c r="Q8607" s="18"/>
      <c r="R8607" s="18"/>
      <c r="S8607" s="18"/>
      <c r="T8607" s="18"/>
      <c r="U8607" s="18"/>
      <c r="V8607" s="18"/>
      <c r="W8607" s="18"/>
      <c r="X8607" s="18"/>
    </row>
    <row r="8608" spans="13:24">
      <c r="M8608" s="558">
        <f t="shared" si="407"/>
        <v>8606</v>
      </c>
      <c r="N8608" s="15">
        <f t="shared" si="405"/>
        <v>2.792007810206908E-2</v>
      </c>
      <c r="O8608" s="165">
        <f t="shared" si="406"/>
        <v>2.792007810206908E-2</v>
      </c>
      <c r="P8608" s="18"/>
      <c r="Q8608" s="18"/>
      <c r="R8608" s="18"/>
      <c r="S8608" s="18"/>
      <c r="T8608" s="18"/>
      <c r="U8608" s="18"/>
      <c r="V8608" s="18"/>
      <c r="W8608" s="18"/>
      <c r="X8608" s="18"/>
    </row>
    <row r="8609" spans="13:24">
      <c r="M8609" s="558">
        <f t="shared" si="407"/>
        <v>8607</v>
      </c>
      <c r="N8609" s="15">
        <f t="shared" si="405"/>
        <v>2.7868696795194287E-2</v>
      </c>
      <c r="O8609" s="165">
        <f t="shared" si="406"/>
        <v>2.7868696795194287E-2</v>
      </c>
      <c r="P8609" s="18"/>
      <c r="Q8609" s="18"/>
      <c r="R8609" s="18"/>
      <c r="S8609" s="18"/>
      <c r="T8609" s="18"/>
      <c r="U8609" s="18"/>
      <c r="V8609" s="18"/>
      <c r="W8609" s="18"/>
      <c r="X8609" s="18"/>
    </row>
    <row r="8610" spans="13:24">
      <c r="M8610" s="558">
        <f t="shared" si="407"/>
        <v>8608</v>
      </c>
      <c r="N8610" s="15">
        <f t="shared" si="405"/>
        <v>2.7817315502680628E-2</v>
      </c>
      <c r="O8610" s="165">
        <f t="shared" si="406"/>
        <v>2.7817315502680628E-2</v>
      </c>
      <c r="P8610" s="18"/>
      <c r="Q8610" s="18"/>
      <c r="R8610" s="18"/>
      <c r="S8610" s="18"/>
      <c r="T8610" s="18"/>
      <c r="U8610" s="18"/>
      <c r="V8610" s="18"/>
      <c r="W8610" s="18"/>
      <c r="X8610" s="18"/>
    </row>
    <row r="8611" spans="13:24">
      <c r="M8611" s="558">
        <f t="shared" si="407"/>
        <v>8609</v>
      </c>
      <c r="N8611" s="15">
        <f t="shared" si="405"/>
        <v>2.7765934224510069E-2</v>
      </c>
      <c r="O8611" s="165">
        <f t="shared" si="406"/>
        <v>2.7765934224510069E-2</v>
      </c>
      <c r="P8611" s="18"/>
      <c r="Q8611" s="18"/>
      <c r="R8611" s="18"/>
      <c r="S8611" s="18"/>
      <c r="T8611" s="18"/>
      <c r="U8611" s="18"/>
      <c r="V8611" s="18"/>
      <c r="W8611" s="18"/>
      <c r="X8611" s="18"/>
    </row>
    <row r="8612" spans="13:24">
      <c r="M8612" s="558">
        <f t="shared" si="407"/>
        <v>8610</v>
      </c>
      <c r="N8612" s="15">
        <f t="shared" si="405"/>
        <v>2.7714552960664617E-2</v>
      </c>
      <c r="O8612" s="165">
        <f t="shared" si="406"/>
        <v>2.7714552960664617E-2</v>
      </c>
      <c r="P8612" s="18"/>
      <c r="Q8612" s="18"/>
      <c r="R8612" s="18"/>
      <c r="S8612" s="18"/>
      <c r="T8612" s="18"/>
      <c r="U8612" s="18"/>
      <c r="V8612" s="18"/>
      <c r="W8612" s="18"/>
      <c r="X8612" s="18"/>
    </row>
    <row r="8613" spans="13:24">
      <c r="M8613" s="558">
        <f t="shared" si="407"/>
        <v>8611</v>
      </c>
      <c r="N8613" s="15">
        <f t="shared" si="405"/>
        <v>2.7663171711126294E-2</v>
      </c>
      <c r="O8613" s="165">
        <f t="shared" si="406"/>
        <v>2.7663171711126294E-2</v>
      </c>
      <c r="P8613" s="18"/>
      <c r="Q8613" s="18"/>
      <c r="R8613" s="18"/>
      <c r="S8613" s="18"/>
      <c r="T8613" s="18"/>
      <c r="U8613" s="18"/>
      <c r="V8613" s="18"/>
      <c r="W8613" s="18"/>
      <c r="X8613" s="18"/>
    </row>
    <row r="8614" spans="13:24">
      <c r="M8614" s="558">
        <f t="shared" si="407"/>
        <v>8612</v>
      </c>
      <c r="N8614" s="15">
        <f t="shared" si="405"/>
        <v>2.7611790475877144E-2</v>
      </c>
      <c r="O8614" s="165">
        <f t="shared" si="406"/>
        <v>2.7611790475877144E-2</v>
      </c>
      <c r="P8614" s="18"/>
      <c r="Q8614" s="18"/>
      <c r="R8614" s="18"/>
      <c r="S8614" s="18"/>
      <c r="T8614" s="18"/>
      <c r="U8614" s="18"/>
      <c r="V8614" s="18"/>
      <c r="W8614" s="18"/>
      <c r="X8614" s="18"/>
    </row>
    <row r="8615" spans="13:24">
      <c r="M8615" s="558">
        <f t="shared" si="407"/>
        <v>8613</v>
      </c>
      <c r="N8615" s="15">
        <f t="shared" si="405"/>
        <v>2.7560409254899238E-2</v>
      </c>
      <c r="O8615" s="165">
        <f t="shared" si="406"/>
        <v>2.7560409254899238E-2</v>
      </c>
      <c r="P8615" s="18"/>
      <c r="Q8615" s="18"/>
      <c r="R8615" s="18"/>
      <c r="S8615" s="18"/>
      <c r="T8615" s="18"/>
      <c r="U8615" s="18"/>
      <c r="V8615" s="18"/>
      <c r="W8615" s="18"/>
      <c r="X8615" s="18"/>
    </row>
    <row r="8616" spans="13:24">
      <c r="M8616" s="558">
        <f t="shared" si="407"/>
        <v>8614</v>
      </c>
      <c r="N8616" s="15">
        <f t="shared" si="405"/>
        <v>2.750902804817466E-2</v>
      </c>
      <c r="O8616" s="165">
        <f t="shared" si="406"/>
        <v>2.750902804817466E-2</v>
      </c>
      <c r="P8616" s="18"/>
      <c r="Q8616" s="18"/>
      <c r="R8616" s="18"/>
      <c r="S8616" s="18"/>
      <c r="T8616" s="18"/>
      <c r="U8616" s="18"/>
      <c r="V8616" s="18"/>
      <c r="W8616" s="18"/>
      <c r="X8616" s="18"/>
    </row>
    <row r="8617" spans="13:24">
      <c r="M8617" s="558">
        <f t="shared" si="407"/>
        <v>8615</v>
      </c>
      <c r="N8617" s="15">
        <f t="shared" si="405"/>
        <v>2.7457646855685535E-2</v>
      </c>
      <c r="O8617" s="165">
        <f t="shared" si="406"/>
        <v>2.7457646855685535E-2</v>
      </c>
      <c r="P8617" s="18"/>
      <c r="Q8617" s="18"/>
      <c r="R8617" s="18"/>
      <c r="S8617" s="18"/>
      <c r="T8617" s="18"/>
      <c r="U8617" s="18"/>
      <c r="V8617" s="18"/>
      <c r="W8617" s="18"/>
      <c r="X8617" s="18"/>
    </row>
    <row r="8618" spans="13:24">
      <c r="M8618" s="558">
        <f t="shared" si="407"/>
        <v>8616</v>
      </c>
      <c r="N8618" s="15">
        <f t="shared" si="405"/>
        <v>2.7406265677413989E-2</v>
      </c>
      <c r="O8618" s="165">
        <f t="shared" si="406"/>
        <v>2.7406265677413989E-2</v>
      </c>
      <c r="P8618" s="18"/>
      <c r="Q8618" s="18"/>
      <c r="R8618" s="18"/>
      <c r="S8618" s="18"/>
      <c r="T8618" s="18"/>
      <c r="U8618" s="18"/>
      <c r="V8618" s="18"/>
      <c r="W8618" s="18"/>
      <c r="X8618" s="18"/>
    </row>
    <row r="8619" spans="13:24">
      <c r="M8619" s="558">
        <f t="shared" si="407"/>
        <v>8617</v>
      </c>
      <c r="N8619" s="15">
        <f t="shared" si="405"/>
        <v>2.7354884513342177E-2</v>
      </c>
      <c r="O8619" s="165">
        <f t="shared" si="406"/>
        <v>2.7354884513342177E-2</v>
      </c>
      <c r="P8619" s="18"/>
      <c r="Q8619" s="18"/>
      <c r="R8619" s="18"/>
      <c r="S8619" s="18"/>
      <c r="T8619" s="18"/>
      <c r="U8619" s="18"/>
      <c r="V8619" s="18"/>
      <c r="W8619" s="18"/>
      <c r="X8619" s="18"/>
    </row>
    <row r="8620" spans="13:24">
      <c r="M8620" s="558">
        <f t="shared" si="407"/>
        <v>8618</v>
      </c>
      <c r="N8620" s="15">
        <f t="shared" si="405"/>
        <v>2.7303503363452292E-2</v>
      </c>
      <c r="O8620" s="165">
        <f t="shared" si="406"/>
        <v>2.7303503363452292E-2</v>
      </c>
      <c r="P8620" s="18"/>
      <c r="Q8620" s="18"/>
      <c r="R8620" s="18"/>
      <c r="S8620" s="18"/>
      <c r="T8620" s="18"/>
      <c r="U8620" s="18"/>
      <c r="V8620" s="18"/>
      <c r="W8620" s="18"/>
      <c r="X8620" s="18"/>
    </row>
    <row r="8621" spans="13:24">
      <c r="M8621" s="558">
        <f t="shared" si="407"/>
        <v>8619</v>
      </c>
      <c r="N8621" s="15">
        <f t="shared" si="405"/>
        <v>2.7252122227726532E-2</v>
      </c>
      <c r="O8621" s="165">
        <f t="shared" si="406"/>
        <v>2.7252122227726532E-2</v>
      </c>
      <c r="P8621" s="18"/>
      <c r="Q8621" s="18"/>
      <c r="R8621" s="18"/>
      <c r="S8621" s="18"/>
      <c r="T8621" s="18"/>
      <c r="U8621" s="18"/>
      <c r="V8621" s="18"/>
      <c r="W8621" s="18"/>
      <c r="X8621" s="18"/>
    </row>
    <row r="8622" spans="13:24">
      <c r="M8622" s="558">
        <f t="shared" si="407"/>
        <v>8620</v>
      </c>
      <c r="N8622" s="15">
        <f t="shared" si="405"/>
        <v>2.7200741106147116E-2</v>
      </c>
      <c r="O8622" s="165">
        <f t="shared" si="406"/>
        <v>2.7200741106147116E-2</v>
      </c>
      <c r="P8622" s="18"/>
      <c r="Q8622" s="18"/>
      <c r="R8622" s="18"/>
      <c r="S8622" s="18"/>
      <c r="T8622" s="18"/>
      <c r="U8622" s="18"/>
      <c r="V8622" s="18"/>
      <c r="W8622" s="18"/>
      <c r="X8622" s="18"/>
    </row>
    <row r="8623" spans="13:24">
      <c r="M8623" s="558">
        <f t="shared" si="407"/>
        <v>8621</v>
      </c>
      <c r="N8623" s="15">
        <f t="shared" si="405"/>
        <v>2.7149359998696297E-2</v>
      </c>
      <c r="O8623" s="165">
        <f t="shared" si="406"/>
        <v>2.7149359998696297E-2</v>
      </c>
      <c r="P8623" s="18"/>
      <c r="Q8623" s="18"/>
      <c r="R8623" s="18"/>
      <c r="S8623" s="18"/>
      <c r="T8623" s="18"/>
      <c r="U8623" s="18"/>
      <c r="V8623" s="18"/>
      <c r="W8623" s="18"/>
      <c r="X8623" s="18"/>
    </row>
    <row r="8624" spans="13:24">
      <c r="M8624" s="558">
        <f t="shared" si="407"/>
        <v>8622</v>
      </c>
      <c r="N8624" s="15">
        <f t="shared" si="405"/>
        <v>2.7097978905356344E-2</v>
      </c>
      <c r="O8624" s="165">
        <f t="shared" si="406"/>
        <v>2.7097978905356344E-2</v>
      </c>
      <c r="P8624" s="18"/>
      <c r="Q8624" s="18"/>
      <c r="R8624" s="18"/>
      <c r="S8624" s="18"/>
      <c r="T8624" s="18"/>
      <c r="U8624" s="18"/>
      <c r="V8624" s="18"/>
      <c r="W8624" s="18"/>
      <c r="X8624" s="18"/>
    </row>
    <row r="8625" spans="13:24">
      <c r="M8625" s="558">
        <f t="shared" si="407"/>
        <v>8623</v>
      </c>
      <c r="N8625" s="15">
        <f t="shared" si="405"/>
        <v>2.7046597826109547E-2</v>
      </c>
      <c r="O8625" s="165">
        <f t="shared" si="406"/>
        <v>2.7046597826109547E-2</v>
      </c>
      <c r="P8625" s="18"/>
      <c r="Q8625" s="18"/>
      <c r="R8625" s="18"/>
      <c r="S8625" s="18"/>
      <c r="T8625" s="18"/>
      <c r="U8625" s="18"/>
      <c r="V8625" s="18"/>
      <c r="W8625" s="18"/>
      <c r="X8625" s="18"/>
    </row>
    <row r="8626" spans="13:24">
      <c r="M8626" s="558">
        <f t="shared" si="407"/>
        <v>8624</v>
      </c>
      <c r="N8626" s="15">
        <f t="shared" si="405"/>
        <v>2.6995216760938221E-2</v>
      </c>
      <c r="O8626" s="165">
        <f t="shared" si="406"/>
        <v>2.6995216760938221E-2</v>
      </c>
      <c r="P8626" s="18"/>
      <c r="Q8626" s="18"/>
      <c r="R8626" s="18"/>
      <c r="S8626" s="18"/>
      <c r="T8626" s="18"/>
      <c r="U8626" s="18"/>
      <c r="V8626" s="18"/>
      <c r="W8626" s="18"/>
      <c r="X8626" s="18"/>
    </row>
    <row r="8627" spans="13:24">
      <c r="M8627" s="558">
        <f t="shared" si="407"/>
        <v>8625</v>
      </c>
      <c r="N8627" s="15">
        <f t="shared" si="405"/>
        <v>2.6943835709824705E-2</v>
      </c>
      <c r="O8627" s="165">
        <f t="shared" si="406"/>
        <v>2.6943835709824705E-2</v>
      </c>
      <c r="P8627" s="18"/>
      <c r="Q8627" s="18"/>
      <c r="R8627" s="18"/>
      <c r="S8627" s="18"/>
      <c r="T8627" s="18"/>
      <c r="U8627" s="18"/>
      <c r="V8627" s="18"/>
      <c r="W8627" s="18"/>
      <c r="X8627" s="18"/>
    </row>
    <row r="8628" spans="13:24">
      <c r="M8628" s="558">
        <f t="shared" si="407"/>
        <v>8626</v>
      </c>
      <c r="N8628" s="15">
        <f t="shared" si="405"/>
        <v>2.6892454672751358E-2</v>
      </c>
      <c r="O8628" s="165">
        <f t="shared" si="406"/>
        <v>2.6892454672751358E-2</v>
      </c>
      <c r="P8628" s="18"/>
      <c r="Q8628" s="18"/>
      <c r="R8628" s="18"/>
      <c r="S8628" s="18"/>
      <c r="T8628" s="18"/>
      <c r="U8628" s="18"/>
      <c r="V8628" s="18"/>
      <c r="W8628" s="18"/>
      <c r="X8628" s="18"/>
    </row>
    <row r="8629" spans="13:24">
      <c r="M8629" s="558">
        <f t="shared" si="407"/>
        <v>8627</v>
      </c>
      <c r="N8629" s="15">
        <f t="shared" si="405"/>
        <v>2.6841073649700557E-2</v>
      </c>
      <c r="O8629" s="165">
        <f t="shared" si="406"/>
        <v>2.6841073649700557E-2</v>
      </c>
      <c r="P8629" s="18"/>
      <c r="Q8629" s="18"/>
      <c r="R8629" s="18"/>
      <c r="S8629" s="18"/>
      <c r="T8629" s="18"/>
      <c r="U8629" s="18"/>
      <c r="V8629" s="18"/>
      <c r="W8629" s="18"/>
      <c r="X8629" s="18"/>
    </row>
    <row r="8630" spans="13:24">
      <c r="M8630" s="558">
        <f t="shared" si="407"/>
        <v>8628</v>
      </c>
      <c r="N8630" s="15">
        <f t="shared" si="405"/>
        <v>2.6789692640654707E-2</v>
      </c>
      <c r="O8630" s="165">
        <f t="shared" si="406"/>
        <v>2.6789692640654707E-2</v>
      </c>
      <c r="P8630" s="18"/>
      <c r="Q8630" s="18"/>
      <c r="R8630" s="18"/>
      <c r="S8630" s="18"/>
      <c r="T8630" s="18"/>
      <c r="U8630" s="18"/>
      <c r="V8630" s="18"/>
      <c r="W8630" s="18"/>
      <c r="X8630" s="18"/>
    </row>
    <row r="8631" spans="13:24">
      <c r="M8631" s="558">
        <f t="shared" si="407"/>
        <v>8629</v>
      </c>
      <c r="N8631" s="15">
        <f t="shared" si="405"/>
        <v>2.6738311645596227E-2</v>
      </c>
      <c r="O8631" s="165">
        <f t="shared" si="406"/>
        <v>2.6738311645596227E-2</v>
      </c>
      <c r="P8631" s="18"/>
      <c r="Q8631" s="18"/>
      <c r="R8631" s="18"/>
      <c r="S8631" s="18"/>
      <c r="T8631" s="18"/>
      <c r="U8631" s="18"/>
      <c r="V8631" s="18"/>
      <c r="W8631" s="18"/>
      <c r="X8631" s="18"/>
    </row>
    <row r="8632" spans="13:24">
      <c r="M8632" s="558">
        <f t="shared" si="407"/>
        <v>8630</v>
      </c>
      <c r="N8632" s="15">
        <f t="shared" si="405"/>
        <v>2.6686930664507575E-2</v>
      </c>
      <c r="O8632" s="165">
        <f t="shared" si="406"/>
        <v>2.6686930664507575E-2</v>
      </c>
      <c r="P8632" s="18"/>
      <c r="Q8632" s="18"/>
      <c r="R8632" s="18"/>
      <c r="S8632" s="18"/>
      <c r="T8632" s="18"/>
      <c r="U8632" s="18"/>
      <c r="V8632" s="18"/>
      <c r="W8632" s="18"/>
      <c r="X8632" s="18"/>
    </row>
    <row r="8633" spans="13:24">
      <c r="M8633" s="558">
        <f t="shared" si="407"/>
        <v>8631</v>
      </c>
      <c r="N8633" s="15">
        <f t="shared" si="405"/>
        <v>2.6635549697371211E-2</v>
      </c>
      <c r="O8633" s="165">
        <f t="shared" si="406"/>
        <v>2.6635549697371211E-2</v>
      </c>
      <c r="P8633" s="18"/>
      <c r="Q8633" s="18"/>
      <c r="R8633" s="18"/>
      <c r="S8633" s="18"/>
      <c r="T8633" s="18"/>
      <c r="U8633" s="18"/>
      <c r="V8633" s="18"/>
      <c r="W8633" s="18"/>
      <c r="X8633" s="18"/>
    </row>
    <row r="8634" spans="13:24">
      <c r="M8634" s="558">
        <f t="shared" si="407"/>
        <v>8632</v>
      </c>
      <c r="N8634" s="15">
        <f t="shared" si="405"/>
        <v>2.658416874416963E-2</v>
      </c>
      <c r="O8634" s="165">
        <f t="shared" si="406"/>
        <v>2.658416874416963E-2</v>
      </c>
      <c r="P8634" s="18"/>
      <c r="Q8634" s="18"/>
      <c r="R8634" s="18"/>
      <c r="S8634" s="18"/>
      <c r="T8634" s="18"/>
      <c r="U8634" s="18"/>
      <c r="V8634" s="18"/>
      <c r="W8634" s="18"/>
      <c r="X8634" s="18"/>
    </row>
    <row r="8635" spans="13:24">
      <c r="M8635" s="558">
        <f t="shared" si="407"/>
        <v>8633</v>
      </c>
      <c r="N8635" s="15">
        <f t="shared" si="405"/>
        <v>2.6532787804885345E-2</v>
      </c>
      <c r="O8635" s="165">
        <f t="shared" si="406"/>
        <v>2.6532787804885345E-2</v>
      </c>
      <c r="P8635" s="18"/>
      <c r="Q8635" s="18"/>
      <c r="R8635" s="18"/>
      <c r="S8635" s="18"/>
      <c r="T8635" s="18"/>
      <c r="U8635" s="18"/>
      <c r="V8635" s="18"/>
      <c r="W8635" s="18"/>
      <c r="X8635" s="18"/>
    </row>
    <row r="8636" spans="13:24">
      <c r="M8636" s="558">
        <f t="shared" si="407"/>
        <v>8634</v>
      </c>
      <c r="N8636" s="15">
        <f t="shared" si="405"/>
        <v>2.6481406879500891E-2</v>
      </c>
      <c r="O8636" s="165">
        <f t="shared" si="406"/>
        <v>2.6481406879500891E-2</v>
      </c>
      <c r="P8636" s="18"/>
      <c r="Q8636" s="18"/>
      <c r="R8636" s="18"/>
      <c r="S8636" s="18"/>
      <c r="T8636" s="18"/>
      <c r="U8636" s="18"/>
      <c r="V8636" s="18"/>
      <c r="W8636" s="18"/>
      <c r="X8636" s="18"/>
    </row>
    <row r="8637" spans="13:24">
      <c r="M8637" s="558">
        <f t="shared" si="407"/>
        <v>8635</v>
      </c>
      <c r="N8637" s="15">
        <f t="shared" si="405"/>
        <v>2.6430025967998823E-2</v>
      </c>
      <c r="O8637" s="165">
        <f t="shared" si="406"/>
        <v>2.6430025967998823E-2</v>
      </c>
      <c r="P8637" s="18"/>
      <c r="Q8637" s="18"/>
      <c r="R8637" s="18"/>
      <c r="S8637" s="18"/>
      <c r="T8637" s="18"/>
      <c r="U8637" s="18"/>
      <c r="V8637" s="18"/>
      <c r="W8637" s="18"/>
      <c r="X8637" s="18"/>
    </row>
    <row r="8638" spans="13:24">
      <c r="M8638" s="558">
        <f t="shared" si="407"/>
        <v>8636</v>
      </c>
      <c r="N8638" s="15">
        <f t="shared" si="405"/>
        <v>2.6378645070361719E-2</v>
      </c>
      <c r="O8638" s="165">
        <f t="shared" si="406"/>
        <v>2.6378645070361719E-2</v>
      </c>
      <c r="P8638" s="18"/>
      <c r="Q8638" s="18"/>
      <c r="R8638" s="18"/>
      <c r="S8638" s="18"/>
      <c r="T8638" s="18"/>
      <c r="U8638" s="18"/>
      <c r="V8638" s="18"/>
      <c r="W8638" s="18"/>
      <c r="X8638" s="18"/>
    </row>
    <row r="8639" spans="13:24">
      <c r="M8639" s="558">
        <f t="shared" si="407"/>
        <v>8637</v>
      </c>
      <c r="N8639" s="15">
        <f t="shared" si="405"/>
        <v>2.6327264186572181E-2</v>
      </c>
      <c r="O8639" s="165">
        <f t="shared" si="406"/>
        <v>2.6327264186572181E-2</v>
      </c>
      <c r="P8639" s="18"/>
      <c r="Q8639" s="18"/>
      <c r="R8639" s="18"/>
      <c r="S8639" s="18"/>
      <c r="T8639" s="18"/>
      <c r="U8639" s="18"/>
      <c r="V8639" s="18"/>
      <c r="W8639" s="18"/>
      <c r="X8639" s="18"/>
    </row>
    <row r="8640" spans="13:24">
      <c r="M8640" s="558">
        <f t="shared" si="407"/>
        <v>8638</v>
      </c>
      <c r="N8640" s="15">
        <f t="shared" si="405"/>
        <v>2.6275883316612833E-2</v>
      </c>
      <c r="O8640" s="165">
        <f t="shared" si="406"/>
        <v>2.6275883316612833E-2</v>
      </c>
      <c r="P8640" s="18"/>
      <c r="Q8640" s="18"/>
      <c r="R8640" s="18"/>
      <c r="S8640" s="18"/>
      <c r="T8640" s="18"/>
      <c r="U8640" s="18"/>
      <c r="V8640" s="18"/>
      <c r="W8640" s="18"/>
      <c r="X8640" s="18"/>
    </row>
    <row r="8641" spans="13:24">
      <c r="M8641" s="558">
        <f t="shared" si="407"/>
        <v>8639</v>
      </c>
      <c r="N8641" s="15">
        <f t="shared" si="405"/>
        <v>2.6224502460466318E-2</v>
      </c>
      <c r="O8641" s="165">
        <f t="shared" si="406"/>
        <v>2.6224502460466318E-2</v>
      </c>
      <c r="P8641" s="18"/>
      <c r="Q8641" s="18"/>
      <c r="R8641" s="18"/>
      <c r="S8641" s="18"/>
      <c r="T8641" s="18"/>
      <c r="U8641" s="18"/>
      <c r="V8641" s="18"/>
      <c r="W8641" s="18"/>
      <c r="X8641" s="18"/>
    </row>
    <row r="8642" spans="13:24">
      <c r="M8642" s="558">
        <f t="shared" si="407"/>
        <v>8640</v>
      </c>
      <c r="N8642" s="15">
        <f t="shared" si="405"/>
        <v>2.6173121618115299E-2</v>
      </c>
      <c r="O8642" s="165">
        <f t="shared" si="406"/>
        <v>2.6173121618115299E-2</v>
      </c>
      <c r="P8642" s="18"/>
      <c r="Q8642" s="18"/>
      <c r="R8642" s="18"/>
      <c r="S8642" s="18"/>
      <c r="T8642" s="18"/>
      <c r="U8642" s="18"/>
      <c r="V8642" s="18"/>
      <c r="W8642" s="18"/>
      <c r="X8642" s="18"/>
    </row>
    <row r="8643" spans="13:24">
      <c r="M8643" s="558">
        <f t="shared" si="407"/>
        <v>8641</v>
      </c>
      <c r="N8643" s="15">
        <f t="shared" si="405"/>
        <v>2.6121740789542471E-2</v>
      </c>
      <c r="O8643" s="165">
        <f t="shared" si="406"/>
        <v>2.6121740789542471E-2</v>
      </c>
      <c r="P8643" s="18"/>
      <c r="Q8643" s="18"/>
      <c r="R8643" s="18"/>
      <c r="S8643" s="18"/>
      <c r="T8643" s="18"/>
      <c r="U8643" s="18"/>
      <c r="V8643" s="18"/>
      <c r="W8643" s="18"/>
      <c r="X8643" s="18"/>
    </row>
    <row r="8644" spans="13:24">
      <c r="M8644" s="558">
        <f t="shared" si="407"/>
        <v>8642</v>
      </c>
      <c r="N8644" s="15">
        <f t="shared" ref="N8644:N8707" si="408">IF(M8644&lt;$B$31+1,$B$32+$B$33/$B$31*(8760-M8644)+$B$34*IF(M8644&lt;$B$36-$B$31/(2*$B$35),1,IF(M8644&lt;$B$36+$B$31/(2*$B$35),COS(PI()/2*(M8644-($B$36-$B$31/(2*$B$35)))*$B$35/$B$31)^2,0))+$B$37*EXP((8760-M8644)/8760*$B$38)/EXP($B$38)-(8760-$B$31)*$B$33/$B$31,0)</f>
        <v>2.6070359974730541E-2</v>
      </c>
      <c r="O8644" s="165">
        <f t="shared" ref="O8644:O8707" si="409">MIN(N8644,C$24)</f>
        <v>2.6070359974730541E-2</v>
      </c>
      <c r="P8644" s="18"/>
      <c r="Q8644" s="18"/>
      <c r="R8644" s="18"/>
      <c r="S8644" s="18"/>
      <c r="T8644" s="18"/>
      <c r="U8644" s="18"/>
      <c r="V8644" s="18"/>
      <c r="W8644" s="18"/>
      <c r="X8644" s="18"/>
    </row>
    <row r="8645" spans="13:24">
      <c r="M8645" s="558">
        <f t="shared" ref="M8645:M8708" si="410">M8644+1</f>
        <v>8643</v>
      </c>
      <c r="N8645" s="15">
        <f t="shared" si="408"/>
        <v>2.6018979173662235E-2</v>
      </c>
      <c r="O8645" s="165">
        <f t="shared" si="409"/>
        <v>2.6018979173662235E-2</v>
      </c>
      <c r="P8645" s="18"/>
      <c r="Q8645" s="18"/>
      <c r="R8645" s="18"/>
      <c r="S8645" s="18"/>
      <c r="T8645" s="18"/>
      <c r="U8645" s="18"/>
      <c r="V8645" s="18"/>
      <c r="W8645" s="18"/>
      <c r="X8645" s="18"/>
    </row>
    <row r="8646" spans="13:24">
      <c r="M8646" s="558">
        <f t="shared" si="410"/>
        <v>8644</v>
      </c>
      <c r="N8646" s="15">
        <f t="shared" si="408"/>
        <v>2.5967598386320304E-2</v>
      </c>
      <c r="O8646" s="165">
        <f t="shared" si="409"/>
        <v>2.5967598386320304E-2</v>
      </c>
      <c r="P8646" s="18"/>
      <c r="Q8646" s="18"/>
      <c r="R8646" s="18"/>
      <c r="S8646" s="18"/>
      <c r="T8646" s="18"/>
      <c r="U8646" s="18"/>
      <c r="V8646" s="18"/>
      <c r="W8646" s="18"/>
      <c r="X8646" s="18"/>
    </row>
    <row r="8647" spans="13:24">
      <c r="M8647" s="558">
        <f t="shared" si="410"/>
        <v>8645</v>
      </c>
      <c r="N8647" s="15">
        <f t="shared" si="408"/>
        <v>2.5916217612687534E-2</v>
      </c>
      <c r="O8647" s="165">
        <f t="shared" si="409"/>
        <v>2.5916217612687534E-2</v>
      </c>
      <c r="P8647" s="18"/>
      <c r="Q8647" s="18"/>
      <c r="R8647" s="18"/>
      <c r="S8647" s="18"/>
      <c r="T8647" s="18"/>
      <c r="U8647" s="18"/>
      <c r="V8647" s="18"/>
      <c r="W8647" s="18"/>
      <c r="X8647" s="18"/>
    </row>
    <row r="8648" spans="13:24">
      <c r="M8648" s="558">
        <f t="shared" si="410"/>
        <v>8646</v>
      </c>
      <c r="N8648" s="15">
        <f t="shared" si="408"/>
        <v>2.5864836852746712E-2</v>
      </c>
      <c r="O8648" s="165">
        <f t="shared" si="409"/>
        <v>2.5864836852746712E-2</v>
      </c>
      <c r="P8648" s="18"/>
      <c r="Q8648" s="18"/>
      <c r="R8648" s="18"/>
      <c r="S8648" s="18"/>
      <c r="T8648" s="18"/>
      <c r="U8648" s="18"/>
      <c r="V8648" s="18"/>
      <c r="W8648" s="18"/>
      <c r="X8648" s="18"/>
    </row>
    <row r="8649" spans="13:24">
      <c r="M8649" s="558">
        <f t="shared" si="410"/>
        <v>8647</v>
      </c>
      <c r="N8649" s="15">
        <f t="shared" si="408"/>
        <v>2.581345610648066E-2</v>
      </c>
      <c r="O8649" s="165">
        <f t="shared" si="409"/>
        <v>2.581345610648066E-2</v>
      </c>
      <c r="P8649" s="18"/>
      <c r="Q8649" s="18"/>
      <c r="R8649" s="18"/>
      <c r="S8649" s="18"/>
      <c r="T8649" s="18"/>
      <c r="U8649" s="18"/>
      <c r="V8649" s="18"/>
      <c r="W8649" s="18"/>
      <c r="X8649" s="18"/>
    </row>
    <row r="8650" spans="13:24">
      <c r="M8650" s="558">
        <f t="shared" si="410"/>
        <v>8648</v>
      </c>
      <c r="N8650" s="15">
        <f t="shared" si="408"/>
        <v>2.5762075373872213E-2</v>
      </c>
      <c r="O8650" s="165">
        <f t="shared" si="409"/>
        <v>2.5762075373872213E-2</v>
      </c>
      <c r="P8650" s="18"/>
      <c r="Q8650" s="18"/>
      <c r="R8650" s="18"/>
      <c r="S8650" s="18"/>
      <c r="T8650" s="18"/>
      <c r="U8650" s="18"/>
      <c r="V8650" s="18"/>
      <c r="W8650" s="18"/>
      <c r="X8650" s="18"/>
    </row>
    <row r="8651" spans="13:24">
      <c r="M8651" s="558">
        <f t="shared" si="410"/>
        <v>8649</v>
      </c>
      <c r="N8651" s="15">
        <f t="shared" si="408"/>
        <v>2.5710694654904238E-2</v>
      </c>
      <c r="O8651" s="165">
        <f t="shared" si="409"/>
        <v>2.5710694654904238E-2</v>
      </c>
      <c r="P8651" s="18"/>
      <c r="Q8651" s="18"/>
      <c r="R8651" s="18"/>
      <c r="S8651" s="18"/>
      <c r="T8651" s="18"/>
      <c r="U8651" s="18"/>
      <c r="V8651" s="18"/>
      <c r="W8651" s="18"/>
      <c r="X8651" s="18"/>
    </row>
    <row r="8652" spans="13:24">
      <c r="M8652" s="558">
        <f t="shared" si="410"/>
        <v>8650</v>
      </c>
      <c r="N8652" s="15">
        <f t="shared" si="408"/>
        <v>2.5659313949559615E-2</v>
      </c>
      <c r="O8652" s="165">
        <f t="shared" si="409"/>
        <v>2.5659313949559615E-2</v>
      </c>
      <c r="P8652" s="18"/>
      <c r="Q8652" s="18"/>
      <c r="R8652" s="18"/>
      <c r="S8652" s="18"/>
      <c r="T8652" s="18"/>
      <c r="U8652" s="18"/>
      <c r="V8652" s="18"/>
      <c r="W8652" s="18"/>
      <c r="X8652" s="18"/>
    </row>
    <row r="8653" spans="13:24">
      <c r="M8653" s="558">
        <f t="shared" si="410"/>
        <v>8651</v>
      </c>
      <c r="N8653" s="15">
        <f t="shared" si="408"/>
        <v>2.5607933257821243E-2</v>
      </c>
      <c r="O8653" s="165">
        <f t="shared" si="409"/>
        <v>2.5607933257821243E-2</v>
      </c>
      <c r="P8653" s="18"/>
      <c r="Q8653" s="18"/>
      <c r="R8653" s="18"/>
      <c r="S8653" s="18"/>
      <c r="T8653" s="18"/>
      <c r="U8653" s="18"/>
      <c r="V8653" s="18"/>
      <c r="W8653" s="18"/>
      <c r="X8653" s="18"/>
    </row>
    <row r="8654" spans="13:24">
      <c r="M8654" s="558">
        <f t="shared" si="410"/>
        <v>8652</v>
      </c>
      <c r="N8654" s="15">
        <f t="shared" si="408"/>
        <v>2.555655257967205E-2</v>
      </c>
      <c r="O8654" s="165">
        <f t="shared" si="409"/>
        <v>2.555655257967205E-2</v>
      </c>
      <c r="P8654" s="18"/>
      <c r="Q8654" s="18"/>
      <c r="R8654" s="18"/>
      <c r="S8654" s="18"/>
      <c r="T8654" s="18"/>
      <c r="U8654" s="18"/>
      <c r="V8654" s="18"/>
      <c r="W8654" s="18"/>
      <c r="X8654" s="18"/>
    </row>
    <row r="8655" spans="13:24">
      <c r="M8655" s="558">
        <f t="shared" si="410"/>
        <v>8653</v>
      </c>
      <c r="N8655" s="15">
        <f t="shared" si="408"/>
        <v>2.5505171915094986E-2</v>
      </c>
      <c r="O8655" s="165">
        <f t="shared" si="409"/>
        <v>2.5505171915094986E-2</v>
      </c>
      <c r="P8655" s="18"/>
      <c r="Q8655" s="18"/>
      <c r="R8655" s="18"/>
      <c r="S8655" s="18"/>
      <c r="T8655" s="18"/>
      <c r="U8655" s="18"/>
      <c r="V8655" s="18"/>
      <c r="W8655" s="18"/>
      <c r="X8655" s="18"/>
    </row>
    <row r="8656" spans="13:24">
      <c r="M8656" s="558">
        <f t="shared" si="410"/>
        <v>8654</v>
      </c>
      <c r="N8656" s="15">
        <f t="shared" si="408"/>
        <v>2.5453791264073017E-2</v>
      </c>
      <c r="O8656" s="165">
        <f t="shared" si="409"/>
        <v>2.5453791264073017E-2</v>
      </c>
      <c r="P8656" s="18"/>
      <c r="Q8656" s="18"/>
      <c r="R8656" s="18"/>
      <c r="S8656" s="18"/>
      <c r="T8656" s="18"/>
      <c r="U8656" s="18"/>
      <c r="V8656" s="18"/>
      <c r="W8656" s="18"/>
      <c r="X8656" s="18"/>
    </row>
    <row r="8657" spans="13:24">
      <c r="M8657" s="558">
        <f t="shared" si="410"/>
        <v>8655</v>
      </c>
      <c r="N8657" s="15">
        <f t="shared" si="408"/>
        <v>2.5402410626589128E-2</v>
      </c>
      <c r="O8657" s="165">
        <f t="shared" si="409"/>
        <v>2.5402410626589128E-2</v>
      </c>
      <c r="P8657" s="18"/>
      <c r="Q8657" s="18"/>
      <c r="R8657" s="18"/>
      <c r="S8657" s="18"/>
      <c r="T8657" s="18"/>
      <c r="U8657" s="18"/>
      <c r="V8657" s="18"/>
      <c r="W8657" s="18"/>
      <c r="X8657" s="18"/>
    </row>
    <row r="8658" spans="13:24">
      <c r="M8658" s="558">
        <f t="shared" si="410"/>
        <v>8656</v>
      </c>
      <c r="N8658" s="15">
        <f t="shared" si="408"/>
        <v>2.535103000262634E-2</v>
      </c>
      <c r="O8658" s="165">
        <f t="shared" si="409"/>
        <v>2.535103000262634E-2</v>
      </c>
      <c r="P8658" s="18"/>
      <c r="Q8658" s="18"/>
      <c r="R8658" s="18"/>
      <c r="S8658" s="18"/>
      <c r="T8658" s="18"/>
      <c r="U8658" s="18"/>
      <c r="V8658" s="18"/>
      <c r="W8658" s="18"/>
      <c r="X8658" s="18"/>
    </row>
    <row r="8659" spans="13:24">
      <c r="M8659" s="558">
        <f t="shared" si="410"/>
        <v>8657</v>
      </c>
      <c r="N8659" s="15">
        <f t="shared" si="408"/>
        <v>2.5299649392167674E-2</v>
      </c>
      <c r="O8659" s="165">
        <f t="shared" si="409"/>
        <v>2.5299649392167674E-2</v>
      </c>
      <c r="P8659" s="18"/>
      <c r="Q8659" s="18"/>
      <c r="R8659" s="18"/>
      <c r="S8659" s="18"/>
      <c r="T8659" s="18"/>
      <c r="U8659" s="18"/>
      <c r="V8659" s="18"/>
      <c r="W8659" s="18"/>
      <c r="X8659" s="18"/>
    </row>
    <row r="8660" spans="13:24">
      <c r="M8660" s="558">
        <f t="shared" si="410"/>
        <v>8658</v>
      </c>
      <c r="N8660" s="15">
        <f t="shared" si="408"/>
        <v>2.5248268795196191E-2</v>
      </c>
      <c r="O8660" s="165">
        <f t="shared" si="409"/>
        <v>2.5248268795196191E-2</v>
      </c>
      <c r="P8660" s="18"/>
      <c r="Q8660" s="18"/>
      <c r="R8660" s="18"/>
      <c r="S8660" s="18"/>
      <c r="T8660" s="18"/>
      <c r="U8660" s="18"/>
      <c r="V8660" s="18"/>
      <c r="W8660" s="18"/>
      <c r="X8660" s="18"/>
    </row>
    <row r="8661" spans="13:24">
      <c r="M8661" s="558">
        <f t="shared" si="410"/>
        <v>8659</v>
      </c>
      <c r="N8661" s="15">
        <f t="shared" si="408"/>
        <v>2.5196888211694964E-2</v>
      </c>
      <c r="O8661" s="165">
        <f t="shared" si="409"/>
        <v>2.5196888211694964E-2</v>
      </c>
      <c r="P8661" s="18"/>
      <c r="Q8661" s="18"/>
      <c r="R8661" s="18"/>
      <c r="S8661" s="18"/>
      <c r="T8661" s="18"/>
      <c r="U8661" s="18"/>
      <c r="V8661" s="18"/>
      <c r="W8661" s="18"/>
      <c r="X8661" s="18"/>
    </row>
    <row r="8662" spans="13:24">
      <c r="M8662" s="558">
        <f t="shared" si="410"/>
        <v>8660</v>
      </c>
      <c r="N8662" s="15">
        <f t="shared" si="408"/>
        <v>2.5145507641647084E-2</v>
      </c>
      <c r="O8662" s="165">
        <f t="shared" si="409"/>
        <v>2.5145507641647084E-2</v>
      </c>
      <c r="P8662" s="18"/>
      <c r="Q8662" s="18"/>
      <c r="R8662" s="18"/>
      <c r="S8662" s="18"/>
      <c r="T8662" s="18"/>
      <c r="U8662" s="18"/>
      <c r="V8662" s="18"/>
      <c r="W8662" s="18"/>
      <c r="X8662" s="18"/>
    </row>
    <row r="8663" spans="13:24">
      <c r="M8663" s="558">
        <f t="shared" si="410"/>
        <v>8661</v>
      </c>
      <c r="N8663" s="15">
        <f t="shared" si="408"/>
        <v>2.5094127085035674E-2</v>
      </c>
      <c r="O8663" s="165">
        <f t="shared" si="409"/>
        <v>2.5094127085035674E-2</v>
      </c>
      <c r="P8663" s="18"/>
      <c r="Q8663" s="18"/>
      <c r="R8663" s="18"/>
      <c r="S8663" s="18"/>
      <c r="T8663" s="18"/>
      <c r="U8663" s="18"/>
      <c r="V8663" s="18"/>
      <c r="W8663" s="18"/>
      <c r="X8663" s="18"/>
    </row>
    <row r="8664" spans="13:24">
      <c r="M8664" s="558">
        <f t="shared" si="410"/>
        <v>8662</v>
      </c>
      <c r="N8664" s="15">
        <f t="shared" si="408"/>
        <v>2.504274654184387E-2</v>
      </c>
      <c r="O8664" s="165">
        <f t="shared" si="409"/>
        <v>2.504274654184387E-2</v>
      </c>
      <c r="P8664" s="18"/>
      <c r="Q8664" s="18"/>
      <c r="R8664" s="18"/>
      <c r="S8664" s="18"/>
      <c r="T8664" s="18"/>
      <c r="U8664" s="18"/>
      <c r="V8664" s="18"/>
      <c r="W8664" s="18"/>
      <c r="X8664" s="18"/>
    </row>
    <row r="8665" spans="13:24">
      <c r="M8665" s="558">
        <f t="shared" si="410"/>
        <v>8663</v>
      </c>
      <c r="N8665" s="15">
        <f t="shared" si="408"/>
        <v>2.499136601205483E-2</v>
      </c>
      <c r="O8665" s="165">
        <f t="shared" si="409"/>
        <v>2.499136601205483E-2</v>
      </c>
      <c r="P8665" s="18"/>
      <c r="Q8665" s="18"/>
      <c r="R8665" s="18"/>
      <c r="S8665" s="18"/>
      <c r="T8665" s="18"/>
      <c r="U8665" s="18"/>
      <c r="V8665" s="18"/>
      <c r="W8665" s="18"/>
      <c r="X8665" s="18"/>
    </row>
    <row r="8666" spans="13:24">
      <c r="M8666" s="558">
        <f t="shared" si="410"/>
        <v>8664</v>
      </c>
      <c r="N8666" s="15">
        <f t="shared" si="408"/>
        <v>2.493998549565174E-2</v>
      </c>
      <c r="O8666" s="165">
        <f t="shared" si="409"/>
        <v>2.493998549565174E-2</v>
      </c>
      <c r="P8666" s="18"/>
      <c r="Q8666" s="18"/>
      <c r="R8666" s="18"/>
      <c r="S8666" s="18"/>
      <c r="T8666" s="18"/>
      <c r="U8666" s="18"/>
      <c r="V8666" s="18"/>
      <c r="W8666" s="18"/>
      <c r="X8666" s="18"/>
    </row>
    <row r="8667" spans="13:24">
      <c r="M8667" s="558">
        <f t="shared" si="410"/>
        <v>8665</v>
      </c>
      <c r="N8667" s="15">
        <f t="shared" si="408"/>
        <v>2.4888604992617795E-2</v>
      </c>
      <c r="O8667" s="165">
        <f t="shared" si="409"/>
        <v>2.4888604992617795E-2</v>
      </c>
      <c r="P8667" s="18"/>
      <c r="Q8667" s="18"/>
      <c r="R8667" s="18"/>
      <c r="S8667" s="18"/>
      <c r="T8667" s="18"/>
      <c r="U8667" s="18"/>
      <c r="V8667" s="18"/>
      <c r="W8667" s="18"/>
      <c r="X8667" s="18"/>
    </row>
    <row r="8668" spans="13:24">
      <c r="M8668" s="558">
        <f t="shared" si="410"/>
        <v>8666</v>
      </c>
      <c r="N8668" s="15">
        <f t="shared" si="408"/>
        <v>2.4837224502936225E-2</v>
      </c>
      <c r="O8668" s="165">
        <f t="shared" si="409"/>
        <v>2.4837224502936225E-2</v>
      </c>
      <c r="P8668" s="18"/>
      <c r="Q8668" s="18"/>
      <c r="R8668" s="18"/>
      <c r="S8668" s="18"/>
      <c r="T8668" s="18"/>
      <c r="U8668" s="18"/>
      <c r="V8668" s="18"/>
      <c r="W8668" s="18"/>
      <c r="X8668" s="18"/>
    </row>
    <row r="8669" spans="13:24">
      <c r="M8669" s="558">
        <f t="shared" si="410"/>
        <v>8667</v>
      </c>
      <c r="N8669" s="15">
        <f t="shared" si="408"/>
        <v>2.4785844026590266E-2</v>
      </c>
      <c r="O8669" s="165">
        <f t="shared" si="409"/>
        <v>2.4785844026590266E-2</v>
      </c>
      <c r="P8669" s="18"/>
      <c r="Q8669" s="18"/>
      <c r="R8669" s="18"/>
      <c r="S8669" s="18"/>
      <c r="T8669" s="18"/>
      <c r="U8669" s="18"/>
      <c r="V8669" s="18"/>
      <c r="W8669" s="18"/>
      <c r="X8669" s="18"/>
    </row>
    <row r="8670" spans="13:24">
      <c r="M8670" s="558">
        <f t="shared" si="410"/>
        <v>8668</v>
      </c>
      <c r="N8670" s="15">
        <f t="shared" si="408"/>
        <v>2.4734463563563187E-2</v>
      </c>
      <c r="O8670" s="165">
        <f t="shared" si="409"/>
        <v>2.4734463563563187E-2</v>
      </c>
      <c r="P8670" s="18"/>
      <c r="Q8670" s="18"/>
      <c r="R8670" s="18"/>
      <c r="S8670" s="18"/>
      <c r="T8670" s="18"/>
      <c r="U8670" s="18"/>
      <c r="V8670" s="18"/>
      <c r="W8670" s="18"/>
      <c r="X8670" s="18"/>
    </row>
    <row r="8671" spans="13:24">
      <c r="M8671" s="558">
        <f t="shared" si="410"/>
        <v>8669</v>
      </c>
      <c r="N8671" s="15">
        <f t="shared" si="408"/>
        <v>2.4683083113838277E-2</v>
      </c>
      <c r="O8671" s="165">
        <f t="shared" si="409"/>
        <v>2.4683083113838277E-2</v>
      </c>
      <c r="P8671" s="18"/>
      <c r="Q8671" s="18"/>
      <c r="R8671" s="18"/>
      <c r="S8671" s="18"/>
      <c r="T8671" s="18"/>
      <c r="U8671" s="18"/>
      <c r="V8671" s="18"/>
      <c r="W8671" s="18"/>
      <c r="X8671" s="18"/>
    </row>
    <row r="8672" spans="13:24">
      <c r="M8672" s="558">
        <f t="shared" si="410"/>
        <v>8670</v>
      </c>
      <c r="N8672" s="15">
        <f t="shared" si="408"/>
        <v>2.4631702677398833E-2</v>
      </c>
      <c r="O8672" s="165">
        <f t="shared" si="409"/>
        <v>2.4631702677398833E-2</v>
      </c>
      <c r="P8672" s="18"/>
      <c r="Q8672" s="18"/>
      <c r="R8672" s="18"/>
      <c r="S8672" s="18"/>
      <c r="T8672" s="18"/>
      <c r="U8672" s="18"/>
      <c r="V8672" s="18"/>
      <c r="W8672" s="18"/>
      <c r="X8672" s="18"/>
    </row>
    <row r="8673" spans="13:24">
      <c r="M8673" s="558">
        <f t="shared" si="410"/>
        <v>8671</v>
      </c>
      <c r="N8673" s="15">
        <f t="shared" si="408"/>
        <v>2.4580322254228196E-2</v>
      </c>
      <c r="O8673" s="165">
        <f t="shared" si="409"/>
        <v>2.4580322254228196E-2</v>
      </c>
      <c r="P8673" s="18"/>
      <c r="Q8673" s="18"/>
      <c r="R8673" s="18"/>
      <c r="S8673" s="18"/>
      <c r="T8673" s="18"/>
      <c r="U8673" s="18"/>
      <c r="V8673" s="18"/>
      <c r="W8673" s="18"/>
      <c r="X8673" s="18"/>
    </row>
    <row r="8674" spans="13:24">
      <c r="M8674" s="558">
        <f t="shared" si="410"/>
        <v>8672</v>
      </c>
      <c r="N8674" s="15">
        <f t="shared" si="408"/>
        <v>2.4528941844309704E-2</v>
      </c>
      <c r="O8674" s="165">
        <f t="shared" si="409"/>
        <v>2.4528941844309704E-2</v>
      </c>
      <c r="P8674" s="18"/>
      <c r="Q8674" s="18"/>
      <c r="R8674" s="18"/>
      <c r="S8674" s="18"/>
      <c r="T8674" s="18"/>
      <c r="U8674" s="18"/>
      <c r="V8674" s="18"/>
      <c r="W8674" s="18"/>
      <c r="X8674" s="18"/>
    </row>
    <row r="8675" spans="13:24">
      <c r="M8675" s="558">
        <f t="shared" si="410"/>
        <v>8673</v>
      </c>
      <c r="N8675" s="15">
        <f t="shared" si="408"/>
        <v>2.4477561447626733E-2</v>
      </c>
      <c r="O8675" s="165">
        <f t="shared" si="409"/>
        <v>2.4477561447626733E-2</v>
      </c>
      <c r="P8675" s="18"/>
      <c r="Q8675" s="18"/>
      <c r="R8675" s="18"/>
      <c r="S8675" s="18"/>
      <c r="T8675" s="18"/>
      <c r="U8675" s="18"/>
      <c r="V8675" s="18"/>
      <c r="W8675" s="18"/>
      <c r="X8675" s="18"/>
    </row>
    <row r="8676" spans="13:24">
      <c r="M8676" s="558">
        <f t="shared" si="410"/>
        <v>8674</v>
      </c>
      <c r="N8676" s="15">
        <f t="shared" si="408"/>
        <v>2.442618106416267E-2</v>
      </c>
      <c r="O8676" s="165">
        <f t="shared" si="409"/>
        <v>2.442618106416267E-2</v>
      </c>
      <c r="P8676" s="18"/>
      <c r="Q8676" s="18"/>
      <c r="R8676" s="18"/>
      <c r="S8676" s="18"/>
      <c r="T8676" s="18"/>
      <c r="U8676" s="18"/>
      <c r="V8676" s="18"/>
      <c r="W8676" s="18"/>
      <c r="X8676" s="18"/>
    </row>
    <row r="8677" spans="13:24">
      <c r="M8677" s="558">
        <f t="shared" si="410"/>
        <v>8675</v>
      </c>
      <c r="N8677" s="15">
        <f t="shared" si="408"/>
        <v>2.4374800693900925E-2</v>
      </c>
      <c r="O8677" s="165">
        <f t="shared" si="409"/>
        <v>2.4374800693900925E-2</v>
      </c>
      <c r="P8677" s="18"/>
      <c r="Q8677" s="18"/>
      <c r="R8677" s="18"/>
      <c r="S8677" s="18"/>
      <c r="T8677" s="18"/>
      <c r="U8677" s="18"/>
      <c r="V8677" s="18"/>
      <c r="W8677" s="18"/>
      <c r="X8677" s="18"/>
    </row>
    <row r="8678" spans="13:24">
      <c r="M8678" s="558">
        <f t="shared" si="410"/>
        <v>8676</v>
      </c>
      <c r="N8678" s="15">
        <f t="shared" si="408"/>
        <v>2.4323420336824934E-2</v>
      </c>
      <c r="O8678" s="165">
        <f t="shared" si="409"/>
        <v>2.4323420336824934E-2</v>
      </c>
      <c r="P8678" s="18"/>
      <c r="Q8678" s="18"/>
      <c r="R8678" s="18"/>
      <c r="S8678" s="18"/>
      <c r="T8678" s="18"/>
      <c r="U8678" s="18"/>
      <c r="V8678" s="18"/>
      <c r="W8678" s="18"/>
      <c r="X8678" s="18"/>
    </row>
    <row r="8679" spans="13:24">
      <c r="M8679" s="558">
        <f t="shared" si="410"/>
        <v>8677</v>
      </c>
      <c r="N8679" s="15">
        <f t="shared" si="408"/>
        <v>2.4272039992918149E-2</v>
      </c>
      <c r="O8679" s="165">
        <f t="shared" si="409"/>
        <v>2.4272039992918149E-2</v>
      </c>
      <c r="P8679" s="18"/>
      <c r="Q8679" s="18"/>
      <c r="R8679" s="18"/>
      <c r="S8679" s="18"/>
      <c r="T8679" s="18"/>
      <c r="U8679" s="18"/>
      <c r="V8679" s="18"/>
      <c r="W8679" s="18"/>
      <c r="X8679" s="18"/>
    </row>
    <row r="8680" spans="13:24">
      <c r="M8680" s="558">
        <f t="shared" si="410"/>
        <v>8678</v>
      </c>
      <c r="N8680" s="15">
        <f t="shared" si="408"/>
        <v>2.4220659662164041E-2</v>
      </c>
      <c r="O8680" s="165">
        <f t="shared" si="409"/>
        <v>2.4220659662164041E-2</v>
      </c>
      <c r="P8680" s="18"/>
      <c r="Q8680" s="18"/>
      <c r="R8680" s="18"/>
      <c r="S8680" s="18"/>
      <c r="T8680" s="18"/>
      <c r="U8680" s="18"/>
      <c r="V8680" s="18"/>
      <c r="W8680" s="18"/>
      <c r="X8680" s="18"/>
    </row>
    <row r="8681" spans="13:24">
      <c r="M8681" s="558">
        <f t="shared" si="410"/>
        <v>8679</v>
      </c>
      <c r="N8681" s="15">
        <f t="shared" si="408"/>
        <v>2.4169279344546109E-2</v>
      </c>
      <c r="O8681" s="165">
        <f t="shared" si="409"/>
        <v>2.4169279344546109E-2</v>
      </c>
      <c r="P8681" s="18"/>
      <c r="Q8681" s="18"/>
      <c r="R8681" s="18"/>
      <c r="S8681" s="18"/>
      <c r="T8681" s="18"/>
      <c r="U8681" s="18"/>
      <c r="V8681" s="18"/>
      <c r="W8681" s="18"/>
      <c r="X8681" s="18"/>
    </row>
    <row r="8682" spans="13:24">
      <c r="M8682" s="558">
        <f t="shared" si="410"/>
        <v>8680</v>
      </c>
      <c r="N8682" s="15">
        <f t="shared" si="408"/>
        <v>2.4117899040047866E-2</v>
      </c>
      <c r="O8682" s="165">
        <f t="shared" si="409"/>
        <v>2.4117899040047866E-2</v>
      </c>
      <c r="P8682" s="18"/>
      <c r="Q8682" s="18"/>
      <c r="R8682" s="18"/>
      <c r="S8682" s="18"/>
      <c r="T8682" s="18"/>
      <c r="U8682" s="18"/>
      <c r="V8682" s="18"/>
      <c r="W8682" s="18"/>
      <c r="X8682" s="18"/>
    </row>
    <row r="8683" spans="13:24">
      <c r="M8683" s="558">
        <f t="shared" si="410"/>
        <v>8681</v>
      </c>
      <c r="N8683" s="15">
        <f t="shared" si="408"/>
        <v>2.4066518748652847E-2</v>
      </c>
      <c r="O8683" s="165">
        <f t="shared" si="409"/>
        <v>2.4066518748652847E-2</v>
      </c>
      <c r="P8683" s="18"/>
      <c r="Q8683" s="18"/>
      <c r="R8683" s="18"/>
      <c r="S8683" s="18"/>
      <c r="T8683" s="18"/>
      <c r="U8683" s="18"/>
      <c r="V8683" s="18"/>
      <c r="W8683" s="18"/>
      <c r="X8683" s="18"/>
    </row>
    <row r="8684" spans="13:24">
      <c r="M8684" s="558">
        <f t="shared" si="410"/>
        <v>8682</v>
      </c>
      <c r="N8684" s="15">
        <f t="shared" si="408"/>
        <v>2.4015138470344609E-2</v>
      </c>
      <c r="O8684" s="165">
        <f t="shared" si="409"/>
        <v>2.4015138470344609E-2</v>
      </c>
      <c r="P8684" s="18"/>
      <c r="Q8684" s="18"/>
      <c r="R8684" s="18"/>
      <c r="S8684" s="18"/>
      <c r="T8684" s="18"/>
      <c r="U8684" s="18"/>
      <c r="V8684" s="18"/>
      <c r="W8684" s="18"/>
      <c r="X8684" s="18"/>
    </row>
    <row r="8685" spans="13:24">
      <c r="M8685" s="558">
        <f t="shared" si="410"/>
        <v>8683</v>
      </c>
      <c r="N8685" s="15">
        <f t="shared" si="408"/>
        <v>2.3963758205106725E-2</v>
      </c>
      <c r="O8685" s="165">
        <f t="shared" si="409"/>
        <v>2.3963758205106725E-2</v>
      </c>
      <c r="P8685" s="18"/>
      <c r="Q8685" s="18"/>
      <c r="R8685" s="18"/>
      <c r="S8685" s="18"/>
      <c r="T8685" s="18"/>
      <c r="U8685" s="18"/>
      <c r="V8685" s="18"/>
      <c r="W8685" s="18"/>
      <c r="X8685" s="18"/>
    </row>
    <row r="8686" spans="13:24">
      <c r="M8686" s="558">
        <f t="shared" si="410"/>
        <v>8684</v>
      </c>
      <c r="N8686" s="15">
        <f t="shared" si="408"/>
        <v>2.3912377952922802E-2</v>
      </c>
      <c r="O8686" s="165">
        <f t="shared" si="409"/>
        <v>2.3912377952922802E-2</v>
      </c>
      <c r="P8686" s="18"/>
      <c r="Q8686" s="18"/>
      <c r="R8686" s="18"/>
      <c r="S8686" s="18"/>
      <c r="T8686" s="18"/>
      <c r="U8686" s="18"/>
      <c r="V8686" s="18"/>
      <c r="W8686" s="18"/>
      <c r="X8686" s="18"/>
    </row>
    <row r="8687" spans="13:24">
      <c r="M8687" s="558">
        <f t="shared" si="410"/>
        <v>8685</v>
      </c>
      <c r="N8687" s="15">
        <f t="shared" si="408"/>
        <v>2.3860997713776453E-2</v>
      </c>
      <c r="O8687" s="165">
        <f t="shared" si="409"/>
        <v>2.3860997713776453E-2</v>
      </c>
      <c r="P8687" s="18"/>
      <c r="Q8687" s="18"/>
      <c r="R8687" s="18"/>
      <c r="S8687" s="18"/>
      <c r="T8687" s="18"/>
      <c r="U8687" s="18"/>
      <c r="V8687" s="18"/>
      <c r="W8687" s="18"/>
      <c r="X8687" s="18"/>
    </row>
    <row r="8688" spans="13:24">
      <c r="M8688" s="558">
        <f t="shared" si="410"/>
        <v>8686</v>
      </c>
      <c r="N8688" s="15">
        <f t="shared" si="408"/>
        <v>2.3809617487651313E-2</v>
      </c>
      <c r="O8688" s="165">
        <f t="shared" si="409"/>
        <v>2.3809617487651313E-2</v>
      </c>
      <c r="P8688" s="18"/>
      <c r="Q8688" s="18"/>
      <c r="R8688" s="18"/>
      <c r="S8688" s="18"/>
      <c r="T8688" s="18"/>
      <c r="U8688" s="18"/>
      <c r="V8688" s="18"/>
      <c r="W8688" s="18"/>
      <c r="X8688" s="18"/>
    </row>
    <row r="8689" spans="13:24">
      <c r="M8689" s="558">
        <f t="shared" si="410"/>
        <v>8687</v>
      </c>
      <c r="N8689" s="15">
        <f t="shared" si="408"/>
        <v>2.3758237274531052E-2</v>
      </c>
      <c r="O8689" s="165">
        <f t="shared" si="409"/>
        <v>2.3758237274531052E-2</v>
      </c>
      <c r="P8689" s="18"/>
      <c r="Q8689" s="18"/>
      <c r="R8689" s="18"/>
      <c r="S8689" s="18"/>
      <c r="T8689" s="18"/>
      <c r="U8689" s="18"/>
      <c r="V8689" s="18"/>
      <c r="W8689" s="18"/>
      <c r="X8689" s="18"/>
    </row>
    <row r="8690" spans="13:24">
      <c r="M8690" s="558">
        <f t="shared" si="410"/>
        <v>8688</v>
      </c>
      <c r="N8690" s="15">
        <f t="shared" si="408"/>
        <v>2.3706857074399342E-2</v>
      </c>
      <c r="O8690" s="165">
        <f t="shared" si="409"/>
        <v>2.3706857074399342E-2</v>
      </c>
      <c r="P8690" s="18"/>
      <c r="Q8690" s="18"/>
      <c r="R8690" s="18"/>
      <c r="S8690" s="18"/>
      <c r="T8690" s="18"/>
      <c r="U8690" s="18"/>
      <c r="V8690" s="18"/>
      <c r="W8690" s="18"/>
      <c r="X8690" s="18"/>
    </row>
    <row r="8691" spans="13:24">
      <c r="M8691" s="558">
        <f t="shared" si="410"/>
        <v>8689</v>
      </c>
      <c r="N8691" s="15">
        <f t="shared" si="408"/>
        <v>2.3655476887239884E-2</v>
      </c>
      <c r="O8691" s="165">
        <f t="shared" si="409"/>
        <v>2.3655476887239884E-2</v>
      </c>
      <c r="P8691" s="18"/>
      <c r="Q8691" s="18"/>
      <c r="R8691" s="18"/>
      <c r="S8691" s="18"/>
      <c r="T8691" s="18"/>
      <c r="U8691" s="18"/>
      <c r="V8691" s="18"/>
      <c r="W8691" s="18"/>
      <c r="X8691" s="18"/>
    </row>
    <row r="8692" spans="13:24">
      <c r="M8692" s="558">
        <f t="shared" si="410"/>
        <v>8690</v>
      </c>
      <c r="N8692" s="15">
        <f t="shared" si="408"/>
        <v>2.3604096713036395E-2</v>
      </c>
      <c r="O8692" s="165">
        <f t="shared" si="409"/>
        <v>2.3604096713036395E-2</v>
      </c>
      <c r="P8692" s="18"/>
      <c r="Q8692" s="18"/>
      <c r="R8692" s="18"/>
      <c r="S8692" s="18"/>
      <c r="T8692" s="18"/>
      <c r="U8692" s="18"/>
      <c r="V8692" s="18"/>
      <c r="W8692" s="18"/>
      <c r="X8692" s="18"/>
    </row>
    <row r="8693" spans="13:24">
      <c r="M8693" s="558">
        <f t="shared" si="410"/>
        <v>8691</v>
      </c>
      <c r="N8693" s="15">
        <f t="shared" si="408"/>
        <v>2.3552716551772625E-2</v>
      </c>
      <c r="O8693" s="165">
        <f t="shared" si="409"/>
        <v>2.3552716551772625E-2</v>
      </c>
      <c r="P8693" s="18"/>
      <c r="Q8693" s="18"/>
      <c r="R8693" s="18"/>
      <c r="S8693" s="18"/>
      <c r="T8693" s="18"/>
      <c r="U8693" s="18"/>
      <c r="V8693" s="18"/>
      <c r="W8693" s="18"/>
      <c r="X8693" s="18"/>
    </row>
    <row r="8694" spans="13:24">
      <c r="M8694" s="558">
        <f t="shared" si="410"/>
        <v>8692</v>
      </c>
      <c r="N8694" s="15">
        <f t="shared" si="408"/>
        <v>2.3501336403432334E-2</v>
      </c>
      <c r="O8694" s="165">
        <f t="shared" si="409"/>
        <v>2.3501336403432334E-2</v>
      </c>
      <c r="P8694" s="18"/>
      <c r="Q8694" s="18"/>
      <c r="R8694" s="18"/>
      <c r="S8694" s="18"/>
      <c r="T8694" s="18"/>
      <c r="U8694" s="18"/>
      <c r="V8694" s="18"/>
      <c r="W8694" s="18"/>
      <c r="X8694" s="18"/>
    </row>
    <row r="8695" spans="13:24">
      <c r="M8695" s="558">
        <f t="shared" si="410"/>
        <v>8693</v>
      </c>
      <c r="N8695" s="15">
        <f t="shared" si="408"/>
        <v>2.3449956267999297E-2</v>
      </c>
      <c r="O8695" s="165">
        <f t="shared" si="409"/>
        <v>2.3449956267999297E-2</v>
      </c>
      <c r="P8695" s="18"/>
      <c r="Q8695" s="18"/>
      <c r="R8695" s="18"/>
      <c r="S8695" s="18"/>
      <c r="T8695" s="18"/>
      <c r="U8695" s="18"/>
      <c r="V8695" s="18"/>
      <c r="W8695" s="18"/>
      <c r="X8695" s="18"/>
    </row>
    <row r="8696" spans="13:24">
      <c r="M8696" s="558">
        <f t="shared" si="410"/>
        <v>8694</v>
      </c>
      <c r="N8696" s="15">
        <f t="shared" si="408"/>
        <v>2.3398576145457328E-2</v>
      </c>
      <c r="O8696" s="165">
        <f t="shared" si="409"/>
        <v>2.3398576145457328E-2</v>
      </c>
      <c r="P8696" s="18"/>
      <c r="Q8696" s="18"/>
      <c r="R8696" s="18"/>
      <c r="S8696" s="18"/>
      <c r="T8696" s="18"/>
      <c r="U8696" s="18"/>
      <c r="V8696" s="18"/>
      <c r="W8696" s="18"/>
      <c r="X8696" s="18"/>
    </row>
    <row r="8697" spans="13:24">
      <c r="M8697" s="558">
        <f t="shared" si="410"/>
        <v>8695</v>
      </c>
      <c r="N8697" s="15">
        <f t="shared" si="408"/>
        <v>2.3347196035790239E-2</v>
      </c>
      <c r="O8697" s="165">
        <f t="shared" si="409"/>
        <v>2.3347196035790239E-2</v>
      </c>
      <c r="P8697" s="18"/>
      <c r="Q8697" s="18"/>
      <c r="R8697" s="18"/>
      <c r="S8697" s="18"/>
      <c r="T8697" s="18"/>
      <c r="U8697" s="18"/>
      <c r="V8697" s="18"/>
      <c r="W8697" s="18"/>
      <c r="X8697" s="18"/>
    </row>
    <row r="8698" spans="13:24">
      <c r="M8698" s="558">
        <f t="shared" si="410"/>
        <v>8696</v>
      </c>
      <c r="N8698" s="15">
        <f t="shared" si="408"/>
        <v>2.3295815938981876E-2</v>
      </c>
      <c r="O8698" s="165">
        <f t="shared" si="409"/>
        <v>2.3295815938981876E-2</v>
      </c>
      <c r="P8698" s="18"/>
      <c r="Q8698" s="18"/>
      <c r="R8698" s="18"/>
      <c r="S8698" s="18"/>
      <c r="T8698" s="18"/>
      <c r="U8698" s="18"/>
      <c r="V8698" s="18"/>
      <c r="W8698" s="18"/>
      <c r="X8698" s="18"/>
    </row>
    <row r="8699" spans="13:24">
      <c r="M8699" s="558">
        <f t="shared" si="410"/>
        <v>8697</v>
      </c>
      <c r="N8699" s="15">
        <f t="shared" si="408"/>
        <v>2.3244435855016107E-2</v>
      </c>
      <c r="O8699" s="165">
        <f t="shared" si="409"/>
        <v>2.3244435855016107E-2</v>
      </c>
      <c r="P8699" s="18"/>
      <c r="Q8699" s="18"/>
      <c r="R8699" s="18"/>
      <c r="S8699" s="18"/>
      <c r="T8699" s="18"/>
      <c r="U8699" s="18"/>
      <c r="V8699" s="18"/>
      <c r="W8699" s="18"/>
      <c r="X8699" s="18"/>
    </row>
    <row r="8700" spans="13:24">
      <c r="M8700" s="558">
        <f t="shared" si="410"/>
        <v>8698</v>
      </c>
      <c r="N8700" s="15">
        <f t="shared" si="408"/>
        <v>2.3193055783876808E-2</v>
      </c>
      <c r="O8700" s="165">
        <f t="shared" si="409"/>
        <v>2.3193055783876808E-2</v>
      </c>
      <c r="P8700" s="18"/>
      <c r="Q8700" s="18"/>
      <c r="R8700" s="18"/>
      <c r="S8700" s="18"/>
      <c r="T8700" s="18"/>
      <c r="U8700" s="18"/>
      <c r="V8700" s="18"/>
      <c r="W8700" s="18"/>
      <c r="X8700" s="18"/>
    </row>
    <row r="8701" spans="13:24">
      <c r="M8701" s="558">
        <f t="shared" si="410"/>
        <v>8699</v>
      </c>
      <c r="N8701" s="15">
        <f t="shared" si="408"/>
        <v>2.314167572554789E-2</v>
      </c>
      <c r="O8701" s="165">
        <f t="shared" si="409"/>
        <v>2.314167572554789E-2</v>
      </c>
      <c r="P8701" s="18"/>
      <c r="Q8701" s="18"/>
      <c r="R8701" s="18"/>
      <c r="S8701" s="18"/>
      <c r="T8701" s="18"/>
      <c r="U8701" s="18"/>
      <c r="V8701" s="18"/>
      <c r="W8701" s="18"/>
      <c r="X8701" s="18"/>
    </row>
    <row r="8702" spans="13:24">
      <c r="M8702" s="558">
        <f t="shared" si="410"/>
        <v>8700</v>
      </c>
      <c r="N8702" s="15">
        <f t="shared" si="408"/>
        <v>2.3090295680013272E-2</v>
      </c>
      <c r="O8702" s="165">
        <f t="shared" si="409"/>
        <v>2.3090295680013272E-2</v>
      </c>
      <c r="P8702" s="18"/>
      <c r="Q8702" s="18"/>
      <c r="R8702" s="18"/>
      <c r="S8702" s="18"/>
      <c r="T8702" s="18"/>
      <c r="U8702" s="18"/>
      <c r="V8702" s="18"/>
      <c r="W8702" s="18"/>
      <c r="X8702" s="18"/>
    </row>
    <row r="8703" spans="13:24">
      <c r="M8703" s="558">
        <f t="shared" si="410"/>
        <v>8701</v>
      </c>
      <c r="N8703" s="15">
        <f t="shared" si="408"/>
        <v>2.3038915647256897E-2</v>
      </c>
      <c r="O8703" s="165">
        <f t="shared" si="409"/>
        <v>2.3038915647256897E-2</v>
      </c>
      <c r="P8703" s="18"/>
      <c r="Q8703" s="18"/>
      <c r="R8703" s="18"/>
      <c r="S8703" s="18"/>
      <c r="T8703" s="18"/>
      <c r="U8703" s="18"/>
      <c r="V8703" s="18"/>
      <c r="W8703" s="18"/>
      <c r="X8703" s="18"/>
    </row>
    <row r="8704" spans="13:24">
      <c r="M8704" s="558">
        <f t="shared" si="410"/>
        <v>8702</v>
      </c>
      <c r="N8704" s="15">
        <f t="shared" si="408"/>
        <v>2.2987535627262738E-2</v>
      </c>
      <c r="O8704" s="165">
        <f t="shared" si="409"/>
        <v>2.2987535627262738E-2</v>
      </c>
      <c r="P8704" s="18"/>
      <c r="Q8704" s="18"/>
      <c r="R8704" s="18"/>
      <c r="S8704" s="18"/>
      <c r="T8704" s="18"/>
      <c r="U8704" s="18"/>
      <c r="V8704" s="18"/>
      <c r="W8704" s="18"/>
      <c r="X8704" s="18"/>
    </row>
    <row r="8705" spans="13:24">
      <c r="M8705" s="558">
        <f t="shared" si="410"/>
        <v>8703</v>
      </c>
      <c r="N8705" s="15">
        <f t="shared" si="408"/>
        <v>2.2936155620014772E-2</v>
      </c>
      <c r="O8705" s="165">
        <f t="shared" si="409"/>
        <v>2.2936155620014772E-2</v>
      </c>
      <c r="P8705" s="18"/>
      <c r="Q8705" s="18"/>
      <c r="R8705" s="18"/>
      <c r="S8705" s="18"/>
      <c r="T8705" s="18"/>
      <c r="U8705" s="18"/>
      <c r="V8705" s="18"/>
      <c r="W8705" s="18"/>
      <c r="X8705" s="18"/>
    </row>
    <row r="8706" spans="13:24">
      <c r="M8706" s="558">
        <f t="shared" si="410"/>
        <v>8704</v>
      </c>
      <c r="N8706" s="15">
        <f t="shared" si="408"/>
        <v>2.2884775625497008E-2</v>
      </c>
      <c r="O8706" s="165">
        <f t="shared" si="409"/>
        <v>2.2884775625497008E-2</v>
      </c>
      <c r="P8706" s="18"/>
      <c r="Q8706" s="18"/>
      <c r="R8706" s="18"/>
      <c r="S8706" s="18"/>
      <c r="T8706" s="18"/>
      <c r="U8706" s="18"/>
      <c r="V8706" s="18"/>
      <c r="W8706" s="18"/>
      <c r="X8706" s="18"/>
    </row>
    <row r="8707" spans="13:24">
      <c r="M8707" s="558">
        <f t="shared" si="410"/>
        <v>8705</v>
      </c>
      <c r="N8707" s="15">
        <f t="shared" si="408"/>
        <v>2.2833395643693463E-2</v>
      </c>
      <c r="O8707" s="165">
        <f t="shared" si="409"/>
        <v>2.2833395643693463E-2</v>
      </c>
      <c r="P8707" s="18"/>
      <c r="Q8707" s="18"/>
      <c r="R8707" s="18"/>
      <c r="S8707" s="18"/>
      <c r="T8707" s="18"/>
      <c r="U8707" s="18"/>
      <c r="V8707" s="18"/>
      <c r="W8707" s="18"/>
      <c r="X8707" s="18"/>
    </row>
    <row r="8708" spans="13:24">
      <c r="M8708" s="558">
        <f t="shared" si="410"/>
        <v>8706</v>
      </c>
      <c r="N8708" s="15">
        <f t="shared" ref="N8708:N8762" si="411">IF(M8708&lt;$B$31+1,$B$32+$B$33/$B$31*(8760-M8708)+$B$34*IF(M8708&lt;$B$36-$B$31/(2*$B$35),1,IF(M8708&lt;$B$36+$B$31/(2*$B$35),COS(PI()/2*(M8708-($B$36-$B$31/(2*$B$35)))*$B$35/$B$31)^2,0))+$B$37*EXP((8760-M8708)/8760*$B$38)/EXP($B$38)-(8760-$B$31)*$B$33/$B$31,0)</f>
        <v>2.2782015674588187E-2</v>
      </c>
      <c r="O8708" s="165">
        <f t="shared" ref="O8708:O8762" si="412">MIN(N8708,C$24)</f>
        <v>2.2782015674588187E-2</v>
      </c>
      <c r="P8708" s="18"/>
      <c r="Q8708" s="18"/>
      <c r="R8708" s="18"/>
      <c r="S8708" s="18"/>
      <c r="T8708" s="18"/>
      <c r="U8708" s="18"/>
      <c r="V8708" s="18"/>
      <c r="W8708" s="18"/>
      <c r="X8708" s="18"/>
    </row>
    <row r="8709" spans="13:24">
      <c r="M8709" s="558">
        <f t="shared" ref="M8709:M8762" si="413">M8708+1</f>
        <v>8707</v>
      </c>
      <c r="N8709" s="15">
        <f t="shared" si="411"/>
        <v>2.2730635718165249E-2</v>
      </c>
      <c r="O8709" s="165">
        <f t="shared" si="412"/>
        <v>2.2730635718165249E-2</v>
      </c>
      <c r="P8709" s="18"/>
      <c r="Q8709" s="18"/>
      <c r="R8709" s="18"/>
      <c r="S8709" s="18"/>
      <c r="T8709" s="18"/>
      <c r="U8709" s="18"/>
      <c r="V8709" s="18"/>
      <c r="W8709" s="18"/>
      <c r="X8709" s="18"/>
    </row>
    <row r="8710" spans="13:24">
      <c r="M8710" s="558">
        <f t="shared" si="413"/>
        <v>8708</v>
      </c>
      <c r="N8710" s="15">
        <f t="shared" si="411"/>
        <v>2.2679255774408724E-2</v>
      </c>
      <c r="O8710" s="165">
        <f t="shared" si="412"/>
        <v>2.2679255774408724E-2</v>
      </c>
      <c r="P8710" s="18"/>
      <c r="Q8710" s="18"/>
      <c r="R8710" s="18"/>
      <c r="S8710" s="18"/>
      <c r="T8710" s="18"/>
      <c r="U8710" s="18"/>
      <c r="V8710" s="18"/>
      <c r="W8710" s="18"/>
      <c r="X8710" s="18"/>
    </row>
    <row r="8711" spans="13:24">
      <c r="M8711" s="558">
        <f t="shared" si="413"/>
        <v>8709</v>
      </c>
      <c r="N8711" s="15">
        <f t="shared" si="411"/>
        <v>2.2627875843302721E-2</v>
      </c>
      <c r="O8711" s="165">
        <f t="shared" si="412"/>
        <v>2.2627875843302721E-2</v>
      </c>
      <c r="P8711" s="18"/>
      <c r="Q8711" s="18"/>
      <c r="R8711" s="18"/>
      <c r="S8711" s="18"/>
      <c r="T8711" s="18"/>
      <c r="U8711" s="18"/>
      <c r="V8711" s="18"/>
      <c r="W8711" s="18"/>
      <c r="X8711" s="18"/>
    </row>
    <row r="8712" spans="13:24">
      <c r="M8712" s="558">
        <f t="shared" si="413"/>
        <v>8710</v>
      </c>
      <c r="N8712" s="15">
        <f t="shared" si="411"/>
        <v>2.257649592483137E-2</v>
      </c>
      <c r="O8712" s="165">
        <f t="shared" si="412"/>
        <v>2.257649592483137E-2</v>
      </c>
      <c r="P8712" s="18"/>
      <c r="Q8712" s="18"/>
      <c r="R8712" s="18"/>
      <c r="S8712" s="18"/>
      <c r="T8712" s="18"/>
      <c r="U8712" s="18"/>
      <c r="V8712" s="18"/>
      <c r="W8712" s="18"/>
      <c r="X8712" s="18"/>
    </row>
    <row r="8713" spans="13:24">
      <c r="M8713" s="558">
        <f t="shared" si="413"/>
        <v>8711</v>
      </c>
      <c r="N8713" s="15">
        <f t="shared" si="411"/>
        <v>2.2525116018978809E-2</v>
      </c>
      <c r="O8713" s="165">
        <f t="shared" si="412"/>
        <v>2.2525116018978809E-2</v>
      </c>
      <c r="P8713" s="18"/>
      <c r="Q8713" s="18"/>
      <c r="R8713" s="18"/>
      <c r="S8713" s="18"/>
      <c r="T8713" s="18"/>
      <c r="U8713" s="18"/>
      <c r="V8713" s="18"/>
      <c r="W8713" s="18"/>
      <c r="X8713" s="18"/>
    </row>
    <row r="8714" spans="13:24">
      <c r="M8714" s="558">
        <f t="shared" si="413"/>
        <v>8712</v>
      </c>
      <c r="N8714" s="15">
        <f t="shared" si="411"/>
        <v>2.2473736125729206E-2</v>
      </c>
      <c r="O8714" s="165">
        <f t="shared" si="412"/>
        <v>2.2473736125729206E-2</v>
      </c>
      <c r="P8714" s="18"/>
      <c r="Q8714" s="18"/>
      <c r="R8714" s="18"/>
      <c r="S8714" s="18"/>
      <c r="T8714" s="18"/>
      <c r="U8714" s="18"/>
      <c r="V8714" s="18"/>
      <c r="W8714" s="18"/>
      <c r="X8714" s="18"/>
    </row>
    <row r="8715" spans="13:24">
      <c r="M8715" s="558">
        <f t="shared" si="413"/>
        <v>8713</v>
      </c>
      <c r="N8715" s="15">
        <f t="shared" si="411"/>
        <v>2.2422356245066739E-2</v>
      </c>
      <c r="O8715" s="165">
        <f t="shared" si="412"/>
        <v>2.2422356245066739E-2</v>
      </c>
      <c r="P8715" s="18"/>
      <c r="Q8715" s="18"/>
      <c r="R8715" s="18"/>
      <c r="S8715" s="18"/>
      <c r="T8715" s="18"/>
      <c r="U8715" s="18"/>
      <c r="V8715" s="18"/>
      <c r="W8715" s="18"/>
      <c r="X8715" s="18"/>
    </row>
    <row r="8716" spans="13:24">
      <c r="M8716" s="558">
        <f t="shared" si="413"/>
        <v>8714</v>
      </c>
      <c r="N8716" s="15">
        <f t="shared" si="411"/>
        <v>2.2370976376975618E-2</v>
      </c>
      <c r="O8716" s="165">
        <f t="shared" si="412"/>
        <v>2.2370976376975618E-2</v>
      </c>
      <c r="P8716" s="18"/>
      <c r="Q8716" s="18"/>
      <c r="R8716" s="18"/>
      <c r="S8716" s="18"/>
      <c r="T8716" s="18"/>
      <c r="U8716" s="18"/>
      <c r="V8716" s="18"/>
      <c r="W8716" s="18"/>
      <c r="X8716" s="18"/>
    </row>
    <row r="8717" spans="13:24">
      <c r="M8717" s="558">
        <f t="shared" si="413"/>
        <v>8715</v>
      </c>
      <c r="N8717" s="15">
        <f t="shared" si="411"/>
        <v>2.2319596521440069E-2</v>
      </c>
      <c r="O8717" s="165">
        <f t="shared" si="412"/>
        <v>2.2319596521440069E-2</v>
      </c>
      <c r="P8717" s="18"/>
      <c r="Q8717" s="18"/>
      <c r="R8717" s="18"/>
      <c r="S8717" s="18"/>
      <c r="T8717" s="18"/>
      <c r="U8717" s="18"/>
      <c r="V8717" s="18"/>
      <c r="W8717" s="18"/>
      <c r="X8717" s="18"/>
    </row>
    <row r="8718" spans="13:24">
      <c r="M8718" s="558">
        <f t="shared" si="413"/>
        <v>8716</v>
      </c>
      <c r="N8718" s="15">
        <f t="shared" si="411"/>
        <v>2.2268216678444329E-2</v>
      </c>
      <c r="O8718" s="165">
        <f t="shared" si="412"/>
        <v>2.2268216678444329E-2</v>
      </c>
      <c r="P8718" s="18"/>
      <c r="Q8718" s="18"/>
      <c r="R8718" s="18"/>
      <c r="S8718" s="18"/>
      <c r="T8718" s="18"/>
      <c r="U8718" s="18"/>
      <c r="V8718" s="18"/>
      <c r="W8718" s="18"/>
      <c r="X8718" s="18"/>
    </row>
    <row r="8719" spans="13:24">
      <c r="M8719" s="558">
        <f t="shared" si="413"/>
        <v>8717</v>
      </c>
      <c r="N8719" s="15">
        <f t="shared" si="411"/>
        <v>2.2216836847972665E-2</v>
      </c>
      <c r="O8719" s="165">
        <f t="shared" si="412"/>
        <v>2.2216836847972665E-2</v>
      </c>
      <c r="P8719" s="18"/>
      <c r="Q8719" s="18"/>
      <c r="R8719" s="18"/>
      <c r="S8719" s="18"/>
      <c r="T8719" s="18"/>
      <c r="U8719" s="18"/>
      <c r="V8719" s="18"/>
      <c r="W8719" s="18"/>
      <c r="X8719" s="18"/>
    </row>
    <row r="8720" spans="13:24">
      <c r="M8720" s="558">
        <f t="shared" si="413"/>
        <v>8718</v>
      </c>
      <c r="N8720" s="15">
        <f t="shared" si="411"/>
        <v>2.2165457030009363E-2</v>
      </c>
      <c r="O8720" s="165">
        <f t="shared" si="412"/>
        <v>2.2165457030009363E-2</v>
      </c>
      <c r="P8720" s="18"/>
      <c r="Q8720" s="18"/>
      <c r="R8720" s="18"/>
      <c r="S8720" s="18"/>
      <c r="T8720" s="18"/>
      <c r="U8720" s="18"/>
      <c r="V8720" s="18"/>
      <c r="W8720" s="18"/>
      <c r="X8720" s="18"/>
    </row>
    <row r="8721" spans="13:24">
      <c r="M8721" s="558">
        <f t="shared" si="413"/>
        <v>8719</v>
      </c>
      <c r="N8721" s="15">
        <f t="shared" si="411"/>
        <v>2.2114077224538724E-2</v>
      </c>
      <c r="O8721" s="165">
        <f t="shared" si="412"/>
        <v>2.2114077224538724E-2</v>
      </c>
      <c r="P8721" s="18"/>
      <c r="Q8721" s="18"/>
      <c r="R8721" s="18"/>
      <c r="S8721" s="18"/>
      <c r="T8721" s="18"/>
      <c r="U8721" s="18"/>
      <c r="V8721" s="18"/>
      <c r="W8721" s="18"/>
      <c r="X8721" s="18"/>
    </row>
    <row r="8722" spans="13:24">
      <c r="M8722" s="558">
        <f t="shared" si="413"/>
        <v>8720</v>
      </c>
      <c r="N8722" s="15">
        <f t="shared" si="411"/>
        <v>2.2062697431545066E-2</v>
      </c>
      <c r="O8722" s="165">
        <f t="shared" si="412"/>
        <v>2.2062697431545066E-2</v>
      </c>
      <c r="P8722" s="18"/>
      <c r="Q8722" s="18"/>
      <c r="R8722" s="18"/>
      <c r="S8722" s="18"/>
      <c r="T8722" s="18"/>
      <c r="U8722" s="18"/>
      <c r="V8722" s="18"/>
      <c r="W8722" s="18"/>
      <c r="X8722" s="18"/>
    </row>
    <row r="8723" spans="13:24">
      <c r="M8723" s="558">
        <f t="shared" si="413"/>
        <v>8721</v>
      </c>
      <c r="N8723" s="15">
        <f t="shared" si="411"/>
        <v>2.2011317651012736E-2</v>
      </c>
      <c r="O8723" s="165">
        <f t="shared" si="412"/>
        <v>2.2011317651012736E-2</v>
      </c>
      <c r="P8723" s="18"/>
      <c r="Q8723" s="18"/>
      <c r="R8723" s="18"/>
      <c r="S8723" s="18"/>
      <c r="T8723" s="18"/>
      <c r="U8723" s="18"/>
      <c r="V8723" s="18"/>
      <c r="W8723" s="18"/>
      <c r="X8723" s="18"/>
    </row>
    <row r="8724" spans="13:24">
      <c r="M8724" s="558">
        <f t="shared" si="413"/>
        <v>8722</v>
      </c>
      <c r="N8724" s="15">
        <f t="shared" si="411"/>
        <v>2.1959937882926099E-2</v>
      </c>
      <c r="O8724" s="165">
        <f t="shared" si="412"/>
        <v>2.1959937882926099E-2</v>
      </c>
      <c r="P8724" s="18"/>
      <c r="Q8724" s="18"/>
      <c r="R8724" s="18"/>
      <c r="S8724" s="18"/>
      <c r="T8724" s="18"/>
      <c r="U8724" s="18"/>
      <c r="V8724" s="18"/>
      <c r="W8724" s="18"/>
      <c r="X8724" s="18"/>
    </row>
    <row r="8725" spans="13:24">
      <c r="M8725" s="558">
        <f t="shared" si="413"/>
        <v>8723</v>
      </c>
      <c r="N8725" s="15">
        <f t="shared" si="411"/>
        <v>2.190855812726953E-2</v>
      </c>
      <c r="O8725" s="165">
        <f t="shared" si="412"/>
        <v>2.190855812726953E-2</v>
      </c>
      <c r="P8725" s="18"/>
      <c r="Q8725" s="18"/>
      <c r="R8725" s="18"/>
      <c r="S8725" s="18"/>
      <c r="T8725" s="18"/>
      <c r="U8725" s="18"/>
      <c r="V8725" s="18"/>
      <c r="W8725" s="18"/>
      <c r="X8725" s="18"/>
    </row>
    <row r="8726" spans="13:24">
      <c r="M8726" s="558">
        <f t="shared" si="413"/>
        <v>8724</v>
      </c>
      <c r="N8726" s="15">
        <f t="shared" si="411"/>
        <v>2.1857178384027433E-2</v>
      </c>
      <c r="O8726" s="165">
        <f t="shared" si="412"/>
        <v>2.1857178384027433E-2</v>
      </c>
      <c r="P8726" s="18"/>
      <c r="Q8726" s="18"/>
      <c r="R8726" s="18"/>
      <c r="S8726" s="18"/>
      <c r="T8726" s="18"/>
      <c r="U8726" s="18"/>
      <c r="V8726" s="18"/>
      <c r="W8726" s="18"/>
      <c r="X8726" s="18"/>
    </row>
    <row r="8727" spans="13:24">
      <c r="M8727" s="558">
        <f t="shared" si="413"/>
        <v>8725</v>
      </c>
      <c r="N8727" s="15">
        <f t="shared" si="411"/>
        <v>2.180579865318423E-2</v>
      </c>
      <c r="O8727" s="165">
        <f t="shared" si="412"/>
        <v>2.180579865318423E-2</v>
      </c>
      <c r="P8727" s="18"/>
      <c r="Q8727" s="18"/>
      <c r="R8727" s="18"/>
      <c r="S8727" s="18"/>
      <c r="T8727" s="18"/>
      <c r="U8727" s="18"/>
      <c r="V8727" s="18"/>
      <c r="W8727" s="18"/>
      <c r="X8727" s="18"/>
    </row>
    <row r="8728" spans="13:24">
      <c r="M8728" s="558">
        <f t="shared" si="413"/>
        <v>8726</v>
      </c>
      <c r="N8728" s="15">
        <f t="shared" si="411"/>
        <v>2.1754418934724361E-2</v>
      </c>
      <c r="O8728" s="165">
        <f t="shared" si="412"/>
        <v>2.1754418934724361E-2</v>
      </c>
      <c r="P8728" s="18"/>
      <c r="Q8728" s="18"/>
      <c r="R8728" s="18"/>
      <c r="S8728" s="18"/>
      <c r="T8728" s="18"/>
      <c r="U8728" s="18"/>
      <c r="V8728" s="18"/>
      <c r="W8728" s="18"/>
      <c r="X8728" s="18"/>
    </row>
    <row r="8729" spans="13:24">
      <c r="M8729" s="558">
        <f t="shared" si="413"/>
        <v>8727</v>
      </c>
      <c r="N8729" s="15">
        <f t="shared" si="411"/>
        <v>2.1703039228632287E-2</v>
      </c>
      <c r="O8729" s="165">
        <f t="shared" si="412"/>
        <v>2.1703039228632287E-2</v>
      </c>
      <c r="P8729" s="18"/>
      <c r="Q8729" s="18"/>
      <c r="R8729" s="18"/>
      <c r="S8729" s="18"/>
      <c r="T8729" s="18"/>
      <c r="U8729" s="18"/>
      <c r="V8729" s="18"/>
      <c r="W8729" s="18"/>
      <c r="X8729" s="18"/>
    </row>
    <row r="8730" spans="13:24">
      <c r="M8730" s="558">
        <f t="shared" si="413"/>
        <v>8728</v>
      </c>
      <c r="N8730" s="15">
        <f t="shared" si="411"/>
        <v>2.1651659534892481E-2</v>
      </c>
      <c r="O8730" s="165">
        <f t="shared" si="412"/>
        <v>2.1651659534892481E-2</v>
      </c>
      <c r="P8730" s="18"/>
      <c r="Q8730" s="18"/>
      <c r="R8730" s="18"/>
      <c r="S8730" s="18"/>
      <c r="T8730" s="18"/>
      <c r="U8730" s="18"/>
      <c r="V8730" s="18"/>
      <c r="W8730" s="18"/>
      <c r="X8730" s="18"/>
    </row>
    <row r="8731" spans="13:24">
      <c r="M8731" s="558">
        <f t="shared" si="413"/>
        <v>8729</v>
      </c>
      <c r="N8731" s="15">
        <f t="shared" si="411"/>
        <v>2.1600279853489453E-2</v>
      </c>
      <c r="O8731" s="165">
        <f t="shared" si="412"/>
        <v>2.1600279853489453E-2</v>
      </c>
      <c r="P8731" s="18"/>
      <c r="Q8731" s="18"/>
      <c r="R8731" s="18"/>
      <c r="S8731" s="18"/>
      <c r="T8731" s="18"/>
      <c r="U8731" s="18"/>
      <c r="V8731" s="18"/>
      <c r="W8731" s="18"/>
      <c r="X8731" s="18"/>
    </row>
    <row r="8732" spans="13:24">
      <c r="M8732" s="558">
        <f t="shared" si="413"/>
        <v>8730</v>
      </c>
      <c r="N8732" s="15">
        <f t="shared" si="411"/>
        <v>2.1548900184407711E-2</v>
      </c>
      <c r="O8732" s="165">
        <f t="shared" si="412"/>
        <v>2.1548900184407711E-2</v>
      </c>
      <c r="P8732" s="18"/>
      <c r="Q8732" s="18"/>
      <c r="R8732" s="18"/>
      <c r="S8732" s="18"/>
      <c r="T8732" s="18"/>
      <c r="U8732" s="18"/>
      <c r="V8732" s="18"/>
      <c r="W8732" s="18"/>
      <c r="X8732" s="18"/>
    </row>
    <row r="8733" spans="13:24">
      <c r="M8733" s="558">
        <f t="shared" si="413"/>
        <v>8731</v>
      </c>
      <c r="N8733" s="15">
        <f t="shared" si="411"/>
        <v>2.1497520527631798E-2</v>
      </c>
      <c r="O8733" s="165">
        <f t="shared" si="412"/>
        <v>2.1497520527631798E-2</v>
      </c>
      <c r="P8733" s="18"/>
      <c r="Q8733" s="18"/>
      <c r="R8733" s="18"/>
      <c r="S8733" s="18"/>
      <c r="T8733" s="18"/>
      <c r="U8733" s="18"/>
      <c r="V8733" s="18"/>
      <c r="W8733" s="18"/>
      <c r="X8733" s="18"/>
    </row>
    <row r="8734" spans="13:24">
      <c r="M8734" s="558">
        <f t="shared" si="413"/>
        <v>8732</v>
      </c>
      <c r="N8734" s="15">
        <f t="shared" si="411"/>
        <v>2.1446140883146267E-2</v>
      </c>
      <c r="O8734" s="165">
        <f t="shared" si="412"/>
        <v>2.1446140883146267E-2</v>
      </c>
      <c r="P8734" s="18"/>
      <c r="Q8734" s="18"/>
      <c r="R8734" s="18"/>
      <c r="S8734" s="18"/>
      <c r="T8734" s="18"/>
      <c r="U8734" s="18"/>
      <c r="V8734" s="18"/>
      <c r="W8734" s="18"/>
      <c r="X8734" s="18"/>
    </row>
    <row r="8735" spans="13:24">
      <c r="M8735" s="558">
        <f t="shared" si="413"/>
        <v>8733</v>
      </c>
      <c r="N8735" s="15">
        <f t="shared" si="411"/>
        <v>2.1394761250935704E-2</v>
      </c>
      <c r="O8735" s="165">
        <f t="shared" si="412"/>
        <v>2.1394761250935704E-2</v>
      </c>
      <c r="P8735" s="18"/>
      <c r="Q8735" s="18"/>
      <c r="R8735" s="18"/>
      <c r="S8735" s="18"/>
      <c r="T8735" s="18"/>
      <c r="U8735" s="18"/>
      <c r="V8735" s="18"/>
      <c r="W8735" s="18"/>
      <c r="X8735" s="18"/>
    </row>
    <row r="8736" spans="13:24">
      <c r="M8736" s="558">
        <f t="shared" si="413"/>
        <v>8734</v>
      </c>
      <c r="N8736" s="15">
        <f t="shared" si="411"/>
        <v>2.1343381630984697E-2</v>
      </c>
      <c r="O8736" s="165">
        <f t="shared" si="412"/>
        <v>2.1343381630984697E-2</v>
      </c>
      <c r="P8736" s="18"/>
      <c r="Q8736" s="18"/>
      <c r="R8736" s="18"/>
      <c r="S8736" s="18"/>
      <c r="T8736" s="18"/>
      <c r="U8736" s="18"/>
      <c r="V8736" s="18"/>
      <c r="W8736" s="18"/>
      <c r="X8736" s="18"/>
    </row>
    <row r="8737" spans="13:24">
      <c r="M8737" s="558">
        <f t="shared" si="413"/>
        <v>8735</v>
      </c>
      <c r="N8737" s="15">
        <f t="shared" si="411"/>
        <v>2.129200202327786E-2</v>
      </c>
      <c r="O8737" s="165">
        <f t="shared" si="412"/>
        <v>2.129200202327786E-2</v>
      </c>
      <c r="P8737" s="18"/>
      <c r="Q8737" s="18"/>
      <c r="R8737" s="18"/>
      <c r="S8737" s="18"/>
      <c r="T8737" s="18"/>
      <c r="U8737" s="18"/>
      <c r="V8737" s="18"/>
      <c r="W8737" s="18"/>
      <c r="X8737" s="18"/>
    </row>
    <row r="8738" spans="13:24">
      <c r="M8738" s="558">
        <f t="shared" si="413"/>
        <v>8736</v>
      </c>
      <c r="N8738" s="15">
        <f t="shared" si="411"/>
        <v>2.1240622427799827E-2</v>
      </c>
      <c r="O8738" s="165">
        <f t="shared" si="412"/>
        <v>2.1240622427799827E-2</v>
      </c>
      <c r="P8738" s="18"/>
      <c r="Q8738" s="18"/>
      <c r="R8738" s="18"/>
      <c r="S8738" s="18"/>
      <c r="T8738" s="18"/>
      <c r="U8738" s="18"/>
      <c r="V8738" s="18"/>
      <c r="W8738" s="18"/>
      <c r="X8738" s="18"/>
    </row>
    <row r="8739" spans="13:24">
      <c r="M8739" s="558">
        <f t="shared" si="413"/>
        <v>8737</v>
      </c>
      <c r="N8739" s="15">
        <f t="shared" si="411"/>
        <v>2.1189242844535262E-2</v>
      </c>
      <c r="O8739" s="165">
        <f t="shared" si="412"/>
        <v>2.1189242844535262E-2</v>
      </c>
      <c r="P8739" s="18"/>
      <c r="Q8739" s="18"/>
      <c r="R8739" s="18"/>
      <c r="S8739" s="18"/>
      <c r="T8739" s="18"/>
      <c r="U8739" s="18"/>
      <c r="V8739" s="18"/>
      <c r="W8739" s="18"/>
      <c r="X8739" s="18"/>
    </row>
    <row r="8740" spans="13:24">
      <c r="M8740" s="558">
        <f t="shared" si="413"/>
        <v>8738</v>
      </c>
      <c r="N8740" s="15">
        <f t="shared" si="411"/>
        <v>2.1137863273468827E-2</v>
      </c>
      <c r="O8740" s="165">
        <f t="shared" si="412"/>
        <v>2.1137863273468827E-2</v>
      </c>
      <c r="P8740" s="18"/>
      <c r="Q8740" s="18"/>
      <c r="R8740" s="18"/>
      <c r="S8740" s="18"/>
      <c r="T8740" s="18"/>
      <c r="U8740" s="18"/>
      <c r="V8740" s="18"/>
      <c r="W8740" s="18"/>
      <c r="X8740" s="18"/>
    </row>
    <row r="8741" spans="13:24">
      <c r="M8741" s="558">
        <f t="shared" si="413"/>
        <v>8739</v>
      </c>
      <c r="N8741" s="15">
        <f t="shared" si="411"/>
        <v>2.108648371458522E-2</v>
      </c>
      <c r="O8741" s="165">
        <f t="shared" si="412"/>
        <v>2.108648371458522E-2</v>
      </c>
      <c r="P8741" s="18"/>
      <c r="Q8741" s="18"/>
      <c r="R8741" s="18"/>
      <c r="S8741" s="18"/>
      <c r="T8741" s="18"/>
      <c r="U8741" s="18"/>
      <c r="V8741" s="18"/>
      <c r="W8741" s="18"/>
      <c r="X8741" s="18"/>
    </row>
    <row r="8742" spans="13:24">
      <c r="M8742" s="558">
        <f t="shared" si="413"/>
        <v>8740</v>
      </c>
      <c r="N8742" s="15">
        <f t="shared" si="411"/>
        <v>2.1035104167869152E-2</v>
      </c>
      <c r="O8742" s="165">
        <f t="shared" si="412"/>
        <v>2.1035104167869152E-2</v>
      </c>
      <c r="P8742" s="18"/>
      <c r="Q8742" s="18"/>
      <c r="R8742" s="18"/>
      <c r="S8742" s="18"/>
      <c r="T8742" s="18"/>
      <c r="U8742" s="18"/>
      <c r="V8742" s="18"/>
      <c r="W8742" s="18"/>
      <c r="X8742" s="18"/>
    </row>
    <row r="8743" spans="13:24">
      <c r="M8743" s="558">
        <f t="shared" si="413"/>
        <v>8741</v>
      </c>
      <c r="N8743" s="15">
        <f t="shared" si="411"/>
        <v>2.0983724633305351E-2</v>
      </c>
      <c r="O8743" s="165">
        <f t="shared" si="412"/>
        <v>2.0983724633305351E-2</v>
      </c>
      <c r="P8743" s="18"/>
      <c r="Q8743" s="18"/>
      <c r="R8743" s="18"/>
      <c r="S8743" s="18"/>
      <c r="T8743" s="18"/>
      <c r="U8743" s="18"/>
      <c r="V8743" s="18"/>
      <c r="W8743" s="18"/>
      <c r="X8743" s="18"/>
    </row>
    <row r="8744" spans="13:24">
      <c r="M8744" s="558">
        <f t="shared" si="413"/>
        <v>8742</v>
      </c>
      <c r="N8744" s="15">
        <f t="shared" si="411"/>
        <v>2.0932345110878572E-2</v>
      </c>
      <c r="O8744" s="165">
        <f t="shared" si="412"/>
        <v>2.0932345110878572E-2</v>
      </c>
      <c r="P8744" s="18"/>
      <c r="Q8744" s="18"/>
      <c r="R8744" s="18"/>
      <c r="S8744" s="18"/>
      <c r="T8744" s="18"/>
      <c r="U8744" s="18"/>
      <c r="V8744" s="18"/>
      <c r="W8744" s="18"/>
      <c r="X8744" s="18"/>
    </row>
    <row r="8745" spans="13:24">
      <c r="M8745" s="558">
        <f t="shared" si="413"/>
        <v>8743</v>
      </c>
      <c r="N8745" s="15">
        <f t="shared" si="411"/>
        <v>2.0880965600573575E-2</v>
      </c>
      <c r="O8745" s="165">
        <f t="shared" si="412"/>
        <v>2.0880965600573575E-2</v>
      </c>
      <c r="P8745" s="18"/>
      <c r="Q8745" s="18"/>
      <c r="R8745" s="18"/>
      <c r="S8745" s="18"/>
      <c r="T8745" s="18"/>
      <c r="U8745" s="18"/>
      <c r="V8745" s="18"/>
      <c r="W8745" s="18"/>
      <c r="X8745" s="18"/>
    </row>
    <row r="8746" spans="13:24">
      <c r="M8746" s="558">
        <f t="shared" si="413"/>
        <v>8744</v>
      </c>
      <c r="N8746" s="15">
        <f t="shared" si="411"/>
        <v>2.0829586102375158E-2</v>
      </c>
      <c r="O8746" s="165">
        <f t="shared" si="412"/>
        <v>2.0829586102375158E-2</v>
      </c>
      <c r="P8746" s="18"/>
      <c r="Q8746" s="18"/>
      <c r="R8746" s="18"/>
      <c r="S8746" s="18"/>
      <c r="T8746" s="18"/>
      <c r="U8746" s="18"/>
      <c r="V8746" s="18"/>
      <c r="W8746" s="18"/>
      <c r="X8746" s="18"/>
    </row>
    <row r="8747" spans="13:24">
      <c r="M8747" s="558">
        <f t="shared" si="413"/>
        <v>8745</v>
      </c>
      <c r="N8747" s="15">
        <f t="shared" si="411"/>
        <v>2.0778206616268124E-2</v>
      </c>
      <c r="O8747" s="165">
        <f t="shared" si="412"/>
        <v>2.0778206616268124E-2</v>
      </c>
      <c r="P8747" s="18"/>
      <c r="Q8747" s="18"/>
      <c r="R8747" s="18"/>
      <c r="S8747" s="18"/>
      <c r="T8747" s="18"/>
      <c r="U8747" s="18"/>
      <c r="V8747" s="18"/>
      <c r="W8747" s="18"/>
      <c r="X8747" s="18"/>
    </row>
    <row r="8748" spans="13:24">
      <c r="M8748" s="558">
        <f t="shared" si="413"/>
        <v>8746</v>
      </c>
      <c r="N8748" s="15">
        <f t="shared" si="411"/>
        <v>2.0726827142237298E-2</v>
      </c>
      <c r="O8748" s="165">
        <f t="shared" si="412"/>
        <v>2.0726827142237298E-2</v>
      </c>
      <c r="P8748" s="18"/>
      <c r="Q8748" s="18"/>
      <c r="R8748" s="18"/>
      <c r="S8748" s="18"/>
      <c r="T8748" s="18"/>
      <c r="U8748" s="18"/>
      <c r="V8748" s="18"/>
      <c r="W8748" s="18"/>
      <c r="X8748" s="18"/>
    </row>
    <row r="8749" spans="13:24">
      <c r="M8749" s="558">
        <f t="shared" si="413"/>
        <v>8747</v>
      </c>
      <c r="N8749" s="15">
        <f t="shared" si="411"/>
        <v>2.0675447680267526E-2</v>
      </c>
      <c r="O8749" s="165">
        <f t="shared" si="412"/>
        <v>2.0675447680267526E-2</v>
      </c>
      <c r="P8749" s="18"/>
      <c r="Q8749" s="18"/>
      <c r="R8749" s="18"/>
      <c r="S8749" s="18"/>
      <c r="T8749" s="18"/>
      <c r="U8749" s="18"/>
      <c r="V8749" s="18"/>
      <c r="W8749" s="18"/>
      <c r="X8749" s="18"/>
    </row>
    <row r="8750" spans="13:24">
      <c r="M8750" s="558">
        <f t="shared" si="413"/>
        <v>8748</v>
      </c>
      <c r="N8750" s="15">
        <f t="shared" si="411"/>
        <v>2.0624068230343674E-2</v>
      </c>
      <c r="O8750" s="165">
        <f t="shared" si="412"/>
        <v>2.0624068230343674E-2</v>
      </c>
      <c r="P8750" s="18"/>
      <c r="Q8750" s="18"/>
      <c r="R8750" s="18"/>
      <c r="S8750" s="18"/>
      <c r="T8750" s="18"/>
      <c r="U8750" s="18"/>
      <c r="V8750" s="18"/>
      <c r="W8750" s="18"/>
      <c r="X8750" s="18"/>
    </row>
    <row r="8751" spans="13:24">
      <c r="M8751" s="558">
        <f t="shared" si="413"/>
        <v>8749</v>
      </c>
      <c r="N8751" s="15">
        <f t="shared" si="411"/>
        <v>2.0572688792450628E-2</v>
      </c>
      <c r="O8751" s="165">
        <f t="shared" si="412"/>
        <v>2.0572688792450628E-2</v>
      </c>
      <c r="P8751" s="18"/>
      <c r="Q8751" s="18"/>
      <c r="R8751" s="18"/>
      <c r="S8751" s="18"/>
      <c r="T8751" s="18"/>
      <c r="U8751" s="18"/>
      <c r="V8751" s="18"/>
      <c r="W8751" s="18"/>
      <c r="X8751" s="18"/>
    </row>
    <row r="8752" spans="13:24">
      <c r="M8752" s="558">
        <f t="shared" si="413"/>
        <v>8750</v>
      </c>
      <c r="N8752" s="15">
        <f t="shared" si="411"/>
        <v>2.0521309366573284E-2</v>
      </c>
      <c r="O8752" s="165">
        <f t="shared" si="412"/>
        <v>2.0521309366573284E-2</v>
      </c>
      <c r="P8752" s="18"/>
      <c r="Q8752" s="18"/>
      <c r="R8752" s="18"/>
      <c r="S8752" s="18"/>
      <c r="T8752" s="18"/>
      <c r="U8752" s="18"/>
      <c r="V8752" s="18"/>
      <c r="W8752" s="18"/>
      <c r="X8752" s="18"/>
    </row>
    <row r="8753" spans="13:24">
      <c r="M8753" s="558">
        <f t="shared" si="413"/>
        <v>8751</v>
      </c>
      <c r="N8753" s="15">
        <f t="shared" si="411"/>
        <v>2.0469929952696562E-2</v>
      </c>
      <c r="O8753" s="165">
        <f t="shared" si="412"/>
        <v>2.0469929952696562E-2</v>
      </c>
      <c r="P8753" s="18"/>
      <c r="Q8753" s="18"/>
      <c r="R8753" s="18"/>
      <c r="S8753" s="18"/>
      <c r="T8753" s="18"/>
      <c r="U8753" s="18"/>
      <c r="V8753" s="18"/>
      <c r="W8753" s="18"/>
      <c r="X8753" s="18"/>
    </row>
    <row r="8754" spans="13:24">
      <c r="M8754" s="558">
        <f t="shared" si="413"/>
        <v>8752</v>
      </c>
      <c r="N8754" s="15">
        <f t="shared" si="411"/>
        <v>2.0418550550805409E-2</v>
      </c>
      <c r="O8754" s="165">
        <f t="shared" si="412"/>
        <v>2.0418550550805409E-2</v>
      </c>
      <c r="P8754" s="18"/>
      <c r="Q8754" s="18"/>
      <c r="R8754" s="18"/>
      <c r="S8754" s="18"/>
      <c r="T8754" s="18"/>
      <c r="U8754" s="18"/>
      <c r="V8754" s="18"/>
      <c r="W8754" s="18"/>
      <c r="X8754" s="18"/>
    </row>
    <row r="8755" spans="13:24">
      <c r="M8755" s="558">
        <f t="shared" si="413"/>
        <v>8753</v>
      </c>
      <c r="N8755" s="15">
        <f t="shared" si="411"/>
        <v>2.0367171160884781E-2</v>
      </c>
      <c r="O8755" s="165">
        <f t="shared" si="412"/>
        <v>2.0367171160884781E-2</v>
      </c>
      <c r="P8755" s="18"/>
      <c r="Q8755" s="18"/>
      <c r="R8755" s="18"/>
      <c r="S8755" s="18"/>
      <c r="T8755" s="18"/>
      <c r="U8755" s="18"/>
      <c r="V8755" s="18"/>
      <c r="W8755" s="18"/>
      <c r="X8755" s="18"/>
    </row>
    <row r="8756" spans="13:24">
      <c r="M8756" s="558">
        <f t="shared" si="413"/>
        <v>8754</v>
      </c>
      <c r="N8756" s="15">
        <f t="shared" si="411"/>
        <v>2.0315791782919659E-2</v>
      </c>
      <c r="O8756" s="165">
        <f t="shared" si="412"/>
        <v>2.0315791782919659E-2</v>
      </c>
      <c r="P8756" s="18"/>
      <c r="Q8756" s="18"/>
      <c r="R8756" s="18"/>
      <c r="S8756" s="18"/>
      <c r="T8756" s="18"/>
      <c r="U8756" s="18"/>
      <c r="V8756" s="18"/>
      <c r="W8756" s="18"/>
      <c r="X8756" s="18"/>
    </row>
    <row r="8757" spans="13:24">
      <c r="M8757" s="558">
        <f t="shared" si="413"/>
        <v>8755</v>
      </c>
      <c r="N8757" s="15">
        <f t="shared" si="411"/>
        <v>2.0264412416895031E-2</v>
      </c>
      <c r="O8757" s="165">
        <f t="shared" si="412"/>
        <v>2.0264412416895031E-2</v>
      </c>
      <c r="P8757" s="18"/>
      <c r="Q8757" s="18"/>
      <c r="R8757" s="18"/>
      <c r="S8757" s="18"/>
      <c r="T8757" s="18"/>
      <c r="U8757" s="18"/>
      <c r="V8757" s="18"/>
      <c r="W8757" s="18"/>
      <c r="X8757" s="18"/>
    </row>
    <row r="8758" spans="13:24">
      <c r="M8758" s="558">
        <f t="shared" si="413"/>
        <v>8756</v>
      </c>
      <c r="N8758" s="15">
        <f t="shared" si="411"/>
        <v>2.0213033062795923E-2</v>
      </c>
      <c r="O8758" s="165">
        <f t="shared" si="412"/>
        <v>2.0213033062795923E-2</v>
      </c>
      <c r="P8758" s="18"/>
      <c r="Q8758" s="18"/>
      <c r="R8758" s="18"/>
      <c r="S8758" s="18"/>
      <c r="T8758" s="18"/>
      <c r="U8758" s="18"/>
      <c r="V8758" s="18"/>
      <c r="W8758" s="18"/>
      <c r="X8758" s="18"/>
    </row>
    <row r="8759" spans="13:24">
      <c r="M8759" s="558">
        <f t="shared" si="413"/>
        <v>8757</v>
      </c>
      <c r="N8759" s="15">
        <f t="shared" si="411"/>
        <v>2.0161653720607364E-2</v>
      </c>
      <c r="O8759" s="165">
        <f t="shared" si="412"/>
        <v>2.0161653720607364E-2</v>
      </c>
      <c r="P8759" s="18"/>
      <c r="Q8759" s="18"/>
      <c r="R8759" s="18"/>
      <c r="S8759" s="18"/>
      <c r="T8759" s="18"/>
      <c r="U8759" s="18"/>
      <c r="V8759" s="18"/>
      <c r="W8759" s="18"/>
      <c r="X8759" s="18"/>
    </row>
    <row r="8760" spans="13:24">
      <c r="M8760" s="558">
        <f t="shared" si="413"/>
        <v>8758</v>
      </c>
      <c r="N8760" s="15">
        <f t="shared" si="411"/>
        <v>2.011027439031441E-2</v>
      </c>
      <c r="O8760" s="165">
        <f t="shared" si="412"/>
        <v>2.011027439031441E-2</v>
      </c>
      <c r="P8760" s="18"/>
      <c r="Q8760" s="18"/>
      <c r="R8760" s="18"/>
      <c r="S8760" s="18"/>
      <c r="T8760" s="18"/>
      <c r="U8760" s="18"/>
      <c r="V8760" s="18"/>
      <c r="W8760" s="18"/>
      <c r="X8760" s="18"/>
    </row>
    <row r="8761" spans="13:24">
      <c r="M8761" s="558">
        <f t="shared" si="413"/>
        <v>8759</v>
      </c>
      <c r="N8761" s="15">
        <f t="shared" si="411"/>
        <v>2.0058895071902127E-2</v>
      </c>
      <c r="O8761" s="165">
        <f t="shared" si="412"/>
        <v>2.0058895071902127E-2</v>
      </c>
      <c r="P8761" s="18"/>
      <c r="Q8761" s="18"/>
      <c r="R8761" s="18"/>
      <c r="S8761" s="18"/>
      <c r="T8761" s="18"/>
      <c r="U8761" s="18"/>
      <c r="V8761" s="18"/>
      <c r="W8761" s="18"/>
      <c r="X8761" s="18"/>
    </row>
    <row r="8762" spans="13:24">
      <c r="M8762" s="559">
        <f t="shared" si="413"/>
        <v>8760</v>
      </c>
      <c r="N8762" s="60">
        <f t="shared" si="411"/>
        <v>2.0007515765355612E-2</v>
      </c>
      <c r="O8762" s="61">
        <f t="shared" si="412"/>
        <v>2.0007515765355612E-2</v>
      </c>
      <c r="P8762" s="18"/>
      <c r="Q8762" s="18"/>
      <c r="R8762" s="18"/>
      <c r="S8762" s="18"/>
      <c r="T8762" s="18"/>
      <c r="U8762" s="18"/>
      <c r="V8762" s="18"/>
      <c r="W8762" s="18"/>
      <c r="X8762" s="18"/>
    </row>
    <row r="8763" spans="13:24">
      <c r="P8763" s="18"/>
      <c r="Q8763" s="18"/>
      <c r="R8763" s="18"/>
      <c r="S8763" s="18"/>
      <c r="T8763" s="18"/>
      <c r="U8763" s="18"/>
      <c r="V8763" s="18"/>
      <c r="W8763" s="18"/>
      <c r="X8763" s="18"/>
    </row>
    <row r="8764" spans="13:24">
      <c r="P8764" s="18"/>
      <c r="Q8764" s="18"/>
      <c r="R8764" s="18"/>
      <c r="S8764" s="18"/>
      <c r="T8764" s="18"/>
      <c r="U8764" s="18"/>
      <c r="V8764" s="18"/>
      <c r="W8764" s="18"/>
      <c r="X8764" s="18"/>
    </row>
  </sheetData>
  <mergeCells count="8">
    <mergeCell ref="F22:L22"/>
    <mergeCell ref="B58:H58"/>
    <mergeCell ref="B76:E76"/>
    <mergeCell ref="F76:I76"/>
    <mergeCell ref="F18:H18"/>
    <mergeCell ref="B18:E18"/>
    <mergeCell ref="A21:H21"/>
    <mergeCell ref="D43:J43"/>
  </mergeCells>
  <conditionalFormatting sqref="M3:O8762">
    <cfRule type="expression" dxfId="9" priority="9">
      <formula>MOD(ROW(),2)=0</formula>
    </cfRule>
  </conditionalFormatting>
  <conditionalFormatting sqref="F48:G57">
    <cfRule type="expression" dxfId="8" priority="8">
      <formula>MOD(ROW(),2)=0</formula>
    </cfRule>
  </conditionalFormatting>
  <conditionalFormatting sqref="B48:C57">
    <cfRule type="expression" dxfId="7" priority="7">
      <formula>MOD(ROW(),2)=0</formula>
    </cfRule>
  </conditionalFormatting>
  <conditionalFormatting sqref="B61:B72">
    <cfRule type="expression" dxfId="6" priority="6">
      <formula>MOD(ROW(),2)=0</formula>
    </cfRule>
  </conditionalFormatting>
  <conditionalFormatting sqref="C61:C72">
    <cfRule type="expression" dxfId="5" priority="5">
      <formula>MOD(ROW(),2)=0</formula>
    </cfRule>
  </conditionalFormatting>
  <conditionalFormatting sqref="D61:D72">
    <cfRule type="expression" dxfId="4" priority="4">
      <formula>MOD(ROW(),2)=0</formula>
    </cfRule>
  </conditionalFormatting>
  <conditionalFormatting sqref="H48:H57">
    <cfRule type="expression" dxfId="3" priority="3">
      <formula>MOD(ROW(),2)=0</formula>
    </cfRule>
  </conditionalFormatting>
  <conditionalFormatting sqref="D48:D57">
    <cfRule type="expression" dxfId="2" priority="2">
      <formula>MOD(ROW(),2)=0</formula>
    </cfRule>
  </conditionalFormatting>
  <conditionalFormatting sqref="B77:I81">
    <cfRule type="expression" dxfId="1" priority="1">
      <formula>MOD(ROW(),2)=0</formula>
    </cfRule>
  </conditionalFormatting>
  <pageMargins left="0.7" right="0.7" top="0.78740157499999996" bottom="0.78740157499999996"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dimension ref="A1:P26"/>
  <sheetViews>
    <sheetView zoomScale="70" zoomScaleNormal="70" workbookViewId="0">
      <selection activeCell="G1" sqref="G1"/>
    </sheetView>
  </sheetViews>
  <sheetFormatPr baseColWidth="10" defaultRowHeight="14.5"/>
  <cols>
    <col min="1" max="1" width="32.81640625" customWidth="1"/>
    <col min="2" max="2" width="16.1796875" customWidth="1"/>
    <col min="3" max="8" width="13.54296875" customWidth="1"/>
    <col min="12" max="12" width="10.1796875" customWidth="1"/>
    <col min="14" max="14" width="10.1796875" customWidth="1"/>
    <col min="16" max="16" width="17.1796875" customWidth="1"/>
  </cols>
  <sheetData>
    <row r="1" spans="1:16">
      <c r="A1" s="798" t="s">
        <v>2390</v>
      </c>
      <c r="B1" s="799"/>
      <c r="C1" s="799"/>
      <c r="D1" s="799"/>
      <c r="E1" s="799"/>
      <c r="F1" s="800"/>
      <c r="G1" s="27"/>
      <c r="H1" s="27"/>
      <c r="I1" s="27"/>
      <c r="J1" s="27"/>
      <c r="K1" s="27"/>
    </row>
    <row r="2" spans="1:16">
      <c r="A2" s="25"/>
      <c r="B2" s="854" t="s">
        <v>2133</v>
      </c>
      <c r="C2" s="854"/>
      <c r="D2" s="854"/>
      <c r="E2" s="854"/>
      <c r="F2" s="854"/>
      <c r="G2" s="854"/>
      <c r="H2" s="854"/>
      <c r="I2" s="854"/>
      <c r="J2" s="854"/>
      <c r="K2" s="854"/>
      <c r="L2" s="854"/>
      <c r="M2" s="854"/>
      <c r="N2" s="854"/>
      <c r="O2" s="854"/>
      <c r="P2" s="682" t="s">
        <v>2381</v>
      </c>
    </row>
    <row r="3" spans="1:16" ht="45">
      <c r="A3" s="16"/>
      <c r="B3" s="540" t="s">
        <v>5</v>
      </c>
      <c r="C3" s="858" t="s">
        <v>7</v>
      </c>
      <c r="D3" s="859"/>
      <c r="E3" s="858" t="s">
        <v>1969</v>
      </c>
      <c r="F3" s="860"/>
      <c r="G3" s="859"/>
      <c r="H3" s="375" t="s">
        <v>1879</v>
      </c>
      <c r="I3" s="375" t="s">
        <v>1867</v>
      </c>
      <c r="J3" s="375" t="s">
        <v>9</v>
      </c>
      <c r="K3" s="375" t="s">
        <v>1965</v>
      </c>
      <c r="L3" s="375" t="s">
        <v>1929</v>
      </c>
      <c r="M3" s="375" t="s">
        <v>1922</v>
      </c>
      <c r="N3" s="375" t="s">
        <v>1930</v>
      </c>
      <c r="O3" s="680" t="s">
        <v>1923</v>
      </c>
      <c r="P3" s="683" t="s">
        <v>1878</v>
      </c>
    </row>
    <row r="4" spans="1:16" ht="58.5" customHeight="1">
      <c r="A4" s="16"/>
      <c r="B4" s="540" t="s">
        <v>6</v>
      </c>
      <c r="C4" s="396" t="s">
        <v>1766</v>
      </c>
      <c r="D4" s="396" t="s">
        <v>2002</v>
      </c>
      <c r="E4" s="401" t="s">
        <v>1926</v>
      </c>
      <c r="F4" s="401" t="s">
        <v>1927</v>
      </c>
      <c r="G4" s="401" t="s">
        <v>2380</v>
      </c>
      <c r="H4" s="401" t="s">
        <v>2008</v>
      </c>
      <c r="I4" s="396" t="s">
        <v>1885</v>
      </c>
      <c r="J4" s="396" t="s">
        <v>1885</v>
      </c>
      <c r="K4" s="396" t="s">
        <v>1885</v>
      </c>
      <c r="L4" s="396" t="s">
        <v>1885</v>
      </c>
      <c r="M4" s="396" t="s">
        <v>1885</v>
      </c>
      <c r="N4" s="396" t="s">
        <v>1885</v>
      </c>
      <c r="O4" s="681" t="s">
        <v>1885</v>
      </c>
      <c r="P4" s="684" t="s">
        <v>2105</v>
      </c>
    </row>
    <row r="5" spans="1:16" ht="15" thickBot="1">
      <c r="A5" s="293" t="s">
        <v>2017</v>
      </c>
      <c r="B5" s="304" t="s">
        <v>1768</v>
      </c>
      <c r="C5" s="645"/>
      <c r="D5" s="646"/>
      <c r="E5" s="646"/>
      <c r="F5" s="646"/>
      <c r="G5" s="646"/>
      <c r="H5" s="646"/>
      <c r="I5" s="646"/>
      <c r="J5" s="646"/>
      <c r="K5" s="646"/>
      <c r="L5" s="646"/>
      <c r="M5" s="646"/>
      <c r="N5" s="646"/>
      <c r="O5" s="646"/>
      <c r="P5" s="685"/>
    </row>
    <row r="6" spans="1:16" s="18" customFormat="1" ht="15" thickTop="1">
      <c r="A6" s="677" t="s">
        <v>2161</v>
      </c>
      <c r="B6" s="642" t="s">
        <v>1918</v>
      </c>
      <c r="C6" s="647">
        <v>8.9581506306755002E-2</v>
      </c>
      <c r="D6" s="648">
        <v>5.8035645598106131E-2</v>
      </c>
      <c r="E6" s="648">
        <v>0.14359466566350543</v>
      </c>
      <c r="F6" s="648">
        <v>3.2875533921368036E-2</v>
      </c>
      <c r="G6" s="648">
        <v>1.6641254070747968E-2</v>
      </c>
      <c r="H6" s="648">
        <v>8.7255992159023882E-2</v>
      </c>
      <c r="I6" s="648">
        <v>7.8203153168750747E-2</v>
      </c>
      <c r="J6" s="648">
        <v>5.2792805894846813E-2</v>
      </c>
      <c r="K6" s="648">
        <v>0.1096804267105027</v>
      </c>
      <c r="L6" s="648">
        <v>4.7571469474649734E-2</v>
      </c>
      <c r="M6" s="648">
        <v>8.0525697262642429E-2</v>
      </c>
      <c r="N6" s="648">
        <v>5.0414055025097888E-2</v>
      </c>
      <c r="O6" s="648">
        <v>7.0371809774380428E-2</v>
      </c>
      <c r="P6" s="686">
        <v>9.2102182885903092E-2</v>
      </c>
    </row>
    <row r="7" spans="1:16">
      <c r="A7" s="678" t="s">
        <v>2188</v>
      </c>
      <c r="B7" s="643" t="s">
        <v>1918</v>
      </c>
      <c r="C7" s="650">
        <v>7.8448112063090325E-2</v>
      </c>
      <c r="D7" s="651">
        <v>4.6902251354441461E-2</v>
      </c>
      <c r="E7" s="651">
        <v>0.11165632879384378</v>
      </c>
      <c r="F7" s="651">
        <v>2.5664442794046418E-2</v>
      </c>
      <c r="G7" s="651">
        <v>1.3070357532574376E-2</v>
      </c>
      <c r="H7" s="651">
        <v>7.2452757610968505E-2</v>
      </c>
      <c r="I7" s="651">
        <v>6.4324001038438022E-2</v>
      </c>
      <c r="J7" s="651">
        <v>4.3382288800807307E-2</v>
      </c>
      <c r="K7" s="651">
        <v>9.1215410622711546E-2</v>
      </c>
      <c r="L7" s="651">
        <v>3.9085634764887217E-2</v>
      </c>
      <c r="M7" s="651">
        <v>7.2039862552879905E-2</v>
      </c>
      <c r="N7" s="651">
        <v>3.9862081877749998E-2</v>
      </c>
      <c r="O7" s="651">
        <v>5.9819836627032545E-2</v>
      </c>
      <c r="P7" s="687">
        <v>8.7115305177929009E-2</v>
      </c>
    </row>
    <row r="8" spans="1:16">
      <c r="A8" s="678" t="s">
        <v>2189</v>
      </c>
      <c r="B8" s="643" t="s">
        <v>1918</v>
      </c>
      <c r="C8" s="650">
        <v>7.2363506876629513E-2</v>
      </c>
      <c r="D8" s="651">
        <v>4.0817646167980656E-2</v>
      </c>
      <c r="E8" s="651">
        <v>9.2527921819078776E-2</v>
      </c>
      <c r="F8" s="651">
        <v>2.1372383264685449E-2</v>
      </c>
      <c r="G8" s="651">
        <v>1.0962414756702222E-2</v>
      </c>
      <c r="H8" s="651">
        <v>6.4666511592105583E-2</v>
      </c>
      <c r="I8" s="651">
        <v>5.666181637677907E-2</v>
      </c>
      <c r="J8" s="651">
        <v>3.7995027283228101E-2</v>
      </c>
      <c r="K8" s="651">
        <v>8.1514340700854296E-2</v>
      </c>
      <c r="L8" s="651">
        <v>3.4026138374615614E-2</v>
      </c>
      <c r="M8" s="651">
        <v>6.6980366162608301E-2</v>
      </c>
      <c r="N8" s="651">
        <v>3.3907060817159627E-2</v>
      </c>
      <c r="O8" s="651">
        <v>5.386481556644216E-2</v>
      </c>
      <c r="P8" s="687">
        <v>8.7938606840861772E-2</v>
      </c>
    </row>
    <row r="9" spans="1:16" s="18" customFormat="1">
      <c r="A9" s="678" t="s">
        <v>2190</v>
      </c>
      <c r="B9" s="643" t="s">
        <v>1918</v>
      </c>
      <c r="C9" s="650">
        <v>6.9211454812139417E-2</v>
      </c>
      <c r="D9" s="651">
        <v>3.766559410349056E-2</v>
      </c>
      <c r="E9" s="651">
        <v>7.98281942070663E-2</v>
      </c>
      <c r="F9" s="651">
        <v>1.8563553949609006E-2</v>
      </c>
      <c r="G9" s="651">
        <v>9.6096632772849806E-3</v>
      </c>
      <c r="H9" s="651">
        <v>6.0227844332781499E-2</v>
      </c>
      <c r="I9" s="651">
        <v>5.1703941507066045E-2</v>
      </c>
      <c r="J9" s="651">
        <v>3.6118028768076106E-2</v>
      </c>
      <c r="K9" s="651">
        <v>7.5960152110437329E-2</v>
      </c>
      <c r="L9" s="651">
        <v>3.0701749668483058E-2</v>
      </c>
      <c r="M9" s="651">
        <v>6.3655977456475749E-2</v>
      </c>
      <c r="N9" s="651">
        <v>2.9665746916535955E-2</v>
      </c>
      <c r="O9" s="651">
        <v>4.9623501665818505E-2</v>
      </c>
      <c r="P9" s="687">
        <v>9.428241274131216E-2</v>
      </c>
    </row>
    <row r="10" spans="1:16" s="18" customFormat="1">
      <c r="A10" s="678" t="s">
        <v>2191</v>
      </c>
      <c r="B10" s="643" t="s">
        <v>1918</v>
      </c>
      <c r="C10" s="650">
        <v>6.6538110841836751E-2</v>
      </c>
      <c r="D10" s="651">
        <v>3.4992250133187887E-2</v>
      </c>
      <c r="E10" s="651">
        <v>7.0732448659978256E-2</v>
      </c>
      <c r="F10" s="651">
        <v>1.653273575747527E-2</v>
      </c>
      <c r="G10" s="651">
        <v>8.6189006820506803E-3</v>
      </c>
      <c r="H10" s="651">
        <v>5.660094401252052E-2</v>
      </c>
      <c r="I10" s="651">
        <v>4.8041656319633481E-2</v>
      </c>
      <c r="J10" s="651">
        <v>3.40556763895071E-2</v>
      </c>
      <c r="K10" s="651">
        <v>7.1436964990511442E-2</v>
      </c>
      <c r="L10" s="651">
        <v>2.8304510353174848E-2</v>
      </c>
      <c r="M10" s="651">
        <v>6.125873814116755E-2</v>
      </c>
      <c r="N10" s="651">
        <v>2.684537182000191E-2</v>
      </c>
      <c r="O10" s="651">
        <v>4.6803126569284453E-2</v>
      </c>
      <c r="P10" s="687">
        <v>9.6110375023954031E-2</v>
      </c>
    </row>
    <row r="11" spans="1:16" s="27" customFormat="1">
      <c r="A11" s="679" t="s">
        <v>2192</v>
      </c>
      <c r="B11" s="644" t="s">
        <v>1918</v>
      </c>
      <c r="C11" s="653">
        <v>6.4689163502750766E-2</v>
      </c>
      <c r="D11" s="654">
        <v>3.3143302794101888E-2</v>
      </c>
      <c r="E11" s="654">
        <v>6.3919706776102078E-2</v>
      </c>
      <c r="F11" s="654">
        <v>1.5018689389814809E-2</v>
      </c>
      <c r="G11" s="654">
        <v>7.8848960120647977E-3</v>
      </c>
      <c r="H11" s="654">
        <v>5.476869093456551E-2</v>
      </c>
      <c r="I11" s="654">
        <v>4.6058216390191586E-2</v>
      </c>
      <c r="J11" s="654">
        <v>3.261520802650146E-2</v>
      </c>
      <c r="K11" s="654">
        <v>6.9185796894270471E-2</v>
      </c>
      <c r="L11" s="654">
        <v>2.6514969126020645E-2</v>
      </c>
      <c r="M11" s="654">
        <v>5.9469196914013346E-2</v>
      </c>
      <c r="N11" s="654">
        <v>2.4585586432695202E-2</v>
      </c>
      <c r="O11" s="654">
        <v>4.4543341181977746E-2</v>
      </c>
      <c r="P11" s="688">
        <v>9.8481358182312947E-2</v>
      </c>
    </row>
    <row r="13" spans="1:16" s="18" customFormat="1" ht="15" thickBot="1">
      <c r="A13" s="293" t="s">
        <v>2168</v>
      </c>
      <c r="B13" s="304" t="s">
        <v>1768</v>
      </c>
      <c r="C13" s="855"/>
      <c r="D13" s="856"/>
      <c r="E13" s="856"/>
      <c r="F13" s="856"/>
      <c r="G13" s="856"/>
      <c r="H13" s="856"/>
      <c r="I13" s="856"/>
      <c r="J13" s="856"/>
      <c r="K13" s="856"/>
      <c r="L13" s="856"/>
      <c r="M13" s="856"/>
      <c r="N13" s="856"/>
      <c r="O13" s="857"/>
      <c r="P13" s="2"/>
    </row>
    <row r="14" spans="1:16" ht="15" thickTop="1">
      <c r="A14" s="677" t="str">
        <f t="shared" ref="A14:A19" si="0">A6</f>
        <v>3000/0,0401</v>
      </c>
      <c r="B14" s="656" t="s">
        <v>1918</v>
      </c>
      <c r="C14" s="647">
        <f t="shared" ref="C14:O14" si="1">C6+$P6</f>
        <v>0.18168368919265809</v>
      </c>
      <c r="D14" s="648">
        <f t="shared" si="1"/>
        <v>0.15013782848400922</v>
      </c>
      <c r="E14" s="648">
        <f t="shared" si="1"/>
        <v>0.23569684854940853</v>
      </c>
      <c r="F14" s="648">
        <f t="shared" si="1"/>
        <v>0.12497771680727113</v>
      </c>
      <c r="G14" s="648">
        <f t="shared" si="1"/>
        <v>0.10874343695665106</v>
      </c>
      <c r="H14" s="648">
        <f t="shared" si="1"/>
        <v>0.17935817504492696</v>
      </c>
      <c r="I14" s="648">
        <f t="shared" si="1"/>
        <v>0.17030533605465384</v>
      </c>
      <c r="J14" s="648">
        <f t="shared" si="1"/>
        <v>0.14489498878074991</v>
      </c>
      <c r="K14" s="648">
        <f t="shared" si="1"/>
        <v>0.20178260959640579</v>
      </c>
      <c r="L14" s="648">
        <f t="shared" si="1"/>
        <v>0.13967365236055282</v>
      </c>
      <c r="M14" s="648">
        <f t="shared" si="1"/>
        <v>0.17262788014854552</v>
      </c>
      <c r="N14" s="648">
        <f t="shared" si="1"/>
        <v>0.14251623791100099</v>
      </c>
      <c r="O14" s="649">
        <f t="shared" si="1"/>
        <v>0.16247399266028351</v>
      </c>
      <c r="P14" s="2"/>
    </row>
    <row r="15" spans="1:16" s="18" customFormat="1">
      <c r="A15" s="678" t="str">
        <f t="shared" si="0"/>
        <v>4000/0,0418</v>
      </c>
      <c r="B15" s="657" t="s">
        <v>1918</v>
      </c>
      <c r="C15" s="650">
        <f t="shared" ref="C15:O15" si="2">C7+$P7</f>
        <v>0.16556341724101933</v>
      </c>
      <c r="D15" s="651">
        <f t="shared" si="2"/>
        <v>0.13401755653237046</v>
      </c>
      <c r="E15" s="651">
        <f t="shared" si="2"/>
        <v>0.19877163397177278</v>
      </c>
      <c r="F15" s="651">
        <f t="shared" si="2"/>
        <v>0.11277974797197543</v>
      </c>
      <c r="G15" s="651">
        <f t="shared" si="2"/>
        <v>0.10018566271050339</v>
      </c>
      <c r="H15" s="651">
        <f t="shared" si="2"/>
        <v>0.15956806278889751</v>
      </c>
      <c r="I15" s="651">
        <f t="shared" si="2"/>
        <v>0.15143930621636703</v>
      </c>
      <c r="J15" s="651">
        <f t="shared" si="2"/>
        <v>0.13049759397873631</v>
      </c>
      <c r="K15" s="651">
        <f t="shared" si="2"/>
        <v>0.17833071580064055</v>
      </c>
      <c r="L15" s="651">
        <f t="shared" si="2"/>
        <v>0.12620093994281623</v>
      </c>
      <c r="M15" s="651">
        <f t="shared" si="2"/>
        <v>0.1591551677308089</v>
      </c>
      <c r="N15" s="651">
        <f t="shared" si="2"/>
        <v>0.12697738705567901</v>
      </c>
      <c r="O15" s="652">
        <f t="shared" si="2"/>
        <v>0.14693514180496156</v>
      </c>
      <c r="P15" s="2"/>
    </row>
    <row r="16" spans="1:16" s="18" customFormat="1">
      <c r="A16" s="678" t="str">
        <f t="shared" si="0"/>
        <v>5000/0,0453</v>
      </c>
      <c r="B16" s="657" t="s">
        <v>1918</v>
      </c>
      <c r="C16" s="650">
        <f t="shared" ref="C16:O16" si="3">C8+$P8</f>
        <v>0.16030211371749128</v>
      </c>
      <c r="D16" s="651">
        <f t="shared" si="3"/>
        <v>0.12875625300884241</v>
      </c>
      <c r="E16" s="651">
        <f t="shared" si="3"/>
        <v>0.18046652865994056</v>
      </c>
      <c r="F16" s="651">
        <f t="shared" si="3"/>
        <v>0.10931099010554722</v>
      </c>
      <c r="G16" s="651">
        <f t="shared" si="3"/>
        <v>9.890102159756399E-2</v>
      </c>
      <c r="H16" s="651">
        <f t="shared" si="3"/>
        <v>0.15260511843296737</v>
      </c>
      <c r="I16" s="651">
        <f t="shared" si="3"/>
        <v>0.14460042321764083</v>
      </c>
      <c r="J16" s="651">
        <f t="shared" si="3"/>
        <v>0.12593363412408987</v>
      </c>
      <c r="K16" s="651">
        <f t="shared" si="3"/>
        <v>0.16945294754171608</v>
      </c>
      <c r="L16" s="651">
        <f t="shared" si="3"/>
        <v>0.12196474521547739</v>
      </c>
      <c r="M16" s="651">
        <f t="shared" si="3"/>
        <v>0.15491897300347007</v>
      </c>
      <c r="N16" s="651">
        <f t="shared" si="3"/>
        <v>0.12184566765802141</v>
      </c>
      <c r="O16" s="652">
        <f t="shared" si="3"/>
        <v>0.14180342240730393</v>
      </c>
      <c r="P16" s="2"/>
    </row>
    <row r="17" spans="1:16" s="27" customFormat="1">
      <c r="A17" s="678" t="str">
        <f t="shared" si="0"/>
        <v>6000/0,0514</v>
      </c>
      <c r="B17" s="657" t="s">
        <v>1918</v>
      </c>
      <c r="C17" s="650">
        <f t="shared" ref="C17:O17" si="4">C9+$P9</f>
        <v>0.16349386755345158</v>
      </c>
      <c r="D17" s="651">
        <f t="shared" si="4"/>
        <v>0.13194800684480273</v>
      </c>
      <c r="E17" s="651">
        <f t="shared" si="4"/>
        <v>0.17411060694837846</v>
      </c>
      <c r="F17" s="651">
        <f t="shared" si="4"/>
        <v>0.11284596669092117</v>
      </c>
      <c r="G17" s="651">
        <f t="shared" si="4"/>
        <v>0.10389207601859714</v>
      </c>
      <c r="H17" s="651">
        <f t="shared" si="4"/>
        <v>0.15451025707409366</v>
      </c>
      <c r="I17" s="651">
        <f t="shared" si="4"/>
        <v>0.14598635424837819</v>
      </c>
      <c r="J17" s="651">
        <f t="shared" si="4"/>
        <v>0.13040044150938826</v>
      </c>
      <c r="K17" s="651">
        <f t="shared" si="4"/>
        <v>0.17024256485174949</v>
      </c>
      <c r="L17" s="651">
        <f t="shared" si="4"/>
        <v>0.12498416240979522</v>
      </c>
      <c r="M17" s="651">
        <f t="shared" si="4"/>
        <v>0.15793839019778791</v>
      </c>
      <c r="N17" s="651">
        <f t="shared" si="4"/>
        <v>0.12394815965784811</v>
      </c>
      <c r="O17" s="652">
        <f t="shared" si="4"/>
        <v>0.14390591440713066</v>
      </c>
      <c r="P17" s="2"/>
    </row>
    <row r="18" spans="1:16">
      <c r="A18" s="678" t="str">
        <f t="shared" si="0"/>
        <v>7000/0,0540</v>
      </c>
      <c r="B18" s="657" t="s">
        <v>1918</v>
      </c>
      <c r="C18" s="650">
        <f t="shared" ref="C18:O18" si="5">C10+$P10</f>
        <v>0.16264848586579078</v>
      </c>
      <c r="D18" s="651">
        <f t="shared" si="5"/>
        <v>0.13110262515714191</v>
      </c>
      <c r="E18" s="651">
        <f t="shared" si="5"/>
        <v>0.16684282368393227</v>
      </c>
      <c r="F18" s="651">
        <f t="shared" si="5"/>
        <v>0.1126431107814293</v>
      </c>
      <c r="G18" s="651">
        <f t="shared" si="5"/>
        <v>0.10472927570600471</v>
      </c>
      <c r="H18" s="651">
        <f t="shared" si="5"/>
        <v>0.15271131903647456</v>
      </c>
      <c r="I18" s="651">
        <f t="shared" si="5"/>
        <v>0.14415203134358751</v>
      </c>
      <c r="J18" s="651">
        <f t="shared" si="5"/>
        <v>0.13016605141346113</v>
      </c>
      <c r="K18" s="651">
        <f t="shared" si="5"/>
        <v>0.16754734001446547</v>
      </c>
      <c r="L18" s="651">
        <f t="shared" si="5"/>
        <v>0.12441488537712889</v>
      </c>
      <c r="M18" s="651">
        <f t="shared" si="5"/>
        <v>0.15736911316512159</v>
      </c>
      <c r="N18" s="651">
        <f t="shared" si="5"/>
        <v>0.12295574684395594</v>
      </c>
      <c r="O18" s="652">
        <f t="shared" si="5"/>
        <v>0.14291350159323848</v>
      </c>
    </row>
    <row r="19" spans="1:16" s="18" customFormat="1">
      <c r="A19" s="679" t="str">
        <f t="shared" si="0"/>
        <v>8000/0,0566</v>
      </c>
      <c r="B19" s="658" t="s">
        <v>1918</v>
      </c>
      <c r="C19" s="653">
        <f t="shared" ref="C19:O19" si="6">C11+$P11</f>
        <v>0.16317052168506371</v>
      </c>
      <c r="D19" s="654">
        <f t="shared" si="6"/>
        <v>0.13162466097641484</v>
      </c>
      <c r="E19" s="654">
        <f t="shared" si="6"/>
        <v>0.16240106495841503</v>
      </c>
      <c r="F19" s="654">
        <f t="shared" si="6"/>
        <v>0.11350004757212775</v>
      </c>
      <c r="G19" s="654">
        <f t="shared" si="6"/>
        <v>0.10636625419437774</v>
      </c>
      <c r="H19" s="654">
        <f t="shared" si="6"/>
        <v>0.15325004911687845</v>
      </c>
      <c r="I19" s="654">
        <f t="shared" si="6"/>
        <v>0.14453957457250455</v>
      </c>
      <c r="J19" s="654">
        <f t="shared" si="6"/>
        <v>0.13109656620881441</v>
      </c>
      <c r="K19" s="654">
        <f t="shared" si="6"/>
        <v>0.16766715507658342</v>
      </c>
      <c r="L19" s="654">
        <f t="shared" si="6"/>
        <v>0.1249963273083336</v>
      </c>
      <c r="M19" s="654">
        <f t="shared" si="6"/>
        <v>0.1579505550963263</v>
      </c>
      <c r="N19" s="654">
        <f t="shared" si="6"/>
        <v>0.12306694461500815</v>
      </c>
      <c r="O19" s="655">
        <f t="shared" si="6"/>
        <v>0.14302469936429069</v>
      </c>
      <c r="P19" s="17"/>
    </row>
    <row r="20" spans="1:16">
      <c r="C20" s="17"/>
      <c r="D20" s="17"/>
      <c r="E20" s="17"/>
      <c r="F20" s="17"/>
      <c r="G20" s="17"/>
      <c r="H20" s="17"/>
      <c r="I20" s="17"/>
      <c r="J20" s="17"/>
      <c r="K20" s="17"/>
      <c r="L20" s="17"/>
      <c r="M20" s="17"/>
      <c r="N20" s="17"/>
      <c r="O20" s="17"/>
      <c r="P20" s="17"/>
    </row>
    <row r="21" spans="1:16">
      <c r="A21" s="293" t="s">
        <v>2101</v>
      </c>
      <c r="B21" s="659" t="s">
        <v>2134</v>
      </c>
      <c r="C21" s="660"/>
      <c r="D21" s="660"/>
      <c r="E21" s="660"/>
      <c r="F21" s="660"/>
      <c r="G21" s="660"/>
      <c r="H21" s="660"/>
      <c r="I21" s="660"/>
      <c r="J21" s="660"/>
      <c r="K21" s="660"/>
      <c r="L21" s="660"/>
      <c r="M21" s="661"/>
    </row>
    <row r="22" spans="1:16">
      <c r="B22" s="662" t="s">
        <v>2242</v>
      </c>
      <c r="C22" s="15"/>
      <c r="D22" s="15"/>
      <c r="E22" s="15"/>
      <c r="F22" s="15"/>
      <c r="G22" s="15"/>
      <c r="H22" s="15"/>
      <c r="I22" s="15"/>
      <c r="J22" s="15"/>
      <c r="K22" s="15"/>
      <c r="L22" s="15"/>
      <c r="M22" s="165"/>
    </row>
    <row r="23" spans="1:16" s="27" customFormat="1">
      <c r="B23" s="663" t="s">
        <v>2243</v>
      </c>
      <c r="C23" s="664"/>
      <c r="D23" s="664"/>
      <c r="E23" s="664"/>
      <c r="F23" s="664"/>
      <c r="G23" s="664"/>
      <c r="H23" s="664"/>
      <c r="I23" s="664"/>
      <c r="J23" s="664"/>
      <c r="K23" s="664"/>
      <c r="L23" s="664"/>
      <c r="M23" s="665"/>
    </row>
    <row r="24" spans="1:16">
      <c r="B24" s="662" t="s">
        <v>2193</v>
      </c>
      <c r="C24" s="15"/>
      <c r="D24" s="15"/>
      <c r="E24" s="15"/>
      <c r="F24" s="15"/>
      <c r="G24" s="15"/>
      <c r="H24" s="15"/>
      <c r="I24" s="15"/>
      <c r="J24" s="15"/>
      <c r="K24" s="15"/>
      <c r="L24" s="15"/>
      <c r="M24" s="165"/>
    </row>
    <row r="25" spans="1:16">
      <c r="B25" s="663" t="s">
        <v>2194</v>
      </c>
      <c r="C25" s="664"/>
      <c r="D25" s="664"/>
      <c r="E25" s="664"/>
      <c r="F25" s="664"/>
      <c r="G25" s="664"/>
      <c r="H25" s="664"/>
      <c r="I25" s="664"/>
      <c r="J25" s="664"/>
      <c r="K25" s="664"/>
      <c r="L25" s="664"/>
      <c r="M25" s="665"/>
    </row>
    <row r="26" spans="1:16">
      <c r="B26" s="666" t="s">
        <v>2166</v>
      </c>
      <c r="C26" s="60"/>
      <c r="D26" s="60"/>
      <c r="E26" s="60"/>
      <c r="F26" s="60"/>
      <c r="G26" s="60"/>
      <c r="H26" s="60"/>
      <c r="I26" s="60"/>
      <c r="J26" s="60"/>
      <c r="K26" s="60"/>
      <c r="L26" s="60"/>
      <c r="M26" s="61"/>
    </row>
  </sheetData>
  <mergeCells count="5">
    <mergeCell ref="B2:O2"/>
    <mergeCell ref="C13:O13"/>
    <mergeCell ref="A1:F1"/>
    <mergeCell ref="C3:D3"/>
    <mergeCell ref="E3:G3"/>
  </mergeCells>
  <conditionalFormatting sqref="C14:C19">
    <cfRule type="colorScale" priority="15">
      <colorScale>
        <cfvo type="min"/>
        <cfvo type="percentile" val="50"/>
        <cfvo type="max"/>
        <color rgb="FF63BE7B"/>
        <color rgb="FFFFEB84"/>
        <color rgb="FFF8696B"/>
      </colorScale>
    </cfRule>
  </conditionalFormatting>
  <conditionalFormatting sqref="D14:D19">
    <cfRule type="colorScale" priority="14">
      <colorScale>
        <cfvo type="min"/>
        <cfvo type="percentile" val="50"/>
        <cfvo type="max"/>
        <color rgb="FF63BE7B"/>
        <color rgb="FFFFEB84"/>
        <color rgb="FFF8696B"/>
      </colorScale>
    </cfRule>
  </conditionalFormatting>
  <conditionalFormatting sqref="E14:E19">
    <cfRule type="colorScale" priority="13">
      <colorScale>
        <cfvo type="min"/>
        <cfvo type="percentile" val="50"/>
        <cfvo type="max"/>
        <color rgb="FF63BE7B"/>
        <color rgb="FFFFEB84"/>
        <color rgb="FFF8696B"/>
      </colorScale>
    </cfRule>
  </conditionalFormatting>
  <conditionalFormatting sqref="F14:F19">
    <cfRule type="colorScale" priority="12">
      <colorScale>
        <cfvo type="min"/>
        <cfvo type="percentile" val="50"/>
        <cfvo type="max"/>
        <color rgb="FF63BE7B"/>
        <color rgb="FFFFEB84"/>
        <color rgb="FFF8696B"/>
      </colorScale>
    </cfRule>
  </conditionalFormatting>
  <conditionalFormatting sqref="G14:G19">
    <cfRule type="colorScale" priority="11">
      <colorScale>
        <cfvo type="min"/>
        <cfvo type="percentile" val="50"/>
        <cfvo type="max"/>
        <color rgb="FF63BE7B"/>
        <color rgb="FFFFEB84"/>
        <color rgb="FFF8696B"/>
      </colorScale>
    </cfRule>
  </conditionalFormatting>
  <conditionalFormatting sqref="H14:H19">
    <cfRule type="colorScale" priority="10">
      <colorScale>
        <cfvo type="min"/>
        <cfvo type="percentile" val="50"/>
        <cfvo type="max"/>
        <color rgb="FF63BE7B"/>
        <color rgb="FFFFEB84"/>
        <color rgb="FFF8696B"/>
      </colorScale>
    </cfRule>
  </conditionalFormatting>
  <conditionalFormatting sqref="I14:I19">
    <cfRule type="colorScale" priority="9">
      <colorScale>
        <cfvo type="min"/>
        <cfvo type="percentile" val="50"/>
        <cfvo type="max"/>
        <color rgb="FF63BE7B"/>
        <color rgb="FFFFEB84"/>
        <color rgb="FFF8696B"/>
      </colorScale>
    </cfRule>
  </conditionalFormatting>
  <conditionalFormatting sqref="J14:J19">
    <cfRule type="colorScale" priority="8">
      <colorScale>
        <cfvo type="min"/>
        <cfvo type="percentile" val="50"/>
        <cfvo type="max"/>
        <color rgb="FF63BE7B"/>
        <color rgb="FFFFEB84"/>
        <color rgb="FFF8696B"/>
      </colorScale>
    </cfRule>
  </conditionalFormatting>
  <conditionalFormatting sqref="K14:K19">
    <cfRule type="colorScale" priority="7">
      <colorScale>
        <cfvo type="min"/>
        <cfvo type="percentile" val="50"/>
        <cfvo type="max"/>
        <color rgb="FF63BE7B"/>
        <color rgb="FFFFEB84"/>
        <color rgb="FFF8696B"/>
      </colorScale>
    </cfRule>
  </conditionalFormatting>
  <conditionalFormatting sqref="L14:L19">
    <cfRule type="colorScale" priority="6">
      <colorScale>
        <cfvo type="min"/>
        <cfvo type="percentile" val="50"/>
        <cfvo type="max"/>
        <color rgb="FF63BE7B"/>
        <color rgb="FFFFEB84"/>
        <color rgb="FFF8696B"/>
      </colorScale>
    </cfRule>
  </conditionalFormatting>
  <conditionalFormatting sqref="M14:M19">
    <cfRule type="colorScale" priority="5">
      <colorScale>
        <cfvo type="min"/>
        <cfvo type="percentile" val="50"/>
        <cfvo type="max"/>
        <color rgb="FF63BE7B"/>
        <color rgb="FFFFEB84"/>
        <color rgb="FFF8696B"/>
      </colorScale>
    </cfRule>
  </conditionalFormatting>
  <conditionalFormatting sqref="N14:N19">
    <cfRule type="colorScale" priority="4">
      <colorScale>
        <cfvo type="min"/>
        <cfvo type="percentile" val="50"/>
        <cfvo type="max"/>
        <color rgb="FF63BE7B"/>
        <color rgb="FFFFEB84"/>
        <color rgb="FFF8696B"/>
      </colorScale>
    </cfRule>
  </conditionalFormatting>
  <conditionalFormatting sqref="O14:O19">
    <cfRule type="colorScale" priority="3">
      <colorScale>
        <cfvo type="min"/>
        <cfvo type="percentile" val="50"/>
        <cfvo type="max"/>
        <color rgb="FF63BE7B"/>
        <color rgb="FFFFEB84"/>
        <color rgb="FFF8696B"/>
      </colorScale>
    </cfRule>
  </conditionalFormatting>
  <conditionalFormatting sqref="C6:P11">
    <cfRule type="expression" dxfId="0" priority="1">
      <formula>MOD(ROW(),2)=0</formula>
    </cfRule>
    <cfRule type="expression" priority="2">
      <formula>MOD(ROW(),2)=0</formula>
    </cfRule>
  </conditionalFormatting>
  <pageMargins left="0.7" right="0.7" top="0.78740157499999996" bottom="0.78740157499999996"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U76"/>
  <sheetViews>
    <sheetView zoomScale="70" zoomScaleNormal="70" workbookViewId="0">
      <selection activeCell="G1" sqref="G1"/>
    </sheetView>
  </sheetViews>
  <sheetFormatPr baseColWidth="10" defaultRowHeight="14.5"/>
  <cols>
    <col min="1" max="1" width="22.26953125" customWidth="1"/>
    <col min="2" max="2" width="11.453125" customWidth="1"/>
    <col min="3" max="3" width="11.54296875" customWidth="1"/>
    <col min="4" max="4" width="13.54296875" customWidth="1"/>
    <col min="5" max="5" width="11.54296875" customWidth="1"/>
    <col min="6" max="6" width="13.54296875" customWidth="1"/>
    <col min="7" max="7" width="11.54296875" customWidth="1"/>
    <col min="8" max="8" width="13.54296875" customWidth="1"/>
    <col min="9" max="9" width="11.54296875" customWidth="1"/>
    <col min="10" max="10" width="13.54296875" customWidth="1"/>
    <col min="11" max="11" width="11.54296875" customWidth="1"/>
    <col min="12" max="12" width="15.81640625" customWidth="1"/>
    <col min="13" max="13" width="11.54296875" customWidth="1"/>
    <col min="14" max="14" width="13.54296875" customWidth="1"/>
    <col min="15" max="15" width="11.54296875" customWidth="1"/>
    <col min="16" max="16" width="13.54296875" customWidth="1"/>
    <col min="17" max="17" width="11.54296875" customWidth="1"/>
    <col min="18" max="18" width="13.54296875" customWidth="1"/>
    <col min="19" max="19" width="11.54296875" customWidth="1"/>
    <col min="20" max="20" width="13.54296875" customWidth="1"/>
  </cols>
  <sheetData>
    <row r="1" spans="1:21">
      <c r="A1" s="716" t="s">
        <v>2311</v>
      </c>
      <c r="B1" s="717"/>
      <c r="C1" s="717"/>
      <c r="D1" s="717"/>
      <c r="E1" s="717"/>
      <c r="F1" s="718"/>
      <c r="G1" s="12"/>
      <c r="H1" s="12"/>
      <c r="I1" s="12"/>
      <c r="J1" s="12"/>
      <c r="K1" s="12"/>
      <c r="L1" s="12"/>
      <c r="M1" s="12"/>
    </row>
    <row r="2" spans="1:21">
      <c r="A2" s="25"/>
      <c r="U2" t="s">
        <v>2258</v>
      </c>
    </row>
    <row r="3" spans="1:21" ht="27.65" customHeight="1">
      <c r="A3" s="65" t="s">
        <v>61</v>
      </c>
      <c r="B3" s="32"/>
      <c r="C3" s="714" t="s">
        <v>1766</v>
      </c>
      <c r="D3" s="715"/>
      <c r="E3" s="719" t="s">
        <v>2288</v>
      </c>
      <c r="F3" s="715"/>
      <c r="G3" s="714" t="s">
        <v>2002</v>
      </c>
      <c r="H3" s="715"/>
      <c r="I3" s="714" t="s">
        <v>17</v>
      </c>
      <c r="J3" s="715"/>
      <c r="K3" s="714" t="s">
        <v>1885</v>
      </c>
      <c r="L3" s="715"/>
      <c r="M3" s="714" t="s">
        <v>2287</v>
      </c>
      <c r="N3" s="715"/>
      <c r="O3" s="714" t="s">
        <v>2287</v>
      </c>
      <c r="P3" s="715"/>
      <c r="Q3" s="714" t="s">
        <v>2287</v>
      </c>
      <c r="R3" s="715"/>
      <c r="S3" s="714" t="s">
        <v>2287</v>
      </c>
      <c r="T3" s="715"/>
      <c r="U3" s="702" t="s">
        <v>2389</v>
      </c>
    </row>
    <row r="4" spans="1:21">
      <c r="A4" s="33"/>
      <c r="B4" s="39"/>
      <c r="C4" s="56" t="s">
        <v>1769</v>
      </c>
      <c r="D4" s="76" t="s">
        <v>2283</v>
      </c>
      <c r="E4" s="56" t="s">
        <v>1769</v>
      </c>
      <c r="F4" s="77" t="s">
        <v>2283</v>
      </c>
      <c r="G4" s="56" t="s">
        <v>1769</v>
      </c>
      <c r="H4" s="77" t="s">
        <v>2283</v>
      </c>
      <c r="I4" s="56" t="s">
        <v>1769</v>
      </c>
      <c r="J4" s="77" t="s">
        <v>2283</v>
      </c>
      <c r="K4" s="34" t="s">
        <v>1769</v>
      </c>
      <c r="L4" s="77" t="s">
        <v>2283</v>
      </c>
      <c r="M4" s="34" t="s">
        <v>1769</v>
      </c>
      <c r="N4" s="77" t="s">
        <v>2283</v>
      </c>
      <c r="O4" s="34" t="s">
        <v>1769</v>
      </c>
      <c r="P4" s="77" t="s">
        <v>2283</v>
      </c>
      <c r="Q4" s="34" t="s">
        <v>1769</v>
      </c>
      <c r="R4" s="77" t="s">
        <v>2283</v>
      </c>
      <c r="S4" s="34" t="s">
        <v>1769</v>
      </c>
      <c r="T4" s="77" t="s">
        <v>2283</v>
      </c>
    </row>
    <row r="5" spans="1:21" ht="15" thickBot="1">
      <c r="A5" s="70" t="s">
        <v>0</v>
      </c>
      <c r="B5" s="68" t="s">
        <v>1768</v>
      </c>
      <c r="C5" s="722" t="s">
        <v>2285</v>
      </c>
      <c r="D5" s="713"/>
      <c r="E5" s="712" t="s">
        <v>2202</v>
      </c>
      <c r="F5" s="713"/>
      <c r="G5" s="712" t="s">
        <v>2286</v>
      </c>
      <c r="H5" s="713"/>
      <c r="I5" s="712" t="s">
        <v>2021</v>
      </c>
      <c r="J5" s="713"/>
      <c r="K5" s="712" t="s">
        <v>1737</v>
      </c>
      <c r="L5" s="713"/>
      <c r="M5" s="712"/>
      <c r="N5" s="713"/>
      <c r="O5" s="712"/>
      <c r="P5" s="713"/>
      <c r="Q5" s="712"/>
      <c r="R5" s="713"/>
      <c r="S5" s="712"/>
      <c r="T5" s="713"/>
    </row>
    <row r="6" spans="1:21" ht="15" thickTop="1">
      <c r="A6" s="35" t="s">
        <v>1767</v>
      </c>
      <c r="B6" s="37" t="s">
        <v>19</v>
      </c>
      <c r="C6" s="79">
        <v>6150</v>
      </c>
      <c r="D6" s="44" t="s">
        <v>2020</v>
      </c>
      <c r="E6" s="41">
        <v>9000</v>
      </c>
      <c r="F6" s="44" t="s">
        <v>2203</v>
      </c>
      <c r="G6" s="90">
        <v>130000</v>
      </c>
      <c r="H6" s="44" t="s">
        <v>2024</v>
      </c>
      <c r="I6" s="90">
        <v>318000</v>
      </c>
      <c r="J6" s="48" t="s">
        <v>2022</v>
      </c>
      <c r="K6" s="41">
        <v>75000</v>
      </c>
      <c r="L6" s="51" t="s">
        <v>1814</v>
      </c>
      <c r="M6" s="90" t="s">
        <v>2284</v>
      </c>
      <c r="N6" s="48"/>
      <c r="O6" s="90"/>
      <c r="P6" s="48"/>
      <c r="Q6" s="90"/>
      <c r="R6" s="48"/>
      <c r="S6" s="41"/>
      <c r="T6" s="44"/>
    </row>
    <row r="7" spans="1:21">
      <c r="A7" s="35" t="s">
        <v>20</v>
      </c>
      <c r="B7" s="37" t="s">
        <v>21</v>
      </c>
      <c r="C7" s="80">
        <v>118</v>
      </c>
      <c r="D7" s="44" t="s">
        <v>2020</v>
      </c>
      <c r="E7" s="88">
        <v>116</v>
      </c>
      <c r="F7" s="44" t="s">
        <v>2203</v>
      </c>
      <c r="G7" s="41">
        <v>345</v>
      </c>
      <c r="H7" s="44" t="s">
        <v>2024</v>
      </c>
      <c r="I7" s="41">
        <v>333</v>
      </c>
      <c r="J7" s="48" t="s">
        <v>2022</v>
      </c>
      <c r="K7" s="91">
        <v>228</v>
      </c>
      <c r="L7" s="51" t="s">
        <v>1815</v>
      </c>
      <c r="M7" s="88" t="s">
        <v>2284</v>
      </c>
      <c r="N7" s="48"/>
      <c r="O7" s="88"/>
      <c r="P7" s="48"/>
      <c r="Q7" s="88"/>
      <c r="R7" s="48"/>
      <c r="S7" s="91"/>
      <c r="T7" s="44"/>
    </row>
    <row r="8" spans="1:21">
      <c r="A8" s="35" t="s">
        <v>22</v>
      </c>
      <c r="B8" s="37" t="s">
        <v>13</v>
      </c>
      <c r="C8" s="80">
        <f>7500/3</f>
        <v>2500</v>
      </c>
      <c r="D8" s="44" t="s">
        <v>2201</v>
      </c>
      <c r="E8" s="88">
        <v>1250</v>
      </c>
      <c r="F8" s="44" t="s">
        <v>2204</v>
      </c>
      <c r="G8" s="88">
        <v>160000</v>
      </c>
      <c r="H8" s="44" t="s">
        <v>2025</v>
      </c>
      <c r="I8" s="91">
        <v>345000</v>
      </c>
      <c r="J8" s="48" t="s">
        <v>2022</v>
      </c>
      <c r="K8" s="88">
        <v>86000</v>
      </c>
      <c r="L8" s="51" t="s">
        <v>1815</v>
      </c>
      <c r="M8" s="41" t="s">
        <v>2284</v>
      </c>
      <c r="N8" s="48"/>
      <c r="O8" s="41"/>
      <c r="P8" s="48"/>
      <c r="Q8" s="88"/>
      <c r="R8" s="48"/>
      <c r="S8" s="91"/>
      <c r="T8" s="44"/>
    </row>
    <row r="9" spans="1:21">
      <c r="A9" s="35" t="s">
        <v>23</v>
      </c>
      <c r="B9" s="37" t="s">
        <v>14</v>
      </c>
      <c r="C9" s="81">
        <v>5500</v>
      </c>
      <c r="D9" s="44" t="s">
        <v>2211</v>
      </c>
      <c r="E9" s="88" t="s">
        <v>2284</v>
      </c>
      <c r="F9" s="44"/>
      <c r="G9" s="41">
        <v>120000</v>
      </c>
      <c r="H9" s="44" t="s">
        <v>2211</v>
      </c>
      <c r="I9" s="91">
        <v>300000</v>
      </c>
      <c r="J9" s="48" t="s">
        <v>2211</v>
      </c>
      <c r="K9" s="88">
        <v>70000</v>
      </c>
      <c r="L9" s="51" t="s">
        <v>2211</v>
      </c>
      <c r="M9" s="88" t="s">
        <v>2284</v>
      </c>
      <c r="N9" s="48"/>
      <c r="O9" s="91"/>
      <c r="P9" s="48"/>
      <c r="Q9" s="88"/>
      <c r="R9" s="48"/>
      <c r="S9" s="91"/>
      <c r="T9" s="44"/>
    </row>
    <row r="10" spans="1:21">
      <c r="A10" s="35" t="s">
        <v>16</v>
      </c>
      <c r="B10" s="37" t="s">
        <v>1729</v>
      </c>
      <c r="C10" s="40">
        <v>13</v>
      </c>
      <c r="D10" s="44" t="s">
        <v>2205</v>
      </c>
      <c r="E10" s="88">
        <v>13</v>
      </c>
      <c r="F10" s="44" t="s">
        <v>2203</v>
      </c>
      <c r="G10" s="91">
        <v>16.5</v>
      </c>
      <c r="H10" s="44" t="s">
        <v>2206</v>
      </c>
      <c r="I10" s="88">
        <v>9</v>
      </c>
      <c r="J10" s="48" t="s">
        <v>2207</v>
      </c>
      <c r="K10" s="88">
        <v>14</v>
      </c>
      <c r="L10" s="51" t="s">
        <v>2208</v>
      </c>
      <c r="M10" s="41" t="s">
        <v>2284</v>
      </c>
      <c r="N10" s="48"/>
      <c r="O10" s="91"/>
      <c r="P10" s="48"/>
      <c r="Q10" s="41"/>
      <c r="R10" s="48"/>
      <c r="S10" s="91"/>
      <c r="T10" s="44"/>
    </row>
    <row r="11" spans="1:21">
      <c r="A11" s="35" t="s">
        <v>16</v>
      </c>
      <c r="B11" s="37" t="s">
        <v>24</v>
      </c>
      <c r="C11" s="80">
        <f>C10*1.852</f>
        <v>24.076000000000001</v>
      </c>
      <c r="D11" s="44" t="s">
        <v>1891</v>
      </c>
      <c r="E11" s="88" t="s">
        <v>2284</v>
      </c>
      <c r="F11" s="44"/>
      <c r="G11" s="91">
        <f>G10*1.852</f>
        <v>30.558</v>
      </c>
      <c r="H11" s="44" t="s">
        <v>1891</v>
      </c>
      <c r="I11" s="41">
        <f>I10*1.852</f>
        <v>16.667999999999999</v>
      </c>
      <c r="J11" s="48" t="s">
        <v>1891</v>
      </c>
      <c r="K11" s="41">
        <f>K10*1.852</f>
        <v>25.928000000000001</v>
      </c>
      <c r="L11" s="51" t="s">
        <v>1891</v>
      </c>
      <c r="M11" s="91" t="s">
        <v>2284</v>
      </c>
      <c r="N11" s="48"/>
      <c r="O11" s="88"/>
      <c r="P11" s="48"/>
      <c r="Q11" s="88"/>
      <c r="R11" s="48"/>
      <c r="S11" s="91"/>
      <c r="T11" s="44"/>
    </row>
    <row r="12" spans="1:21">
      <c r="A12" s="35" t="s">
        <v>1</v>
      </c>
      <c r="B12" s="37" t="s">
        <v>3</v>
      </c>
      <c r="C12" s="80">
        <v>30</v>
      </c>
      <c r="D12" s="44" t="s">
        <v>2209</v>
      </c>
      <c r="E12" s="88" t="s">
        <v>2284</v>
      </c>
      <c r="F12" s="44"/>
      <c r="G12" s="91">
        <v>30</v>
      </c>
      <c r="H12" s="44" t="s">
        <v>1738</v>
      </c>
      <c r="I12" s="88">
        <v>25</v>
      </c>
      <c r="J12" s="48" t="s">
        <v>1811</v>
      </c>
      <c r="K12" s="91">
        <v>30</v>
      </c>
      <c r="L12" s="51" t="s">
        <v>1813</v>
      </c>
      <c r="M12" s="91" t="s">
        <v>2284</v>
      </c>
      <c r="N12" s="48"/>
      <c r="O12" s="88"/>
      <c r="P12" s="48"/>
      <c r="Q12" s="88"/>
      <c r="R12" s="48"/>
      <c r="S12" s="91"/>
      <c r="T12" s="44"/>
    </row>
    <row r="13" spans="1:21">
      <c r="A13" s="35" t="s">
        <v>2</v>
      </c>
      <c r="B13" s="37" t="s">
        <v>15</v>
      </c>
      <c r="C13" s="83">
        <v>0.08</v>
      </c>
      <c r="D13" s="44" t="s">
        <v>2210</v>
      </c>
      <c r="E13" s="87"/>
      <c r="F13" s="45"/>
      <c r="G13" s="87">
        <v>0.08</v>
      </c>
      <c r="H13" s="44" t="s">
        <v>2210</v>
      </c>
      <c r="I13" s="87">
        <v>0.08</v>
      </c>
      <c r="J13" s="48" t="s">
        <v>2210</v>
      </c>
      <c r="K13" s="92">
        <v>0.08</v>
      </c>
      <c r="L13" s="51" t="s">
        <v>2210</v>
      </c>
      <c r="M13" s="92" t="s">
        <v>2284</v>
      </c>
      <c r="N13" s="48"/>
      <c r="O13" s="42"/>
      <c r="P13" s="48"/>
      <c r="Q13" s="87"/>
      <c r="R13" s="48"/>
      <c r="S13" s="92"/>
      <c r="T13" s="44"/>
    </row>
    <row r="14" spans="1:21">
      <c r="A14" s="35" t="s">
        <v>30</v>
      </c>
      <c r="B14" s="37" t="s">
        <v>36</v>
      </c>
      <c r="C14" s="40">
        <v>35</v>
      </c>
      <c r="D14" s="44" t="s">
        <v>2214</v>
      </c>
      <c r="E14" s="88" t="s">
        <v>2284</v>
      </c>
      <c r="F14" s="44"/>
      <c r="G14" s="41">
        <f>200/1.1</f>
        <v>181.81818181818181</v>
      </c>
      <c r="H14" s="44" t="s">
        <v>2099</v>
      </c>
      <c r="I14" s="41">
        <f>360/1.2/4</f>
        <v>75</v>
      </c>
      <c r="J14" s="48" t="s">
        <v>2023</v>
      </c>
      <c r="K14" s="88">
        <v>50</v>
      </c>
      <c r="L14" s="51" t="s">
        <v>1812</v>
      </c>
      <c r="M14" s="91" t="s">
        <v>2284</v>
      </c>
      <c r="N14" s="48"/>
      <c r="O14" s="91"/>
      <c r="P14" s="48"/>
      <c r="Q14" s="41"/>
      <c r="R14" s="48"/>
      <c r="S14" s="91"/>
      <c r="T14" s="44"/>
    </row>
    <row r="15" spans="1:21">
      <c r="A15" s="35" t="s">
        <v>27</v>
      </c>
      <c r="B15" s="37" t="s">
        <v>28</v>
      </c>
      <c r="C15" s="82">
        <v>0.5</v>
      </c>
      <c r="D15" s="44" t="s">
        <v>1810</v>
      </c>
      <c r="E15" s="86"/>
      <c r="F15" s="45"/>
      <c r="G15" s="92">
        <v>0.5</v>
      </c>
      <c r="H15" s="44" t="s">
        <v>1810</v>
      </c>
      <c r="I15" s="92">
        <v>0.5</v>
      </c>
      <c r="J15" s="48" t="s">
        <v>1810</v>
      </c>
      <c r="K15" s="42">
        <v>0.5</v>
      </c>
      <c r="L15" s="51" t="s">
        <v>1810</v>
      </c>
      <c r="M15" s="87" t="s">
        <v>2284</v>
      </c>
      <c r="N15" s="48"/>
      <c r="O15" s="92"/>
      <c r="P15" s="48"/>
      <c r="Q15" s="92"/>
      <c r="R15" s="48"/>
      <c r="S15" s="92"/>
      <c r="T15" s="44"/>
    </row>
    <row r="16" spans="1:21">
      <c r="A16" s="35" t="s">
        <v>34</v>
      </c>
      <c r="B16" s="37" t="s">
        <v>35</v>
      </c>
      <c r="C16" s="80">
        <f>400/1.2/11</f>
        <v>30.303030303030308</v>
      </c>
      <c r="D16" s="44" t="s">
        <v>2212</v>
      </c>
      <c r="E16" s="41" t="s">
        <v>2284</v>
      </c>
      <c r="F16" s="44"/>
      <c r="G16" s="91">
        <f>400/1.2/11</f>
        <v>30.303030303030308</v>
      </c>
      <c r="H16" s="44" t="s">
        <v>2212</v>
      </c>
      <c r="I16" s="91">
        <f>400/1.2/11</f>
        <v>30.303030303030308</v>
      </c>
      <c r="J16" s="48" t="s">
        <v>2212</v>
      </c>
      <c r="K16" s="91">
        <f>400/1.2/11</f>
        <v>30.303030303030308</v>
      </c>
      <c r="L16" s="51" t="s">
        <v>2212</v>
      </c>
      <c r="M16" s="88" t="s">
        <v>2284</v>
      </c>
      <c r="N16" s="48"/>
      <c r="O16" s="91"/>
      <c r="P16" s="48"/>
      <c r="Q16" s="91"/>
      <c r="R16" s="48"/>
      <c r="S16" s="91"/>
      <c r="T16" s="44"/>
    </row>
    <row r="17" spans="1:21">
      <c r="A17" s="35" t="s">
        <v>29</v>
      </c>
      <c r="B17" s="37" t="s">
        <v>1761</v>
      </c>
      <c r="C17" s="80">
        <v>66000</v>
      </c>
      <c r="D17" s="44" t="s">
        <v>1807</v>
      </c>
      <c r="E17" s="88" t="s">
        <v>2284</v>
      </c>
      <c r="F17" s="44"/>
      <c r="G17" s="91">
        <v>80000</v>
      </c>
      <c r="H17" s="44" t="s">
        <v>1807</v>
      </c>
      <c r="I17" s="88">
        <v>80000</v>
      </c>
      <c r="J17" s="48" t="s">
        <v>1807</v>
      </c>
      <c r="K17" s="91">
        <v>80000</v>
      </c>
      <c r="L17" s="51" t="s">
        <v>1807</v>
      </c>
      <c r="M17" s="88" t="s">
        <v>2284</v>
      </c>
      <c r="N17" s="48"/>
      <c r="O17" s="91"/>
      <c r="P17" s="48"/>
      <c r="Q17" s="88"/>
      <c r="R17" s="48"/>
      <c r="S17" s="91"/>
      <c r="T17" s="44"/>
    </row>
    <row r="18" spans="1:21">
      <c r="A18" s="35" t="s">
        <v>31</v>
      </c>
      <c r="B18" s="37" t="s">
        <v>32</v>
      </c>
      <c r="C18" s="82">
        <v>0.03</v>
      </c>
      <c r="D18" s="45" t="s">
        <v>1810</v>
      </c>
      <c r="E18" s="87"/>
      <c r="F18" s="45"/>
      <c r="G18" s="92">
        <v>0.03</v>
      </c>
      <c r="H18" s="45" t="s">
        <v>1810</v>
      </c>
      <c r="I18" s="87">
        <v>0.02</v>
      </c>
      <c r="J18" s="49" t="s">
        <v>1810</v>
      </c>
      <c r="K18" s="92">
        <v>0.03</v>
      </c>
      <c r="L18" s="52" t="s">
        <v>1810</v>
      </c>
      <c r="M18" s="87"/>
      <c r="N18" s="49"/>
      <c r="O18" s="92"/>
      <c r="P18" s="49"/>
      <c r="Q18" s="42"/>
      <c r="R18" s="49"/>
      <c r="S18" s="92"/>
      <c r="T18" s="45"/>
    </row>
    <row r="19" spans="1:21">
      <c r="A19" s="35" t="s">
        <v>2213</v>
      </c>
      <c r="B19" s="37" t="s">
        <v>33</v>
      </c>
      <c r="C19" s="80">
        <v>30</v>
      </c>
      <c r="D19" s="44" t="s">
        <v>1810</v>
      </c>
      <c r="E19" s="41"/>
      <c r="F19" s="44"/>
      <c r="G19" s="91">
        <v>30</v>
      </c>
      <c r="H19" s="44" t="s">
        <v>1810</v>
      </c>
      <c r="I19" s="88">
        <v>30</v>
      </c>
      <c r="J19" s="48" t="s">
        <v>1810</v>
      </c>
      <c r="K19" s="88">
        <v>30</v>
      </c>
      <c r="L19" s="51" t="s">
        <v>1810</v>
      </c>
      <c r="M19" s="41"/>
      <c r="N19" s="48"/>
      <c r="O19" s="91"/>
      <c r="P19" s="48"/>
      <c r="Q19" s="88"/>
      <c r="R19" s="48"/>
      <c r="S19" s="91"/>
      <c r="T19" s="44"/>
    </row>
    <row r="20" spans="1:21">
      <c r="A20" s="36" t="s">
        <v>1996</v>
      </c>
      <c r="B20" s="38" t="s">
        <v>1734</v>
      </c>
      <c r="C20" s="84">
        <v>2</v>
      </c>
      <c r="D20" s="46" t="s">
        <v>1810</v>
      </c>
      <c r="E20" s="85"/>
      <c r="F20" s="46"/>
      <c r="G20" s="85">
        <v>2</v>
      </c>
      <c r="H20" s="46" t="s">
        <v>1810</v>
      </c>
      <c r="I20" s="43">
        <v>5</v>
      </c>
      <c r="J20" s="50" t="s">
        <v>2028</v>
      </c>
      <c r="K20" s="43">
        <v>2</v>
      </c>
      <c r="L20" s="53" t="s">
        <v>1810</v>
      </c>
      <c r="M20" s="85"/>
      <c r="N20" s="50"/>
      <c r="O20" s="85"/>
      <c r="P20" s="50"/>
      <c r="Q20" s="43"/>
      <c r="R20" s="50"/>
      <c r="S20" s="85"/>
      <c r="T20" s="46"/>
    </row>
    <row r="21" spans="1:21" s="27" customFormat="1">
      <c r="U21" s="27" t="s">
        <v>2259</v>
      </c>
    </row>
    <row r="22" spans="1:21" s="27" customFormat="1" ht="27.65" customHeight="1">
      <c r="A22" s="64" t="s">
        <v>2296</v>
      </c>
      <c r="B22" s="54"/>
      <c r="C22" s="723" t="s">
        <v>2290</v>
      </c>
      <c r="D22" s="724"/>
      <c r="E22" s="723" t="s">
        <v>2291</v>
      </c>
      <c r="F22" s="724"/>
      <c r="G22" s="723" t="s">
        <v>2292</v>
      </c>
      <c r="H22" s="724"/>
      <c r="I22" s="723" t="s">
        <v>2293</v>
      </c>
      <c r="J22" s="724"/>
      <c r="K22" s="723" t="s">
        <v>2294</v>
      </c>
      <c r="L22" s="724"/>
      <c r="M22" s="723" t="s">
        <v>2295</v>
      </c>
      <c r="N22" s="724"/>
      <c r="O22" s="725" t="s">
        <v>2287</v>
      </c>
      <c r="P22" s="726"/>
      <c r="Q22" s="725" t="s">
        <v>2287</v>
      </c>
      <c r="R22" s="726"/>
      <c r="S22" s="725" t="s">
        <v>2287</v>
      </c>
      <c r="T22" s="726"/>
      <c r="U22" s="702" t="s">
        <v>2389</v>
      </c>
    </row>
    <row r="23" spans="1:21">
      <c r="A23" s="55"/>
      <c r="B23" s="39"/>
      <c r="C23" s="78" t="s">
        <v>1769</v>
      </c>
      <c r="D23" s="57" t="s">
        <v>2283</v>
      </c>
      <c r="E23" s="56" t="s">
        <v>1769</v>
      </c>
      <c r="F23" s="76" t="s">
        <v>2283</v>
      </c>
      <c r="G23" s="78" t="s">
        <v>1769</v>
      </c>
      <c r="H23" s="57" t="s">
        <v>2283</v>
      </c>
      <c r="I23" s="56" t="s">
        <v>1769</v>
      </c>
      <c r="J23" s="76" t="s">
        <v>2283</v>
      </c>
      <c r="K23" s="56" t="s">
        <v>1769</v>
      </c>
      <c r="L23" s="76" t="s">
        <v>2283</v>
      </c>
      <c r="M23" s="56" t="s">
        <v>1769</v>
      </c>
      <c r="N23" s="76" t="s">
        <v>2283</v>
      </c>
      <c r="O23" s="78" t="s">
        <v>1769</v>
      </c>
      <c r="P23" s="57" t="s">
        <v>2283</v>
      </c>
      <c r="Q23" s="78" t="s">
        <v>1769</v>
      </c>
      <c r="R23" s="57" t="s">
        <v>2283</v>
      </c>
      <c r="S23" s="78" t="s">
        <v>1769</v>
      </c>
      <c r="T23" s="57" t="s">
        <v>2283</v>
      </c>
    </row>
    <row r="24" spans="1:21" ht="30.65" customHeight="1" thickBot="1">
      <c r="A24" s="69" t="s">
        <v>0</v>
      </c>
      <c r="B24" s="68" t="s">
        <v>1768</v>
      </c>
      <c r="C24" s="720" t="s">
        <v>2221</v>
      </c>
      <c r="D24" s="721"/>
      <c r="E24" s="720" t="s">
        <v>2222</v>
      </c>
      <c r="F24" s="721"/>
      <c r="G24" s="720" t="s">
        <v>2223</v>
      </c>
      <c r="H24" s="721"/>
      <c r="I24" s="720" t="s">
        <v>2224</v>
      </c>
      <c r="J24" s="721"/>
      <c r="K24" s="720" t="s">
        <v>2223</v>
      </c>
      <c r="L24" s="721"/>
      <c r="M24" s="727" t="s">
        <v>2230</v>
      </c>
      <c r="N24" s="728"/>
      <c r="O24" s="727"/>
      <c r="P24" s="728"/>
      <c r="Q24" s="727"/>
      <c r="R24" s="728"/>
      <c r="S24" s="727"/>
      <c r="T24" s="728"/>
    </row>
    <row r="25" spans="1:21" ht="15" thickTop="1">
      <c r="A25" s="66" t="s">
        <v>1740</v>
      </c>
      <c r="B25" s="37" t="s">
        <v>1741</v>
      </c>
      <c r="C25" s="93">
        <v>300</v>
      </c>
      <c r="D25" s="48" t="s">
        <v>2014</v>
      </c>
      <c r="E25" s="90">
        <v>300</v>
      </c>
      <c r="F25" s="48" t="s">
        <v>2225</v>
      </c>
      <c r="G25" s="41">
        <v>1016</v>
      </c>
      <c r="H25" s="48" t="s">
        <v>2225</v>
      </c>
      <c r="I25" s="41">
        <v>1016</v>
      </c>
      <c r="J25" s="48" t="s">
        <v>2225</v>
      </c>
      <c r="K25" s="41">
        <v>1016</v>
      </c>
      <c r="L25" s="48" t="s">
        <v>2225</v>
      </c>
      <c r="M25" s="90">
        <v>1016</v>
      </c>
      <c r="N25" s="44" t="s">
        <v>2225</v>
      </c>
      <c r="O25" s="41" t="s">
        <v>2284</v>
      </c>
      <c r="P25" s="28"/>
      <c r="Q25" s="41"/>
      <c r="R25" s="28"/>
      <c r="S25" s="41"/>
      <c r="T25" s="28"/>
    </row>
    <row r="26" spans="1:21">
      <c r="A26" s="66" t="s">
        <v>1742</v>
      </c>
      <c r="B26" s="37" t="s">
        <v>1744</v>
      </c>
      <c r="C26" s="40">
        <v>80</v>
      </c>
      <c r="D26" s="48" t="s">
        <v>2216</v>
      </c>
      <c r="E26" s="41">
        <v>80</v>
      </c>
      <c r="F26" s="48" t="s">
        <v>2216</v>
      </c>
      <c r="G26" s="88">
        <v>80</v>
      </c>
      <c r="H26" s="48" t="s">
        <v>2216</v>
      </c>
      <c r="I26" s="91">
        <v>80</v>
      </c>
      <c r="J26" s="48" t="s">
        <v>2216</v>
      </c>
      <c r="K26" s="88">
        <v>75</v>
      </c>
      <c r="L26" s="48" t="s">
        <v>2216</v>
      </c>
      <c r="M26" s="88">
        <v>75</v>
      </c>
      <c r="N26" s="44" t="s">
        <v>2216</v>
      </c>
      <c r="O26" s="91"/>
      <c r="P26" s="28"/>
      <c r="Q26" s="91"/>
      <c r="R26" s="28"/>
      <c r="S26" s="88"/>
      <c r="T26" s="28"/>
    </row>
    <row r="27" spans="1:21">
      <c r="A27" s="66" t="s">
        <v>1743</v>
      </c>
      <c r="B27" s="37" t="s">
        <v>1744</v>
      </c>
      <c r="C27" s="80">
        <v>100</v>
      </c>
      <c r="D27" s="48" t="s">
        <v>2215</v>
      </c>
      <c r="E27" s="91">
        <v>100</v>
      </c>
      <c r="F27" s="48"/>
      <c r="G27" s="88">
        <v>100</v>
      </c>
      <c r="H27" s="48"/>
      <c r="I27" s="88">
        <v>100</v>
      </c>
      <c r="J27" s="48"/>
      <c r="K27" s="41">
        <v>100</v>
      </c>
      <c r="L27" s="48"/>
      <c r="M27" s="41">
        <v>100</v>
      </c>
      <c r="N27" s="44"/>
      <c r="O27" s="88"/>
      <c r="P27" s="28"/>
      <c r="Q27" s="91"/>
      <c r="R27" s="28"/>
      <c r="S27" s="41"/>
      <c r="T27" s="28"/>
    </row>
    <row r="28" spans="1:21">
      <c r="A28" s="66" t="s">
        <v>2031</v>
      </c>
      <c r="B28" s="37" t="s">
        <v>1746</v>
      </c>
      <c r="C28" s="80">
        <v>14</v>
      </c>
      <c r="D28" s="48" t="s">
        <v>2216</v>
      </c>
      <c r="E28" s="91">
        <v>10</v>
      </c>
      <c r="F28" s="48" t="s">
        <v>2216</v>
      </c>
      <c r="G28" s="88">
        <v>13.5</v>
      </c>
      <c r="H28" s="48" t="s">
        <v>2216</v>
      </c>
      <c r="I28" s="41">
        <v>9.5</v>
      </c>
      <c r="J28" s="48" t="s">
        <v>2216</v>
      </c>
      <c r="K28" s="91">
        <v>5.5</v>
      </c>
      <c r="L28" s="48" t="s">
        <v>2216</v>
      </c>
      <c r="M28" s="91">
        <v>3</v>
      </c>
      <c r="N28" s="44" t="s">
        <v>2216</v>
      </c>
      <c r="O28" s="88"/>
      <c r="P28" s="28"/>
      <c r="Q28" s="91"/>
      <c r="R28" s="28"/>
      <c r="S28" s="91"/>
      <c r="T28" s="28"/>
    </row>
    <row r="29" spans="1:21">
      <c r="A29" s="66" t="s">
        <v>2238</v>
      </c>
      <c r="B29" s="37" t="s">
        <v>24</v>
      </c>
      <c r="C29" s="80">
        <f>C28*3.6</f>
        <v>50.4</v>
      </c>
      <c r="D29" s="48" t="s">
        <v>2217</v>
      </c>
      <c r="E29" s="88">
        <f>E28*3.6</f>
        <v>36</v>
      </c>
      <c r="F29" s="48"/>
      <c r="G29" s="88">
        <f>G28*3.6</f>
        <v>48.6</v>
      </c>
      <c r="H29" s="48"/>
      <c r="I29" s="91">
        <f>I28*3.6</f>
        <v>34.200000000000003</v>
      </c>
      <c r="J29" s="48"/>
      <c r="K29" s="91">
        <f>K28*3.6</f>
        <v>19.8</v>
      </c>
      <c r="L29" s="48"/>
      <c r="M29" s="91">
        <f>M28*3.6</f>
        <v>10.8</v>
      </c>
      <c r="N29" s="44"/>
      <c r="O29" s="41"/>
      <c r="P29" s="28"/>
      <c r="Q29" s="91"/>
      <c r="R29" s="28"/>
      <c r="S29" s="91"/>
      <c r="T29" s="28"/>
    </row>
    <row r="30" spans="1:21">
      <c r="A30" s="66" t="s">
        <v>1</v>
      </c>
      <c r="B30" s="37" t="s">
        <v>3</v>
      </c>
      <c r="C30" s="80">
        <v>40</v>
      </c>
      <c r="D30" s="48" t="s">
        <v>2093</v>
      </c>
      <c r="E30" s="88">
        <v>40</v>
      </c>
      <c r="F30" s="48"/>
      <c r="G30" s="41">
        <v>40</v>
      </c>
      <c r="H30" s="48"/>
      <c r="I30" s="91">
        <v>40</v>
      </c>
      <c r="J30" s="48"/>
      <c r="K30" s="91">
        <v>40</v>
      </c>
      <c r="L30" s="48"/>
      <c r="M30" s="91">
        <v>40</v>
      </c>
      <c r="N30" s="44"/>
      <c r="O30" s="91"/>
      <c r="P30" s="28"/>
      <c r="Q30" s="88"/>
      <c r="R30" s="28"/>
      <c r="S30" s="91"/>
      <c r="T30" s="28"/>
    </row>
    <row r="31" spans="1:21">
      <c r="A31" s="66" t="s">
        <v>2</v>
      </c>
      <c r="B31" s="37" t="s">
        <v>15</v>
      </c>
      <c r="C31" s="82">
        <v>0.08</v>
      </c>
      <c r="D31" s="48" t="s">
        <v>2210</v>
      </c>
      <c r="E31" s="42">
        <v>0.08</v>
      </c>
      <c r="F31" s="48"/>
      <c r="G31" s="87">
        <v>0.08</v>
      </c>
      <c r="H31" s="48"/>
      <c r="I31" s="92">
        <v>0.08</v>
      </c>
      <c r="J31" s="48"/>
      <c r="K31" s="92">
        <v>0.08</v>
      </c>
      <c r="L31" s="48"/>
      <c r="M31" s="92">
        <v>0.08</v>
      </c>
      <c r="N31" s="44"/>
      <c r="O31" s="91"/>
      <c r="P31" s="28"/>
      <c r="Q31" s="88"/>
      <c r="R31" s="28"/>
      <c r="S31" s="91"/>
      <c r="T31" s="28"/>
    </row>
    <row r="32" spans="1:21">
      <c r="A32" s="66" t="s">
        <v>1829</v>
      </c>
      <c r="B32" s="37" t="s">
        <v>11</v>
      </c>
      <c r="C32" s="80">
        <v>1200</v>
      </c>
      <c r="D32" s="48" t="s">
        <v>2218</v>
      </c>
      <c r="E32" s="91">
        <v>1200</v>
      </c>
      <c r="F32" s="48"/>
      <c r="G32" s="88">
        <v>1200</v>
      </c>
      <c r="H32" s="48"/>
      <c r="I32" s="91">
        <v>1200</v>
      </c>
      <c r="J32" s="48"/>
      <c r="K32" s="91">
        <v>850</v>
      </c>
      <c r="L32" s="48" t="s">
        <v>2228</v>
      </c>
      <c r="M32" s="91">
        <v>850</v>
      </c>
      <c r="N32" s="44"/>
      <c r="O32" s="88"/>
      <c r="P32" s="28"/>
      <c r="Q32" s="88"/>
      <c r="R32" s="28"/>
      <c r="S32" s="88"/>
      <c r="T32" s="28"/>
    </row>
    <row r="33" spans="1:20">
      <c r="A33" s="66" t="s">
        <v>1753</v>
      </c>
      <c r="B33" s="37" t="s">
        <v>1754</v>
      </c>
      <c r="C33" s="80">
        <f>7300000/240/2</f>
        <v>15208.333333333334</v>
      </c>
      <c r="D33" s="48" t="s">
        <v>2219</v>
      </c>
      <c r="E33" s="88">
        <f>7300000/240/2</f>
        <v>15208.333333333334</v>
      </c>
      <c r="F33" s="48"/>
      <c r="G33" s="88">
        <f>7300000/240/2</f>
        <v>15208.333333333334</v>
      </c>
      <c r="H33" s="48"/>
      <c r="I33" s="88">
        <f>7300000/240/2</f>
        <v>15208.333333333334</v>
      </c>
      <c r="J33" s="48"/>
      <c r="K33" s="91">
        <v>2500</v>
      </c>
      <c r="L33" s="48" t="s">
        <v>2229</v>
      </c>
      <c r="M33" s="91">
        <v>2500</v>
      </c>
      <c r="N33" s="44"/>
      <c r="O33" s="41"/>
      <c r="P33" s="28"/>
      <c r="Q33" s="41"/>
      <c r="R33" s="28"/>
      <c r="S33" s="88"/>
      <c r="T33" s="28"/>
    </row>
    <row r="34" spans="1:20">
      <c r="A34" s="66" t="s">
        <v>1864</v>
      </c>
      <c r="B34" s="37" t="s">
        <v>39</v>
      </c>
      <c r="C34" s="80">
        <v>850000</v>
      </c>
      <c r="D34" s="48" t="s">
        <v>2092</v>
      </c>
      <c r="E34" s="41">
        <v>850000</v>
      </c>
      <c r="F34" s="48"/>
      <c r="G34" s="88">
        <v>850000</v>
      </c>
      <c r="H34" s="48"/>
      <c r="I34" s="41">
        <v>850000</v>
      </c>
      <c r="J34" s="48"/>
      <c r="K34" s="91">
        <v>850000</v>
      </c>
      <c r="L34" s="48"/>
      <c r="M34" s="91">
        <v>850000</v>
      </c>
      <c r="N34" s="44"/>
      <c r="O34" s="91"/>
      <c r="P34" s="28"/>
      <c r="Q34" s="88"/>
      <c r="R34" s="28"/>
      <c r="S34" s="88"/>
      <c r="T34" s="28"/>
    </row>
    <row r="35" spans="1:20">
      <c r="A35" s="66" t="s">
        <v>1940</v>
      </c>
      <c r="B35" s="37" t="s">
        <v>28</v>
      </c>
      <c r="C35" s="82">
        <v>0.8</v>
      </c>
      <c r="D35" s="48" t="s">
        <v>2220</v>
      </c>
      <c r="E35" s="92">
        <v>0.8</v>
      </c>
      <c r="F35" s="48"/>
      <c r="G35" s="87">
        <v>0.8</v>
      </c>
      <c r="H35" s="48"/>
      <c r="I35" s="92">
        <v>0.8</v>
      </c>
      <c r="J35" s="48"/>
      <c r="K35" s="92">
        <v>0.8</v>
      </c>
      <c r="L35" s="48"/>
      <c r="M35" s="92">
        <v>0.8</v>
      </c>
      <c r="N35" s="44"/>
      <c r="O35" s="91"/>
      <c r="P35" s="28"/>
      <c r="Q35" s="41"/>
      <c r="R35" s="28"/>
      <c r="S35" s="41"/>
      <c r="T35" s="28"/>
    </row>
    <row r="36" spans="1:20">
      <c r="A36" s="66" t="s">
        <v>1830</v>
      </c>
      <c r="B36" s="37" t="s">
        <v>1818</v>
      </c>
      <c r="C36" s="80">
        <v>150</v>
      </c>
      <c r="D36" s="48" t="s">
        <v>1810</v>
      </c>
      <c r="E36" s="91">
        <v>150</v>
      </c>
      <c r="F36" s="48"/>
      <c r="G36" s="88">
        <v>150</v>
      </c>
      <c r="H36" s="48"/>
      <c r="I36" s="91">
        <v>150</v>
      </c>
      <c r="J36" s="48"/>
      <c r="K36" s="91">
        <v>150</v>
      </c>
      <c r="L36" s="48"/>
      <c r="M36" s="91">
        <v>150</v>
      </c>
      <c r="N36" s="44"/>
      <c r="O36" s="91"/>
      <c r="P36" s="28"/>
      <c r="Q36" s="88"/>
      <c r="R36" s="28"/>
      <c r="S36" s="88"/>
      <c r="T36" s="28"/>
    </row>
    <row r="37" spans="1:20">
      <c r="A37" s="66" t="s">
        <v>1758</v>
      </c>
      <c r="B37" s="37" t="s">
        <v>32</v>
      </c>
      <c r="C37" s="82">
        <v>0.03</v>
      </c>
      <c r="D37" s="48" t="s">
        <v>1810</v>
      </c>
      <c r="E37" s="87">
        <v>0.03</v>
      </c>
      <c r="F37" s="48"/>
      <c r="G37" s="87">
        <v>0.03</v>
      </c>
      <c r="H37" s="48"/>
      <c r="I37" s="92">
        <v>0.03</v>
      </c>
      <c r="J37" s="48"/>
      <c r="K37" s="87">
        <v>0.02</v>
      </c>
      <c r="L37" s="48"/>
      <c r="M37" s="87">
        <v>0.02</v>
      </c>
      <c r="N37" s="44"/>
      <c r="O37" s="91"/>
      <c r="P37" s="28"/>
      <c r="Q37" s="88"/>
      <c r="R37" s="28"/>
      <c r="S37" s="88"/>
      <c r="T37" s="28"/>
    </row>
    <row r="38" spans="1:20">
      <c r="A38" s="66" t="s">
        <v>1883</v>
      </c>
      <c r="B38" s="37" t="s">
        <v>28</v>
      </c>
      <c r="C38" s="82">
        <f>8000/8760</f>
        <v>0.91324200913242004</v>
      </c>
      <c r="D38" s="48" t="s">
        <v>1810</v>
      </c>
      <c r="E38" s="42">
        <f>8000/8760</f>
        <v>0.91324200913242004</v>
      </c>
      <c r="F38" s="48"/>
      <c r="G38" s="87">
        <f>8000/8760</f>
        <v>0.91324200913242004</v>
      </c>
      <c r="H38" s="48"/>
      <c r="I38" s="92">
        <f>8000/8760</f>
        <v>0.91324200913242004</v>
      </c>
      <c r="J38" s="48"/>
      <c r="K38" s="42">
        <f>8000/8760</f>
        <v>0.91324200913242004</v>
      </c>
      <c r="L38" s="48"/>
      <c r="M38" s="42">
        <f>8000/8760</f>
        <v>0.91324200913242004</v>
      </c>
      <c r="N38" s="44"/>
      <c r="O38" s="91"/>
      <c r="P38" s="28"/>
      <c r="Q38" s="88"/>
      <c r="R38" s="28"/>
      <c r="S38" s="88"/>
      <c r="T38" s="28"/>
    </row>
    <row r="39" spans="1:20">
      <c r="A39" s="66" t="s">
        <v>1750</v>
      </c>
      <c r="B39" s="37"/>
      <c r="C39" s="80">
        <v>2</v>
      </c>
      <c r="D39" s="48" t="s">
        <v>2077</v>
      </c>
      <c r="E39" s="91">
        <v>2</v>
      </c>
      <c r="F39" s="48"/>
      <c r="G39" s="88">
        <v>2</v>
      </c>
      <c r="H39" s="48"/>
      <c r="I39" s="91">
        <v>2</v>
      </c>
      <c r="J39" s="48"/>
      <c r="K39" s="91">
        <v>1.6</v>
      </c>
      <c r="L39" s="48"/>
      <c r="M39" s="91">
        <v>1.6</v>
      </c>
      <c r="N39" s="44"/>
      <c r="O39" s="88"/>
      <c r="P39" s="28"/>
      <c r="Q39" s="89"/>
      <c r="R39" s="28"/>
      <c r="S39" s="88"/>
      <c r="T39" s="28"/>
    </row>
    <row r="40" spans="1:20">
      <c r="A40" s="66" t="s">
        <v>1745</v>
      </c>
      <c r="B40" s="37" t="s">
        <v>1765</v>
      </c>
      <c r="C40" s="80">
        <v>8.8178000000000005E-6</v>
      </c>
      <c r="D40" s="48" t="s">
        <v>2073</v>
      </c>
      <c r="E40" s="88">
        <v>8.8178000000000005E-6</v>
      </c>
      <c r="F40" s="48"/>
      <c r="G40" s="91">
        <v>8.8178000000000005E-6</v>
      </c>
      <c r="H40" s="48"/>
      <c r="I40" s="91">
        <v>8.8178000000000005E-6</v>
      </c>
      <c r="J40" s="48"/>
      <c r="K40" s="91">
        <v>1.3091000000000001E-5</v>
      </c>
      <c r="L40" s="48" t="s">
        <v>2076</v>
      </c>
      <c r="M40" s="91">
        <v>1.3091000000000001E-5</v>
      </c>
      <c r="N40" s="44"/>
      <c r="O40" s="41"/>
      <c r="P40" s="28"/>
      <c r="Q40" s="41"/>
      <c r="R40" s="28"/>
      <c r="S40" s="41"/>
      <c r="T40" s="28"/>
    </row>
    <row r="41" spans="1:20">
      <c r="A41" s="66" t="s">
        <v>1752</v>
      </c>
      <c r="B41" s="37" t="s">
        <v>1741</v>
      </c>
      <c r="C41" s="80">
        <v>0.02</v>
      </c>
      <c r="D41" s="48" t="s">
        <v>1810</v>
      </c>
      <c r="E41" s="88">
        <v>0.02</v>
      </c>
      <c r="F41" s="48"/>
      <c r="G41" s="89">
        <v>0.02</v>
      </c>
      <c r="H41" s="48"/>
      <c r="I41" s="88">
        <v>0.02</v>
      </c>
      <c r="J41" s="48"/>
      <c r="K41" s="91">
        <v>0.02</v>
      </c>
      <c r="L41" s="48"/>
      <c r="M41" s="88">
        <v>0.02</v>
      </c>
      <c r="N41" s="44"/>
      <c r="O41" s="88"/>
      <c r="P41" s="28"/>
      <c r="Q41" s="88"/>
      <c r="R41" s="28"/>
      <c r="S41" s="88"/>
      <c r="T41" s="28"/>
    </row>
    <row r="42" spans="1:20">
      <c r="A42" s="66" t="s">
        <v>1831</v>
      </c>
      <c r="B42" s="37" t="s">
        <v>1749</v>
      </c>
      <c r="C42" s="80">
        <v>7.85</v>
      </c>
      <c r="D42" s="48" t="s">
        <v>1763</v>
      </c>
      <c r="E42" s="41">
        <v>7.85</v>
      </c>
      <c r="F42" s="48"/>
      <c r="G42" s="41">
        <v>7.85</v>
      </c>
      <c r="H42" s="48"/>
      <c r="I42" s="41">
        <v>7.85</v>
      </c>
      <c r="J42" s="48"/>
      <c r="K42" s="91">
        <v>7.85</v>
      </c>
      <c r="L42" s="48"/>
      <c r="M42" s="41">
        <v>7.85</v>
      </c>
      <c r="N42" s="44"/>
      <c r="O42" s="41"/>
      <c r="P42" s="28"/>
      <c r="Q42" s="88"/>
      <c r="R42" s="28"/>
      <c r="S42" s="88"/>
      <c r="T42" s="28"/>
    </row>
    <row r="43" spans="1:20">
      <c r="A43" s="66" t="s">
        <v>2029</v>
      </c>
      <c r="B43" s="37" t="s">
        <v>2030</v>
      </c>
      <c r="C43" s="80">
        <v>360</v>
      </c>
      <c r="D43" s="48" t="s">
        <v>1763</v>
      </c>
      <c r="E43" s="91">
        <v>360</v>
      </c>
      <c r="F43" s="48"/>
      <c r="G43" s="88">
        <v>360</v>
      </c>
      <c r="H43" s="48"/>
      <c r="I43" s="91">
        <v>360</v>
      </c>
      <c r="J43" s="48"/>
      <c r="K43" s="91">
        <v>360</v>
      </c>
      <c r="L43" s="48"/>
      <c r="M43" s="91">
        <v>360</v>
      </c>
      <c r="N43" s="44"/>
      <c r="O43" s="91"/>
      <c r="P43" s="28"/>
      <c r="Q43" s="88"/>
      <c r="R43" s="28"/>
      <c r="S43" s="88"/>
      <c r="T43" s="28"/>
    </row>
    <row r="44" spans="1:20">
      <c r="A44" s="66" t="s">
        <v>2289</v>
      </c>
      <c r="B44" s="37" t="s">
        <v>2033</v>
      </c>
      <c r="C44" s="80">
        <f>8.3145/(2*0.001008)</f>
        <v>4124.2559523809523</v>
      </c>
      <c r="D44" s="48" t="s">
        <v>2070</v>
      </c>
      <c r="E44" s="88">
        <f>8.3145/(2*0.001008)</f>
        <v>4124.2559523809523</v>
      </c>
      <c r="F44" s="48"/>
      <c r="G44" s="88">
        <f>8.3145/(2*0.001008)</f>
        <v>4124.2559523809523</v>
      </c>
      <c r="H44" s="48"/>
      <c r="I44" s="88">
        <f>8.3145/(2*0.001008)</f>
        <v>4124.2559523809523</v>
      </c>
      <c r="J44" s="48"/>
      <c r="K44" s="91">
        <f>8.3145/0.016043</f>
        <v>518.26341706663345</v>
      </c>
      <c r="L44" s="48" t="s">
        <v>2071</v>
      </c>
      <c r="M44" s="88">
        <f>8.3145/0.016043</f>
        <v>518.26341706663345</v>
      </c>
      <c r="N44" s="44"/>
      <c r="O44" s="91"/>
      <c r="P44" s="28"/>
      <c r="Q44" s="88"/>
      <c r="R44" s="28"/>
      <c r="S44" s="88"/>
      <c r="T44" s="28"/>
    </row>
    <row r="45" spans="1:20">
      <c r="A45" s="66" t="s">
        <v>2032</v>
      </c>
      <c r="B45" s="37" t="s">
        <v>2034</v>
      </c>
      <c r="C45" s="81">
        <v>283</v>
      </c>
      <c r="D45" s="48" t="s">
        <v>1810</v>
      </c>
      <c r="E45" s="88">
        <v>283</v>
      </c>
      <c r="F45" s="48"/>
      <c r="G45" s="88">
        <v>283</v>
      </c>
      <c r="H45" s="48"/>
      <c r="I45" s="41">
        <v>283</v>
      </c>
      <c r="J45" s="48"/>
      <c r="K45" s="91">
        <v>283</v>
      </c>
      <c r="L45" s="48"/>
      <c r="M45" s="88">
        <v>283</v>
      </c>
      <c r="N45" s="44"/>
      <c r="O45" s="88"/>
      <c r="P45" s="28"/>
      <c r="Q45" s="88"/>
      <c r="R45" s="28"/>
      <c r="S45" s="41"/>
      <c r="T45" s="28"/>
    </row>
    <row r="46" spans="1:20">
      <c r="A46" s="66" t="s">
        <v>2035</v>
      </c>
      <c r="B46" s="37"/>
      <c r="C46" s="40">
        <f>14.48/10.192</f>
        <v>1.4207221350078494</v>
      </c>
      <c r="D46" s="48" t="s">
        <v>2074</v>
      </c>
      <c r="E46" s="88">
        <f>14.48/10.192</f>
        <v>1.4207221350078494</v>
      </c>
      <c r="F46" s="48"/>
      <c r="G46" s="88">
        <f>14.48/10.192</f>
        <v>1.4207221350078494</v>
      </c>
      <c r="H46" s="48"/>
      <c r="I46" s="91">
        <f>14.48/10.192</f>
        <v>1.4207221350078494</v>
      </c>
      <c r="J46" s="48"/>
      <c r="K46" s="91">
        <f>3.0248/1.7792</f>
        <v>1.7000899280575541</v>
      </c>
      <c r="L46" s="48" t="s">
        <v>2075</v>
      </c>
      <c r="M46" s="88">
        <f>3.0248/1.7792</f>
        <v>1.7000899280575541</v>
      </c>
      <c r="N46" s="44"/>
      <c r="O46" s="41"/>
      <c r="P46" s="28"/>
      <c r="Q46" s="89"/>
      <c r="R46" s="28"/>
      <c r="S46" s="88"/>
      <c r="T46" s="28"/>
    </row>
    <row r="47" spans="1:20">
      <c r="A47" s="66" t="s">
        <v>2239</v>
      </c>
      <c r="B47" s="37" t="s">
        <v>28</v>
      </c>
      <c r="C47" s="82">
        <v>1</v>
      </c>
      <c r="D47" s="48" t="s">
        <v>2226</v>
      </c>
      <c r="E47" s="87">
        <v>0.1</v>
      </c>
      <c r="F47" s="48" t="s">
        <v>2227</v>
      </c>
      <c r="G47" s="42">
        <v>1</v>
      </c>
      <c r="H47" s="48" t="s">
        <v>2226</v>
      </c>
      <c r="I47" s="92">
        <v>0.1</v>
      </c>
      <c r="J47" s="48" t="s">
        <v>2227</v>
      </c>
      <c r="K47" s="92">
        <v>1</v>
      </c>
      <c r="L47" s="48" t="s">
        <v>2226</v>
      </c>
      <c r="M47" s="87">
        <v>0</v>
      </c>
      <c r="N47" s="44" t="s">
        <v>2231</v>
      </c>
      <c r="O47" s="92" t="s">
        <v>2284</v>
      </c>
      <c r="P47" s="28"/>
      <c r="Q47" s="41"/>
      <c r="R47" s="28"/>
      <c r="S47" s="41"/>
      <c r="T47" s="28"/>
    </row>
    <row r="48" spans="1:20">
      <c r="A48" s="67" t="s">
        <v>2240</v>
      </c>
      <c r="B48" s="38" t="s">
        <v>28</v>
      </c>
      <c r="C48" s="94">
        <v>1</v>
      </c>
      <c r="D48" s="50" t="s">
        <v>2226</v>
      </c>
      <c r="E48" s="63">
        <v>1</v>
      </c>
      <c r="F48" s="50" t="s">
        <v>2241</v>
      </c>
      <c r="G48" s="95">
        <v>1</v>
      </c>
      <c r="H48" s="50" t="s">
        <v>2226</v>
      </c>
      <c r="I48" s="95">
        <v>1</v>
      </c>
      <c r="J48" s="50" t="s">
        <v>2241</v>
      </c>
      <c r="K48" s="95">
        <v>1</v>
      </c>
      <c r="L48" s="50" t="s">
        <v>2226</v>
      </c>
      <c r="M48" s="63">
        <v>0</v>
      </c>
      <c r="N48" s="46" t="s">
        <v>2231</v>
      </c>
      <c r="O48" s="95" t="s">
        <v>2284</v>
      </c>
      <c r="P48" s="29"/>
      <c r="Q48" s="85"/>
      <c r="R48" s="29"/>
      <c r="S48" s="85"/>
      <c r="T48" s="29"/>
    </row>
    <row r="57" spans="1:2">
      <c r="A57" s="16"/>
      <c r="B57" s="16"/>
    </row>
    <row r="58" spans="1:2">
      <c r="A58" s="16"/>
      <c r="B58" s="16"/>
    </row>
    <row r="75" spans="1:2">
      <c r="A75" s="16"/>
      <c r="B75" s="16"/>
    </row>
    <row r="76" spans="1:2">
      <c r="A76" s="16"/>
      <c r="B76" s="16"/>
    </row>
  </sheetData>
  <mergeCells count="37">
    <mergeCell ref="K24:L24"/>
    <mergeCell ref="M24:N24"/>
    <mergeCell ref="O24:P24"/>
    <mergeCell ref="Q24:R24"/>
    <mergeCell ref="S24:T24"/>
    <mergeCell ref="K22:L22"/>
    <mergeCell ref="M22:N22"/>
    <mergeCell ref="O22:P22"/>
    <mergeCell ref="Q22:R22"/>
    <mergeCell ref="S22:T22"/>
    <mergeCell ref="C24:D24"/>
    <mergeCell ref="E24:F24"/>
    <mergeCell ref="G24:H24"/>
    <mergeCell ref="I24:J24"/>
    <mergeCell ref="C5:D5"/>
    <mergeCell ref="E5:F5"/>
    <mergeCell ref="G5:H5"/>
    <mergeCell ref="I5:J5"/>
    <mergeCell ref="C22:D22"/>
    <mergeCell ref="E22:F22"/>
    <mergeCell ref="G22:H22"/>
    <mergeCell ref="I22:J22"/>
    <mergeCell ref="M3:N3"/>
    <mergeCell ref="O3:P3"/>
    <mergeCell ref="Q3:R3"/>
    <mergeCell ref="S3:T3"/>
    <mergeCell ref="A1:F1"/>
    <mergeCell ref="C3:D3"/>
    <mergeCell ref="E3:F3"/>
    <mergeCell ref="G3:H3"/>
    <mergeCell ref="I3:J3"/>
    <mergeCell ref="K3:L3"/>
    <mergeCell ref="M5:N5"/>
    <mergeCell ref="O5:P5"/>
    <mergeCell ref="Q5:R5"/>
    <mergeCell ref="S5:T5"/>
    <mergeCell ref="K5:L5"/>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U14"/>
  <sheetViews>
    <sheetView tabSelected="1" topLeftCell="B1" zoomScale="70" zoomScaleNormal="70" workbookViewId="0">
      <selection activeCell="N5" sqref="N5"/>
    </sheetView>
  </sheetViews>
  <sheetFormatPr baseColWidth="10" defaultRowHeight="14.5"/>
  <cols>
    <col min="1" max="1" width="23.1796875" customWidth="1"/>
    <col min="2" max="2" width="21.54296875" customWidth="1"/>
    <col min="3" max="3" width="11.54296875" customWidth="1"/>
    <col min="4" max="4" width="13.54296875" customWidth="1"/>
    <col min="5" max="5" width="11.54296875" customWidth="1"/>
    <col min="6" max="6" width="13.54296875" customWidth="1"/>
    <col min="7" max="7" width="11.54296875" customWidth="1"/>
    <col min="8" max="8" width="13.54296875" customWidth="1"/>
    <col min="9" max="9" width="11.54296875" customWidth="1"/>
    <col min="10" max="10" width="13.54296875" customWidth="1"/>
    <col min="11" max="11" width="11.54296875" customWidth="1"/>
    <col min="12" max="12" width="13.54296875" customWidth="1"/>
    <col min="13" max="13" width="11.54296875" customWidth="1"/>
    <col min="14" max="14" width="13.54296875" customWidth="1"/>
    <col min="15" max="15" width="11.54296875" customWidth="1"/>
    <col min="16" max="16" width="13.54296875" customWidth="1"/>
    <col min="17" max="17" width="11.54296875" customWidth="1"/>
    <col min="18" max="18" width="13.54296875" customWidth="1"/>
    <col min="19" max="19" width="11.54296875" customWidth="1"/>
    <col min="20" max="20" width="13.54296875" customWidth="1"/>
  </cols>
  <sheetData>
    <row r="1" spans="1:21">
      <c r="A1" s="716" t="s">
        <v>2310</v>
      </c>
      <c r="B1" s="717"/>
      <c r="C1" s="717"/>
      <c r="D1" s="717"/>
      <c r="E1" s="717"/>
      <c r="F1" s="717"/>
      <c r="G1" s="718"/>
      <c r="H1" s="27"/>
      <c r="I1" s="27"/>
      <c r="J1" s="27"/>
      <c r="K1" s="27"/>
      <c r="L1" s="27"/>
    </row>
    <row r="2" spans="1:21" s="27" customFormat="1">
      <c r="A2" s="25"/>
      <c r="G2"/>
      <c r="U2" s="27" t="s">
        <v>2261</v>
      </c>
    </row>
    <row r="3" spans="1:21" ht="27.65" customHeight="1">
      <c r="A3" s="731" t="s">
        <v>2297</v>
      </c>
      <c r="B3" s="732"/>
      <c r="C3" s="729" t="s">
        <v>2163</v>
      </c>
      <c r="D3" s="730"/>
      <c r="E3" s="729" t="s">
        <v>1943</v>
      </c>
      <c r="F3" s="730"/>
      <c r="G3" s="729" t="s">
        <v>1944</v>
      </c>
      <c r="H3" s="730"/>
      <c r="I3" s="729" t="s">
        <v>1945</v>
      </c>
      <c r="J3" s="730"/>
      <c r="K3" s="729" t="s">
        <v>2262</v>
      </c>
      <c r="L3" s="730"/>
      <c r="M3" s="729" t="s">
        <v>1950</v>
      </c>
      <c r="N3" s="730"/>
      <c r="O3" s="729" t="s">
        <v>1952</v>
      </c>
      <c r="P3" s="730"/>
      <c r="Q3" s="729" t="s">
        <v>1953</v>
      </c>
      <c r="R3" s="730"/>
      <c r="S3" s="729" t="s">
        <v>2287</v>
      </c>
      <c r="T3" s="730"/>
      <c r="U3" s="702" t="s">
        <v>2389</v>
      </c>
    </row>
    <row r="4" spans="1:21">
      <c r="A4" s="72"/>
      <c r="B4" s="73"/>
      <c r="C4" s="75" t="s">
        <v>1769</v>
      </c>
      <c r="D4" s="75" t="s">
        <v>2283</v>
      </c>
      <c r="E4" s="75" t="s">
        <v>1769</v>
      </c>
      <c r="F4" s="75" t="s">
        <v>2283</v>
      </c>
      <c r="G4" s="75" t="s">
        <v>1769</v>
      </c>
      <c r="H4" s="75" t="s">
        <v>2283</v>
      </c>
      <c r="I4" s="75" t="s">
        <v>1769</v>
      </c>
      <c r="J4" s="75" t="s">
        <v>2283</v>
      </c>
      <c r="K4" s="75" t="s">
        <v>1769</v>
      </c>
      <c r="L4" s="75" t="s">
        <v>2283</v>
      </c>
      <c r="M4" s="75" t="s">
        <v>1769</v>
      </c>
      <c r="N4" s="75" t="s">
        <v>2283</v>
      </c>
      <c r="O4" s="75" t="s">
        <v>1769</v>
      </c>
      <c r="P4" s="75" t="s">
        <v>2283</v>
      </c>
      <c r="Q4" s="75" t="s">
        <v>1769</v>
      </c>
      <c r="R4" s="75" t="s">
        <v>2283</v>
      </c>
      <c r="S4" s="75"/>
      <c r="T4" s="75"/>
    </row>
    <row r="5" spans="1:21" ht="15" thickBot="1">
      <c r="A5" s="111" t="s">
        <v>0</v>
      </c>
      <c r="B5" s="74" t="s">
        <v>1768</v>
      </c>
      <c r="C5" s="109" t="s">
        <v>2308</v>
      </c>
      <c r="D5" s="103" t="s">
        <v>2244</v>
      </c>
      <c r="E5" s="109" t="s">
        <v>2307</v>
      </c>
      <c r="F5" s="103"/>
      <c r="G5" s="109" t="s">
        <v>2306</v>
      </c>
      <c r="H5" s="103" t="s">
        <v>2085</v>
      </c>
      <c r="I5" s="109" t="s">
        <v>2305</v>
      </c>
      <c r="J5" s="103" t="s">
        <v>2255</v>
      </c>
      <c r="K5" s="109" t="s">
        <v>2304</v>
      </c>
      <c r="L5" s="103" t="s">
        <v>2284</v>
      </c>
      <c r="M5" s="109" t="s">
        <v>2303</v>
      </c>
      <c r="N5" s="861" t="s">
        <v>2394</v>
      </c>
      <c r="O5" s="109" t="s">
        <v>2301</v>
      </c>
      <c r="P5" s="696" t="s">
        <v>2302</v>
      </c>
      <c r="Q5" s="109" t="s">
        <v>2284</v>
      </c>
      <c r="R5" s="697" t="s">
        <v>2300</v>
      </c>
      <c r="S5" s="109" t="s">
        <v>2284</v>
      </c>
      <c r="T5" s="103"/>
    </row>
    <row r="6" spans="1:21" s="27" customFormat="1" ht="15" thickTop="1">
      <c r="A6" s="71" t="s">
        <v>1</v>
      </c>
      <c r="B6" s="106" t="s">
        <v>3</v>
      </c>
      <c r="C6" s="40">
        <f>'Eingabe Transportmittel'!C30</f>
        <v>40</v>
      </c>
      <c r="D6" s="96"/>
      <c r="E6" s="116">
        <v>20</v>
      </c>
      <c r="F6" s="48"/>
      <c r="G6" s="41">
        <v>20</v>
      </c>
      <c r="H6" s="96"/>
      <c r="I6" s="116">
        <v>20</v>
      </c>
      <c r="J6" s="44"/>
      <c r="K6" s="41">
        <v>20</v>
      </c>
      <c r="L6" s="44"/>
      <c r="M6" s="116">
        <v>20</v>
      </c>
      <c r="N6" s="44"/>
      <c r="O6" s="116">
        <v>20</v>
      </c>
      <c r="P6" s="44"/>
      <c r="Q6" s="116">
        <v>20</v>
      </c>
      <c r="R6" s="44"/>
      <c r="S6" s="41"/>
      <c r="T6" s="44"/>
    </row>
    <row r="7" spans="1:21" s="27" customFormat="1">
      <c r="A7" s="71" t="s">
        <v>1872</v>
      </c>
      <c r="B7" s="107" t="s">
        <v>1871</v>
      </c>
      <c r="C7" s="114">
        <f>7300000/240/1000000*24</f>
        <v>0.73</v>
      </c>
      <c r="D7" s="96" t="s">
        <v>1763</v>
      </c>
      <c r="E7" s="41">
        <v>35</v>
      </c>
      <c r="F7" s="48" t="s">
        <v>2084</v>
      </c>
      <c r="G7" s="120">
        <v>15</v>
      </c>
      <c r="H7" s="96" t="s">
        <v>2082</v>
      </c>
      <c r="I7" s="41">
        <v>15</v>
      </c>
      <c r="J7" s="44" t="s">
        <v>2081</v>
      </c>
      <c r="K7" s="119">
        <v>15</v>
      </c>
      <c r="L7" s="44" t="s">
        <v>2079</v>
      </c>
      <c r="M7" s="41">
        <v>17.3</v>
      </c>
      <c r="N7" s="44"/>
      <c r="O7" s="41">
        <f>9.1+16.7</f>
        <v>25.799999999999997</v>
      </c>
      <c r="P7" s="44"/>
      <c r="Q7" s="120">
        <f>K7+8.8</f>
        <v>23.8</v>
      </c>
      <c r="R7" s="44"/>
      <c r="S7" s="119"/>
      <c r="T7" s="44"/>
    </row>
    <row r="8" spans="1:21" s="27" customFormat="1">
      <c r="A8" s="71" t="s">
        <v>1873</v>
      </c>
      <c r="B8" s="107" t="s">
        <v>32</v>
      </c>
      <c r="C8" s="104">
        <f>'Eingabe Transportmittel'!C37</f>
        <v>0.03</v>
      </c>
      <c r="D8" s="96"/>
      <c r="E8" s="117">
        <v>0.03</v>
      </c>
      <c r="F8" s="48"/>
      <c r="G8" s="42">
        <v>0.03</v>
      </c>
      <c r="H8" s="96"/>
      <c r="I8" s="122">
        <v>0.03</v>
      </c>
      <c r="J8" s="44"/>
      <c r="K8" s="117">
        <v>0.03</v>
      </c>
      <c r="L8" s="44"/>
      <c r="M8" s="117">
        <v>0.05</v>
      </c>
      <c r="N8" s="44"/>
      <c r="O8" s="117">
        <v>0.03</v>
      </c>
      <c r="P8" s="44"/>
      <c r="Q8" s="122">
        <v>0.03</v>
      </c>
      <c r="R8" s="44"/>
      <c r="S8" s="119"/>
      <c r="T8" s="44"/>
    </row>
    <row r="9" spans="1:21" s="27" customFormat="1">
      <c r="A9" s="71" t="s">
        <v>1914</v>
      </c>
      <c r="B9" s="107" t="s">
        <v>1874</v>
      </c>
      <c r="C9" s="113">
        <f>'Eingabe Transportmittel'!C44*'Eingabe Transportmittel'!C45*'Eingabe Transportmittel'!C46/('Eingabe Transportmittel'!C46-1)*(((C13+1)/(C12+1))^(('Eingabe Transportmittel'!C46-1)/'Eingabe Transportmittel'!C46)-1)*(0.00067954*C12+0.99498+0.00067954*C13+0.99498)/2/3600000/'Eingabe Transportmittel'!C35*1000</f>
        <v>464.80786026754572</v>
      </c>
      <c r="D9" s="96"/>
      <c r="E9" s="118">
        <v>8000</v>
      </c>
      <c r="F9" s="48" t="s">
        <v>2078</v>
      </c>
      <c r="G9" s="119">
        <v>400</v>
      </c>
      <c r="H9" s="96" t="s">
        <v>2083</v>
      </c>
      <c r="I9" s="120">
        <f>(620+820)/1.2</f>
        <v>1200</v>
      </c>
      <c r="J9" s="44"/>
      <c r="K9" s="120">
        <v>1500</v>
      </c>
      <c r="L9" s="44" t="s">
        <v>2080</v>
      </c>
      <c r="M9" s="119">
        <v>704.5</v>
      </c>
      <c r="N9" s="44"/>
      <c r="O9" s="119">
        <v>430</v>
      </c>
      <c r="P9" s="44"/>
      <c r="Q9" s="41">
        <f>K9</f>
        <v>1500</v>
      </c>
      <c r="R9" s="44"/>
      <c r="S9" s="119"/>
      <c r="T9" s="44"/>
    </row>
    <row r="10" spans="1:21" s="27" customFormat="1">
      <c r="A10" s="71" t="s">
        <v>1915</v>
      </c>
      <c r="B10" s="107" t="s">
        <v>1874</v>
      </c>
      <c r="C10" s="113"/>
      <c r="D10" s="96"/>
      <c r="E10" s="120"/>
      <c r="F10" s="48"/>
      <c r="G10" s="119"/>
      <c r="H10" s="96"/>
      <c r="I10" s="41"/>
      <c r="J10" s="44"/>
      <c r="K10" s="41"/>
      <c r="L10" s="44"/>
      <c r="M10" s="119"/>
      <c r="N10" s="44"/>
      <c r="O10" s="119">
        <v>950</v>
      </c>
      <c r="P10" s="44"/>
      <c r="Q10" s="120">
        <v>950</v>
      </c>
      <c r="R10" s="44"/>
      <c r="S10" s="119"/>
      <c r="T10" s="44"/>
    </row>
    <row r="11" spans="1:21" s="27" customFormat="1">
      <c r="A11" s="71" t="s">
        <v>1916</v>
      </c>
      <c r="B11" s="107" t="s">
        <v>1917</v>
      </c>
      <c r="C11" s="113"/>
      <c r="D11" s="96"/>
      <c r="E11" s="41"/>
      <c r="F11" s="48"/>
      <c r="G11" s="119"/>
      <c r="H11" s="96"/>
      <c r="I11" s="120"/>
      <c r="J11" s="44"/>
      <c r="K11" s="119"/>
      <c r="L11" s="44"/>
      <c r="M11" s="119"/>
      <c r="N11" s="44"/>
      <c r="O11" s="119">
        <v>11220</v>
      </c>
      <c r="P11" s="44"/>
      <c r="Q11" s="41">
        <v>6650</v>
      </c>
      <c r="R11" s="44"/>
      <c r="S11" s="120"/>
      <c r="T11" s="44"/>
    </row>
    <row r="12" spans="1:21" s="27" customFormat="1">
      <c r="A12" s="71" t="s">
        <v>2251</v>
      </c>
      <c r="B12" s="107" t="s">
        <v>2249</v>
      </c>
      <c r="C12" s="115">
        <v>30</v>
      </c>
      <c r="D12" s="96" t="s">
        <v>2164</v>
      </c>
      <c r="E12" s="119">
        <f>POWER(POWER(1013/1638,11/1000),1000/11)*1638*'Eingabe Stoffparameter'!C7*1000/1000000</f>
        <v>33.753546351410911</v>
      </c>
      <c r="F12" s="48" t="s">
        <v>2253</v>
      </c>
      <c r="G12" s="119">
        <f>630*'Eingabe Stoffparameter'!C15*'Eingabe Stoffparameter'!C17*1000/1000000</f>
        <v>17.416927083333331</v>
      </c>
      <c r="H12" s="96" t="s">
        <v>2253</v>
      </c>
      <c r="I12" s="120">
        <f>411*0.95*8760*'Eingabe Stoffparameter'!C23/1000000</f>
        <v>18.120799994047619</v>
      </c>
      <c r="J12" s="44" t="s">
        <v>2253</v>
      </c>
      <c r="K12" s="120">
        <f>245/(2200/24)*'Eingabe Stoffparameter'!C29</f>
        <v>15.052651515151512</v>
      </c>
      <c r="L12" s="44" t="s">
        <v>2253</v>
      </c>
      <c r="M12" s="120"/>
      <c r="N12" s="44"/>
      <c r="O12" s="120">
        <f>72.6/3600/(2*'Eingabe Stoffparameter'!K6)*1000000</f>
        <v>10003.306878306879</v>
      </c>
      <c r="P12" s="44" t="s">
        <v>2256</v>
      </c>
      <c r="Q12" s="119">
        <f>353/1.5/0.89/1000*'Eingabe Stoffparameter'!C7</f>
        <v>8.8105577766548429</v>
      </c>
      <c r="R12" s="44" t="s">
        <v>2195</v>
      </c>
      <c r="S12" s="120" t="s">
        <v>2284</v>
      </c>
      <c r="T12" s="44"/>
    </row>
    <row r="13" spans="1:21" s="27" customFormat="1">
      <c r="A13" s="71" t="s">
        <v>2252</v>
      </c>
      <c r="B13" s="108" t="s">
        <v>2250</v>
      </c>
      <c r="C13" s="105">
        <v>80</v>
      </c>
      <c r="D13" s="102" t="s">
        <v>2165</v>
      </c>
      <c r="E13" s="121" t="s">
        <v>2284</v>
      </c>
      <c r="F13" s="50"/>
      <c r="G13" s="121">
        <f>0.013*'Eingabe Stoffparameter'!C15*'Eingabe Stoffparameter'!C17*1000</f>
        <v>359.39690806878303</v>
      </c>
      <c r="H13" s="102" t="s">
        <v>2254</v>
      </c>
      <c r="I13" s="43"/>
      <c r="J13" s="46"/>
      <c r="K13" s="43">
        <f>(390/('Eingabe Stoffparameter'!K12/'Eingabe Stoffparameter'!K9)-100)*('Eingabe Stoffparameter'!K12/'Eingabe Stoffparameter'!K9)*'Eingabe Stoffparameter'!C29</f>
        <v>1511.6746834915875</v>
      </c>
      <c r="L13" s="46" t="s">
        <v>2254</v>
      </c>
      <c r="M13" s="43"/>
      <c r="N13" s="46"/>
      <c r="O13" s="43"/>
      <c r="P13" s="46"/>
      <c r="Q13" s="121">
        <f>-'Eingabe Stoffparameter'!M12/1.5/3600/(2*'Eingabe Stoffparameter'!K6)*1000000</f>
        <v>4216.269841269841</v>
      </c>
      <c r="R13" s="46" t="s">
        <v>2257</v>
      </c>
      <c r="S13" s="43" t="s">
        <v>2284</v>
      </c>
      <c r="T13" s="46"/>
    </row>
    <row r="14" spans="1:21" ht="54.65" customHeight="1">
      <c r="O14" s="733" t="s">
        <v>2298</v>
      </c>
      <c r="P14" s="734"/>
      <c r="Q14" s="733" t="s">
        <v>2299</v>
      </c>
      <c r="R14" s="734"/>
    </row>
  </sheetData>
  <mergeCells count="13">
    <mergeCell ref="O14:P14"/>
    <mergeCell ref="Q14:R14"/>
    <mergeCell ref="A1:G1"/>
    <mergeCell ref="M3:N3"/>
    <mergeCell ref="O3:P3"/>
    <mergeCell ref="Q3:R3"/>
    <mergeCell ref="S3:T3"/>
    <mergeCell ref="K3:L3"/>
    <mergeCell ref="A3:B3"/>
    <mergeCell ref="C3:D3"/>
    <mergeCell ref="E3:F3"/>
    <mergeCell ref="G3:H3"/>
    <mergeCell ref="I3:J3"/>
  </mergeCells>
  <pageMargins left="0.7" right="0.7" top="0.78740157499999996" bottom="0.78740157499999996"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O49"/>
  <sheetViews>
    <sheetView topLeftCell="A4" zoomScale="70" zoomScaleNormal="70" workbookViewId="0">
      <pane ySplit="2" topLeftCell="A6" activePane="bottomLeft" state="frozen"/>
      <selection activeCell="A4" sqref="A4"/>
      <selection pane="bottomLeft" activeCell="G4" sqref="G4"/>
    </sheetView>
  </sheetViews>
  <sheetFormatPr baseColWidth="10" defaultRowHeight="14.5"/>
  <cols>
    <col min="1" max="1" width="21.54296875" customWidth="1"/>
    <col min="4" max="4" width="10.81640625" customWidth="1"/>
    <col min="9" max="9" width="16.1796875" customWidth="1"/>
    <col min="10" max="10" width="13.54296875" customWidth="1"/>
    <col min="11" max="12" width="12.54296875" customWidth="1"/>
    <col min="13" max="13" width="16.54296875" customWidth="1"/>
    <col min="14" max="14" width="12.54296875" customWidth="1"/>
  </cols>
  <sheetData>
    <row r="1" spans="1:15">
      <c r="A1" s="737" t="s">
        <v>2309</v>
      </c>
      <c r="B1" s="738"/>
      <c r="C1" s="738"/>
      <c r="D1" s="738"/>
      <c r="E1" s="738"/>
      <c r="F1" s="739"/>
    </row>
    <row r="2" spans="1:15">
      <c r="A2" s="740" t="s">
        <v>2245</v>
      </c>
      <c r="B2" s="741"/>
      <c r="C2" s="741"/>
      <c r="D2" s="741"/>
      <c r="E2" s="741"/>
      <c r="F2" s="742"/>
    </row>
    <row r="4" spans="1:15" ht="27.65" customHeight="1">
      <c r="A4" s="747" t="s">
        <v>2263</v>
      </c>
      <c r="B4" s="748"/>
      <c r="C4" s="748"/>
      <c r="D4" s="748"/>
      <c r="E4" s="748"/>
      <c r="F4" s="749"/>
      <c r="I4" s="731" t="s">
        <v>2313</v>
      </c>
      <c r="J4" s="743"/>
      <c r="K4" s="743"/>
      <c r="L4" s="743"/>
      <c r="M4" s="743"/>
      <c r="N4" s="732"/>
    </row>
    <row r="5" spans="1:15" ht="27.65" customHeight="1" thickBot="1">
      <c r="A5" s="110"/>
      <c r="B5" s="142" t="s">
        <v>1768</v>
      </c>
      <c r="C5" s="141" t="s">
        <v>1769</v>
      </c>
      <c r="D5" s="744" t="s">
        <v>2312</v>
      </c>
      <c r="E5" s="745"/>
      <c r="F5" s="746"/>
      <c r="I5" s="112" t="s">
        <v>2036</v>
      </c>
      <c r="J5" s="135" t="s">
        <v>2385</v>
      </c>
      <c r="K5" s="135" t="s">
        <v>2318</v>
      </c>
      <c r="L5" s="135" t="s">
        <v>2283</v>
      </c>
      <c r="M5" s="135" t="s">
        <v>2314</v>
      </c>
      <c r="N5" s="136" t="s">
        <v>2283</v>
      </c>
    </row>
    <row r="6" spans="1:15" ht="15" thickTop="1">
      <c r="A6" s="750" t="s">
        <v>1946</v>
      </c>
      <c r="B6" s="751"/>
      <c r="C6" s="751"/>
      <c r="D6" s="751"/>
      <c r="E6" s="751"/>
      <c r="F6" s="752"/>
      <c r="I6" s="129" t="s">
        <v>2037</v>
      </c>
      <c r="J6" s="139" t="s">
        <v>2049</v>
      </c>
      <c r="K6" s="134">
        <v>1.008</v>
      </c>
      <c r="L6" s="140" t="s">
        <v>2050</v>
      </c>
      <c r="M6" s="134">
        <v>0</v>
      </c>
      <c r="N6" s="138" t="s">
        <v>2057</v>
      </c>
    </row>
    <row r="7" spans="1:15">
      <c r="A7" s="143" t="s">
        <v>1876</v>
      </c>
      <c r="B7" s="101" t="s">
        <v>1875</v>
      </c>
      <c r="C7" s="47">
        <f>-2*M15/3600*(1000/(4*K6))</f>
        <v>33.320381393298057</v>
      </c>
      <c r="D7" s="753" t="s">
        <v>2065</v>
      </c>
      <c r="E7" s="754"/>
      <c r="F7" s="755"/>
      <c r="I7" s="130" t="s">
        <v>2039</v>
      </c>
      <c r="J7" s="125" t="s">
        <v>2043</v>
      </c>
      <c r="K7" s="119">
        <v>12.010999999999999</v>
      </c>
      <c r="L7" s="44" t="s">
        <v>2050</v>
      </c>
      <c r="M7" s="41">
        <v>0</v>
      </c>
      <c r="N7" s="137" t="s">
        <v>2057</v>
      </c>
    </row>
    <row r="8" spans="1:15">
      <c r="A8" s="144" t="s">
        <v>1877</v>
      </c>
      <c r="B8" s="59" t="s">
        <v>1748</v>
      </c>
      <c r="C8" s="121">
        <v>70.900999999999996</v>
      </c>
      <c r="D8" s="756" t="s">
        <v>2044</v>
      </c>
      <c r="E8" s="757"/>
      <c r="F8" s="758"/>
      <c r="I8" s="130" t="s">
        <v>2052</v>
      </c>
      <c r="J8" s="126" t="s">
        <v>2053</v>
      </c>
      <c r="K8" s="120">
        <v>15.999000000000001</v>
      </c>
      <c r="L8" s="44" t="s">
        <v>2050</v>
      </c>
      <c r="M8" s="120">
        <v>0</v>
      </c>
      <c r="N8" s="44" t="s">
        <v>2057</v>
      </c>
    </row>
    <row r="9" spans="1:15">
      <c r="A9" s="147"/>
      <c r="B9" s="145"/>
      <c r="C9" s="146"/>
      <c r="D9" s="145"/>
      <c r="E9" s="145"/>
      <c r="F9" s="148"/>
      <c r="I9" s="130" t="s">
        <v>2041</v>
      </c>
      <c r="J9" s="126" t="s">
        <v>2051</v>
      </c>
      <c r="K9" s="41">
        <v>14.007</v>
      </c>
      <c r="L9" s="44" t="s">
        <v>2050</v>
      </c>
      <c r="M9" s="120">
        <v>0</v>
      </c>
      <c r="N9" s="44" t="s">
        <v>2057</v>
      </c>
    </row>
    <row r="10" spans="1:15">
      <c r="A10" s="750" t="s">
        <v>2316</v>
      </c>
      <c r="B10" s="751"/>
      <c r="C10" s="751"/>
      <c r="D10" s="751"/>
      <c r="E10" s="751"/>
      <c r="F10" s="752"/>
      <c r="I10" s="130" t="s">
        <v>1947</v>
      </c>
      <c r="J10" s="127" t="s">
        <v>1879</v>
      </c>
      <c r="K10" s="120">
        <f>K7+4*K6</f>
        <v>16.042999999999999</v>
      </c>
      <c r="L10" s="44" t="s">
        <v>2054</v>
      </c>
      <c r="M10" s="41">
        <v>-74.599999999999994</v>
      </c>
      <c r="N10" s="44" t="s">
        <v>2045</v>
      </c>
      <c r="O10" s="62" t="s">
        <v>2284</v>
      </c>
    </row>
    <row r="11" spans="1:15">
      <c r="A11" s="143" t="s">
        <v>1876</v>
      </c>
      <c r="B11" s="58" t="s">
        <v>1875</v>
      </c>
      <c r="C11" s="123">
        <f>C7</f>
        <v>33.320381393298057</v>
      </c>
      <c r="D11" s="759" t="s">
        <v>2061</v>
      </c>
      <c r="E11" s="760"/>
      <c r="F11" s="761"/>
      <c r="I11" s="130" t="s">
        <v>1948</v>
      </c>
      <c r="J11" s="127" t="s">
        <v>2315</v>
      </c>
      <c r="K11" s="41">
        <f>K7+4*K6+K8</f>
        <v>32.042000000000002</v>
      </c>
      <c r="L11" s="44" t="s">
        <v>2054</v>
      </c>
      <c r="M11" s="120">
        <v>-205</v>
      </c>
      <c r="N11" s="44" t="s">
        <v>2046</v>
      </c>
      <c r="O11" s="62" t="s">
        <v>2284</v>
      </c>
    </row>
    <row r="12" spans="1:15">
      <c r="A12" s="144" t="s">
        <v>1877</v>
      </c>
      <c r="B12" s="59" t="s">
        <v>1748</v>
      </c>
      <c r="C12" s="43">
        <v>8.141</v>
      </c>
      <c r="D12" s="765" t="s">
        <v>2066</v>
      </c>
      <c r="E12" s="766"/>
      <c r="F12" s="767"/>
      <c r="G12" t="s">
        <v>2284</v>
      </c>
      <c r="I12" s="131" t="s">
        <v>1949</v>
      </c>
      <c r="J12" s="127" t="s">
        <v>9</v>
      </c>
      <c r="K12" s="120">
        <f>K9+3*K6</f>
        <v>17.030999999999999</v>
      </c>
      <c r="L12" s="44" t="s">
        <v>2054</v>
      </c>
      <c r="M12" s="41">
        <v>-45.9</v>
      </c>
      <c r="N12" s="44" t="s">
        <v>2047</v>
      </c>
      <c r="O12" s="62" t="s">
        <v>2284</v>
      </c>
    </row>
    <row r="13" spans="1:15">
      <c r="A13" s="147"/>
      <c r="B13" s="145"/>
      <c r="C13" s="145"/>
      <c r="D13" s="145"/>
      <c r="E13" s="145"/>
      <c r="F13" s="148"/>
      <c r="I13" s="132" t="s">
        <v>2038</v>
      </c>
      <c r="J13" s="125" t="s">
        <v>2042</v>
      </c>
      <c r="K13" s="120">
        <f>14*K7+14*K6</f>
        <v>182.26599999999999</v>
      </c>
      <c r="L13" s="44" t="s">
        <v>2054</v>
      </c>
      <c r="M13" s="124" t="s">
        <v>2059</v>
      </c>
      <c r="N13" s="44" t="s">
        <v>2060</v>
      </c>
      <c r="O13" s="62" t="s">
        <v>2284</v>
      </c>
    </row>
    <row r="14" spans="1:15">
      <c r="A14" s="750" t="s">
        <v>1947</v>
      </c>
      <c r="B14" s="751"/>
      <c r="C14" s="751"/>
      <c r="D14" s="751"/>
      <c r="E14" s="751"/>
      <c r="F14" s="752"/>
      <c r="I14" s="130" t="s">
        <v>2040</v>
      </c>
      <c r="J14" s="127" t="s">
        <v>1979</v>
      </c>
      <c r="K14" s="120">
        <f>K7+2*K8</f>
        <v>44.009</v>
      </c>
      <c r="L14" s="44" t="s">
        <v>2054</v>
      </c>
      <c r="M14" s="41">
        <v>-393.52</v>
      </c>
      <c r="N14" s="44" t="s">
        <v>2048</v>
      </c>
      <c r="O14" s="62" t="s">
        <v>2284</v>
      </c>
    </row>
    <row r="15" spans="1:15">
      <c r="A15" s="152" t="s">
        <v>1876</v>
      </c>
      <c r="B15" s="58" t="s">
        <v>1875</v>
      </c>
      <c r="C15" s="47">
        <f>(M10-M14-2*M15)/3600*(1000/(K10))</f>
        <v>13.896195640881796</v>
      </c>
      <c r="D15" s="759" t="s">
        <v>2064</v>
      </c>
      <c r="E15" s="760"/>
      <c r="F15" s="761"/>
      <c r="I15" s="133" t="s">
        <v>2055</v>
      </c>
      <c r="J15" s="128" t="s">
        <v>2056</v>
      </c>
      <c r="K15" s="43">
        <f>2*K6+K8</f>
        <v>18.015000000000001</v>
      </c>
      <c r="L15" s="46" t="s">
        <v>2054</v>
      </c>
      <c r="M15" s="121">
        <v>-241.82599999999999</v>
      </c>
      <c r="N15" s="46" t="s">
        <v>2058</v>
      </c>
      <c r="O15" s="62" t="s">
        <v>2284</v>
      </c>
    </row>
    <row r="16" spans="1:15">
      <c r="A16" s="152" t="s">
        <v>1877</v>
      </c>
      <c r="B16" s="58" t="s">
        <v>1748</v>
      </c>
      <c r="C16" s="120">
        <v>84.686000000000007</v>
      </c>
      <c r="D16" s="762" t="s">
        <v>2067</v>
      </c>
      <c r="E16" s="763"/>
      <c r="F16" s="764"/>
      <c r="G16" t="s">
        <v>2284</v>
      </c>
    </row>
    <row r="17" spans="1:14">
      <c r="A17" s="152" t="s">
        <v>1887</v>
      </c>
      <c r="B17" s="58" t="s">
        <v>1888</v>
      </c>
      <c r="C17" s="153">
        <f>K10/(8*K6)</f>
        <v>1.9894593253968254</v>
      </c>
      <c r="D17" s="768" t="s">
        <v>1955</v>
      </c>
      <c r="E17" s="769"/>
      <c r="F17" s="770"/>
    </row>
    <row r="18" spans="1:14">
      <c r="A18" s="144" t="s">
        <v>1958</v>
      </c>
      <c r="B18" s="59" t="s">
        <v>1959</v>
      </c>
      <c r="C18" s="149">
        <f>K14/(8*K6)</f>
        <v>5.4574652777777777</v>
      </c>
      <c r="D18" s="756" t="s">
        <v>1960</v>
      </c>
      <c r="E18" s="757"/>
      <c r="F18" s="758"/>
    </row>
    <row r="19" spans="1:14">
      <c r="A19" s="147"/>
      <c r="B19" s="145"/>
      <c r="C19" s="145"/>
      <c r="D19" s="145"/>
      <c r="E19" s="145"/>
      <c r="F19" s="148"/>
      <c r="J19" s="18"/>
    </row>
    <row r="20" spans="1:14">
      <c r="A20" s="750" t="s">
        <v>1948</v>
      </c>
      <c r="B20" s="751"/>
      <c r="C20" s="751"/>
      <c r="D20" s="751"/>
      <c r="E20" s="751"/>
      <c r="F20" s="752"/>
      <c r="J20" s="18"/>
      <c r="N20" s="27"/>
    </row>
    <row r="21" spans="1:14">
      <c r="A21" s="152" t="s">
        <v>1876</v>
      </c>
      <c r="B21" s="58" t="s">
        <v>1875</v>
      </c>
      <c r="C21" s="123">
        <f>(M11-M14-2*M15)/3600*(1000/(K11))</f>
        <v>5.8271782174784486</v>
      </c>
      <c r="D21" s="759" t="s">
        <v>2062</v>
      </c>
      <c r="E21" s="760"/>
      <c r="F21" s="761"/>
      <c r="J21" s="18"/>
      <c r="N21" s="27"/>
    </row>
    <row r="22" spans="1:14">
      <c r="A22" s="152" t="s">
        <v>1877</v>
      </c>
      <c r="B22" s="58" t="s">
        <v>1748</v>
      </c>
      <c r="C22" s="120">
        <v>800.51</v>
      </c>
      <c r="D22" s="762" t="s">
        <v>2068</v>
      </c>
      <c r="E22" s="763"/>
      <c r="F22" s="764"/>
      <c r="G22" t="s">
        <v>2284</v>
      </c>
      <c r="J22" s="18"/>
    </row>
    <row r="23" spans="1:14">
      <c r="A23" s="152" t="s">
        <v>1887</v>
      </c>
      <c r="B23" s="58" t="s">
        <v>1888</v>
      </c>
      <c r="C23" s="153">
        <f>K11/(6*K6)</f>
        <v>5.2979497354497358</v>
      </c>
      <c r="D23" s="762" t="s">
        <v>1956</v>
      </c>
      <c r="E23" s="763"/>
      <c r="F23" s="764"/>
      <c r="J23" s="18"/>
    </row>
    <row r="24" spans="1:14">
      <c r="A24" s="144" t="s">
        <v>1958</v>
      </c>
      <c r="B24" s="59" t="s">
        <v>1959</v>
      </c>
      <c r="C24" s="149">
        <f>K14/(6*K6)</f>
        <v>7.2766203703703702</v>
      </c>
      <c r="D24" s="765" t="s">
        <v>1960</v>
      </c>
      <c r="E24" s="766"/>
      <c r="F24" s="767"/>
      <c r="J24" s="18"/>
    </row>
    <row r="25" spans="1:14">
      <c r="A25" s="147"/>
      <c r="B25" s="145"/>
      <c r="C25" s="145"/>
      <c r="D25" s="145"/>
      <c r="E25" s="145"/>
      <c r="F25" s="148"/>
      <c r="J25" s="18"/>
    </row>
    <row r="26" spans="1:14">
      <c r="A26" s="750" t="s">
        <v>1949</v>
      </c>
      <c r="B26" s="751"/>
      <c r="C26" s="751"/>
      <c r="D26" s="751"/>
      <c r="E26" s="751"/>
      <c r="F26" s="752"/>
      <c r="J26" s="18"/>
    </row>
    <row r="27" spans="1:14">
      <c r="A27" s="152" t="s">
        <v>1876</v>
      </c>
      <c r="B27" s="58" t="s">
        <v>1875</v>
      </c>
      <c r="C27" s="47">
        <f>(2*M12-3*M15)/3600*(1000/(2*K12))</f>
        <v>5.1676844186092028</v>
      </c>
      <c r="D27" s="759" t="s">
        <v>2063</v>
      </c>
      <c r="E27" s="760"/>
      <c r="F27" s="761"/>
      <c r="J27" s="18"/>
    </row>
    <row r="28" spans="1:14">
      <c r="A28" s="152" t="s">
        <v>1877</v>
      </c>
      <c r="B28" s="58" t="s">
        <v>1748</v>
      </c>
      <c r="C28" s="119">
        <v>625</v>
      </c>
      <c r="D28" s="762" t="s">
        <v>2069</v>
      </c>
      <c r="E28" s="763"/>
      <c r="F28" s="764"/>
      <c r="G28" t="s">
        <v>2284</v>
      </c>
      <c r="J28" s="18"/>
    </row>
    <row r="29" spans="1:14">
      <c r="A29" s="152" t="s">
        <v>1887</v>
      </c>
      <c r="B29" s="58" t="s">
        <v>1888</v>
      </c>
      <c r="C29" s="153">
        <f>K12/(3*K6)</f>
        <v>5.6319444444444438</v>
      </c>
      <c r="D29" s="762" t="s">
        <v>1957</v>
      </c>
      <c r="E29" s="763"/>
      <c r="F29" s="764"/>
      <c r="J29" s="18"/>
    </row>
    <row r="30" spans="1:14">
      <c r="A30" s="144" t="s">
        <v>1958</v>
      </c>
      <c r="B30" s="59" t="s">
        <v>1959</v>
      </c>
      <c r="C30" s="149">
        <f>2*K9/(6*K6)</f>
        <v>4.6319444444444446</v>
      </c>
      <c r="D30" s="765" t="s">
        <v>1960</v>
      </c>
      <c r="E30" s="766"/>
      <c r="F30" s="767"/>
      <c r="J30" s="18"/>
    </row>
    <row r="31" spans="1:14">
      <c r="A31" s="147"/>
      <c r="B31" s="145"/>
      <c r="C31" s="145"/>
      <c r="D31" s="145"/>
      <c r="E31" s="145"/>
      <c r="F31" s="148"/>
      <c r="J31" s="18"/>
    </row>
    <row r="32" spans="1:14">
      <c r="A32" s="750" t="s">
        <v>1951</v>
      </c>
      <c r="B32" s="751"/>
      <c r="C32" s="751"/>
      <c r="D32" s="751"/>
      <c r="E32" s="751"/>
      <c r="F32" s="752"/>
      <c r="J32" s="18"/>
    </row>
    <row r="33" spans="1:12">
      <c r="A33" s="152" t="s">
        <v>1876</v>
      </c>
      <c r="B33" s="58" t="s">
        <v>1875</v>
      </c>
      <c r="C33" s="47">
        <f>11.75</f>
        <v>11.75</v>
      </c>
      <c r="D33" s="151">
        <f>(0.5*41+0.28*43+0.14*46+0.08*42)/3.6</f>
        <v>11.761111111111109</v>
      </c>
      <c r="E33" s="760" t="s">
        <v>2317</v>
      </c>
      <c r="F33" s="761"/>
      <c r="G33" t="s">
        <v>2284</v>
      </c>
      <c r="J33" s="18"/>
    </row>
    <row r="34" spans="1:12">
      <c r="A34" s="152" t="s">
        <v>1877</v>
      </c>
      <c r="B34" s="58" t="s">
        <v>1748</v>
      </c>
      <c r="C34" s="120">
        <v>740</v>
      </c>
      <c r="D34" s="150">
        <f>0.5*748+0.28*798+0.14*540+0.08*850</f>
        <v>741.04000000000008</v>
      </c>
      <c r="E34" s="763" t="s">
        <v>2196</v>
      </c>
      <c r="F34" s="764"/>
      <c r="G34" t="s">
        <v>2284</v>
      </c>
      <c r="J34" s="18"/>
    </row>
    <row r="35" spans="1:12">
      <c r="A35" s="152" t="s">
        <v>1887</v>
      </c>
      <c r="B35" s="58" t="s">
        <v>1888</v>
      </c>
      <c r="C35" s="153">
        <f>1/((6*F36+2)*K6/(F36*K7+(2*F36+2)*K6))</f>
        <v>2.2498433583959896</v>
      </c>
      <c r="D35" s="762" t="s">
        <v>2197</v>
      </c>
      <c r="E35" s="763"/>
      <c r="F35" s="764"/>
      <c r="G35" t="s">
        <v>2284</v>
      </c>
      <c r="J35" s="18"/>
    </row>
    <row r="36" spans="1:12">
      <c r="A36" s="144" t="s">
        <v>1958</v>
      </c>
      <c r="B36" s="59" t="s">
        <v>1959</v>
      </c>
      <c r="C36" s="149">
        <f>F36*K14/((6*F36+2)*K6)</f>
        <v>6.8936403508771917</v>
      </c>
      <c r="D36" s="765" t="s">
        <v>1960</v>
      </c>
      <c r="E36" s="766"/>
      <c r="F36" s="704">
        <v>6</v>
      </c>
      <c r="G36" s="735" t="s">
        <v>2384</v>
      </c>
      <c r="H36" s="735"/>
      <c r="I36" s="735"/>
      <c r="J36" s="735"/>
      <c r="K36" s="735"/>
      <c r="L36" s="736"/>
    </row>
    <row r="37" spans="1:12">
      <c r="A37" s="147"/>
      <c r="B37" s="145"/>
      <c r="C37" s="145"/>
      <c r="D37" s="145"/>
      <c r="E37" s="145"/>
      <c r="F37" s="148"/>
      <c r="J37" s="18"/>
      <c r="L37" s="27"/>
    </row>
    <row r="38" spans="1:12">
      <c r="A38" s="750" t="s">
        <v>1922</v>
      </c>
      <c r="B38" s="751"/>
      <c r="C38" s="751"/>
      <c r="D38" s="751"/>
      <c r="E38" s="751"/>
      <c r="F38" s="752"/>
      <c r="J38" s="18"/>
    </row>
    <row r="39" spans="1:12">
      <c r="A39" s="152" t="s">
        <v>1876</v>
      </c>
      <c r="B39" s="58" t="s">
        <v>1875</v>
      </c>
      <c r="C39" s="123">
        <f>C7/C41</f>
        <v>2.0565014868379183</v>
      </c>
      <c r="D39" s="759" t="s">
        <v>1954</v>
      </c>
      <c r="E39" s="760"/>
      <c r="F39" s="761"/>
      <c r="J39" s="18"/>
    </row>
    <row r="40" spans="1:12">
      <c r="A40" s="152" t="s">
        <v>1877</v>
      </c>
      <c r="B40" s="58" t="s">
        <v>1748</v>
      </c>
      <c r="C40" s="41">
        <v>870</v>
      </c>
      <c r="D40" s="762" t="s">
        <v>2386</v>
      </c>
      <c r="E40" s="763"/>
      <c r="F40" s="764"/>
      <c r="G40" t="s">
        <v>2284</v>
      </c>
      <c r="J40" s="18"/>
    </row>
    <row r="41" spans="1:12">
      <c r="A41" s="152" t="s">
        <v>1887</v>
      </c>
      <c r="B41" s="58" t="s">
        <v>1888</v>
      </c>
      <c r="C41" s="153">
        <f>K13/(0.93*12*K6)</f>
        <v>16.202459179609715</v>
      </c>
      <c r="D41" s="762" t="s">
        <v>2246</v>
      </c>
      <c r="E41" s="763"/>
      <c r="F41" s="764"/>
      <c r="J41" s="18"/>
    </row>
    <row r="42" spans="1:12" s="16" customFormat="1">
      <c r="A42" s="152" t="s">
        <v>1989</v>
      </c>
      <c r="B42" s="58" t="s">
        <v>1990</v>
      </c>
      <c r="C42" s="100">
        <v>2</v>
      </c>
      <c r="D42" s="762"/>
      <c r="E42" s="763"/>
      <c r="F42" s="764"/>
      <c r="J42" s="18"/>
    </row>
    <row r="43" spans="1:12" s="16" customFormat="1">
      <c r="A43" s="144" t="s">
        <v>1991</v>
      </c>
      <c r="B43" s="60" t="s">
        <v>1992</v>
      </c>
      <c r="C43" s="154">
        <f>1/200</f>
        <v>5.0000000000000001E-3</v>
      </c>
      <c r="D43" s="765"/>
      <c r="E43" s="766"/>
      <c r="F43" s="767"/>
      <c r="H43" s="15"/>
      <c r="J43" s="18"/>
    </row>
    <row r="44" spans="1:12">
      <c r="A44" s="147"/>
      <c r="B44" s="145"/>
      <c r="C44" s="145"/>
      <c r="D44" s="145"/>
      <c r="E44" s="145"/>
      <c r="F44" s="148"/>
      <c r="I44" s="703"/>
      <c r="J44" s="18"/>
    </row>
    <row r="45" spans="1:12">
      <c r="A45" s="750" t="s">
        <v>1953</v>
      </c>
      <c r="B45" s="751"/>
      <c r="C45" s="751"/>
      <c r="D45" s="751"/>
      <c r="E45" s="751"/>
      <c r="F45" s="752"/>
      <c r="J45" s="18"/>
    </row>
    <row r="46" spans="1:12">
      <c r="A46" s="152" t="s">
        <v>1876</v>
      </c>
      <c r="B46" s="97" t="s">
        <v>1875</v>
      </c>
      <c r="C46" s="123">
        <f>C7/C48</f>
        <v>5.9163192609555129</v>
      </c>
      <c r="D46" s="753" t="s">
        <v>1954</v>
      </c>
      <c r="E46" s="754"/>
      <c r="F46" s="755"/>
      <c r="J46" s="18"/>
    </row>
    <row r="47" spans="1:12">
      <c r="A47" s="152" t="s">
        <v>1877</v>
      </c>
      <c r="B47" s="98" t="s">
        <v>1748</v>
      </c>
      <c r="C47" s="120">
        <f>C28</f>
        <v>625</v>
      </c>
      <c r="D47" s="768" t="s">
        <v>1966</v>
      </c>
      <c r="E47" s="769"/>
      <c r="F47" s="770"/>
    </row>
    <row r="48" spans="1:12">
      <c r="A48" s="152" t="s">
        <v>1887</v>
      </c>
      <c r="B48" s="98" t="s">
        <v>1888</v>
      </c>
      <c r="C48" s="153">
        <f>C29</f>
        <v>5.6319444444444438</v>
      </c>
      <c r="D48" s="768" t="s">
        <v>1966</v>
      </c>
      <c r="E48" s="769"/>
      <c r="F48" s="770"/>
    </row>
    <row r="49" spans="1:6">
      <c r="A49" s="144" t="s">
        <v>1958</v>
      </c>
      <c r="B49" s="99" t="s">
        <v>1959</v>
      </c>
      <c r="C49" s="149">
        <f>C30</f>
        <v>4.6319444444444446</v>
      </c>
      <c r="D49" s="756" t="s">
        <v>1966</v>
      </c>
      <c r="E49" s="757"/>
      <c r="F49" s="758"/>
    </row>
  </sheetData>
  <mergeCells count="43">
    <mergeCell ref="D47:F47"/>
    <mergeCell ref="D48:F48"/>
    <mergeCell ref="D49:F49"/>
    <mergeCell ref="D39:F39"/>
    <mergeCell ref="D40:F40"/>
    <mergeCell ref="D41:F41"/>
    <mergeCell ref="D42:F42"/>
    <mergeCell ref="D43:F43"/>
    <mergeCell ref="D46:F46"/>
    <mergeCell ref="A45:F45"/>
    <mergeCell ref="A38:F38"/>
    <mergeCell ref="D24:F24"/>
    <mergeCell ref="D27:F27"/>
    <mergeCell ref="D28:F28"/>
    <mergeCell ref="D29:F29"/>
    <mergeCell ref="D36:E36"/>
    <mergeCell ref="D30:F30"/>
    <mergeCell ref="E33:F33"/>
    <mergeCell ref="E34:F34"/>
    <mergeCell ref="D35:F35"/>
    <mergeCell ref="A14:F14"/>
    <mergeCell ref="A20:F20"/>
    <mergeCell ref="D11:F11"/>
    <mergeCell ref="D12:F12"/>
    <mergeCell ref="D16:F16"/>
    <mergeCell ref="D15:F15"/>
    <mergeCell ref="D17:F17"/>
    <mergeCell ref="G36:L36"/>
    <mergeCell ref="A1:F1"/>
    <mergeCell ref="A2:F2"/>
    <mergeCell ref="I4:N4"/>
    <mergeCell ref="D5:F5"/>
    <mergeCell ref="A4:F4"/>
    <mergeCell ref="A6:F6"/>
    <mergeCell ref="D7:F7"/>
    <mergeCell ref="D8:F8"/>
    <mergeCell ref="A26:F26"/>
    <mergeCell ref="A32:F32"/>
    <mergeCell ref="D18:F18"/>
    <mergeCell ref="D21:F21"/>
    <mergeCell ref="D22:F22"/>
    <mergeCell ref="D23:F23"/>
    <mergeCell ref="A10:F10"/>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BZ36"/>
  <sheetViews>
    <sheetView zoomScale="70" zoomScaleNormal="70" workbookViewId="0">
      <pane xSplit="1" topLeftCell="B1" activePane="topRight" state="frozen"/>
      <selection pane="topRight" activeCell="F1" sqref="F1"/>
    </sheetView>
  </sheetViews>
  <sheetFormatPr baseColWidth="10" defaultRowHeight="14.5"/>
  <cols>
    <col min="1" max="1" width="36.453125" customWidth="1"/>
    <col min="2" max="2" width="18.54296875" customWidth="1"/>
    <col min="3" max="4" width="14.54296875" customWidth="1"/>
    <col min="5" max="6" width="24.54296875" customWidth="1"/>
    <col min="7" max="7" width="21.7265625" customWidth="1"/>
    <col min="8" max="8" width="14.54296875" customWidth="1"/>
    <col min="9" max="9" width="22.26953125" customWidth="1"/>
    <col min="10" max="10" width="21.7265625" customWidth="1"/>
    <col min="11" max="11" width="21.1796875" customWidth="1"/>
    <col min="12" max="12" width="18.453125" bestFit="1" customWidth="1"/>
    <col min="13" max="13" width="22.26953125" customWidth="1"/>
    <col min="14" max="15" width="14.54296875" customWidth="1"/>
    <col min="16" max="16" width="14.81640625" customWidth="1"/>
    <col min="17" max="17" width="18.54296875" customWidth="1"/>
    <col min="18" max="18" width="19.453125" customWidth="1"/>
    <col min="19" max="19" width="17.7265625" customWidth="1"/>
    <col min="20" max="20" width="22.81640625" customWidth="1"/>
    <col min="21" max="21" width="21.81640625" customWidth="1"/>
    <col min="22" max="25" width="14.54296875" customWidth="1"/>
    <col min="26" max="26" width="28" customWidth="1"/>
    <col min="27" max="27" width="23.453125" style="156" customWidth="1"/>
    <col min="28" max="28" width="23.1796875" customWidth="1"/>
    <col min="29" max="29" width="21" customWidth="1"/>
    <col min="30" max="30" width="22" customWidth="1"/>
    <col min="31" max="31" width="17.54296875" customWidth="1"/>
    <col min="32" max="33" width="13.1796875" customWidth="1"/>
    <col min="34" max="34" width="22.7265625" customWidth="1"/>
    <col min="35" max="35" width="11.1796875" customWidth="1"/>
    <col min="36" max="36" width="11.453125" customWidth="1"/>
    <col min="37" max="37" width="22.1796875" customWidth="1"/>
    <col min="38" max="38" width="24.453125" customWidth="1"/>
    <col min="39" max="39" width="24.54296875" customWidth="1"/>
    <col min="40" max="40" width="21" customWidth="1"/>
    <col min="41" max="49" width="15.54296875" customWidth="1"/>
    <col min="50" max="50" width="3.54296875" customWidth="1"/>
    <col min="51" max="51" width="21.81640625" customWidth="1"/>
    <col min="52" max="60" width="10.54296875" customWidth="1"/>
    <col min="61" max="61" width="3.54296875" customWidth="1"/>
    <col min="62" max="62" width="16.54296875" customWidth="1"/>
    <col min="63" max="63" width="13.54296875" customWidth="1"/>
    <col min="64" max="64" width="17.26953125" customWidth="1"/>
    <col min="65" max="66" width="12.1796875" customWidth="1"/>
    <col min="67" max="67" width="16.54296875" customWidth="1"/>
    <col min="68" max="68" width="13.54296875" customWidth="1"/>
    <col min="69" max="69" width="17.453125" customWidth="1"/>
    <col min="70" max="71" width="12.1796875" customWidth="1"/>
    <col min="72" max="72" width="3.54296875" customWidth="1"/>
    <col min="73" max="73" width="13.54296875" customWidth="1"/>
    <col min="74" max="74" width="18.36328125" customWidth="1"/>
    <col min="75" max="75" width="3.54296875" customWidth="1"/>
    <col min="76" max="77" width="13.54296875" customWidth="1"/>
    <col min="78" max="78" width="21.81640625" customWidth="1"/>
  </cols>
  <sheetData>
    <row r="1" spans="1:78" s="27" customFormat="1">
      <c r="A1" s="716" t="s">
        <v>2319</v>
      </c>
      <c r="B1" s="717"/>
      <c r="C1" s="717"/>
      <c r="D1" s="717"/>
      <c r="E1" s="718"/>
      <c r="AA1" s="156"/>
    </row>
    <row r="2" spans="1:78">
      <c r="A2" s="777" t="s">
        <v>2383</v>
      </c>
      <c r="B2" s="778"/>
      <c r="C2" s="778"/>
      <c r="D2" s="778"/>
      <c r="E2" s="779"/>
      <c r="F2" s="27"/>
      <c r="G2" s="27"/>
      <c r="H2" s="27"/>
    </row>
    <row r="4" spans="1:78">
      <c r="A4" s="157" t="s">
        <v>8</v>
      </c>
      <c r="Z4" s="27"/>
      <c r="BJ4" s="224" t="s">
        <v>1823</v>
      </c>
      <c r="BK4" s="225">
        <v>2000</v>
      </c>
      <c r="BU4" s="245"/>
      <c r="BX4" s="224" t="s">
        <v>1823</v>
      </c>
      <c r="BY4" s="225">
        <v>10000</v>
      </c>
    </row>
    <row r="5" spans="1:78" ht="14.5" customHeight="1">
      <c r="A5" s="70" t="s">
        <v>0</v>
      </c>
      <c r="B5" s="160" t="s">
        <v>1767</v>
      </c>
      <c r="C5" s="160" t="s">
        <v>20</v>
      </c>
      <c r="D5" s="160" t="s">
        <v>22</v>
      </c>
      <c r="E5" s="160" t="s">
        <v>23</v>
      </c>
      <c r="F5" s="160" t="s">
        <v>16</v>
      </c>
      <c r="G5" s="160" t="s">
        <v>16</v>
      </c>
      <c r="H5" s="160" t="s">
        <v>1</v>
      </c>
      <c r="I5" s="160" t="s">
        <v>2</v>
      </c>
      <c r="J5" s="160" t="s">
        <v>30</v>
      </c>
      <c r="K5" s="160" t="s">
        <v>27</v>
      </c>
      <c r="L5" s="160" t="s">
        <v>34</v>
      </c>
      <c r="M5" s="160" t="s">
        <v>29</v>
      </c>
      <c r="N5" s="160" t="s">
        <v>31</v>
      </c>
      <c r="O5" s="160" t="s">
        <v>2213</v>
      </c>
      <c r="P5" s="162" t="s">
        <v>1996</v>
      </c>
      <c r="R5" s="163" t="s">
        <v>25</v>
      </c>
      <c r="S5" s="164"/>
      <c r="U5" s="162" t="s">
        <v>1828</v>
      </c>
      <c r="V5" s="162" t="s">
        <v>29</v>
      </c>
      <c r="W5" s="162" t="s">
        <v>38</v>
      </c>
      <c r="X5" s="162" t="s">
        <v>2019</v>
      </c>
      <c r="Y5" s="162" t="s">
        <v>1996</v>
      </c>
      <c r="Z5" s="162" t="s">
        <v>2026</v>
      </c>
      <c r="AA5" s="773" t="s">
        <v>2003</v>
      </c>
      <c r="AB5" s="188" t="s">
        <v>2004</v>
      </c>
      <c r="AC5" s="188" t="s">
        <v>2005</v>
      </c>
      <c r="AD5" s="161" t="s">
        <v>1826</v>
      </c>
      <c r="AE5" s="190">
        <v>100</v>
      </c>
      <c r="AF5" s="190">
        <f t="shared" ref="AF5:AM5" si="0">AE5*2</f>
        <v>200</v>
      </c>
      <c r="AG5" s="190">
        <f t="shared" si="0"/>
        <v>400</v>
      </c>
      <c r="AH5" s="190">
        <f t="shared" si="0"/>
        <v>800</v>
      </c>
      <c r="AI5" s="190">
        <f t="shared" si="0"/>
        <v>1600</v>
      </c>
      <c r="AJ5" s="190">
        <f t="shared" si="0"/>
        <v>3200</v>
      </c>
      <c r="AK5" s="190">
        <f t="shared" si="0"/>
        <v>6400</v>
      </c>
      <c r="AL5" s="190">
        <f t="shared" si="0"/>
        <v>12800</v>
      </c>
      <c r="AM5" s="190">
        <f t="shared" si="0"/>
        <v>25600</v>
      </c>
      <c r="AN5" s="188" t="s">
        <v>1736</v>
      </c>
      <c r="AO5" s="190">
        <f>AE5</f>
        <v>100</v>
      </c>
      <c r="AP5" s="190">
        <f t="shared" ref="AP5:AW5" si="1">AO5*2</f>
        <v>200</v>
      </c>
      <c r="AQ5" s="190">
        <f t="shared" si="1"/>
        <v>400</v>
      </c>
      <c r="AR5" s="190">
        <f t="shared" si="1"/>
        <v>800</v>
      </c>
      <c r="AS5" s="190">
        <f t="shared" si="1"/>
        <v>1600</v>
      </c>
      <c r="AT5" s="190">
        <f t="shared" si="1"/>
        <v>3200</v>
      </c>
      <c r="AU5" s="190">
        <f t="shared" si="1"/>
        <v>6400</v>
      </c>
      <c r="AV5" s="190">
        <f t="shared" si="1"/>
        <v>12800</v>
      </c>
      <c r="AW5" s="190">
        <f t="shared" si="1"/>
        <v>25600</v>
      </c>
      <c r="AY5" s="210" t="s">
        <v>1736</v>
      </c>
      <c r="AZ5" s="190">
        <f t="shared" ref="AZ5:BH5" si="2">AO5</f>
        <v>100</v>
      </c>
      <c r="BA5" s="190">
        <f t="shared" si="2"/>
        <v>200</v>
      </c>
      <c r="BB5" s="190">
        <f t="shared" si="2"/>
        <v>400</v>
      </c>
      <c r="BC5" s="190">
        <f t="shared" si="2"/>
        <v>800</v>
      </c>
      <c r="BD5" s="190">
        <f t="shared" si="2"/>
        <v>1600</v>
      </c>
      <c r="BE5" s="190">
        <f t="shared" si="2"/>
        <v>3200</v>
      </c>
      <c r="BF5" s="190">
        <f t="shared" si="2"/>
        <v>6400</v>
      </c>
      <c r="BG5" s="190">
        <f t="shared" si="2"/>
        <v>12800</v>
      </c>
      <c r="BH5" s="190">
        <f t="shared" si="2"/>
        <v>25600</v>
      </c>
      <c r="BJ5" s="210" t="s">
        <v>1822</v>
      </c>
      <c r="BK5" s="226" t="s">
        <v>2026</v>
      </c>
      <c r="BL5" s="226" t="s">
        <v>1824</v>
      </c>
      <c r="BM5" s="226" t="s">
        <v>29</v>
      </c>
      <c r="BN5" s="226" t="s">
        <v>1825</v>
      </c>
      <c r="BO5" s="210" t="s">
        <v>1822</v>
      </c>
      <c r="BP5" s="227" t="s">
        <v>2026</v>
      </c>
      <c r="BQ5" s="227" t="s">
        <v>1824</v>
      </c>
      <c r="BR5" s="227" t="s">
        <v>29</v>
      </c>
      <c r="BS5" s="227" t="s">
        <v>1825</v>
      </c>
      <c r="BU5" s="247" t="s">
        <v>1928</v>
      </c>
      <c r="BV5" s="710"/>
      <c r="BW5" s="246"/>
      <c r="BX5" s="247" t="s">
        <v>2247</v>
      </c>
      <c r="BY5" s="247"/>
      <c r="BZ5" s="247"/>
    </row>
    <row r="6" spans="1:78" ht="15" thickBot="1">
      <c r="A6" s="405" t="s">
        <v>1768</v>
      </c>
      <c r="B6" s="159" t="s">
        <v>19</v>
      </c>
      <c r="C6" s="159" t="s">
        <v>21</v>
      </c>
      <c r="D6" s="159" t="s">
        <v>13</v>
      </c>
      <c r="E6" s="159" t="s">
        <v>14</v>
      </c>
      <c r="F6" s="159" t="s">
        <v>24</v>
      </c>
      <c r="G6" s="159" t="s">
        <v>1729</v>
      </c>
      <c r="H6" s="159" t="s">
        <v>3</v>
      </c>
      <c r="I6" s="159" t="s">
        <v>15</v>
      </c>
      <c r="J6" s="159" t="s">
        <v>36</v>
      </c>
      <c r="K6" s="159" t="s">
        <v>28</v>
      </c>
      <c r="L6" s="159" t="s">
        <v>35</v>
      </c>
      <c r="M6" s="159" t="s">
        <v>1761</v>
      </c>
      <c r="N6" s="159" t="s">
        <v>32</v>
      </c>
      <c r="O6" s="159" t="s">
        <v>33</v>
      </c>
      <c r="P6" s="159" t="s">
        <v>1734</v>
      </c>
      <c r="R6" s="771" t="s">
        <v>26</v>
      </c>
      <c r="S6" s="772"/>
      <c r="U6" s="159" t="s">
        <v>37</v>
      </c>
      <c r="V6" s="159" t="s">
        <v>37</v>
      </c>
      <c r="W6" s="159" t="s">
        <v>39</v>
      </c>
      <c r="X6" s="159" t="s">
        <v>1995</v>
      </c>
      <c r="Y6" s="159" t="s">
        <v>1997</v>
      </c>
      <c r="Z6" s="159" t="s">
        <v>2027</v>
      </c>
      <c r="AA6" s="774"/>
      <c r="AB6" s="159" t="s">
        <v>2006</v>
      </c>
      <c r="AC6" s="159" t="s">
        <v>2007</v>
      </c>
      <c r="AD6" s="189" t="s">
        <v>1827</v>
      </c>
      <c r="AE6" s="191"/>
      <c r="AF6" s="191"/>
      <c r="AG6" s="191"/>
      <c r="AH6" s="191"/>
      <c r="AI6" s="191"/>
      <c r="AJ6" s="191"/>
      <c r="AK6" s="191"/>
      <c r="AL6" s="191"/>
      <c r="AM6" s="191"/>
      <c r="AN6" s="158" t="s">
        <v>1735</v>
      </c>
      <c r="AO6" s="191"/>
      <c r="AP6" s="191"/>
      <c r="AQ6" s="191"/>
      <c r="AR6" s="191"/>
      <c r="AS6" s="191"/>
      <c r="AT6" s="191"/>
      <c r="AU6" s="191"/>
      <c r="AV6" s="191"/>
      <c r="AW6" s="191"/>
      <c r="AY6" s="158" t="s">
        <v>1817</v>
      </c>
      <c r="AZ6" s="191"/>
      <c r="BA6" s="191"/>
      <c r="BB6" s="191"/>
      <c r="BC6" s="191"/>
      <c r="BD6" s="191"/>
      <c r="BE6" s="191"/>
      <c r="BF6" s="191"/>
      <c r="BG6" s="191"/>
      <c r="BH6" s="191"/>
      <c r="BJ6" s="158" t="s">
        <v>1817</v>
      </c>
      <c r="BK6" s="230"/>
      <c r="BL6" s="230"/>
      <c r="BM6" s="230"/>
      <c r="BN6" s="230"/>
      <c r="BO6" s="158" t="s">
        <v>28</v>
      </c>
      <c r="BP6" s="230"/>
      <c r="BQ6" s="230"/>
      <c r="BR6" s="230"/>
      <c r="BS6" s="230"/>
      <c r="BU6" s="248" t="s">
        <v>1909</v>
      </c>
      <c r="BV6" s="711" t="s">
        <v>1908</v>
      </c>
      <c r="BX6" s="248" t="str">
        <f>BU6</f>
        <v>Schweröl</v>
      </c>
      <c r="BY6" s="248" t="str">
        <f>BV6</f>
        <v>LNG</v>
      </c>
      <c r="BZ6" s="250"/>
    </row>
    <row r="7" spans="1:78" ht="15" thickTop="1">
      <c r="A7" s="389" t="s">
        <v>1766</v>
      </c>
      <c r="B7" s="167">
        <f>INDEX('Eingabe Transportmittel'!$C$6:$U$20,MATCH(B$5,'Eingabe Transportmittel'!$A$6:$A$20,0),MATCH($A7,'Eingabe Transportmittel'!$C$3:$U$3,0))</f>
        <v>6150</v>
      </c>
      <c r="C7" s="171">
        <f>INDEX('Eingabe Transportmittel'!$C$6:$U$20,MATCH(C$5,'Eingabe Transportmittel'!$A$6:$A$20,0),MATCH($A7,'Eingabe Transportmittel'!$C$3:$U$3,0))</f>
        <v>118</v>
      </c>
      <c r="D7" s="171">
        <f>INDEX('Eingabe Transportmittel'!$C$6:$U$20,MATCH(D$5,'Eingabe Transportmittel'!$A$6:$A$20,0),MATCH($A7,'Eingabe Transportmittel'!$C$3:$U$3,0))</f>
        <v>2500</v>
      </c>
      <c r="E7" s="171">
        <f>INDEX('Eingabe Transportmittel'!$C$6:$U$20,MATCH(E$5,'Eingabe Transportmittel'!$A$6:$A$20,0),MATCH($A7,'Eingabe Transportmittel'!$C$3:$U$3,0))</f>
        <v>5500</v>
      </c>
      <c r="F7" s="171">
        <f>INDEX('Eingabe Transportmittel'!$C$6:$U$20,MATCH(F$5,'Eingabe Transportmittel'!$A$6:$A$20,0),MATCH($A7,'Eingabe Transportmittel'!$C$3:$U$3,0))</f>
        <v>13</v>
      </c>
      <c r="G7" s="171">
        <f>INDEX('Eingabe Transportmittel'!$C$6:$U$20,MATCH(G$5,'Eingabe Transportmittel'!$A$6:$A$20,0),MATCH($A7,'Eingabe Transportmittel'!$C$3:$U$3,0))</f>
        <v>13</v>
      </c>
      <c r="H7" s="171">
        <f>INDEX('Eingabe Transportmittel'!$C$6:$U$20,MATCH(H$5,'Eingabe Transportmittel'!$A$6:$A$20,0),MATCH($A7,'Eingabe Transportmittel'!$C$3:$U$3,0))</f>
        <v>30</v>
      </c>
      <c r="I7" s="174">
        <f>INDEX('Eingabe Transportmittel'!$C$6:$U$20,MATCH(I$5,'Eingabe Transportmittel'!$A$6:$A$20,0),MATCH($A7,'Eingabe Transportmittel'!$C$3:$U$3,0))</f>
        <v>0.08</v>
      </c>
      <c r="J7" s="171">
        <f>INDEX('Eingabe Transportmittel'!$C$6:$U$20,MATCH(J$5,'Eingabe Transportmittel'!$A$6:$A$20,0),MATCH($A7,'Eingabe Transportmittel'!$C$3:$U$3,0))</f>
        <v>35</v>
      </c>
      <c r="K7" s="174">
        <f>INDEX('Eingabe Transportmittel'!$C$6:$U$20,MATCH(K$5,'Eingabe Transportmittel'!$A$6:$A$20,0),MATCH($A7,'Eingabe Transportmittel'!$C$3:$U$3,0))</f>
        <v>0.5</v>
      </c>
      <c r="L7" s="171">
        <f>INDEX('Eingabe Transportmittel'!$C$6:$U$20,MATCH(L$5,'Eingabe Transportmittel'!$A$6:$A$20,0),MATCH($A7,'Eingabe Transportmittel'!$C$3:$U$3,0))</f>
        <v>30.303030303030308</v>
      </c>
      <c r="M7" s="171">
        <f>INDEX('Eingabe Transportmittel'!$C$6:$U$20,MATCH(M$5,'Eingabe Transportmittel'!$A$6:$A$20,0),MATCH($A7,'Eingabe Transportmittel'!$C$3:$U$3,0))</f>
        <v>66000</v>
      </c>
      <c r="N7" s="174">
        <f>INDEX('Eingabe Transportmittel'!$C$6:$U$20,MATCH(N$5,'Eingabe Transportmittel'!$A$6:$A$20,0),MATCH($A7,'Eingabe Transportmittel'!$C$3:$U$3,0))</f>
        <v>0.03</v>
      </c>
      <c r="O7" s="171">
        <f>INDEX('Eingabe Transportmittel'!$C$6:$U$20,MATCH(O$5,'Eingabe Transportmittel'!$A$6:$A$20,0),MATCH($A7,'Eingabe Transportmittel'!$C$3:$U$3,0))</f>
        <v>30</v>
      </c>
      <c r="P7" s="171">
        <f>INDEX('Eingabe Transportmittel'!$C$6:$U$20,MATCH(P$5,'Eingabe Transportmittel'!$A$6:$A$20,0),MATCH($A7,'Eingabe Transportmittel'!$C$3:$U$3,0))</f>
        <v>2</v>
      </c>
      <c r="R7" s="176">
        <f>11*0.5*5</f>
        <v>27.5</v>
      </c>
      <c r="S7" s="187" t="s">
        <v>2320</v>
      </c>
      <c r="T7" t="s">
        <v>2284</v>
      </c>
      <c r="U7" s="185">
        <f>(-PMT(I7,H7,1)+N7)*J7*1000000</f>
        <v>4158960.16855453</v>
      </c>
      <c r="V7" s="166">
        <f>12*$M7</f>
        <v>792000</v>
      </c>
      <c r="W7" s="186">
        <f>R7/K7*L7/(24*F7)</f>
        <v>5.3418803418803424</v>
      </c>
      <c r="X7" s="166">
        <f>(2/F7/24)/(365-O7)</f>
        <v>1.9135093761959435E-5</v>
      </c>
      <c r="Y7" s="166">
        <f>(P7)/(365-O7)</f>
        <v>5.9701492537313433E-3</v>
      </c>
      <c r="Z7" s="40">
        <f>25000+0.5*B7</f>
        <v>28075</v>
      </c>
      <c r="AB7" s="195">
        <f>(U7+V7)*Y7+2*Z7</f>
        <v>85707.971155549429</v>
      </c>
      <c r="AC7" s="196">
        <f>(U7+V7)*X7+2*W7</f>
        <v>105.42084772077808</v>
      </c>
      <c r="AD7" s="3"/>
      <c r="AE7" s="192">
        <f t="shared" ref="AE7:AM10" si="3">1/(AE$5*$X7+$Y7)</f>
        <v>126.84466019417475</v>
      </c>
      <c r="AF7" s="192">
        <f t="shared" si="3"/>
        <v>102.0703125</v>
      </c>
      <c r="AG7" s="192">
        <f t="shared" si="3"/>
        <v>73.398876404494388</v>
      </c>
      <c r="AH7" s="192">
        <f t="shared" si="3"/>
        <v>46.99640287769784</v>
      </c>
      <c r="AI7" s="192">
        <f t="shared" si="3"/>
        <v>27.332635983263597</v>
      </c>
      <c r="AJ7" s="192">
        <f t="shared" si="3"/>
        <v>14.880410022779044</v>
      </c>
      <c r="AK7" s="192">
        <f t="shared" si="3"/>
        <v>7.7860548271752092</v>
      </c>
      <c r="AL7" s="192">
        <f t="shared" si="3"/>
        <v>3.9856619890176939</v>
      </c>
      <c r="AM7" s="192">
        <f t="shared" si="3"/>
        <v>2.0168261809200372</v>
      </c>
      <c r="AO7" s="205">
        <f t="shared" ref="AO7:AW10" si="4">$AB7+$AC7*AO$5</f>
        <v>96250.05592762724</v>
      </c>
      <c r="AP7" s="206">
        <f t="shared" si="4"/>
        <v>106792.14069970505</v>
      </c>
      <c r="AQ7" s="206">
        <f t="shared" si="4"/>
        <v>127876.31024386067</v>
      </c>
      <c r="AR7" s="206">
        <f t="shared" si="4"/>
        <v>170044.64933217189</v>
      </c>
      <c r="AS7" s="206">
        <f t="shared" si="4"/>
        <v>254381.32750879438</v>
      </c>
      <c r="AT7" s="206">
        <f t="shared" si="4"/>
        <v>423054.68386203935</v>
      </c>
      <c r="AU7" s="206">
        <f t="shared" si="4"/>
        <v>760401.39656852919</v>
      </c>
      <c r="AV7" s="206">
        <f t="shared" si="4"/>
        <v>1435094.821981509</v>
      </c>
      <c r="AW7" s="207">
        <f t="shared" si="4"/>
        <v>2784481.6728074686</v>
      </c>
      <c r="AY7" s="211" t="s">
        <v>1834</v>
      </c>
      <c r="AZ7" s="212">
        <f t="shared" ref="AZ7:BH8" si="5">AO7/($D7*70*33.3)</f>
        <v>1.651652611370695E-2</v>
      </c>
      <c r="BA7" s="215">
        <f t="shared" si="5"/>
        <v>1.8325549669619058E-2</v>
      </c>
      <c r="BB7" s="215">
        <f t="shared" si="5"/>
        <v>2.1943596781443277E-2</v>
      </c>
      <c r="BC7" s="215">
        <f t="shared" si="5"/>
        <v>2.9179691005091705E-2</v>
      </c>
      <c r="BD7" s="215">
        <f t="shared" si="5"/>
        <v>4.3651879452388576E-2</v>
      </c>
      <c r="BE7" s="215">
        <f t="shared" si="5"/>
        <v>7.2596256346982316E-2</v>
      </c>
      <c r="BF7" s="215">
        <f t="shared" si="5"/>
        <v>0.13048501013616975</v>
      </c>
      <c r="BG7" s="215">
        <f t="shared" si="5"/>
        <v>0.24626251771454469</v>
      </c>
      <c r="BH7" s="216">
        <f t="shared" si="5"/>
        <v>0.47781753287129458</v>
      </c>
      <c r="BK7" s="231">
        <f>2*$Z7/($D7*70*33.3)</f>
        <v>9.6353496353496371E-3</v>
      </c>
      <c r="BL7" s="215">
        <f>($U7/((365-$O7)/(2*$BK$4/$F7/24+$P7)))/($D7*70*33.3)</f>
        <v>3.1573367396256595E-2</v>
      </c>
      <c r="BM7" s="215">
        <f>($V7/((365-$O7)/(2*$BK$4/$F7/24+$P7)))/($D7*70*33.3)</f>
        <v>6.0125863110937743E-3</v>
      </c>
      <c r="BN7" s="216">
        <f>2*$BK$4*$W7/($D7*70*33.3)</f>
        <v>3.6666703333370011E-3</v>
      </c>
      <c r="BP7" s="239">
        <f t="shared" ref="BP7:BS10" si="6">BK7/SUM($BK7:$BN7)</f>
        <v>0.18934433696830208</v>
      </c>
      <c r="BQ7" s="240">
        <f t="shared" si="6"/>
        <v>0.62044850905754179</v>
      </c>
      <c r="BR7" s="240">
        <f t="shared" si="6"/>
        <v>0.11815338432162967</v>
      </c>
      <c r="BS7" s="241">
        <f t="shared" si="6"/>
        <v>7.2053769652526467E-2</v>
      </c>
      <c r="BU7" s="231">
        <f>R7/K7/(24*F7)*3.6*80</f>
        <v>50.769230769230774</v>
      </c>
      <c r="BV7" s="709">
        <f>R7/K7/(24*F7)*3.6*56</f>
        <v>35.53846153846154</v>
      </c>
      <c r="BX7" s="231">
        <f>2*$BY$4*BU7/($D7*70*33.3)</f>
        <v>0.17424017424017429</v>
      </c>
      <c r="BY7" s="249">
        <f>2*$BY$4*BV7/($D7*70*33.3)</f>
        <v>0.12196812196812198</v>
      </c>
      <c r="BZ7" s="695" t="s">
        <v>1834</v>
      </c>
    </row>
    <row r="8" spans="1:78">
      <c r="A8" s="390" t="s">
        <v>2002</v>
      </c>
      <c r="B8" s="168">
        <f>INDEX('Eingabe Transportmittel'!$C$6:$U$20,MATCH(B$5,'Eingabe Transportmittel'!$A$6:$A$20,0),MATCH($A8,'Eingabe Transportmittel'!$C$3:$U$3,0))</f>
        <v>130000</v>
      </c>
      <c r="C8" s="170">
        <f>INDEX('Eingabe Transportmittel'!$C$6:$U$20,MATCH(C$5,'Eingabe Transportmittel'!$A$6:$A$20,0),MATCH($A8,'Eingabe Transportmittel'!$C$3:$U$3,0))</f>
        <v>345</v>
      </c>
      <c r="D8" s="170">
        <f>INDEX('Eingabe Transportmittel'!$C$6:$U$20,MATCH(D$5,'Eingabe Transportmittel'!$A$6:$A$20,0),MATCH($A8,'Eingabe Transportmittel'!$C$3:$U$3,0))</f>
        <v>160000</v>
      </c>
      <c r="E8" s="170">
        <f>INDEX('Eingabe Transportmittel'!$C$6:$U$20,MATCH(E$5,'Eingabe Transportmittel'!$A$6:$A$20,0),MATCH($A8,'Eingabe Transportmittel'!$C$3:$U$3,0))</f>
        <v>120000</v>
      </c>
      <c r="F8" s="170">
        <f>INDEX('Eingabe Transportmittel'!$C$6:$U$20,MATCH(F$5,'Eingabe Transportmittel'!$A$6:$A$20,0),MATCH($A8,'Eingabe Transportmittel'!$C$3:$U$3,0))</f>
        <v>16.5</v>
      </c>
      <c r="G8" s="170">
        <f>INDEX('Eingabe Transportmittel'!$C$6:$U$20,MATCH(G$5,'Eingabe Transportmittel'!$A$6:$A$20,0),MATCH($A8,'Eingabe Transportmittel'!$C$3:$U$3,0))</f>
        <v>16.5</v>
      </c>
      <c r="H8" s="170">
        <f>INDEX('Eingabe Transportmittel'!$C$6:$U$20,MATCH(H$5,'Eingabe Transportmittel'!$A$6:$A$20,0),MATCH($A8,'Eingabe Transportmittel'!$C$3:$U$3,0))</f>
        <v>30</v>
      </c>
      <c r="I8" s="173">
        <f>INDEX('Eingabe Transportmittel'!$C$6:$U$20,MATCH(I$5,'Eingabe Transportmittel'!$A$6:$A$20,0),MATCH($A8,'Eingabe Transportmittel'!$C$3:$U$3,0))</f>
        <v>0.08</v>
      </c>
      <c r="J8" s="170">
        <f>INDEX('Eingabe Transportmittel'!$C$6:$U$20,MATCH(J$5,'Eingabe Transportmittel'!$A$6:$A$20,0),MATCH($A8,'Eingabe Transportmittel'!$C$3:$U$3,0))</f>
        <v>181.81818181818181</v>
      </c>
      <c r="K8" s="173">
        <f>INDEX('Eingabe Transportmittel'!$C$6:$U$20,MATCH(K$5,'Eingabe Transportmittel'!$A$6:$A$20,0),MATCH($A8,'Eingabe Transportmittel'!$C$3:$U$3,0))</f>
        <v>0.5</v>
      </c>
      <c r="L8" s="170">
        <f>INDEX('Eingabe Transportmittel'!$C$6:$U$20,MATCH(L$5,'Eingabe Transportmittel'!$A$6:$A$20,0),MATCH($A8,'Eingabe Transportmittel'!$C$3:$U$3,0))</f>
        <v>30.303030303030308</v>
      </c>
      <c r="M8" s="170">
        <f>INDEX('Eingabe Transportmittel'!$C$6:$U$20,MATCH(M$5,'Eingabe Transportmittel'!$A$6:$A$20,0),MATCH($A8,'Eingabe Transportmittel'!$C$3:$U$3,0))</f>
        <v>80000</v>
      </c>
      <c r="N8" s="173">
        <f>INDEX('Eingabe Transportmittel'!$C$6:$U$20,MATCH(N$5,'Eingabe Transportmittel'!$A$6:$A$20,0),MATCH($A8,'Eingabe Transportmittel'!$C$3:$U$3,0))</f>
        <v>0.03</v>
      </c>
      <c r="O8" s="170">
        <f>INDEX('Eingabe Transportmittel'!$C$6:$U$20,MATCH(O$5,'Eingabe Transportmittel'!$A$6:$A$20,0),MATCH($A8,'Eingabe Transportmittel'!$C$3:$U$3,0))</f>
        <v>30</v>
      </c>
      <c r="P8" s="170">
        <f>INDEX('Eingabe Transportmittel'!$C$6:$U$20,MATCH(P$5,'Eingabe Transportmittel'!$A$6:$A$20,0),MATCH($A8,'Eingabe Transportmittel'!$C$3:$U$3,0))</f>
        <v>2</v>
      </c>
      <c r="R8" s="177">
        <f>11*0.5*1/157000000*POWER(G8,3.3)*POWER(B8,1.2)</f>
        <v>499.91028945918322</v>
      </c>
      <c r="S8" s="165"/>
      <c r="U8" s="181">
        <f>(-PMT(I8,H8,1)+N8)*J8*1000000</f>
        <v>21604987.888594963</v>
      </c>
      <c r="V8" s="15">
        <f>12*$M8</f>
        <v>960000</v>
      </c>
      <c r="W8" s="182">
        <f>R8/K8*L8/(24*F8)</f>
        <v>76.509073991304447</v>
      </c>
      <c r="X8" s="15">
        <f>(2/F8/24)/(365-O8)</f>
        <v>1.5076134479119554E-5</v>
      </c>
      <c r="Y8" s="15">
        <f>(P8)/(365-O8)</f>
        <v>5.9701492537313433E-3</v>
      </c>
      <c r="Z8" s="165">
        <f>25000+0.5*B8</f>
        <v>90000</v>
      </c>
      <c r="AB8" s="197">
        <f>(U8+V8)*Y8+2*Z8</f>
        <v>314716.34560355201</v>
      </c>
      <c r="AC8" s="198">
        <f>(U8+V8)*X8+2*W8</f>
        <v>493.21093991077055</v>
      </c>
      <c r="AD8" s="3"/>
      <c r="AE8" s="193">
        <f t="shared" si="3"/>
        <v>133.72983870967741</v>
      </c>
      <c r="AF8" s="193">
        <f t="shared" si="3"/>
        <v>111.29194630872485</v>
      </c>
      <c r="AG8" s="193">
        <f t="shared" si="3"/>
        <v>83.329145728643226</v>
      </c>
      <c r="AH8" s="193">
        <f t="shared" si="3"/>
        <v>55.459866220735783</v>
      </c>
      <c r="AI8" s="193">
        <f t="shared" si="3"/>
        <v>33.231462925851702</v>
      </c>
      <c r="AJ8" s="193">
        <f t="shared" si="3"/>
        <v>18.445494994438263</v>
      </c>
      <c r="AK8" s="193">
        <f t="shared" si="3"/>
        <v>9.7601530311948199</v>
      </c>
      <c r="AL8" s="193">
        <f t="shared" si="3"/>
        <v>5.0265231888451041</v>
      </c>
      <c r="AM8" s="193">
        <f t="shared" si="3"/>
        <v>2.5515463917525771</v>
      </c>
      <c r="AO8" s="201">
        <f t="shared" si="4"/>
        <v>364037.43959462905</v>
      </c>
      <c r="AP8" s="182">
        <f t="shared" si="4"/>
        <v>413358.53358570614</v>
      </c>
      <c r="AQ8" s="182">
        <f t="shared" si="4"/>
        <v>512000.72156786022</v>
      </c>
      <c r="AR8" s="182">
        <f t="shared" si="4"/>
        <v>709285.0975321685</v>
      </c>
      <c r="AS8" s="182">
        <f t="shared" si="4"/>
        <v>1103853.8494607848</v>
      </c>
      <c r="AT8" s="182">
        <f t="shared" si="4"/>
        <v>1892991.3533180177</v>
      </c>
      <c r="AU8" s="182">
        <f t="shared" si="4"/>
        <v>3471266.3610324836</v>
      </c>
      <c r="AV8" s="182">
        <f t="shared" si="4"/>
        <v>6627816.3764614146</v>
      </c>
      <c r="AW8" s="202">
        <f t="shared" si="4"/>
        <v>12940916.407319278</v>
      </c>
      <c r="AY8" s="211" t="s">
        <v>2248</v>
      </c>
      <c r="AZ8" s="213">
        <f t="shared" si="5"/>
        <v>9.7607636098946031E-4</v>
      </c>
      <c r="BA8" s="217">
        <f t="shared" si="5"/>
        <v>1.1083186764953513E-3</v>
      </c>
      <c r="BB8" s="217">
        <f t="shared" si="5"/>
        <v>1.372803307507133E-3</v>
      </c>
      <c r="BC8" s="217">
        <f t="shared" si="5"/>
        <v>1.9017725695306966E-3</v>
      </c>
      <c r="BD8" s="217">
        <f t="shared" si="5"/>
        <v>2.9597110935778233E-3</v>
      </c>
      <c r="BE8" s="217">
        <f t="shared" si="5"/>
        <v>5.0755881416720775E-3</v>
      </c>
      <c r="BF8" s="217">
        <f t="shared" si="5"/>
        <v>9.3073422378605868E-3</v>
      </c>
      <c r="BG8" s="217">
        <f t="shared" si="5"/>
        <v>1.77708504302376E-2</v>
      </c>
      <c r="BH8" s="218">
        <f t="shared" si="5"/>
        <v>3.4697866814991631E-2</v>
      </c>
      <c r="BK8" s="228">
        <f>2*$Z8/($D8*70*33.3)</f>
        <v>4.8262548262548269E-4</v>
      </c>
      <c r="BL8" s="217">
        <f>($U8/((365-$O8)/(2*$BK$4/$F8/24+$P8)))/($D8*70*33.3)</f>
        <v>2.0925150364017159E-3</v>
      </c>
      <c r="BM8" s="217">
        <f>($V8/((365-$O8)/(2*$BK$4/$F8/24+$P8)))/($D8*70*33.3)</f>
        <v>9.2979197456809426E-5</v>
      </c>
      <c r="BN8" s="218">
        <f>2*$BK$4*$W8/($D8*70*33.3)</f>
        <v>8.2056063911737948E-4</v>
      </c>
      <c r="BP8" s="233">
        <f t="shared" si="6"/>
        <v>0.13834041340318967</v>
      </c>
      <c r="BQ8" s="234">
        <f t="shared" si="6"/>
        <v>0.59980130682995836</v>
      </c>
      <c r="BR8" s="234">
        <f t="shared" si="6"/>
        <v>2.6651681432356803E-2</v>
      </c>
      <c r="BS8" s="235">
        <f t="shared" si="6"/>
        <v>0.23520659833449523</v>
      </c>
      <c r="BU8" s="228">
        <f>R8/K8/(24*F8)*3.6*80</f>
        <v>727.14223921335747</v>
      </c>
      <c r="BV8" s="165">
        <f>R8/K8/(24*F8)*3.6*56</f>
        <v>508.9995674493502</v>
      </c>
      <c r="BX8" s="228">
        <f>2*$BY$4*BU8/($D8*70*33.3)</f>
        <v>3.8993041570857874E-2</v>
      </c>
      <c r="BY8" s="15">
        <f>2*$BY$4*BV8/($D8*70*33.3)</f>
        <v>2.7295129099600506E-2</v>
      </c>
      <c r="BZ8" s="695" t="s">
        <v>2248</v>
      </c>
    </row>
    <row r="9" spans="1:78">
      <c r="A9" s="390" t="s">
        <v>17</v>
      </c>
      <c r="B9" s="167">
        <f>INDEX('Eingabe Transportmittel'!$C$6:$U$20,MATCH(B$5,'Eingabe Transportmittel'!$A$6:$A$20,0),MATCH($A9,'Eingabe Transportmittel'!$C$3:$U$3,0))</f>
        <v>318000</v>
      </c>
      <c r="C9" s="171">
        <f>INDEX('Eingabe Transportmittel'!$C$6:$U$20,MATCH(C$5,'Eingabe Transportmittel'!$A$6:$A$20,0),MATCH($A9,'Eingabe Transportmittel'!$C$3:$U$3,0))</f>
        <v>333</v>
      </c>
      <c r="D9" s="171">
        <f>INDEX('Eingabe Transportmittel'!$C$6:$U$20,MATCH(D$5,'Eingabe Transportmittel'!$A$6:$A$20,0),MATCH($A9,'Eingabe Transportmittel'!$C$3:$U$3,0))</f>
        <v>345000</v>
      </c>
      <c r="E9" s="171">
        <f>INDEX('Eingabe Transportmittel'!$C$6:$U$20,MATCH(E$5,'Eingabe Transportmittel'!$A$6:$A$20,0),MATCH($A9,'Eingabe Transportmittel'!$C$3:$U$3,0))</f>
        <v>300000</v>
      </c>
      <c r="F9" s="171">
        <f>INDEX('Eingabe Transportmittel'!$C$6:$U$20,MATCH(F$5,'Eingabe Transportmittel'!$A$6:$A$20,0),MATCH($A9,'Eingabe Transportmittel'!$C$3:$U$3,0))</f>
        <v>9</v>
      </c>
      <c r="G9" s="171">
        <f>INDEX('Eingabe Transportmittel'!$C$6:$U$20,MATCH(G$5,'Eingabe Transportmittel'!$A$6:$A$20,0),MATCH($A9,'Eingabe Transportmittel'!$C$3:$U$3,0))</f>
        <v>9</v>
      </c>
      <c r="H9" s="171">
        <f>INDEX('Eingabe Transportmittel'!$C$6:$U$20,MATCH(H$5,'Eingabe Transportmittel'!$A$6:$A$20,0),MATCH($A9,'Eingabe Transportmittel'!$C$3:$U$3,0))</f>
        <v>25</v>
      </c>
      <c r="I9" s="174">
        <f>INDEX('Eingabe Transportmittel'!$C$6:$U$20,MATCH(I$5,'Eingabe Transportmittel'!$A$6:$A$20,0),MATCH($A9,'Eingabe Transportmittel'!$C$3:$U$3,0))</f>
        <v>0.08</v>
      </c>
      <c r="J9" s="171">
        <f>INDEX('Eingabe Transportmittel'!$C$6:$U$20,MATCH(J$5,'Eingabe Transportmittel'!$A$6:$A$20,0),MATCH($A9,'Eingabe Transportmittel'!$C$3:$U$3,0))</f>
        <v>75</v>
      </c>
      <c r="K9" s="174">
        <f>INDEX('Eingabe Transportmittel'!$C$6:$U$20,MATCH(K$5,'Eingabe Transportmittel'!$A$6:$A$20,0),MATCH($A9,'Eingabe Transportmittel'!$C$3:$U$3,0))</f>
        <v>0.5</v>
      </c>
      <c r="L9" s="171">
        <f>INDEX('Eingabe Transportmittel'!$C$6:$U$20,MATCH(L$5,'Eingabe Transportmittel'!$A$6:$A$20,0),MATCH($A9,'Eingabe Transportmittel'!$C$3:$U$3,0))</f>
        <v>30.303030303030308</v>
      </c>
      <c r="M9" s="171">
        <f>INDEX('Eingabe Transportmittel'!$C$6:$U$20,MATCH(M$5,'Eingabe Transportmittel'!$A$6:$A$20,0),MATCH($A9,'Eingabe Transportmittel'!$C$3:$U$3,0))</f>
        <v>80000</v>
      </c>
      <c r="N9" s="174">
        <f>INDEX('Eingabe Transportmittel'!$C$6:$U$20,MATCH(N$5,'Eingabe Transportmittel'!$A$6:$A$20,0),MATCH($A9,'Eingabe Transportmittel'!$C$3:$U$3,0))</f>
        <v>0.02</v>
      </c>
      <c r="O9" s="171">
        <f>INDEX('Eingabe Transportmittel'!$C$6:$U$20,MATCH(O$5,'Eingabe Transportmittel'!$A$6:$A$20,0),MATCH($A9,'Eingabe Transportmittel'!$C$3:$U$3,0))</f>
        <v>30</v>
      </c>
      <c r="P9" s="171">
        <f>INDEX('Eingabe Transportmittel'!$C$6:$U$20,MATCH(P$5,'Eingabe Transportmittel'!$A$6:$A$20,0),MATCH($A9,'Eingabe Transportmittel'!$C$3:$U$3,0))</f>
        <v>5</v>
      </c>
      <c r="R9" s="178">
        <f>11*0.5*1/157000000*POWER(G9,3.3)*POWER(B9,1.2)</f>
        <v>197.86813584499848</v>
      </c>
      <c r="S9" s="40"/>
      <c r="U9" s="185">
        <f>(-PMT(I9,H9,1)+N9)*J9*1000000</f>
        <v>8525908.4288976099</v>
      </c>
      <c r="V9" s="166">
        <f>12*$M9</f>
        <v>960000</v>
      </c>
      <c r="W9" s="186">
        <f>R9/K9*L9/(24*F9)</f>
        <v>55.518556634399133</v>
      </c>
      <c r="X9" s="166">
        <f>(2/F9/24)/(365-O9)</f>
        <v>2.7639579878385846E-5</v>
      </c>
      <c r="Y9" s="166">
        <f>(P9)/(365-O9)</f>
        <v>1.4925373134328358E-2</v>
      </c>
      <c r="Z9" s="40">
        <f>25000+0.5*B9</f>
        <v>184000</v>
      </c>
      <c r="AB9" s="195">
        <f>(U9+V9)*Y9+2*Z9</f>
        <v>509580.72281936731</v>
      </c>
      <c r="AC9" s="196">
        <f>(U9+V9)*X9+2*W9</f>
        <v>373.22363700836729</v>
      </c>
      <c r="AD9" s="3"/>
      <c r="AE9" s="192">
        <f t="shared" si="3"/>
        <v>56.53125</v>
      </c>
      <c r="AF9" s="192">
        <f t="shared" si="3"/>
        <v>48.891891891891902</v>
      </c>
      <c r="AG9" s="192">
        <f t="shared" si="3"/>
        <v>38.48936170212766</v>
      </c>
      <c r="AH9" s="192">
        <f t="shared" si="3"/>
        <v>27</v>
      </c>
      <c r="AI9" s="192">
        <f t="shared" si="3"/>
        <v>16.90654205607477</v>
      </c>
      <c r="AJ9" s="192">
        <f t="shared" si="3"/>
        <v>9.6737967914438521</v>
      </c>
      <c r="AK9" s="192">
        <f t="shared" si="3"/>
        <v>5.2132564841498574</v>
      </c>
      <c r="AL9" s="192">
        <f t="shared" si="3"/>
        <v>2.7121439280359825</v>
      </c>
      <c r="AM9" s="192">
        <f t="shared" si="3"/>
        <v>1.3840856924254019</v>
      </c>
      <c r="AO9" s="208">
        <f t="shared" si="4"/>
        <v>546903.08652020409</v>
      </c>
      <c r="AP9" s="186">
        <f t="shared" si="4"/>
        <v>584225.45022104075</v>
      </c>
      <c r="AQ9" s="186">
        <f t="shared" si="4"/>
        <v>658870.1776227142</v>
      </c>
      <c r="AR9" s="186">
        <f t="shared" si="4"/>
        <v>808159.6324260612</v>
      </c>
      <c r="AS9" s="186">
        <f t="shared" si="4"/>
        <v>1106738.542032755</v>
      </c>
      <c r="AT9" s="186">
        <f t="shared" si="4"/>
        <v>1703896.3612461425</v>
      </c>
      <c r="AU9" s="186">
        <f t="shared" si="4"/>
        <v>2898211.9996729181</v>
      </c>
      <c r="AV9" s="186">
        <f t="shared" si="4"/>
        <v>5286843.2765264688</v>
      </c>
      <c r="AW9" s="209">
        <f t="shared" si="4"/>
        <v>10064105.83023357</v>
      </c>
      <c r="AY9" s="211" t="s">
        <v>1816</v>
      </c>
      <c r="AZ9" s="214">
        <f t="shared" ref="AZ9:BH9" si="7">AO9/($D9*1000*8.8)</f>
        <v>1.8013935656133201E-4</v>
      </c>
      <c r="BA9" s="219">
        <f t="shared" si="7"/>
        <v>1.9243262523749693E-4</v>
      </c>
      <c r="BB9" s="219">
        <f t="shared" si="7"/>
        <v>2.1701916258982676E-4</v>
      </c>
      <c r="BC9" s="219">
        <f t="shared" si="7"/>
        <v>2.6619223729448653E-4</v>
      </c>
      <c r="BD9" s="219">
        <f t="shared" si="7"/>
        <v>3.6453838670380594E-4</v>
      </c>
      <c r="BE9" s="219">
        <f t="shared" si="7"/>
        <v>5.6123068552244471E-4</v>
      </c>
      <c r="BF9" s="219">
        <f t="shared" si="7"/>
        <v>9.5461528315972258E-4</v>
      </c>
      <c r="BG9" s="219">
        <f t="shared" si="7"/>
        <v>1.741384478434278E-3</v>
      </c>
      <c r="BH9" s="220">
        <f t="shared" si="7"/>
        <v>3.3149228689833888E-3</v>
      </c>
      <c r="BK9" s="232">
        <f>2*$Z9/($D9*1000*8.8)</f>
        <v>1.212121212121212E-4</v>
      </c>
      <c r="BL9" s="219">
        <f>($U9/((365-$O9)/(2*$BK$4/$F9/24+$P9)))/($D9*1000*8.8)</f>
        <v>1.9715329997465394E-4</v>
      </c>
      <c r="BM9" s="219">
        <f>($V9/((365-$O9)/(2*$BK$4/$F9/24+$P9)))/($D9*1000*8.8)</f>
        <v>2.2199061783747049E-5</v>
      </c>
      <c r="BN9" s="220">
        <f>2*$BK$4*$W9/($D9*1000*8.8)</f>
        <v>7.3146978437943507E-5</v>
      </c>
      <c r="BP9" s="242">
        <f t="shared" si="6"/>
        <v>0.2929870997517422</v>
      </c>
      <c r="BQ9" s="243">
        <f t="shared" si="6"/>
        <v>0.47654783191998756</v>
      </c>
      <c r="BR9" s="243">
        <f t="shared" si="6"/>
        <v>5.3658319516145733E-2</v>
      </c>
      <c r="BS9" s="244">
        <f t="shared" si="6"/>
        <v>0.17680674881212444</v>
      </c>
      <c r="BU9" s="232">
        <f>R9/K9/(24*F9)*3.6*80</f>
        <v>527.64836225332931</v>
      </c>
      <c r="BV9" s="40">
        <f>R9/K9/(24*F9)*3.6*56</f>
        <v>369.35385357733048</v>
      </c>
      <c r="BX9" s="232">
        <f>2*$BY$4*BU9/($D9*1000*8.8)</f>
        <v>3.4759444153710756E-3</v>
      </c>
      <c r="BY9" s="166">
        <f>2*$BY$4*BV9/($D9*1000*8.8)</f>
        <v>2.4331610907597522E-3</v>
      </c>
      <c r="BZ9" s="695" t="s">
        <v>1816</v>
      </c>
    </row>
    <row r="10" spans="1:78">
      <c r="A10" s="391" t="s">
        <v>1885</v>
      </c>
      <c r="B10" s="169">
        <f>INDEX('Eingabe Transportmittel'!$C$6:$U$20,MATCH(B$5,'Eingabe Transportmittel'!$A$6:$A$20,0),MATCH($A10,'Eingabe Transportmittel'!$C$3:$U$3,0))</f>
        <v>75000</v>
      </c>
      <c r="C10" s="172">
        <f>INDEX('Eingabe Transportmittel'!$C$6:$U$20,MATCH(C$5,'Eingabe Transportmittel'!$A$6:$A$20,0),MATCH($A10,'Eingabe Transportmittel'!$C$3:$U$3,0))</f>
        <v>228</v>
      </c>
      <c r="D10" s="172">
        <f>INDEX('Eingabe Transportmittel'!$C$6:$U$20,MATCH(D$5,'Eingabe Transportmittel'!$A$6:$A$20,0),MATCH($A10,'Eingabe Transportmittel'!$C$3:$U$3,0))</f>
        <v>86000</v>
      </c>
      <c r="E10" s="172">
        <f>INDEX('Eingabe Transportmittel'!$C$6:$U$20,MATCH(E$5,'Eingabe Transportmittel'!$A$6:$A$20,0),MATCH($A10,'Eingabe Transportmittel'!$C$3:$U$3,0))</f>
        <v>70000</v>
      </c>
      <c r="F10" s="172">
        <f>INDEX('Eingabe Transportmittel'!$C$6:$U$20,MATCH(F$5,'Eingabe Transportmittel'!$A$6:$A$20,0),MATCH($A10,'Eingabe Transportmittel'!$C$3:$U$3,0))</f>
        <v>14</v>
      </c>
      <c r="G10" s="172">
        <f>INDEX('Eingabe Transportmittel'!$C$6:$U$20,MATCH(G$5,'Eingabe Transportmittel'!$A$6:$A$20,0),MATCH($A10,'Eingabe Transportmittel'!$C$3:$U$3,0))</f>
        <v>14</v>
      </c>
      <c r="H10" s="172">
        <f>INDEX('Eingabe Transportmittel'!$C$6:$U$20,MATCH(H$5,'Eingabe Transportmittel'!$A$6:$A$20,0),MATCH($A10,'Eingabe Transportmittel'!$C$3:$U$3,0))</f>
        <v>30</v>
      </c>
      <c r="I10" s="175">
        <f>INDEX('Eingabe Transportmittel'!$C$6:$U$20,MATCH(I$5,'Eingabe Transportmittel'!$A$6:$A$20,0),MATCH($A10,'Eingabe Transportmittel'!$C$3:$U$3,0))</f>
        <v>0.08</v>
      </c>
      <c r="J10" s="172">
        <f>INDEX('Eingabe Transportmittel'!$C$6:$U$20,MATCH(J$5,'Eingabe Transportmittel'!$A$6:$A$20,0),MATCH($A10,'Eingabe Transportmittel'!$C$3:$U$3,0))</f>
        <v>50</v>
      </c>
      <c r="K10" s="175">
        <f>INDEX('Eingabe Transportmittel'!$C$6:$U$20,MATCH(K$5,'Eingabe Transportmittel'!$A$6:$A$20,0),MATCH($A10,'Eingabe Transportmittel'!$C$3:$U$3,0))</f>
        <v>0.5</v>
      </c>
      <c r="L10" s="172">
        <f>INDEX('Eingabe Transportmittel'!$C$6:$U$20,MATCH(L$5,'Eingabe Transportmittel'!$A$6:$A$20,0),MATCH($A10,'Eingabe Transportmittel'!$C$3:$U$3,0))</f>
        <v>30.303030303030308</v>
      </c>
      <c r="M10" s="172">
        <f>INDEX('Eingabe Transportmittel'!$C$6:$U$20,MATCH(M$5,'Eingabe Transportmittel'!$A$6:$A$20,0),MATCH($A10,'Eingabe Transportmittel'!$C$3:$U$3,0))</f>
        <v>80000</v>
      </c>
      <c r="N10" s="175">
        <f>INDEX('Eingabe Transportmittel'!$C$6:$U$20,MATCH(N$5,'Eingabe Transportmittel'!$A$6:$A$20,0),MATCH($A10,'Eingabe Transportmittel'!$C$3:$U$3,0))</f>
        <v>0.03</v>
      </c>
      <c r="O10" s="172">
        <f>INDEX('Eingabe Transportmittel'!$C$6:$U$20,MATCH(O$5,'Eingabe Transportmittel'!$A$6:$A$20,0),MATCH($A10,'Eingabe Transportmittel'!$C$3:$U$3,0))</f>
        <v>30</v>
      </c>
      <c r="P10" s="172">
        <f>INDEX('Eingabe Transportmittel'!$C$6:$U$20,MATCH(P$5,'Eingabe Transportmittel'!$A$6:$A$20,0),MATCH($A10,'Eingabe Transportmittel'!$C$3:$U$3,0))</f>
        <v>2</v>
      </c>
      <c r="R10" s="179">
        <f>11*0.5*1/157000000*POWER(G10,3.3)*POWER(B10,1.2)</f>
        <v>150.23083146585989</v>
      </c>
      <c r="S10" s="61"/>
      <c r="U10" s="183">
        <f>(-PMT(I10,H10,1)+N10)*J10*1000000</f>
        <v>5941371.6693636142</v>
      </c>
      <c r="V10" s="60">
        <f>12*$M10</f>
        <v>960000</v>
      </c>
      <c r="W10" s="184">
        <f>R10/K10*L10/(24*F10)</f>
        <v>27.097913323567802</v>
      </c>
      <c r="X10" s="60">
        <f>(2/F10/24)/(365-O10)</f>
        <v>1.7768301350390903E-5</v>
      </c>
      <c r="Y10" s="60">
        <f>(P10)/(365-O10)</f>
        <v>5.9701492537313433E-3</v>
      </c>
      <c r="Z10" s="61">
        <f>25000+0.5*B10</f>
        <v>62500</v>
      </c>
      <c r="AB10" s="199">
        <f>(U10+V10)*Y10+2*Z10</f>
        <v>166202.21892157383</v>
      </c>
      <c r="AC10" s="200">
        <f>(U10+V10)*X10+2*W10</f>
        <v>176.82147819943862</v>
      </c>
      <c r="AD10" s="3"/>
      <c r="AE10" s="194">
        <f t="shared" si="3"/>
        <v>129.08256880733944</v>
      </c>
      <c r="AF10" s="194">
        <f t="shared" si="3"/>
        <v>104.99999999999999</v>
      </c>
      <c r="AG10" s="194">
        <f t="shared" si="3"/>
        <v>76.467391304347828</v>
      </c>
      <c r="AH10" s="194">
        <f t="shared" si="3"/>
        <v>49.54225352112676</v>
      </c>
      <c r="AI10" s="194">
        <f t="shared" si="3"/>
        <v>29.0702479338843</v>
      </c>
      <c r="AJ10" s="194">
        <f t="shared" si="3"/>
        <v>15.91628959276018</v>
      </c>
      <c r="AK10" s="194">
        <f t="shared" si="3"/>
        <v>8.3551068883610444</v>
      </c>
      <c r="AL10" s="194">
        <f t="shared" si="3"/>
        <v>4.284409257003654</v>
      </c>
      <c r="AM10" s="194">
        <f t="shared" si="3"/>
        <v>2.1699568167797656</v>
      </c>
      <c r="AO10" s="203">
        <f t="shared" si="4"/>
        <v>183884.3667415177</v>
      </c>
      <c r="AP10" s="184">
        <f t="shared" si="4"/>
        <v>201566.51456146155</v>
      </c>
      <c r="AQ10" s="184">
        <f t="shared" si="4"/>
        <v>236930.81020134926</v>
      </c>
      <c r="AR10" s="184">
        <f t="shared" si="4"/>
        <v>307659.40148112469</v>
      </c>
      <c r="AS10" s="184">
        <f t="shared" si="4"/>
        <v>449116.5840406756</v>
      </c>
      <c r="AT10" s="184">
        <f t="shared" si="4"/>
        <v>732030.94915977737</v>
      </c>
      <c r="AU10" s="184">
        <f t="shared" si="4"/>
        <v>1297859.6793979809</v>
      </c>
      <c r="AV10" s="184">
        <f t="shared" si="4"/>
        <v>2429517.139874388</v>
      </c>
      <c r="AW10" s="204">
        <f t="shared" si="4"/>
        <v>4692832.0608272022</v>
      </c>
      <c r="AY10" s="211" t="s">
        <v>1762</v>
      </c>
      <c r="AZ10" s="221">
        <f t="shared" ref="AZ10:BH10" si="8">AO10/($D10*1000*3.5)</f>
        <v>6.1091151741368005E-4</v>
      </c>
      <c r="BA10" s="222">
        <f t="shared" si="8"/>
        <v>6.6965619455635066E-4</v>
      </c>
      <c r="BB10" s="222">
        <f t="shared" si="8"/>
        <v>7.8714554884169187E-4</v>
      </c>
      <c r="BC10" s="222">
        <f t="shared" si="8"/>
        <v>1.0221242574123743E-3</v>
      </c>
      <c r="BD10" s="222">
        <f t="shared" si="8"/>
        <v>1.4920816745537396E-3</v>
      </c>
      <c r="BE10" s="222">
        <f t="shared" si="8"/>
        <v>2.4319965088364696E-3</v>
      </c>
      <c r="BF10" s="222">
        <f t="shared" si="8"/>
        <v>4.3118261774019303E-3</v>
      </c>
      <c r="BG10" s="222">
        <f t="shared" si="8"/>
        <v>8.0714855145328501E-3</v>
      </c>
      <c r="BH10" s="223">
        <f t="shared" si="8"/>
        <v>1.5590804188794691E-2</v>
      </c>
      <c r="BK10" s="229">
        <f>2*$Z10/($D10*1000*3.5)</f>
        <v>4.1528239202657808E-4</v>
      </c>
      <c r="BL10" s="222">
        <f>($U10/((365-$O10)/(2*$BK$4/$F10/24+$P10)))/($D10*1000*3.5)</f>
        <v>8.192924921921835E-4</v>
      </c>
      <c r="BM10" s="222">
        <f>($V10/((365-$O10)/(2*$BK$4/$F10/24+$P10)))/($D10*1000*3.5)</f>
        <v>1.323803384595768E-4</v>
      </c>
      <c r="BN10" s="223">
        <f>2*$BK$4*$W10/($D10*1000*3.5)</f>
        <v>3.6010516044608377E-4</v>
      </c>
      <c r="BP10" s="236">
        <f t="shared" si="6"/>
        <v>0.24045620876051327</v>
      </c>
      <c r="BQ10" s="237">
        <f t="shared" si="6"/>
        <v>0.47438555142467154</v>
      </c>
      <c r="BR10" s="237">
        <f t="shared" si="6"/>
        <v>7.6650671715419547E-2</v>
      </c>
      <c r="BS10" s="238">
        <f t="shared" si="6"/>
        <v>0.20850756809939563</v>
      </c>
      <c r="BU10" s="229">
        <f>R10/K10/(24*F10)*3.6*80</f>
        <v>257.53856822718842</v>
      </c>
      <c r="BV10" s="61">
        <f>R10/K10/(24*F10)*3.6*56</f>
        <v>180.2769977590319</v>
      </c>
      <c r="BX10" s="229">
        <f>2*$BY$4*BU10/($D10*1000*3.5)</f>
        <v>1.7112197224397902E-2</v>
      </c>
      <c r="BY10" s="60">
        <f>2*$BY$4*BV10/($D10*1000*3.5)</f>
        <v>1.1978538057078532E-2</v>
      </c>
      <c r="BZ10" s="695" t="s">
        <v>1762</v>
      </c>
    </row>
    <row r="11" spans="1:78" s="27" customFormat="1">
      <c r="I11" s="2"/>
      <c r="K11" s="2"/>
      <c r="N11" s="2"/>
      <c r="U11" s="4"/>
      <c r="W11" s="5"/>
      <c r="AA11" s="156"/>
      <c r="AB11" s="3"/>
      <c r="AC11" s="9"/>
      <c r="AD11" s="3"/>
      <c r="AE11" s="3"/>
      <c r="AF11" s="3"/>
      <c r="AG11" s="3"/>
      <c r="AH11" s="3"/>
      <c r="AI11" s="3"/>
      <c r="AJ11" s="3"/>
      <c r="AK11" s="3"/>
      <c r="AL11" s="3"/>
      <c r="AM11" s="3"/>
      <c r="AO11" s="5"/>
      <c r="AP11" s="5"/>
      <c r="AQ11" s="5"/>
      <c r="AR11" s="5"/>
      <c r="AS11" s="5"/>
      <c r="AT11" s="5"/>
      <c r="AU11" s="5"/>
      <c r="AV11" s="5"/>
      <c r="AW11" s="5"/>
      <c r="AZ11" s="13"/>
      <c r="BA11" s="13"/>
      <c r="BB11" s="13"/>
      <c r="BC11" s="13"/>
      <c r="BD11" s="13"/>
      <c r="BE11" s="13"/>
      <c r="BF11" s="13"/>
      <c r="BG11" s="13"/>
      <c r="BH11" s="13"/>
      <c r="BL11" s="13"/>
      <c r="BM11" s="13"/>
      <c r="BN11" s="13"/>
      <c r="BP11" s="8"/>
      <c r="BQ11" s="8"/>
      <c r="BR11" s="8"/>
      <c r="BS11" s="8"/>
    </row>
    <row r="12" spans="1:78">
      <c r="A12" s="252" t="s">
        <v>18</v>
      </c>
      <c r="E12" s="27"/>
      <c r="W12" s="9"/>
      <c r="Y12" s="3"/>
      <c r="Z12" s="3"/>
      <c r="AA12" s="180"/>
      <c r="AB12" s="3"/>
      <c r="AC12" s="3"/>
      <c r="AD12" s="3"/>
      <c r="AE12" s="3"/>
      <c r="AF12" s="3"/>
      <c r="AG12" s="3"/>
      <c r="AK12" s="3"/>
    </row>
    <row r="13" spans="1:78">
      <c r="A13" s="251" t="s">
        <v>0</v>
      </c>
      <c r="B13" s="255" t="s">
        <v>1740</v>
      </c>
      <c r="C13" s="255" t="s">
        <v>1742</v>
      </c>
      <c r="D13" s="255" t="s">
        <v>1743</v>
      </c>
      <c r="E13" s="256" t="s">
        <v>2238</v>
      </c>
      <c r="F13" s="256" t="s">
        <v>2031</v>
      </c>
      <c r="G13" s="255" t="s">
        <v>1</v>
      </c>
      <c r="H13" s="255" t="s">
        <v>2</v>
      </c>
      <c r="I13" s="255" t="s">
        <v>1829</v>
      </c>
      <c r="J13" s="255" t="s">
        <v>1753</v>
      </c>
      <c r="K13" s="255" t="s">
        <v>1864</v>
      </c>
      <c r="L13" s="255" t="s">
        <v>1940</v>
      </c>
      <c r="M13" s="255" t="s">
        <v>1830</v>
      </c>
      <c r="N13" s="255" t="s">
        <v>1758</v>
      </c>
      <c r="O13" s="255" t="s">
        <v>1883</v>
      </c>
      <c r="P13" s="255" t="s">
        <v>1750</v>
      </c>
      <c r="Q13" s="255" t="s">
        <v>1745</v>
      </c>
      <c r="R13" s="255" t="s">
        <v>1752</v>
      </c>
      <c r="S13" s="255" t="s">
        <v>1831</v>
      </c>
      <c r="T13" s="255" t="s">
        <v>2029</v>
      </c>
      <c r="U13" s="255" t="s">
        <v>2289</v>
      </c>
      <c r="V13" s="255" t="s">
        <v>2032</v>
      </c>
      <c r="W13" s="256" t="s">
        <v>2035</v>
      </c>
      <c r="X13" s="255"/>
      <c r="Y13" s="255" t="s">
        <v>1739</v>
      </c>
      <c r="Z13" s="255" t="s">
        <v>2072</v>
      </c>
      <c r="AA13" s="255" t="s">
        <v>1881</v>
      </c>
      <c r="AB13" s="255" t="s">
        <v>1751</v>
      </c>
      <c r="AC13" s="255" t="s">
        <v>1880</v>
      </c>
      <c r="AD13" s="255" t="s">
        <v>1832</v>
      </c>
      <c r="AE13" s="255" t="s">
        <v>1833</v>
      </c>
      <c r="AF13" s="255" t="s">
        <v>1755</v>
      </c>
      <c r="AG13" s="255" t="s">
        <v>2095</v>
      </c>
      <c r="AH13" s="255" t="s">
        <v>1757</v>
      </c>
      <c r="AI13" s="255" t="s">
        <v>1760</v>
      </c>
      <c r="AK13" s="271" t="s">
        <v>1819</v>
      </c>
      <c r="AL13" s="271" t="s">
        <v>1820</v>
      </c>
      <c r="AM13" s="271" t="s">
        <v>2100</v>
      </c>
      <c r="AN13" s="283" t="s">
        <v>1736</v>
      </c>
      <c r="AO13" s="190">
        <v>100</v>
      </c>
      <c r="AP13" s="190">
        <f t="shared" ref="AP13:AW13" si="9">AO13*2</f>
        <v>200</v>
      </c>
      <c r="AQ13" s="190">
        <f t="shared" si="9"/>
        <v>400</v>
      </c>
      <c r="AR13" s="190">
        <f t="shared" si="9"/>
        <v>800</v>
      </c>
      <c r="AS13" s="190">
        <f t="shared" si="9"/>
        <v>1600</v>
      </c>
      <c r="AT13" s="190">
        <f t="shared" si="9"/>
        <v>3200</v>
      </c>
      <c r="AU13" s="190">
        <f t="shared" si="9"/>
        <v>6400</v>
      </c>
      <c r="AV13" s="190">
        <f t="shared" si="9"/>
        <v>12800</v>
      </c>
      <c r="AW13" s="190">
        <f t="shared" si="9"/>
        <v>25600</v>
      </c>
      <c r="AY13" s="284" t="s">
        <v>1736</v>
      </c>
      <c r="AZ13" s="190">
        <f t="shared" ref="AZ13:BH13" si="10">AO13</f>
        <v>100</v>
      </c>
      <c r="BA13" s="190">
        <f t="shared" si="10"/>
        <v>200</v>
      </c>
      <c r="BB13" s="190">
        <f t="shared" si="10"/>
        <v>400</v>
      </c>
      <c r="BC13" s="190">
        <f t="shared" si="10"/>
        <v>800</v>
      </c>
      <c r="BD13" s="190">
        <f t="shared" si="10"/>
        <v>1600</v>
      </c>
      <c r="BE13" s="190">
        <f t="shared" si="10"/>
        <v>3200</v>
      </c>
      <c r="BF13" s="190">
        <f t="shared" si="10"/>
        <v>6400</v>
      </c>
      <c r="BG13" s="190">
        <f t="shared" si="10"/>
        <v>12800</v>
      </c>
      <c r="BH13" s="190">
        <f t="shared" si="10"/>
        <v>25600</v>
      </c>
      <c r="BJ13" s="284" t="s">
        <v>1822</v>
      </c>
      <c r="BK13" s="291" t="s">
        <v>1862</v>
      </c>
      <c r="BL13" s="291" t="s">
        <v>2096</v>
      </c>
      <c r="BM13" s="291" t="s">
        <v>2097</v>
      </c>
      <c r="BN13" s="291" t="s">
        <v>1863</v>
      </c>
      <c r="BO13" s="284" t="s">
        <v>1822</v>
      </c>
      <c r="BP13" s="291" t="s">
        <v>1862</v>
      </c>
      <c r="BQ13" s="291" t="s">
        <v>2096</v>
      </c>
      <c r="BR13" s="291" t="s">
        <v>2097</v>
      </c>
      <c r="BS13" s="291" t="s">
        <v>1863</v>
      </c>
    </row>
    <row r="14" spans="1:78" ht="15" thickBot="1">
      <c r="A14" s="253" t="s">
        <v>1768</v>
      </c>
      <c r="B14" s="159" t="s">
        <v>1741</v>
      </c>
      <c r="C14" s="159" t="s">
        <v>1744</v>
      </c>
      <c r="D14" s="159" t="s">
        <v>1744</v>
      </c>
      <c r="E14" s="159" t="s">
        <v>24</v>
      </c>
      <c r="F14" s="159" t="s">
        <v>1746</v>
      </c>
      <c r="G14" s="159" t="s">
        <v>3</v>
      </c>
      <c r="H14" s="159" t="s">
        <v>15</v>
      </c>
      <c r="I14" s="159" t="s">
        <v>11</v>
      </c>
      <c r="J14" s="159" t="s">
        <v>1754</v>
      </c>
      <c r="K14" s="159" t="s">
        <v>39</v>
      </c>
      <c r="L14" s="159" t="s">
        <v>28</v>
      </c>
      <c r="M14" s="159" t="s">
        <v>1818</v>
      </c>
      <c r="N14" s="159" t="s">
        <v>32</v>
      </c>
      <c r="O14" s="159" t="s">
        <v>28</v>
      </c>
      <c r="P14" s="159"/>
      <c r="Q14" s="159" t="s">
        <v>1765</v>
      </c>
      <c r="R14" s="159" t="s">
        <v>1741</v>
      </c>
      <c r="S14" s="159" t="s">
        <v>1749</v>
      </c>
      <c r="T14" s="159" t="s">
        <v>2030</v>
      </c>
      <c r="U14" s="159" t="s">
        <v>2033</v>
      </c>
      <c r="V14" s="159" t="s">
        <v>2034</v>
      </c>
      <c r="W14" s="266"/>
      <c r="X14" s="267"/>
      <c r="Y14" s="159" t="s">
        <v>1741</v>
      </c>
      <c r="Z14" s="159" t="s">
        <v>2098</v>
      </c>
      <c r="AA14" s="159" t="s">
        <v>1748</v>
      </c>
      <c r="AB14" s="159"/>
      <c r="AC14" s="159"/>
      <c r="AD14" s="159" t="s">
        <v>1747</v>
      </c>
      <c r="AE14" s="159" t="s">
        <v>39</v>
      </c>
      <c r="AF14" s="159" t="s">
        <v>39</v>
      </c>
      <c r="AG14" s="159" t="s">
        <v>1756</v>
      </c>
      <c r="AH14" s="159" t="s">
        <v>1865</v>
      </c>
      <c r="AI14" s="159" t="s">
        <v>12</v>
      </c>
      <c r="AK14" s="159" t="s">
        <v>1759</v>
      </c>
      <c r="AL14" s="159" t="s">
        <v>1821</v>
      </c>
      <c r="AM14" s="159" t="s">
        <v>1869</v>
      </c>
      <c r="AN14" s="158" t="s">
        <v>1866</v>
      </c>
      <c r="AO14" s="191"/>
      <c r="AP14" s="191"/>
      <c r="AQ14" s="191"/>
      <c r="AR14" s="191"/>
      <c r="AS14" s="191"/>
      <c r="AT14" s="191"/>
      <c r="AU14" s="191"/>
      <c r="AV14" s="191"/>
      <c r="AW14" s="191"/>
      <c r="AY14" s="158" t="s">
        <v>1817</v>
      </c>
      <c r="AZ14" s="191"/>
      <c r="BA14" s="191"/>
      <c r="BB14" s="191"/>
      <c r="BC14" s="191"/>
      <c r="BD14" s="191"/>
      <c r="BE14" s="191"/>
      <c r="BF14" s="191"/>
      <c r="BG14" s="191"/>
      <c r="BH14" s="191"/>
      <c r="BJ14" s="158" t="s">
        <v>1817</v>
      </c>
      <c r="BK14" s="254"/>
      <c r="BL14" s="254"/>
      <c r="BM14" s="254"/>
      <c r="BN14" s="254"/>
      <c r="BO14" s="158" t="s">
        <v>28</v>
      </c>
      <c r="BP14" s="292"/>
      <c r="BQ14" s="292"/>
      <c r="BR14" s="292"/>
      <c r="BS14" s="292"/>
    </row>
    <row r="15" spans="1:78" ht="15" thickTop="1">
      <c r="A15" s="392" t="s">
        <v>2232</v>
      </c>
      <c r="B15" s="268">
        <f>INDEX('Eingabe Transportmittel'!$C$25:$U$46,MATCH(B$13,'Eingabe Transportmittel'!$A$25:$A$46,0),MATCH($A15,'Eingabe Transportmittel'!$C$22:$U$22,0))</f>
        <v>300</v>
      </c>
      <c r="C15" s="166">
        <f>INDEX('Eingabe Transportmittel'!$C$25:$U$46,MATCH(C$13,'Eingabe Transportmittel'!$A$25:$A$46,0),MATCH($A15,'Eingabe Transportmittel'!$C$22:$U$22,0))</f>
        <v>80</v>
      </c>
      <c r="D15" s="166">
        <f>INDEX('Eingabe Transportmittel'!$C$25:$U$46,MATCH(D$13,'Eingabe Transportmittel'!$A$25:$A$46,0),MATCH($A15,'Eingabe Transportmittel'!$C$22:$U$22,0))</f>
        <v>100</v>
      </c>
      <c r="E15" s="166">
        <f>INDEX('Eingabe Transportmittel'!$C$25:$U$46,MATCH(E$13,'Eingabe Transportmittel'!$A$25:$A$46,0),MATCH($A15,'Eingabe Transportmittel'!$C$22:$U$22,0))</f>
        <v>50.4</v>
      </c>
      <c r="F15" s="166">
        <f>INDEX('Eingabe Transportmittel'!$C$25:$U$46,MATCH(F$13,'Eingabe Transportmittel'!$A$25:$A$46,0),MATCH($A15,'Eingabe Transportmittel'!$C$22:$U$22,0))</f>
        <v>14</v>
      </c>
      <c r="G15" s="166">
        <f>INDEX('Eingabe Transportmittel'!$C$25:$U$46,MATCH(G$13,'Eingabe Transportmittel'!$A$25:$A$46,0),MATCH($A15,'Eingabe Transportmittel'!$C$22:$U$22,0))</f>
        <v>40</v>
      </c>
      <c r="H15" s="269">
        <f>INDEX('Eingabe Transportmittel'!$C$25:$U$46,MATCH(H$13,'Eingabe Transportmittel'!$A$25:$A$46,0),MATCH($A15,'Eingabe Transportmittel'!$C$22:$U$22,0))</f>
        <v>0.08</v>
      </c>
      <c r="I15" s="166">
        <f>INDEX('Eingabe Transportmittel'!$C$25:$U$46,MATCH(I$13,'Eingabe Transportmittel'!$A$25:$A$46,0),MATCH($A15,'Eingabe Transportmittel'!$C$22:$U$22,0))</f>
        <v>1200</v>
      </c>
      <c r="J15" s="166">
        <f>INDEX('Eingabe Transportmittel'!$C$25:$U$46,MATCH(J$13,'Eingabe Transportmittel'!$A$25:$A$46,0),MATCH($A15,'Eingabe Transportmittel'!$C$22:$U$22,0))</f>
        <v>15208.333333333334</v>
      </c>
      <c r="K15" s="166">
        <f>INDEX('Eingabe Transportmittel'!$C$25:$U$46,MATCH(K$13,'Eingabe Transportmittel'!$A$25:$A$46,0),MATCH($A15,'Eingabe Transportmittel'!$C$22:$U$22,0))</f>
        <v>850000</v>
      </c>
      <c r="L15" s="269">
        <f>INDEX('Eingabe Transportmittel'!$C$25:$U$46,MATCH(L$13,'Eingabe Transportmittel'!$A$25:$A$46,0),MATCH($A15,'Eingabe Transportmittel'!$C$22:$U$22,0))</f>
        <v>0.8</v>
      </c>
      <c r="M15" s="166">
        <f>INDEX('Eingabe Transportmittel'!$C$25:$U$46,MATCH(M$13,'Eingabe Transportmittel'!$A$25:$A$46,0),MATCH($A15,'Eingabe Transportmittel'!$C$22:$U$22,0))</f>
        <v>150</v>
      </c>
      <c r="N15" s="269">
        <f>INDEX('Eingabe Transportmittel'!$C$25:$U$46,MATCH(N$13,'Eingabe Transportmittel'!$A$25:$A$46,0),MATCH($A15,'Eingabe Transportmittel'!$C$22:$U$22,0))</f>
        <v>0.03</v>
      </c>
      <c r="O15" s="269">
        <f>INDEX('Eingabe Transportmittel'!$C$25:$U$46,MATCH(O$13,'Eingabe Transportmittel'!$A$25:$A$46,0),MATCH($A15,'Eingabe Transportmittel'!$C$22:$U$22,0))</f>
        <v>0.91324200913242004</v>
      </c>
      <c r="P15" s="166">
        <f>INDEX('Eingabe Transportmittel'!$C$25:$U$46,MATCH(P$13,'Eingabe Transportmittel'!$A$25:$A$46,0),MATCH($A15,'Eingabe Transportmittel'!$C$22:$U$22,0))</f>
        <v>2</v>
      </c>
      <c r="Q15" s="166">
        <f>INDEX('Eingabe Transportmittel'!$C$25:$U$46,MATCH(Q$13,'Eingabe Transportmittel'!$A$25:$A$46,0),MATCH($A15,'Eingabe Transportmittel'!$C$22:$U$22,0))</f>
        <v>8.8178000000000005E-6</v>
      </c>
      <c r="R15" s="166">
        <f>INDEX('Eingabe Transportmittel'!$C$25:$U$46,MATCH(R$13,'Eingabe Transportmittel'!$A$25:$A$46,0),MATCH($A15,'Eingabe Transportmittel'!$C$22:$U$22,0))</f>
        <v>0.02</v>
      </c>
      <c r="S15" s="166">
        <f>INDEX('Eingabe Transportmittel'!$C$25:$U$46,MATCH(S$13,'Eingabe Transportmittel'!$A$25:$A$46,0),MATCH($A15,'Eingabe Transportmittel'!$C$22:$U$22,0))</f>
        <v>7.85</v>
      </c>
      <c r="T15" s="166">
        <f>INDEX('Eingabe Transportmittel'!$C$25:$U$46,MATCH(T$13,'Eingabe Transportmittel'!$A$25:$A$46,0),MATCH($A15,'Eingabe Transportmittel'!$C$22:$U$22,0))</f>
        <v>360</v>
      </c>
      <c r="U15" s="166">
        <f>INDEX('Eingabe Transportmittel'!$C$25:$U$46,MATCH(U$13,'Eingabe Transportmittel'!$A$25:$A$46,0),MATCH($A15,'Eingabe Transportmittel'!$C$22:$U$22,0))</f>
        <v>4124.2559523809523</v>
      </c>
      <c r="V15" s="166">
        <f>INDEX('Eingabe Transportmittel'!$C$25:$U$46,MATCH(V$13,'Eingabe Transportmittel'!$A$25:$A$46,0),MATCH($A15,'Eingabe Transportmittel'!$C$22:$U$22,0))</f>
        <v>283</v>
      </c>
      <c r="W15" s="166">
        <f>INDEX('Eingabe Transportmittel'!$C$25:$U$46,MATCH(W$13,'Eingabe Transportmittel'!$A$25:$A$46,0),MATCH($A15,'Eingabe Transportmittel'!$C$22:$U$22,0))</f>
        <v>1.4207221350078494</v>
      </c>
      <c r="X15" s="166"/>
      <c r="Y15" s="166">
        <f t="shared" ref="Y15:Y20" si="11">D15*10^5*B15*P15/(2*T15*10^6)</f>
        <v>8.3333333333333339</v>
      </c>
      <c r="Z15" s="166">
        <f>(0.00067954*C15+0.99498+0.00067954*D15+0.99498)/2</f>
        <v>1.0561386000000001</v>
      </c>
      <c r="AA15" s="270">
        <f t="shared" ref="AA15:AA20" si="12">100000*D15/(Z15*U15*V15)</f>
        <v>8.1123567125669318</v>
      </c>
      <c r="AB15" s="166">
        <f t="shared" ref="AB15:AB20" si="13">AA15*F15*(B15/1000)/Q15</f>
        <v>3863990.8132165745</v>
      </c>
      <c r="AC15" s="166">
        <f t="shared" ref="AC15:AC20" si="14">(1/(-2*LOG10(R15/B15/3.7065-5.0425/AB15*LOG10((R15/B15)^1.1098/2.8257+5.8506/AB15^0.8981))))^2</f>
        <v>1.173842312006624E-2</v>
      </c>
      <c r="AD15" s="166">
        <f t="shared" ref="AD15:AD20" si="15">3.14*Y15/1000*(Y15+B15)/1000*S15*1000</f>
        <v>63.334236111111096</v>
      </c>
      <c r="AE15" s="166">
        <f t="shared" ref="AE15:AE20" si="16">AD15*I15</f>
        <v>76001.083333333314</v>
      </c>
      <c r="AF15" s="166">
        <f>(0.00080134*B15^2+0.7187*B15+214.63)*1000</f>
        <v>502360.6</v>
      </c>
      <c r="AG15" s="166">
        <f t="shared" ref="AG15:AG20" si="17">AA15*F15*3.14/4*(B15/1000)^2*24*3600/1000</f>
        <v>693.26772690815574</v>
      </c>
      <c r="AH15" s="166">
        <f t="shared" ref="AH15:AH20" si="18">U15*V15*W15/(W15-1)*(((D15+1)/(C15+1))^((W15-1)/W15)-1)*Z15/3600000/L15</f>
        <v>9.760540220150167E-2</v>
      </c>
      <c r="AI15" s="40">
        <f t="shared" ref="AI15:AI20" si="19">((1-(C15*100000/(D15*100000))^2)*B15/1000*D15*100000/(AC15*AA15*F15^2))/1000</f>
        <v>57.864324182773466</v>
      </c>
      <c r="AK15" s="274">
        <f>(-PMT(H15,G15,INDEX('Eingabe Transportmittel'!$C$47:$M$47,1,MATCH($A15,'Eingabe Transportmittel'!$C$22:$M$22,0)))+N15)*(AE15+AF15+K15)</f>
        <v>162633.49194558128</v>
      </c>
      <c r="AL15" s="166">
        <f>(-PMT(H15,G15,INDEX('Eingabe Transportmittel'!$C$48:$M$48,1,MATCH($A15,'Eingabe Transportmittel'!$C$22:$M$22,0)))+N15)*J15</f>
        <v>1731.6232894880688</v>
      </c>
      <c r="AM15" s="40">
        <f t="shared" ref="AM15:AM20" si="20">AH15*M15</f>
        <v>14.64081033022525</v>
      </c>
      <c r="AO15" s="274">
        <f>AO$13*(($AK15+$AG15*$AL15/$AI15)/(365*$O15*$AG15)+$AM15/$AI15)</f>
        <v>104.6565571849714</v>
      </c>
      <c r="AP15" s="281">
        <f t="shared" ref="AP15:AW15" si="21">AP$13*(($AK15+$AG15*$AL15/$AI15)/(365*$O15*$AG15)+$AM15/$AI15)</f>
        <v>209.31311436994281</v>
      </c>
      <c r="AQ15" s="281">
        <f t="shared" si="21"/>
        <v>418.62622873988562</v>
      </c>
      <c r="AR15" s="281">
        <f t="shared" si="21"/>
        <v>837.25245747977124</v>
      </c>
      <c r="AS15" s="281">
        <f t="shared" si="21"/>
        <v>1674.5049149595425</v>
      </c>
      <c r="AT15" s="281">
        <f t="shared" si="21"/>
        <v>3349.009829919085</v>
      </c>
      <c r="AU15" s="281">
        <f t="shared" si="21"/>
        <v>6698.0196598381699</v>
      </c>
      <c r="AV15" s="281">
        <f t="shared" si="21"/>
        <v>13396.03931967634</v>
      </c>
      <c r="AW15" s="282">
        <f t="shared" si="21"/>
        <v>26792.07863935268</v>
      </c>
      <c r="AZ15" s="290">
        <f t="shared" ref="AZ15:BH18" si="22">AO15/(1000*33.3)</f>
        <v>3.1428395551042466E-3</v>
      </c>
      <c r="BA15" s="219">
        <f t="shared" si="22"/>
        <v>6.2856791102084931E-3</v>
      </c>
      <c r="BB15" s="219">
        <f t="shared" si="22"/>
        <v>1.2571358220416986E-2</v>
      </c>
      <c r="BC15" s="219">
        <f t="shared" si="22"/>
        <v>2.5142716440833972E-2</v>
      </c>
      <c r="BD15" s="219">
        <f t="shared" si="22"/>
        <v>5.0285432881667945E-2</v>
      </c>
      <c r="BE15" s="219">
        <f t="shared" si="22"/>
        <v>0.10057086576333589</v>
      </c>
      <c r="BF15" s="219">
        <f t="shared" si="22"/>
        <v>0.20114173152667178</v>
      </c>
      <c r="BG15" s="219">
        <f t="shared" si="22"/>
        <v>0.40228346305334356</v>
      </c>
      <c r="BH15" s="220">
        <f t="shared" si="22"/>
        <v>0.80456692610668712</v>
      </c>
      <c r="BJ15" s="1"/>
      <c r="BK15" s="287">
        <f>($BK$4*(-PMT(H15,G15,1)+N15)*K15)/(365*$O15*$AG15)/(1000*33.3)</f>
        <v>2.5153403332522493E-2</v>
      </c>
      <c r="BL15" s="288">
        <f>($BK$4*(-PMT(H15,G15,1)+N15)*(AE15+AF15))/(365*$O15*$AG15)/(1000*33.3)</f>
        <v>1.7115017285835279E-2</v>
      </c>
      <c r="BM15" s="288">
        <f>($BK$4/$AI15*$AG15*$AL15)/(365*$O15*$AG15)/(1000*33.3)</f>
        <v>5.3919958577351183E-3</v>
      </c>
      <c r="BN15" s="289">
        <f>(BK$4/AI15*AM15)/(1000*33.3)</f>
        <v>1.5196374625992042E-2</v>
      </c>
      <c r="BP15" s="242">
        <f t="shared" ref="BP15:BS20" si="23">BK15/SUM($BK15:$BN15)</f>
        <v>0.40017001968285604</v>
      </c>
      <c r="BQ15" s="243">
        <f t="shared" si="23"/>
        <v>0.27228588965095268</v>
      </c>
      <c r="BR15" s="243">
        <f t="shared" si="23"/>
        <v>8.5782232328373967E-2</v>
      </c>
      <c r="BS15" s="244">
        <f t="shared" si="23"/>
        <v>0.24176185833781749</v>
      </c>
      <c r="BU15" s="27"/>
    </row>
    <row r="16" spans="1:78">
      <c r="A16" s="393" t="s">
        <v>2233</v>
      </c>
      <c r="B16" s="264">
        <f>INDEX('Eingabe Transportmittel'!$C$25:$U$46,MATCH(B$13,'Eingabe Transportmittel'!$A$25:$A$46,0),MATCH($A16,'Eingabe Transportmittel'!$C$22:$U$22,0))</f>
        <v>300</v>
      </c>
      <c r="C16" s="15">
        <f>INDEX('Eingabe Transportmittel'!$C$25:$U$46,MATCH(C$13,'Eingabe Transportmittel'!$A$25:$A$46,0),MATCH($A16,'Eingabe Transportmittel'!$C$22:$U$22,0))</f>
        <v>80</v>
      </c>
      <c r="D16" s="15">
        <f>INDEX('Eingabe Transportmittel'!$C$25:$U$46,MATCH(D$13,'Eingabe Transportmittel'!$A$25:$A$46,0),MATCH($A16,'Eingabe Transportmittel'!$C$22:$U$22,0))</f>
        <v>100</v>
      </c>
      <c r="E16" s="15">
        <f>INDEX('Eingabe Transportmittel'!$C$25:$U$46,MATCH(E$13,'Eingabe Transportmittel'!$A$25:$A$46,0),MATCH($A16,'Eingabe Transportmittel'!$C$22:$U$22,0))</f>
        <v>36</v>
      </c>
      <c r="F16" s="15">
        <f>INDEX('Eingabe Transportmittel'!$C$25:$U$46,MATCH(F$13,'Eingabe Transportmittel'!$A$25:$A$46,0),MATCH($A16,'Eingabe Transportmittel'!$C$22:$U$22,0))</f>
        <v>10</v>
      </c>
      <c r="G16" s="15">
        <f>INDEX('Eingabe Transportmittel'!$C$25:$U$46,MATCH(G$13,'Eingabe Transportmittel'!$A$25:$A$46,0),MATCH($A16,'Eingabe Transportmittel'!$C$22:$U$22,0))</f>
        <v>40</v>
      </c>
      <c r="H16" s="260">
        <f>INDEX('Eingabe Transportmittel'!$C$25:$U$46,MATCH(H$13,'Eingabe Transportmittel'!$A$25:$A$46,0),MATCH($A16,'Eingabe Transportmittel'!$C$22:$U$22,0))</f>
        <v>0.08</v>
      </c>
      <c r="I16" s="15">
        <f>INDEX('Eingabe Transportmittel'!$C$25:$U$46,MATCH(I$13,'Eingabe Transportmittel'!$A$25:$A$46,0),MATCH($A16,'Eingabe Transportmittel'!$C$22:$U$22,0))</f>
        <v>1200</v>
      </c>
      <c r="J16" s="15">
        <f>INDEX('Eingabe Transportmittel'!$C$25:$U$46,MATCH(J$13,'Eingabe Transportmittel'!$A$25:$A$46,0),MATCH($A16,'Eingabe Transportmittel'!$C$22:$U$22,0))</f>
        <v>15208.333333333334</v>
      </c>
      <c r="K16" s="15">
        <f>INDEX('Eingabe Transportmittel'!$C$25:$U$46,MATCH(K$13,'Eingabe Transportmittel'!$A$25:$A$46,0),MATCH($A16,'Eingabe Transportmittel'!$C$22:$U$22,0))</f>
        <v>850000</v>
      </c>
      <c r="L16" s="260">
        <f>INDEX('Eingabe Transportmittel'!$C$25:$U$46,MATCH(L$13,'Eingabe Transportmittel'!$A$25:$A$46,0),MATCH($A16,'Eingabe Transportmittel'!$C$22:$U$22,0))</f>
        <v>0.8</v>
      </c>
      <c r="M16" s="15">
        <f>INDEX('Eingabe Transportmittel'!$C$25:$U$46,MATCH(M$13,'Eingabe Transportmittel'!$A$25:$A$46,0),MATCH($A16,'Eingabe Transportmittel'!$C$22:$U$22,0))</f>
        <v>150</v>
      </c>
      <c r="N16" s="260">
        <f>INDEX('Eingabe Transportmittel'!$C$25:$U$46,MATCH(N$13,'Eingabe Transportmittel'!$A$25:$A$46,0),MATCH($A16,'Eingabe Transportmittel'!$C$22:$U$22,0))</f>
        <v>0.03</v>
      </c>
      <c r="O16" s="260">
        <f>INDEX('Eingabe Transportmittel'!$C$25:$U$46,MATCH(O$13,'Eingabe Transportmittel'!$A$25:$A$46,0),MATCH($A16,'Eingabe Transportmittel'!$C$22:$U$22,0))</f>
        <v>0.91324200913242004</v>
      </c>
      <c r="P16" s="15">
        <f>INDEX('Eingabe Transportmittel'!$C$25:$U$46,MATCH(P$13,'Eingabe Transportmittel'!$A$25:$A$46,0),MATCH($A16,'Eingabe Transportmittel'!$C$22:$U$22,0))</f>
        <v>2</v>
      </c>
      <c r="Q16" s="15">
        <f>INDEX('Eingabe Transportmittel'!$C$25:$U$46,MATCH(Q$13,'Eingabe Transportmittel'!$A$25:$A$46,0),MATCH($A16,'Eingabe Transportmittel'!$C$22:$U$22,0))</f>
        <v>8.8178000000000005E-6</v>
      </c>
      <c r="R16" s="15">
        <f>INDEX('Eingabe Transportmittel'!$C$25:$U$46,MATCH(R$13,'Eingabe Transportmittel'!$A$25:$A$46,0),MATCH($A16,'Eingabe Transportmittel'!$C$22:$U$22,0))</f>
        <v>0.02</v>
      </c>
      <c r="S16" s="15">
        <f>INDEX('Eingabe Transportmittel'!$C$25:$U$46,MATCH(S$13,'Eingabe Transportmittel'!$A$25:$A$46,0),MATCH($A16,'Eingabe Transportmittel'!$C$22:$U$22,0))</f>
        <v>7.85</v>
      </c>
      <c r="T16" s="15">
        <f>INDEX('Eingabe Transportmittel'!$C$25:$U$46,MATCH(T$13,'Eingabe Transportmittel'!$A$25:$A$46,0),MATCH($A16,'Eingabe Transportmittel'!$C$22:$U$22,0))</f>
        <v>360</v>
      </c>
      <c r="U16" s="15">
        <f>INDEX('Eingabe Transportmittel'!$C$25:$U$46,MATCH(U$13,'Eingabe Transportmittel'!$A$25:$A$46,0),MATCH($A16,'Eingabe Transportmittel'!$C$22:$U$22,0))</f>
        <v>4124.2559523809523</v>
      </c>
      <c r="V16" s="15">
        <f>INDEX('Eingabe Transportmittel'!$C$25:$U$46,MATCH(V$13,'Eingabe Transportmittel'!$A$25:$A$46,0),MATCH($A16,'Eingabe Transportmittel'!$C$22:$U$22,0))</f>
        <v>283</v>
      </c>
      <c r="W16" s="15">
        <f>INDEX('Eingabe Transportmittel'!$C$25:$U$46,MATCH(W$13,'Eingabe Transportmittel'!$A$25:$A$46,0),MATCH($A16,'Eingabe Transportmittel'!$C$22:$U$22,0))</f>
        <v>1.4207221350078494</v>
      </c>
      <c r="X16" s="15"/>
      <c r="Y16" s="15">
        <f t="shared" si="11"/>
        <v>8.3333333333333339</v>
      </c>
      <c r="Z16" s="15">
        <f>(0.00067954*C16+0.99498+0.00067954*D16+0.99498)/2</f>
        <v>1.0561386000000001</v>
      </c>
      <c r="AA16" s="261">
        <f t="shared" si="12"/>
        <v>8.1123567125669318</v>
      </c>
      <c r="AB16" s="15">
        <f t="shared" si="13"/>
        <v>2759993.4380118391</v>
      </c>
      <c r="AC16" s="15">
        <f t="shared" si="14"/>
        <v>1.1948983588777941E-2</v>
      </c>
      <c r="AD16" s="15">
        <f t="shared" si="15"/>
        <v>63.334236111111096</v>
      </c>
      <c r="AE16" s="15">
        <f t="shared" si="16"/>
        <v>76001.083333333314</v>
      </c>
      <c r="AF16" s="15">
        <f>(0.00080134*B16^2+0.7187*B16+214.63)*1000</f>
        <v>502360.6</v>
      </c>
      <c r="AG16" s="15">
        <f t="shared" si="17"/>
        <v>495.19123350582566</v>
      </c>
      <c r="AH16" s="15">
        <f t="shared" si="18"/>
        <v>9.760540220150167E-2</v>
      </c>
      <c r="AI16" s="165">
        <f t="shared" si="19"/>
        <v>111.41553546411268</v>
      </c>
      <c r="AK16" s="272">
        <f>(-PMT(H16,G16,INDEX('Eingabe Transportmittel'!$C$47:$M$47,1,MATCH($A16,'Eingabe Transportmittel'!$C$22:$M$22,0)))+N16)*(AE16+AF16+K16)</f>
        <v>54829.114644558125</v>
      </c>
      <c r="AL16" s="15">
        <f>(-PMT(H16,G16,INDEX('Eingabe Transportmittel'!$C$48:$M$48,1,MATCH($A16,'Eingabe Transportmittel'!$C$22:$M$22,0)))+N16)*J16</f>
        <v>1731.6232894880688</v>
      </c>
      <c r="AM16" s="165">
        <f t="shared" si="20"/>
        <v>14.64081033022525</v>
      </c>
      <c r="AO16" s="275">
        <f t="shared" ref="AO16:AW20" si="24">AO$13*(($AK16+$AG16*$AL16/$AI16)/(365*$O16*$AG16)+$AM16/$AI16)</f>
        <v>51.020268004972003</v>
      </c>
      <c r="AP16" s="276">
        <f t="shared" si="24"/>
        <v>102.04053600994401</v>
      </c>
      <c r="AQ16" s="276">
        <f t="shared" si="24"/>
        <v>204.08107201988801</v>
      </c>
      <c r="AR16" s="276">
        <f t="shared" si="24"/>
        <v>408.16214403977602</v>
      </c>
      <c r="AS16" s="276">
        <f t="shared" si="24"/>
        <v>816.32428807955205</v>
      </c>
      <c r="AT16" s="276">
        <f t="shared" si="24"/>
        <v>1632.6485761591041</v>
      </c>
      <c r="AU16" s="276">
        <f t="shared" si="24"/>
        <v>3265.2971523182082</v>
      </c>
      <c r="AV16" s="276">
        <f t="shared" si="24"/>
        <v>6530.5943046364164</v>
      </c>
      <c r="AW16" s="277">
        <f t="shared" si="24"/>
        <v>13061.188609272833</v>
      </c>
      <c r="AZ16" s="285">
        <f t="shared" si="22"/>
        <v>1.5321401803294896E-3</v>
      </c>
      <c r="BA16" s="217">
        <f t="shared" si="22"/>
        <v>3.0642803606589792E-3</v>
      </c>
      <c r="BB16" s="217">
        <f t="shared" si="22"/>
        <v>6.1285607213179584E-3</v>
      </c>
      <c r="BC16" s="217">
        <f t="shared" si="22"/>
        <v>1.2257121442635917E-2</v>
      </c>
      <c r="BD16" s="217">
        <f t="shared" si="22"/>
        <v>2.4514242885271834E-2</v>
      </c>
      <c r="BE16" s="217">
        <f t="shared" si="22"/>
        <v>4.9028485770543667E-2</v>
      </c>
      <c r="BF16" s="217">
        <f t="shared" si="22"/>
        <v>9.8056971541087334E-2</v>
      </c>
      <c r="BG16" s="217">
        <f t="shared" si="22"/>
        <v>0.19611394308217467</v>
      </c>
      <c r="BH16" s="218">
        <f t="shared" si="22"/>
        <v>0.39222788616434934</v>
      </c>
      <c r="BK16" s="782">
        <f>($BK$4*$AK16)/(365*$O16*$AG16)/(1000*33.3)</f>
        <v>1.9950110356022725E-2</v>
      </c>
      <c r="BL16" s="783"/>
      <c r="BM16" s="217">
        <f>($BK$4/$AI16*$AG16*$AL16)/(365*$O16*$AG16)/(1000*33.3)</f>
        <v>2.8003652722618224E-3</v>
      </c>
      <c r="BN16" s="218">
        <f>(BK$4/AI16*AM16)/(1000*33.3)</f>
        <v>7.8923279783052417E-3</v>
      </c>
      <c r="BP16" s="775">
        <f t="shared" si="23"/>
        <v>0.65105368986969647</v>
      </c>
      <c r="BQ16" s="776"/>
      <c r="BR16" s="234">
        <f t="shared" si="23"/>
        <v>9.1387371345473062E-2</v>
      </c>
      <c r="BS16" s="235">
        <f t="shared" si="23"/>
        <v>0.25755893878483049</v>
      </c>
      <c r="BV16" s="18"/>
    </row>
    <row r="17" spans="1:74">
      <c r="A17" s="393" t="s">
        <v>2234</v>
      </c>
      <c r="B17" s="268">
        <f>INDEX('Eingabe Transportmittel'!$C$25:$U$46,MATCH(B$13,'Eingabe Transportmittel'!$A$25:$A$46,0),MATCH($A17,'Eingabe Transportmittel'!$C$22:$U$22,0))</f>
        <v>1016</v>
      </c>
      <c r="C17" s="166">
        <f>INDEX('Eingabe Transportmittel'!$C$25:$U$46,MATCH(C$13,'Eingabe Transportmittel'!$A$25:$A$46,0),MATCH($A17,'Eingabe Transportmittel'!$C$22:$U$22,0))</f>
        <v>80</v>
      </c>
      <c r="D17" s="166">
        <f>INDEX('Eingabe Transportmittel'!$C$25:$U$46,MATCH(D$13,'Eingabe Transportmittel'!$A$25:$A$46,0),MATCH($A17,'Eingabe Transportmittel'!$C$22:$U$22,0))</f>
        <v>100</v>
      </c>
      <c r="E17" s="166">
        <f>INDEX('Eingabe Transportmittel'!$C$25:$U$46,MATCH(E$13,'Eingabe Transportmittel'!$A$25:$A$46,0),MATCH($A17,'Eingabe Transportmittel'!$C$22:$U$22,0))</f>
        <v>48.6</v>
      </c>
      <c r="F17" s="166">
        <f>INDEX('Eingabe Transportmittel'!$C$25:$U$46,MATCH(F$13,'Eingabe Transportmittel'!$A$25:$A$46,0),MATCH($A17,'Eingabe Transportmittel'!$C$22:$U$22,0))</f>
        <v>13.5</v>
      </c>
      <c r="G17" s="166">
        <f>INDEX('Eingabe Transportmittel'!$C$25:$U$46,MATCH(G$13,'Eingabe Transportmittel'!$A$25:$A$46,0),MATCH($A17,'Eingabe Transportmittel'!$C$22:$U$22,0))</f>
        <v>40</v>
      </c>
      <c r="H17" s="269">
        <f>INDEX('Eingabe Transportmittel'!$C$25:$U$46,MATCH(H$13,'Eingabe Transportmittel'!$A$25:$A$46,0),MATCH($A17,'Eingabe Transportmittel'!$C$22:$U$22,0))</f>
        <v>0.08</v>
      </c>
      <c r="I17" s="166">
        <f>INDEX('Eingabe Transportmittel'!$C$25:$U$46,MATCH(I$13,'Eingabe Transportmittel'!$A$25:$A$46,0),MATCH($A17,'Eingabe Transportmittel'!$C$22:$U$22,0))</f>
        <v>1200</v>
      </c>
      <c r="J17" s="166">
        <f>INDEX('Eingabe Transportmittel'!$C$25:$U$46,MATCH(J$13,'Eingabe Transportmittel'!$A$25:$A$46,0),MATCH($A17,'Eingabe Transportmittel'!$C$22:$U$22,0))</f>
        <v>15208.333333333334</v>
      </c>
      <c r="K17" s="166">
        <f>INDEX('Eingabe Transportmittel'!$C$25:$U$46,MATCH(K$13,'Eingabe Transportmittel'!$A$25:$A$46,0),MATCH($A17,'Eingabe Transportmittel'!$C$22:$U$22,0))</f>
        <v>850000</v>
      </c>
      <c r="L17" s="269">
        <f>INDEX('Eingabe Transportmittel'!$C$25:$U$46,MATCH(L$13,'Eingabe Transportmittel'!$A$25:$A$46,0),MATCH($A17,'Eingabe Transportmittel'!$C$22:$U$22,0))</f>
        <v>0.8</v>
      </c>
      <c r="M17" s="166">
        <f>INDEX('Eingabe Transportmittel'!$C$25:$U$46,MATCH(M$13,'Eingabe Transportmittel'!$A$25:$A$46,0),MATCH($A17,'Eingabe Transportmittel'!$C$22:$U$22,0))</f>
        <v>150</v>
      </c>
      <c r="N17" s="269">
        <f>INDEX('Eingabe Transportmittel'!$C$25:$U$46,MATCH(N$13,'Eingabe Transportmittel'!$A$25:$A$46,0),MATCH($A17,'Eingabe Transportmittel'!$C$22:$U$22,0))</f>
        <v>0.03</v>
      </c>
      <c r="O17" s="269">
        <f>INDEX('Eingabe Transportmittel'!$C$25:$U$46,MATCH(O$13,'Eingabe Transportmittel'!$A$25:$A$46,0),MATCH($A17,'Eingabe Transportmittel'!$C$22:$U$22,0))</f>
        <v>0.91324200913242004</v>
      </c>
      <c r="P17" s="166">
        <f>INDEX('Eingabe Transportmittel'!$C$25:$U$46,MATCH(P$13,'Eingabe Transportmittel'!$A$25:$A$46,0),MATCH($A17,'Eingabe Transportmittel'!$C$22:$U$22,0))</f>
        <v>2</v>
      </c>
      <c r="Q17" s="166">
        <f>INDEX('Eingabe Transportmittel'!$C$25:$U$46,MATCH(Q$13,'Eingabe Transportmittel'!$A$25:$A$46,0),MATCH($A17,'Eingabe Transportmittel'!$C$22:$U$22,0))</f>
        <v>8.8178000000000005E-6</v>
      </c>
      <c r="R17" s="166">
        <f>INDEX('Eingabe Transportmittel'!$C$25:$U$46,MATCH(R$13,'Eingabe Transportmittel'!$A$25:$A$46,0),MATCH($A17,'Eingabe Transportmittel'!$C$22:$U$22,0))</f>
        <v>0.02</v>
      </c>
      <c r="S17" s="166">
        <f>INDEX('Eingabe Transportmittel'!$C$25:$U$46,MATCH(S$13,'Eingabe Transportmittel'!$A$25:$A$46,0),MATCH($A17,'Eingabe Transportmittel'!$C$22:$U$22,0))</f>
        <v>7.85</v>
      </c>
      <c r="T17" s="166">
        <f>INDEX('Eingabe Transportmittel'!$C$25:$U$46,MATCH(T$13,'Eingabe Transportmittel'!$A$25:$A$46,0),MATCH($A17,'Eingabe Transportmittel'!$C$22:$U$22,0))</f>
        <v>360</v>
      </c>
      <c r="U17" s="166">
        <f>INDEX('Eingabe Transportmittel'!$C$25:$U$46,MATCH(U$13,'Eingabe Transportmittel'!$A$25:$A$46,0),MATCH($A17,'Eingabe Transportmittel'!$C$22:$U$22,0))</f>
        <v>4124.2559523809523</v>
      </c>
      <c r="V17" s="166">
        <f>INDEX('Eingabe Transportmittel'!$C$25:$U$46,MATCH(V$13,'Eingabe Transportmittel'!$A$25:$A$46,0),MATCH($A17,'Eingabe Transportmittel'!$C$22:$U$22,0))</f>
        <v>283</v>
      </c>
      <c r="W17" s="166">
        <f>INDEX('Eingabe Transportmittel'!$C$25:$U$46,MATCH(W$13,'Eingabe Transportmittel'!$A$25:$A$46,0),MATCH($A17,'Eingabe Transportmittel'!$C$22:$U$22,0))</f>
        <v>1.4207221350078494</v>
      </c>
      <c r="X17" s="166"/>
      <c r="Y17" s="166">
        <f t="shared" si="11"/>
        <v>28.222222222222221</v>
      </c>
      <c r="Z17" s="166">
        <f>(0.00067954*C17+0.99498+0.00067954*D17+0.99498)/2</f>
        <v>1.0561386000000001</v>
      </c>
      <c r="AA17" s="270">
        <f t="shared" si="12"/>
        <v>8.1123567125669318</v>
      </c>
      <c r="AB17" s="166">
        <f t="shared" si="13"/>
        <v>12618689.998590128</v>
      </c>
      <c r="AC17" s="166">
        <f t="shared" si="14"/>
        <v>9.5064553890924219E-3</v>
      </c>
      <c r="AD17" s="166">
        <f t="shared" si="15"/>
        <v>726.41272479012343</v>
      </c>
      <c r="AE17" s="166">
        <f t="shared" si="16"/>
        <v>871695.26974814816</v>
      </c>
      <c r="AF17" s="166">
        <f>(0.00080134*B17^2+0.7187*B17+214.63)*1000</f>
        <v>1772017.2230399998</v>
      </c>
      <c r="AG17" s="166">
        <f t="shared" si="17"/>
        <v>7667.4618290068447</v>
      </c>
      <c r="AH17" s="166">
        <f t="shared" si="18"/>
        <v>9.760540220150167E-2</v>
      </c>
      <c r="AI17" s="40">
        <f t="shared" si="19"/>
        <v>260.23338939508631</v>
      </c>
      <c r="AK17" s="274">
        <f>(-PMT(H17,G17,INDEX('Eingabe Transportmittel'!$C$47:$M$47,1,MATCH($A17,'Eingabe Transportmittel'!$C$22:$M$22,0)))+N17)*(AE17+AF17+K17)</f>
        <v>397794.66866547114</v>
      </c>
      <c r="AL17" s="166">
        <f>(-PMT(H17,G17,INDEX('Eingabe Transportmittel'!$C$48:$M$48,1,MATCH($A17,'Eingabe Transportmittel'!$C$22:$M$22,0)))+N17)*J17</f>
        <v>1731.6232894880688</v>
      </c>
      <c r="AM17" s="40">
        <f t="shared" si="20"/>
        <v>14.64081033022525</v>
      </c>
      <c r="AO17" s="274">
        <f t="shared" si="24"/>
        <v>23.186529693401837</v>
      </c>
      <c r="AP17" s="281">
        <f t="shared" si="24"/>
        <v>46.373059386803675</v>
      </c>
      <c r="AQ17" s="281">
        <f t="shared" si="24"/>
        <v>92.74611877360735</v>
      </c>
      <c r="AR17" s="281">
        <f t="shared" si="24"/>
        <v>185.4922375472147</v>
      </c>
      <c r="AS17" s="281">
        <f t="shared" si="24"/>
        <v>370.9844750944294</v>
      </c>
      <c r="AT17" s="281">
        <f t="shared" si="24"/>
        <v>741.9689501888588</v>
      </c>
      <c r="AU17" s="281">
        <f t="shared" si="24"/>
        <v>1483.9379003777176</v>
      </c>
      <c r="AV17" s="281">
        <f t="shared" si="24"/>
        <v>2967.8758007554352</v>
      </c>
      <c r="AW17" s="282">
        <f t="shared" si="24"/>
        <v>5935.7516015108704</v>
      </c>
      <c r="AZ17" s="290">
        <f t="shared" si="22"/>
        <v>6.9629218298504015E-4</v>
      </c>
      <c r="BA17" s="219">
        <f t="shared" si="22"/>
        <v>1.3925843659700803E-3</v>
      </c>
      <c r="BB17" s="219">
        <f t="shared" si="22"/>
        <v>2.7851687319401606E-3</v>
      </c>
      <c r="BC17" s="219">
        <f t="shared" si="22"/>
        <v>5.5703374638803212E-3</v>
      </c>
      <c r="BD17" s="219">
        <f t="shared" si="22"/>
        <v>1.1140674927760642E-2</v>
      </c>
      <c r="BE17" s="219">
        <f t="shared" si="22"/>
        <v>2.2281349855521285E-2</v>
      </c>
      <c r="BF17" s="219">
        <f t="shared" si="22"/>
        <v>4.4562699711042569E-2</v>
      </c>
      <c r="BG17" s="219">
        <f t="shared" si="22"/>
        <v>8.9125399422085139E-2</v>
      </c>
      <c r="BH17" s="220">
        <f t="shared" si="22"/>
        <v>0.17825079884417028</v>
      </c>
      <c r="BK17" s="290">
        <f>($BK$4*(-PMT(H17,G17,1)+N17)*K17)/(365*$O17*$AG17)/(1000*33.3)</f>
        <v>2.2742914332317746E-3</v>
      </c>
      <c r="BL17" s="219">
        <f>($BK$4*(-PMT(H17,G17,1)+N17)*(AE17+AF17))/(365*$O17*$AG17)/(1000*33.3)</f>
        <v>7.0736149109128284E-3</v>
      </c>
      <c r="BM17" s="219">
        <f>($BK$4/$AI17*$AG17*$AL17)/(365*$O17*$AG17)/(1000*33.3)</f>
        <v>1.1989399093998345E-3</v>
      </c>
      <c r="BN17" s="220">
        <f>(BK$4/AI17*AM17)/(1000*33.3)</f>
        <v>3.3789974061563663E-3</v>
      </c>
      <c r="BP17" s="242">
        <f t="shared" si="23"/>
        <v>0.16331444534403436</v>
      </c>
      <c r="BQ17" s="243">
        <f t="shared" si="23"/>
        <v>0.50794875224563629</v>
      </c>
      <c r="BR17" s="243">
        <f t="shared" si="23"/>
        <v>8.6094597835345343E-2</v>
      </c>
      <c r="BS17" s="244">
        <f t="shared" si="23"/>
        <v>0.24264220457498398</v>
      </c>
      <c r="BU17" s="27"/>
      <c r="BV17" s="18"/>
    </row>
    <row r="18" spans="1:74" s="16" customFormat="1">
      <c r="A18" s="393" t="s">
        <v>2235</v>
      </c>
      <c r="B18" s="264">
        <f>INDEX('Eingabe Transportmittel'!$C$25:$U$46,MATCH(B$13,'Eingabe Transportmittel'!$A$25:$A$46,0),MATCH($A18,'Eingabe Transportmittel'!$C$22:$U$22,0))</f>
        <v>1016</v>
      </c>
      <c r="C18" s="15">
        <f>INDEX('Eingabe Transportmittel'!$C$25:$U$46,MATCH(C$13,'Eingabe Transportmittel'!$A$25:$A$46,0),MATCH($A18,'Eingabe Transportmittel'!$C$22:$U$22,0))</f>
        <v>80</v>
      </c>
      <c r="D18" s="15">
        <f>INDEX('Eingabe Transportmittel'!$C$25:$U$46,MATCH(D$13,'Eingabe Transportmittel'!$A$25:$A$46,0),MATCH($A18,'Eingabe Transportmittel'!$C$22:$U$22,0))</f>
        <v>100</v>
      </c>
      <c r="E18" s="15">
        <f>INDEX('Eingabe Transportmittel'!$C$25:$U$46,MATCH(E$13,'Eingabe Transportmittel'!$A$25:$A$46,0),MATCH($A18,'Eingabe Transportmittel'!$C$22:$U$22,0))</f>
        <v>34.200000000000003</v>
      </c>
      <c r="F18" s="15">
        <f>INDEX('Eingabe Transportmittel'!$C$25:$U$46,MATCH(F$13,'Eingabe Transportmittel'!$A$25:$A$46,0),MATCH($A18,'Eingabe Transportmittel'!$C$22:$U$22,0))</f>
        <v>9.5</v>
      </c>
      <c r="G18" s="15">
        <f>INDEX('Eingabe Transportmittel'!$C$25:$U$46,MATCH(G$13,'Eingabe Transportmittel'!$A$25:$A$46,0),MATCH($A18,'Eingabe Transportmittel'!$C$22:$U$22,0))</f>
        <v>40</v>
      </c>
      <c r="H18" s="260">
        <f>INDEX('Eingabe Transportmittel'!$C$25:$U$46,MATCH(H$13,'Eingabe Transportmittel'!$A$25:$A$46,0),MATCH($A18,'Eingabe Transportmittel'!$C$22:$U$22,0))</f>
        <v>0.08</v>
      </c>
      <c r="I18" s="15">
        <f>INDEX('Eingabe Transportmittel'!$C$25:$U$46,MATCH(I$13,'Eingabe Transportmittel'!$A$25:$A$46,0),MATCH($A18,'Eingabe Transportmittel'!$C$22:$U$22,0))</f>
        <v>1200</v>
      </c>
      <c r="J18" s="15">
        <f>INDEX('Eingabe Transportmittel'!$C$25:$U$46,MATCH(J$13,'Eingabe Transportmittel'!$A$25:$A$46,0),MATCH($A18,'Eingabe Transportmittel'!$C$22:$U$22,0))</f>
        <v>15208.333333333334</v>
      </c>
      <c r="K18" s="15">
        <f>INDEX('Eingabe Transportmittel'!$C$25:$U$46,MATCH(K$13,'Eingabe Transportmittel'!$A$25:$A$46,0),MATCH($A18,'Eingabe Transportmittel'!$C$22:$U$22,0))</f>
        <v>850000</v>
      </c>
      <c r="L18" s="260">
        <f>INDEX('Eingabe Transportmittel'!$C$25:$U$46,MATCH(L$13,'Eingabe Transportmittel'!$A$25:$A$46,0),MATCH($A18,'Eingabe Transportmittel'!$C$22:$U$22,0))</f>
        <v>0.8</v>
      </c>
      <c r="M18" s="15">
        <f>INDEX('Eingabe Transportmittel'!$C$25:$U$46,MATCH(M$13,'Eingabe Transportmittel'!$A$25:$A$46,0),MATCH($A18,'Eingabe Transportmittel'!$C$22:$U$22,0))</f>
        <v>150</v>
      </c>
      <c r="N18" s="260">
        <f>INDEX('Eingabe Transportmittel'!$C$25:$U$46,MATCH(N$13,'Eingabe Transportmittel'!$A$25:$A$46,0),MATCH($A18,'Eingabe Transportmittel'!$C$22:$U$22,0))</f>
        <v>0.03</v>
      </c>
      <c r="O18" s="260">
        <f>INDEX('Eingabe Transportmittel'!$C$25:$U$46,MATCH(O$13,'Eingabe Transportmittel'!$A$25:$A$46,0),MATCH($A18,'Eingabe Transportmittel'!$C$22:$U$22,0))</f>
        <v>0.91324200913242004</v>
      </c>
      <c r="P18" s="15">
        <f>INDEX('Eingabe Transportmittel'!$C$25:$U$46,MATCH(P$13,'Eingabe Transportmittel'!$A$25:$A$46,0),MATCH($A18,'Eingabe Transportmittel'!$C$22:$U$22,0))</f>
        <v>2</v>
      </c>
      <c r="Q18" s="15">
        <f>INDEX('Eingabe Transportmittel'!$C$25:$U$46,MATCH(Q$13,'Eingabe Transportmittel'!$A$25:$A$46,0),MATCH($A18,'Eingabe Transportmittel'!$C$22:$U$22,0))</f>
        <v>8.8178000000000005E-6</v>
      </c>
      <c r="R18" s="15">
        <f>INDEX('Eingabe Transportmittel'!$C$25:$U$46,MATCH(R$13,'Eingabe Transportmittel'!$A$25:$A$46,0),MATCH($A18,'Eingabe Transportmittel'!$C$22:$U$22,0))</f>
        <v>0.02</v>
      </c>
      <c r="S18" s="15">
        <f>INDEX('Eingabe Transportmittel'!$C$25:$U$46,MATCH(S$13,'Eingabe Transportmittel'!$A$25:$A$46,0),MATCH($A18,'Eingabe Transportmittel'!$C$22:$U$22,0))</f>
        <v>7.85</v>
      </c>
      <c r="T18" s="15">
        <f>INDEX('Eingabe Transportmittel'!$C$25:$U$46,MATCH(T$13,'Eingabe Transportmittel'!$A$25:$A$46,0),MATCH($A18,'Eingabe Transportmittel'!$C$22:$U$22,0))</f>
        <v>360</v>
      </c>
      <c r="U18" s="15">
        <f>INDEX('Eingabe Transportmittel'!$C$25:$U$46,MATCH(U$13,'Eingabe Transportmittel'!$A$25:$A$46,0),MATCH($A18,'Eingabe Transportmittel'!$C$22:$U$22,0))</f>
        <v>4124.2559523809523</v>
      </c>
      <c r="V18" s="15">
        <f>INDEX('Eingabe Transportmittel'!$C$25:$U$46,MATCH(V$13,'Eingabe Transportmittel'!$A$25:$A$46,0),MATCH($A18,'Eingabe Transportmittel'!$C$22:$U$22,0))</f>
        <v>283</v>
      </c>
      <c r="W18" s="15">
        <f>INDEX('Eingabe Transportmittel'!$C$25:$U$46,MATCH(W$13,'Eingabe Transportmittel'!$A$25:$A$46,0),MATCH($A18,'Eingabe Transportmittel'!$C$22:$U$22,0))</f>
        <v>1.4207221350078494</v>
      </c>
      <c r="X18" s="15"/>
      <c r="Y18" s="15">
        <f t="shared" si="11"/>
        <v>28.222222222222221</v>
      </c>
      <c r="Z18" s="15">
        <f>(0.00067954*C18+0.99498+0.00067954*D18+0.99498)/2</f>
        <v>1.0561386000000001</v>
      </c>
      <c r="AA18" s="261">
        <f t="shared" si="12"/>
        <v>8.1123567125669318</v>
      </c>
      <c r="AB18" s="15">
        <f t="shared" si="13"/>
        <v>8879818.8878967576</v>
      </c>
      <c r="AC18" s="15">
        <f t="shared" si="14"/>
        <v>9.6836896385913071E-3</v>
      </c>
      <c r="AD18" s="15">
        <f t="shared" si="15"/>
        <v>726.41272479012343</v>
      </c>
      <c r="AE18" s="15">
        <f t="shared" si="16"/>
        <v>871695.26974814816</v>
      </c>
      <c r="AF18" s="15">
        <f>(0.00080134*B18^2+0.7187*B18+214.63)*1000</f>
        <v>1772017.2230399998</v>
      </c>
      <c r="AG18" s="15">
        <f t="shared" si="17"/>
        <v>5395.6212870788913</v>
      </c>
      <c r="AH18" s="15">
        <f t="shared" si="18"/>
        <v>9.760540220150167E-2</v>
      </c>
      <c r="AI18" s="165">
        <f t="shared" si="19"/>
        <v>515.89473687579994</v>
      </c>
      <c r="AK18" s="272">
        <f>(-PMT(H18,G18,INDEX('Eingabe Transportmittel'!$C$47:$M$47,1,MATCH($A18,'Eingabe Transportmittel'!$C$22:$M$22,0)))+N18)*(AE18+AF18+K18)</f>
        <v>134109.70417182709</v>
      </c>
      <c r="AL18" s="15">
        <f>(-PMT(H18,G18,INDEX('Eingabe Transportmittel'!$C$48:$M$48,1,MATCH($A18,'Eingabe Transportmittel'!$C$22:$M$22,0)))+N18)*J18</f>
        <v>1731.6232894880688</v>
      </c>
      <c r="AM18" s="165">
        <f t="shared" si="20"/>
        <v>14.64081033022525</v>
      </c>
      <c r="AO18" s="275">
        <f t="shared" si="24"/>
        <v>11.30149388702112</v>
      </c>
      <c r="AP18" s="276">
        <f t="shared" si="24"/>
        <v>22.602987774042241</v>
      </c>
      <c r="AQ18" s="276">
        <f t="shared" si="24"/>
        <v>45.205975548084481</v>
      </c>
      <c r="AR18" s="276">
        <f t="shared" si="24"/>
        <v>90.411951096168963</v>
      </c>
      <c r="AS18" s="276">
        <f t="shared" si="24"/>
        <v>180.82390219233793</v>
      </c>
      <c r="AT18" s="276">
        <f t="shared" si="24"/>
        <v>361.64780438467585</v>
      </c>
      <c r="AU18" s="276">
        <f t="shared" si="24"/>
        <v>723.2956087693517</v>
      </c>
      <c r="AV18" s="276">
        <f t="shared" si="24"/>
        <v>1446.5912175387034</v>
      </c>
      <c r="AW18" s="277">
        <f t="shared" si="24"/>
        <v>2893.1824350774068</v>
      </c>
      <c r="AZ18" s="285">
        <f t="shared" si="22"/>
        <v>3.3938420081144503E-4</v>
      </c>
      <c r="BA18" s="217">
        <f t="shared" si="22"/>
        <v>6.7876840162289006E-4</v>
      </c>
      <c r="BB18" s="217">
        <f t="shared" si="22"/>
        <v>1.3575368032457801E-3</v>
      </c>
      <c r="BC18" s="217">
        <f t="shared" si="22"/>
        <v>2.7150736064915602E-3</v>
      </c>
      <c r="BD18" s="217">
        <f t="shared" si="22"/>
        <v>5.4301472129831205E-3</v>
      </c>
      <c r="BE18" s="217">
        <f t="shared" si="22"/>
        <v>1.0860294425966241E-2</v>
      </c>
      <c r="BF18" s="217">
        <f t="shared" si="22"/>
        <v>2.1720588851932482E-2</v>
      </c>
      <c r="BG18" s="217">
        <f t="shared" si="22"/>
        <v>4.3441177703864964E-2</v>
      </c>
      <c r="BH18" s="218">
        <f t="shared" si="22"/>
        <v>8.6882355407729928E-2</v>
      </c>
      <c r="BK18" s="782">
        <f>($BK$4*$AK18)/(365*$O18*$AG18)/(1000*33.3)</f>
        <v>4.4784297073363439E-3</v>
      </c>
      <c r="BL18" s="783"/>
      <c r="BM18" s="217">
        <f>($BK$4/$AI18*$AG18*$AL18)/(365*$O18*$AG18)/(1000*33.3)</f>
        <v>6.0478266980124398E-4</v>
      </c>
      <c r="BN18" s="218">
        <f>(BK$4/AI18*AM18)/(1000*33.3)</f>
        <v>1.7044716390913128E-3</v>
      </c>
      <c r="BP18" s="775">
        <f t="shared" si="23"/>
        <v>0.65978759421162159</v>
      </c>
      <c r="BQ18" s="776"/>
      <c r="BR18" s="234">
        <f t="shared" si="23"/>
        <v>8.910000352922276E-2</v>
      </c>
      <c r="BS18" s="235">
        <f t="shared" si="23"/>
        <v>0.25111240225915565</v>
      </c>
      <c r="BU18" s="18"/>
      <c r="BV18" s="18"/>
    </row>
    <row r="19" spans="1:74">
      <c r="A19" s="393" t="s">
        <v>2236</v>
      </c>
      <c r="B19" s="268">
        <f>INDEX('Eingabe Transportmittel'!$C$25:$U$46,MATCH(B$13,'Eingabe Transportmittel'!$A$25:$A$46,0),MATCH($A19,'Eingabe Transportmittel'!$C$22:$U$22,0))</f>
        <v>1016</v>
      </c>
      <c r="C19" s="166">
        <f>INDEX('Eingabe Transportmittel'!$C$25:$U$46,MATCH(C$13,'Eingabe Transportmittel'!$A$25:$A$46,0),MATCH($A19,'Eingabe Transportmittel'!$C$22:$U$22,0))</f>
        <v>75</v>
      </c>
      <c r="D19" s="166">
        <f>INDEX('Eingabe Transportmittel'!$C$25:$U$46,MATCH(D$13,'Eingabe Transportmittel'!$A$25:$A$46,0),MATCH($A19,'Eingabe Transportmittel'!$C$22:$U$22,0))</f>
        <v>100</v>
      </c>
      <c r="E19" s="166">
        <f>INDEX('Eingabe Transportmittel'!$C$25:$U$46,MATCH(E$13,'Eingabe Transportmittel'!$A$25:$A$46,0),MATCH($A19,'Eingabe Transportmittel'!$C$22:$U$22,0))</f>
        <v>19.8</v>
      </c>
      <c r="F19" s="166">
        <f>INDEX('Eingabe Transportmittel'!$C$25:$U$46,MATCH(F$13,'Eingabe Transportmittel'!$A$25:$A$46,0),MATCH($A19,'Eingabe Transportmittel'!$C$22:$U$22,0))</f>
        <v>5.5</v>
      </c>
      <c r="G19" s="166">
        <f>INDEX('Eingabe Transportmittel'!$C$25:$U$46,MATCH(G$13,'Eingabe Transportmittel'!$A$25:$A$46,0),MATCH($A19,'Eingabe Transportmittel'!$C$22:$U$22,0))</f>
        <v>40</v>
      </c>
      <c r="H19" s="269">
        <f>INDEX('Eingabe Transportmittel'!$C$25:$U$46,MATCH(H$13,'Eingabe Transportmittel'!$A$25:$A$46,0),MATCH($A19,'Eingabe Transportmittel'!$C$22:$U$22,0))</f>
        <v>0.08</v>
      </c>
      <c r="I19" s="166">
        <f>INDEX('Eingabe Transportmittel'!$C$25:$U$46,MATCH(I$13,'Eingabe Transportmittel'!$A$25:$A$46,0),MATCH($A19,'Eingabe Transportmittel'!$C$22:$U$22,0))</f>
        <v>850</v>
      </c>
      <c r="J19" s="166">
        <f>INDEX('Eingabe Transportmittel'!$C$25:$U$46,MATCH(J$13,'Eingabe Transportmittel'!$A$25:$A$46,0),MATCH($A19,'Eingabe Transportmittel'!$C$22:$U$22,0))</f>
        <v>2500</v>
      </c>
      <c r="K19" s="166">
        <f>INDEX('Eingabe Transportmittel'!$C$25:$U$46,MATCH(K$13,'Eingabe Transportmittel'!$A$25:$A$46,0),MATCH($A19,'Eingabe Transportmittel'!$C$22:$U$22,0))</f>
        <v>850000</v>
      </c>
      <c r="L19" s="269">
        <f>INDEX('Eingabe Transportmittel'!$C$25:$U$46,MATCH(L$13,'Eingabe Transportmittel'!$A$25:$A$46,0),MATCH($A19,'Eingabe Transportmittel'!$C$22:$U$22,0))</f>
        <v>0.8</v>
      </c>
      <c r="M19" s="166">
        <f>INDEX('Eingabe Transportmittel'!$C$25:$U$46,MATCH(M$13,'Eingabe Transportmittel'!$A$25:$A$46,0),MATCH($A19,'Eingabe Transportmittel'!$C$22:$U$22,0))</f>
        <v>150</v>
      </c>
      <c r="N19" s="269">
        <f>INDEX('Eingabe Transportmittel'!$C$25:$U$46,MATCH(N$13,'Eingabe Transportmittel'!$A$25:$A$46,0),MATCH($A19,'Eingabe Transportmittel'!$C$22:$U$22,0))</f>
        <v>0.02</v>
      </c>
      <c r="O19" s="269">
        <f>INDEX('Eingabe Transportmittel'!$C$25:$U$46,MATCH(O$13,'Eingabe Transportmittel'!$A$25:$A$46,0),MATCH($A19,'Eingabe Transportmittel'!$C$22:$U$22,0))</f>
        <v>0.91324200913242004</v>
      </c>
      <c r="P19" s="166">
        <f>INDEX('Eingabe Transportmittel'!$C$25:$U$46,MATCH(P$13,'Eingabe Transportmittel'!$A$25:$A$46,0),MATCH($A19,'Eingabe Transportmittel'!$C$22:$U$22,0))</f>
        <v>1.6</v>
      </c>
      <c r="Q19" s="166">
        <f>INDEX('Eingabe Transportmittel'!$C$25:$U$46,MATCH(Q$13,'Eingabe Transportmittel'!$A$25:$A$46,0),MATCH($A19,'Eingabe Transportmittel'!$C$22:$U$22,0))</f>
        <v>1.3091000000000001E-5</v>
      </c>
      <c r="R19" s="166">
        <f>INDEX('Eingabe Transportmittel'!$C$25:$U$46,MATCH(R$13,'Eingabe Transportmittel'!$A$25:$A$46,0),MATCH($A19,'Eingabe Transportmittel'!$C$22:$U$22,0))</f>
        <v>0.02</v>
      </c>
      <c r="S19" s="166">
        <f>INDEX('Eingabe Transportmittel'!$C$25:$U$46,MATCH(S$13,'Eingabe Transportmittel'!$A$25:$A$46,0),MATCH($A19,'Eingabe Transportmittel'!$C$22:$U$22,0))</f>
        <v>7.85</v>
      </c>
      <c r="T19" s="166">
        <f>INDEX('Eingabe Transportmittel'!$C$25:$U$46,MATCH(T$13,'Eingabe Transportmittel'!$A$25:$A$46,0),MATCH($A19,'Eingabe Transportmittel'!$C$22:$U$22,0))</f>
        <v>360</v>
      </c>
      <c r="U19" s="166">
        <f>INDEX('Eingabe Transportmittel'!$C$25:$U$46,MATCH(U$13,'Eingabe Transportmittel'!$A$25:$A$46,0),MATCH($A19,'Eingabe Transportmittel'!$C$22:$U$22,0))</f>
        <v>518.26341706663345</v>
      </c>
      <c r="V19" s="166">
        <f>INDEX('Eingabe Transportmittel'!$C$25:$U$46,MATCH(V$13,'Eingabe Transportmittel'!$A$25:$A$46,0),MATCH($A19,'Eingabe Transportmittel'!$C$22:$U$22,0))</f>
        <v>283</v>
      </c>
      <c r="W19" s="166">
        <f>INDEX('Eingabe Transportmittel'!$C$25:$U$46,MATCH(W$13,'Eingabe Transportmittel'!$A$25:$A$46,0),MATCH($A19,'Eingabe Transportmittel'!$C$22:$U$22,0))</f>
        <v>1.7000899280575541</v>
      </c>
      <c r="X19" s="166"/>
      <c r="Y19" s="166">
        <f t="shared" si="11"/>
        <v>22.577777777777779</v>
      </c>
      <c r="Z19" s="166">
        <f>(IF(C19&lt;265,0.00000798*C19^2-0.0027*C19+1,0.00151*C19+0.438)+IF(D19&lt;265,0.00000798*D19^2-0.0027*D19+1,0.00151*D19+0.438))/2</f>
        <v>0.82609374999999996</v>
      </c>
      <c r="AA19" s="270">
        <f t="shared" si="12"/>
        <v>82.534148281892072</v>
      </c>
      <c r="AB19" s="166">
        <f t="shared" si="13"/>
        <v>35230373.584845535</v>
      </c>
      <c r="AC19" s="166">
        <f t="shared" si="14"/>
        <v>9.1934866017088779E-3</v>
      </c>
      <c r="AD19" s="166">
        <f t="shared" si="15"/>
        <v>577.98893561678995</v>
      </c>
      <c r="AE19" s="166">
        <f t="shared" si="16"/>
        <v>491290.59527427144</v>
      </c>
      <c r="AF19" s="166">
        <f>(0.00080134*B19^2+0.7187*B19+214.63)/1.25*1000</f>
        <v>1417613.778432</v>
      </c>
      <c r="AG19" s="166">
        <f t="shared" si="17"/>
        <v>31780.972207622151</v>
      </c>
      <c r="AH19" s="166">
        <f t="shared" si="18"/>
        <v>1.2692933011867934E-2</v>
      </c>
      <c r="AI19" s="40">
        <f t="shared" si="19"/>
        <v>193.65667232165336</v>
      </c>
      <c r="AK19" s="274">
        <f>(-PMT(H19,G19,INDEX('Eingabe Transportmittel'!$C$47:$M$47,1,MATCH($A19,'Eingabe Transportmittel'!$C$22:$M$22,0)))+N19)*(AE19+AF19+K19)</f>
        <v>286540.25381780462</v>
      </c>
      <c r="AL19" s="166">
        <f>(-PMT(H19,G19,INDEX('Eingabe Transportmittel'!$C$48:$M$48,1,MATCH($A19,'Eingabe Transportmittel'!$C$22:$M$22,0)))+N19)*J19</f>
        <v>259.65040375146339</v>
      </c>
      <c r="AM19" s="40">
        <f t="shared" si="20"/>
        <v>1.90393995178019</v>
      </c>
      <c r="AO19" s="274">
        <f t="shared" si="24"/>
        <v>4.0902137456875787</v>
      </c>
      <c r="AP19" s="281">
        <f t="shared" si="24"/>
        <v>8.1804274913751573</v>
      </c>
      <c r="AQ19" s="281">
        <f t="shared" si="24"/>
        <v>16.360854982750315</v>
      </c>
      <c r="AR19" s="281">
        <f t="shared" si="24"/>
        <v>32.721709965500629</v>
      </c>
      <c r="AS19" s="281">
        <f t="shared" si="24"/>
        <v>65.443419931001259</v>
      </c>
      <c r="AT19" s="281">
        <f t="shared" si="24"/>
        <v>130.88683986200252</v>
      </c>
      <c r="AU19" s="281">
        <f t="shared" si="24"/>
        <v>261.77367972400504</v>
      </c>
      <c r="AV19" s="281">
        <f t="shared" si="24"/>
        <v>523.54735944801007</v>
      </c>
      <c r="AW19" s="282">
        <f t="shared" si="24"/>
        <v>1047.0947188960201</v>
      </c>
      <c r="AZ19" s="290">
        <f t="shared" ref="AZ19:BH20" si="25">AO19/(1000*45/3.6)</f>
        <v>3.2721709965500629E-4</v>
      </c>
      <c r="BA19" s="219">
        <f t="shared" si="25"/>
        <v>6.5443419931001257E-4</v>
      </c>
      <c r="BB19" s="219">
        <f t="shared" si="25"/>
        <v>1.3088683986200251E-3</v>
      </c>
      <c r="BC19" s="219">
        <f t="shared" si="25"/>
        <v>2.6177367972400503E-3</v>
      </c>
      <c r="BD19" s="219">
        <f t="shared" si="25"/>
        <v>5.2354735944801006E-3</v>
      </c>
      <c r="BE19" s="219">
        <f t="shared" si="25"/>
        <v>1.0470947188960201E-2</v>
      </c>
      <c r="BF19" s="219">
        <f t="shared" si="25"/>
        <v>2.0941894377920402E-2</v>
      </c>
      <c r="BG19" s="219">
        <f t="shared" si="25"/>
        <v>4.1883788755840805E-2</v>
      </c>
      <c r="BH19" s="220">
        <f t="shared" si="25"/>
        <v>8.376757751168161E-2</v>
      </c>
      <c r="BK19" s="290">
        <f>($BK$4*(-PMT(H19,G19,1)+N19)*K19)/(365*$O19*$AG19)/(1000*45/3.6)</f>
        <v>1.3333432852653852E-3</v>
      </c>
      <c r="BL19" s="219">
        <f>($BK$4*(-PMT(H19,G19,1)+N19)*(AE19+AF19))/(365*$O19*$AG19)/(1000*45/3.6)</f>
        <v>2.9943821516411561E-3</v>
      </c>
      <c r="BM19" s="219">
        <f>($BK$4/$AI19*$AG19*$AL19)/(365*$O19*$AG19)/(1000*45/3.6)</f>
        <v>6.4357293919465393E-4</v>
      </c>
      <c r="BN19" s="220">
        <f>(BK$4/AI19*AM19)/(1000*45/3.6)</f>
        <v>1.5730436169989312E-3</v>
      </c>
      <c r="BP19" s="242">
        <f t="shared" si="23"/>
        <v>0.20373985446835821</v>
      </c>
      <c r="BQ19" s="243">
        <f t="shared" si="23"/>
        <v>0.45755282269756264</v>
      </c>
      <c r="BR19" s="243">
        <f t="shared" si="23"/>
        <v>9.8340358721043297E-2</v>
      </c>
      <c r="BS19" s="244">
        <f t="shared" si="23"/>
        <v>0.24036696411303576</v>
      </c>
      <c r="BU19" s="18"/>
      <c r="BV19" s="18"/>
    </row>
    <row r="20" spans="1:74">
      <c r="A20" s="394" t="s">
        <v>2237</v>
      </c>
      <c r="B20" s="265">
        <f>INDEX('Eingabe Transportmittel'!$C$25:$U$46,MATCH(B$13,'Eingabe Transportmittel'!$A$25:$A$46,0),MATCH($A20,'Eingabe Transportmittel'!$C$22:$U$22,0))</f>
        <v>1016</v>
      </c>
      <c r="C20" s="60">
        <f>INDEX('Eingabe Transportmittel'!$C$25:$U$46,MATCH(C$13,'Eingabe Transportmittel'!$A$25:$A$46,0),MATCH($A20,'Eingabe Transportmittel'!$C$22:$U$22,0))</f>
        <v>75</v>
      </c>
      <c r="D20" s="60">
        <f>INDEX('Eingabe Transportmittel'!$C$25:$U$46,MATCH(D$13,'Eingabe Transportmittel'!$A$25:$A$46,0),MATCH($A20,'Eingabe Transportmittel'!$C$22:$U$22,0))</f>
        <v>100</v>
      </c>
      <c r="E20" s="60">
        <f>INDEX('Eingabe Transportmittel'!$C$25:$U$46,MATCH(E$13,'Eingabe Transportmittel'!$A$25:$A$46,0),MATCH($A20,'Eingabe Transportmittel'!$C$22:$U$22,0))</f>
        <v>10.8</v>
      </c>
      <c r="F20" s="60">
        <f>INDEX('Eingabe Transportmittel'!$C$25:$U$46,MATCH(F$13,'Eingabe Transportmittel'!$A$25:$A$46,0),MATCH($A20,'Eingabe Transportmittel'!$C$22:$U$22,0))</f>
        <v>3</v>
      </c>
      <c r="G20" s="60">
        <f>INDEX('Eingabe Transportmittel'!$C$25:$U$46,MATCH(G$13,'Eingabe Transportmittel'!$A$25:$A$46,0),MATCH($A20,'Eingabe Transportmittel'!$C$22:$U$22,0))</f>
        <v>40</v>
      </c>
      <c r="H20" s="262">
        <f>INDEX('Eingabe Transportmittel'!$C$25:$U$46,MATCH(H$13,'Eingabe Transportmittel'!$A$25:$A$46,0),MATCH($A20,'Eingabe Transportmittel'!$C$22:$U$22,0))</f>
        <v>0.08</v>
      </c>
      <c r="I20" s="60">
        <f>INDEX('Eingabe Transportmittel'!$C$25:$U$46,MATCH(I$13,'Eingabe Transportmittel'!$A$25:$A$46,0),MATCH($A20,'Eingabe Transportmittel'!$C$22:$U$22,0))</f>
        <v>850</v>
      </c>
      <c r="J20" s="60">
        <f>INDEX('Eingabe Transportmittel'!$C$25:$U$46,MATCH(J$13,'Eingabe Transportmittel'!$A$25:$A$46,0),MATCH($A20,'Eingabe Transportmittel'!$C$22:$U$22,0))</f>
        <v>2500</v>
      </c>
      <c r="K20" s="60">
        <f>INDEX('Eingabe Transportmittel'!$C$25:$U$46,MATCH(K$13,'Eingabe Transportmittel'!$A$25:$A$46,0),MATCH($A20,'Eingabe Transportmittel'!$C$22:$U$22,0))</f>
        <v>850000</v>
      </c>
      <c r="L20" s="262">
        <f>INDEX('Eingabe Transportmittel'!$C$25:$U$46,MATCH(L$13,'Eingabe Transportmittel'!$A$25:$A$46,0),MATCH($A20,'Eingabe Transportmittel'!$C$22:$U$22,0))</f>
        <v>0.8</v>
      </c>
      <c r="M20" s="60">
        <f>INDEX('Eingabe Transportmittel'!$C$25:$U$46,MATCH(M$13,'Eingabe Transportmittel'!$A$25:$A$46,0),MATCH($A20,'Eingabe Transportmittel'!$C$22:$U$22,0))</f>
        <v>150</v>
      </c>
      <c r="N20" s="262">
        <f>INDEX('Eingabe Transportmittel'!$C$25:$U$46,MATCH(N$13,'Eingabe Transportmittel'!$A$25:$A$46,0),MATCH($A20,'Eingabe Transportmittel'!$C$22:$U$22,0))</f>
        <v>0.02</v>
      </c>
      <c r="O20" s="262">
        <f>INDEX('Eingabe Transportmittel'!$C$25:$U$46,MATCH(O$13,'Eingabe Transportmittel'!$A$25:$A$46,0),MATCH($A20,'Eingabe Transportmittel'!$C$22:$U$22,0))</f>
        <v>0.91324200913242004</v>
      </c>
      <c r="P20" s="60">
        <f>INDEX('Eingabe Transportmittel'!$C$25:$U$46,MATCH(P$13,'Eingabe Transportmittel'!$A$25:$A$46,0),MATCH($A20,'Eingabe Transportmittel'!$C$22:$U$22,0))</f>
        <v>1.6</v>
      </c>
      <c r="Q20" s="60">
        <f>INDEX('Eingabe Transportmittel'!$C$25:$U$46,MATCH(Q$13,'Eingabe Transportmittel'!$A$25:$A$46,0),MATCH($A20,'Eingabe Transportmittel'!$C$22:$U$22,0))</f>
        <v>1.3091000000000001E-5</v>
      </c>
      <c r="R20" s="60">
        <f>INDEX('Eingabe Transportmittel'!$C$25:$U$46,MATCH(R$13,'Eingabe Transportmittel'!$A$25:$A$46,0),MATCH($A20,'Eingabe Transportmittel'!$C$22:$U$22,0))</f>
        <v>0.02</v>
      </c>
      <c r="S20" s="60">
        <f>INDEX('Eingabe Transportmittel'!$C$25:$U$46,MATCH(S$13,'Eingabe Transportmittel'!$A$25:$A$46,0),MATCH($A20,'Eingabe Transportmittel'!$C$22:$U$22,0))</f>
        <v>7.85</v>
      </c>
      <c r="T20" s="60">
        <f>INDEX('Eingabe Transportmittel'!$C$25:$U$46,MATCH(T$13,'Eingabe Transportmittel'!$A$25:$A$46,0),MATCH($A20,'Eingabe Transportmittel'!$C$22:$U$22,0))</f>
        <v>360</v>
      </c>
      <c r="U20" s="60">
        <f>INDEX('Eingabe Transportmittel'!$C$25:$U$46,MATCH(U$13,'Eingabe Transportmittel'!$A$25:$A$46,0),MATCH($A20,'Eingabe Transportmittel'!$C$22:$U$22,0))</f>
        <v>518.26341706663345</v>
      </c>
      <c r="V20" s="60">
        <f>INDEX('Eingabe Transportmittel'!$C$25:$U$46,MATCH(V$13,'Eingabe Transportmittel'!$A$25:$A$46,0),MATCH($A20,'Eingabe Transportmittel'!$C$22:$U$22,0))</f>
        <v>283</v>
      </c>
      <c r="W20" s="60">
        <f>INDEX('Eingabe Transportmittel'!$C$25:$U$46,MATCH(W$13,'Eingabe Transportmittel'!$A$25:$A$46,0),MATCH($A20,'Eingabe Transportmittel'!$C$22:$U$22,0))</f>
        <v>1.7000899280575541</v>
      </c>
      <c r="X20" s="60"/>
      <c r="Y20" s="60">
        <f t="shared" si="11"/>
        <v>22.577777777777779</v>
      </c>
      <c r="Z20" s="60">
        <f>(IF(C20&lt;265,0.00000798*C20^2-0.0027*C20+1,0.00151*C20+0.438)+IF(D20&lt;265,0.00000798*D20^2-0.0027*D20+1,0.00151*D20+0.438))/2</f>
        <v>0.82609374999999996</v>
      </c>
      <c r="AA20" s="263">
        <f t="shared" si="12"/>
        <v>82.534148281892072</v>
      </c>
      <c r="AB20" s="60">
        <f t="shared" si="13"/>
        <v>19216567.409915745</v>
      </c>
      <c r="AC20" s="60">
        <f t="shared" si="14"/>
        <v>9.3467383732406262E-3</v>
      </c>
      <c r="AD20" s="60">
        <f t="shared" si="15"/>
        <v>577.98893561678995</v>
      </c>
      <c r="AE20" s="60">
        <f t="shared" si="16"/>
        <v>491290.59527427144</v>
      </c>
      <c r="AF20" s="60">
        <f>(0.00080134*B20^2+0.7187*B20+214.63)/1.25*1000</f>
        <v>1417613.778432</v>
      </c>
      <c r="AG20" s="60">
        <f t="shared" si="17"/>
        <v>17335.075749612086</v>
      </c>
      <c r="AH20" s="60">
        <f t="shared" si="18"/>
        <v>1.2692933011867934E-2</v>
      </c>
      <c r="AI20" s="61">
        <f t="shared" si="19"/>
        <v>640.22922607466023</v>
      </c>
      <c r="AK20" s="273">
        <f>(-PMT(H20,G20,INDEX('Eingabe Transportmittel'!$C$47:$M$47,1,MATCH($A20,'Eingabe Transportmittel'!$C$22:$M$22,0)))+N20)*(AE20+AF20+K20)</f>
        <v>55178.08747412543</v>
      </c>
      <c r="AL20" s="60">
        <f>(-PMT(H20,G20,INDEX('Eingabe Transportmittel'!$C$48:$M$48,1,MATCH($A20,'Eingabe Transportmittel'!$C$22:$M$22,0)))+N20)*J20</f>
        <v>50</v>
      </c>
      <c r="AM20" s="61">
        <f t="shared" si="20"/>
        <v>1.90393995178019</v>
      </c>
      <c r="AO20" s="278">
        <f t="shared" si="24"/>
        <v>1.2757225819675766</v>
      </c>
      <c r="AP20" s="279">
        <f t="shared" si="24"/>
        <v>2.5514451639351532</v>
      </c>
      <c r="AQ20" s="279">
        <f t="shared" si="24"/>
        <v>5.1028903278703064</v>
      </c>
      <c r="AR20" s="279">
        <f t="shared" si="24"/>
        <v>10.205780655740613</v>
      </c>
      <c r="AS20" s="279">
        <f t="shared" si="24"/>
        <v>20.411561311481226</v>
      </c>
      <c r="AT20" s="279">
        <f t="shared" si="24"/>
        <v>40.823122622962451</v>
      </c>
      <c r="AU20" s="279">
        <f t="shared" si="24"/>
        <v>81.646245245924902</v>
      </c>
      <c r="AV20" s="279">
        <f t="shared" si="24"/>
        <v>163.2924904918498</v>
      </c>
      <c r="AW20" s="280">
        <f t="shared" si="24"/>
        <v>326.58498098369961</v>
      </c>
      <c r="AZ20" s="286">
        <f t="shared" si="25"/>
        <v>1.0205780655740612E-4</v>
      </c>
      <c r="BA20" s="222">
        <f t="shared" si="25"/>
        <v>2.0411561311481225E-4</v>
      </c>
      <c r="BB20" s="222">
        <f t="shared" si="25"/>
        <v>4.082312262296245E-4</v>
      </c>
      <c r="BC20" s="222">
        <f t="shared" si="25"/>
        <v>8.16462452459249E-4</v>
      </c>
      <c r="BD20" s="222">
        <f t="shared" si="25"/>
        <v>1.632924904918498E-3</v>
      </c>
      <c r="BE20" s="222">
        <f t="shared" si="25"/>
        <v>3.265849809836996E-3</v>
      </c>
      <c r="BF20" s="222">
        <f t="shared" si="25"/>
        <v>6.531699619673992E-3</v>
      </c>
      <c r="BG20" s="222">
        <f t="shared" si="25"/>
        <v>1.3063399239347984E-2</v>
      </c>
      <c r="BH20" s="223">
        <f t="shared" si="25"/>
        <v>2.6126798478695968E-2</v>
      </c>
      <c r="BK20" s="784">
        <f>($BK$4*$AK20)/(365*$O20*$AG20)/(1000*45/3.6)</f>
        <v>1.5278549900869561E-3</v>
      </c>
      <c r="BL20" s="785"/>
      <c r="BM20" s="222">
        <f>($BK$4/$AI20*$AG20*$AL20)/(365*$O20*$AG20)/(1000*45/3.6)</f>
        <v>3.74865735935667E-5</v>
      </c>
      <c r="BN20" s="223">
        <f>(BK$4/AI20*AM20)/(1000*45/3.6)</f>
        <v>4.7581456746759946E-4</v>
      </c>
      <c r="BP20" s="780">
        <f t="shared" si="23"/>
        <v>0.74852431265390684</v>
      </c>
      <c r="BQ20" s="781"/>
      <c r="BR20" s="237">
        <f t="shared" si="23"/>
        <v>1.8365363149599447E-2</v>
      </c>
      <c r="BS20" s="238">
        <f t="shared" si="23"/>
        <v>0.23311032419649361</v>
      </c>
      <c r="BU20" s="18"/>
      <c r="BV20" s="18"/>
    </row>
    <row r="21" spans="1:74">
      <c r="A21" s="6"/>
      <c r="Z21" s="18"/>
      <c r="AI21" s="1"/>
      <c r="AY21" s="8"/>
      <c r="AZ21" s="8"/>
      <c r="BA21" s="8"/>
      <c r="BU21" s="18"/>
      <c r="BV21" s="18"/>
    </row>
    <row r="22" spans="1:74">
      <c r="B22" s="1"/>
      <c r="C22" s="1"/>
      <c r="D22" s="1"/>
      <c r="F22" s="1"/>
      <c r="AI22" s="1"/>
      <c r="AY22" s="8"/>
      <c r="AZ22" s="8"/>
      <c r="BA22" s="8"/>
      <c r="BU22" s="18"/>
      <c r="BV22" s="18"/>
    </row>
    <row r="23" spans="1:74">
      <c r="C23" s="1"/>
      <c r="D23" s="1"/>
      <c r="F23" s="1"/>
      <c r="AF23" s="2"/>
      <c r="AG23" s="21"/>
      <c r="AI23" s="20"/>
      <c r="AO23" s="18"/>
      <c r="BP23" s="18"/>
      <c r="BU23" s="18"/>
      <c r="BV23" s="18"/>
    </row>
    <row r="24" spans="1:74">
      <c r="C24" s="1"/>
      <c r="D24" s="1"/>
      <c r="F24" s="1"/>
      <c r="AO24" s="18"/>
      <c r="BP24" s="18"/>
      <c r="BU24" s="18"/>
      <c r="BV24" s="18"/>
    </row>
    <row r="25" spans="1:74">
      <c r="C25" s="1"/>
      <c r="D25" s="1"/>
      <c r="F25" s="1"/>
      <c r="X25" s="15"/>
      <c r="AO25" s="18"/>
      <c r="BP25" s="18"/>
      <c r="BU25" s="18"/>
      <c r="BV25" s="18"/>
    </row>
    <row r="26" spans="1:74">
      <c r="C26" s="1"/>
      <c r="F26" s="1"/>
      <c r="N26" s="7"/>
      <c r="AO26" s="18"/>
      <c r="BP26" s="18"/>
      <c r="BU26" s="18"/>
      <c r="BV26" s="18"/>
    </row>
    <row r="27" spans="1:74">
      <c r="C27" s="1"/>
      <c r="F27" s="1"/>
      <c r="N27" s="2"/>
      <c r="O27" s="2"/>
      <c r="AO27" s="18"/>
      <c r="BU27" s="18"/>
      <c r="BV27" s="18"/>
    </row>
    <row r="28" spans="1:74">
      <c r="C28" s="1"/>
      <c r="F28" s="1"/>
      <c r="N28" s="2"/>
      <c r="O28" s="2"/>
      <c r="AO28" s="18"/>
      <c r="BU28" s="18"/>
      <c r="BV28" s="18"/>
    </row>
    <row r="29" spans="1:74">
      <c r="AO29" s="18"/>
      <c r="BU29" s="18"/>
      <c r="BV29" s="18"/>
    </row>
    <row r="30" spans="1:74">
      <c r="AO30" s="18"/>
      <c r="BU30" s="18"/>
      <c r="BV30" s="18"/>
    </row>
    <row r="31" spans="1:74">
      <c r="J31" s="2"/>
      <c r="K31" s="2"/>
      <c r="AO31" s="18"/>
    </row>
    <row r="32" spans="1:74">
      <c r="J32" s="2"/>
      <c r="K32" s="2"/>
    </row>
    <row r="33" spans="10:11">
      <c r="J33" s="2"/>
      <c r="K33" s="2"/>
    </row>
    <row r="34" spans="10:11">
      <c r="J34" s="2"/>
      <c r="K34" s="2"/>
    </row>
    <row r="35" spans="10:11">
      <c r="J35" s="2"/>
      <c r="K35" s="2"/>
    </row>
    <row r="36" spans="10:11">
      <c r="J36" s="2"/>
      <c r="K36" s="2"/>
    </row>
  </sheetData>
  <mergeCells count="10">
    <mergeCell ref="BP18:BQ18"/>
    <mergeCell ref="BP20:BQ20"/>
    <mergeCell ref="BK16:BL16"/>
    <mergeCell ref="BK18:BL18"/>
    <mergeCell ref="BK20:BL20"/>
    <mergeCell ref="R6:S6"/>
    <mergeCell ref="AA5:AA6"/>
    <mergeCell ref="BP16:BQ16"/>
    <mergeCell ref="A1:E1"/>
    <mergeCell ref="A2:E2"/>
  </mergeCells>
  <pageMargins left="0.7" right="0.7" top="0.78740157499999996" bottom="0.78740157499999996" header="0.3" footer="0.3"/>
  <pageSetup paperSize="9" orientation="portrait" r:id="rId1"/>
  <ignoredErrors>
    <ignoredError sqref="BK17" formula="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pageSetUpPr autoPageBreaks="0"/>
  </sheetPr>
  <dimension ref="A1:U67"/>
  <sheetViews>
    <sheetView zoomScale="70" zoomScaleNormal="70" workbookViewId="0">
      <pane xSplit="2" ySplit="10" topLeftCell="C19" activePane="bottomRight" state="frozen"/>
      <selection pane="topRight" activeCell="C1" sqref="C1"/>
      <selection pane="bottomLeft" activeCell="A11" sqref="A11"/>
      <selection pane="bottomRight" activeCell="I1" sqref="I1"/>
    </sheetView>
  </sheetViews>
  <sheetFormatPr baseColWidth="10" defaultRowHeight="14.5"/>
  <cols>
    <col min="1" max="1" width="28.1796875" customWidth="1"/>
    <col min="2" max="2" width="20.453125" customWidth="1"/>
    <col min="3" max="8" width="16.54296875" customWidth="1"/>
    <col min="9" max="15" width="17.54296875" customWidth="1"/>
  </cols>
  <sheetData>
    <row r="1" spans="1:15">
      <c r="A1" s="792" t="s">
        <v>2321</v>
      </c>
      <c r="B1" s="793"/>
      <c r="C1" s="793"/>
      <c r="D1" s="793"/>
      <c r="E1" s="793"/>
      <c r="F1" s="793"/>
      <c r="G1" s="793"/>
      <c r="H1" s="794"/>
      <c r="I1" s="27"/>
      <c r="J1" s="27"/>
      <c r="K1" s="27"/>
      <c r="L1" s="27"/>
      <c r="M1" s="27"/>
    </row>
    <row r="2" spans="1:15">
      <c r="A2" s="789" t="s">
        <v>2323</v>
      </c>
      <c r="B2" s="790"/>
      <c r="C2" s="790"/>
      <c r="D2" s="790"/>
      <c r="E2" s="790"/>
      <c r="F2" s="790"/>
      <c r="G2" s="790"/>
      <c r="H2" s="790"/>
      <c r="I2" s="791"/>
      <c r="J2" s="27"/>
      <c r="K2" s="27"/>
      <c r="L2" s="27"/>
      <c r="M2" s="27"/>
    </row>
    <row r="3" spans="1:15" ht="16" thickBot="1">
      <c r="A3" s="298" t="s">
        <v>1882</v>
      </c>
      <c r="B3" s="27"/>
      <c r="C3" s="320" t="s">
        <v>2</v>
      </c>
      <c r="D3" s="384">
        <v>0.08</v>
      </c>
      <c r="E3" s="320" t="s">
        <v>1884</v>
      </c>
      <c r="F3" s="385">
        <v>2000</v>
      </c>
      <c r="G3" s="308" t="s">
        <v>1983</v>
      </c>
      <c r="H3" s="310" t="s">
        <v>1979</v>
      </c>
      <c r="I3" s="310" t="s">
        <v>1980</v>
      </c>
      <c r="J3" s="310" t="s">
        <v>1878</v>
      </c>
      <c r="K3" s="308" t="s">
        <v>1925</v>
      </c>
      <c r="L3" s="310" t="s">
        <v>1981</v>
      </c>
      <c r="M3" s="310" t="s">
        <v>1982</v>
      </c>
      <c r="N3" s="377" t="s">
        <v>2322</v>
      </c>
      <c r="O3" s="27" t="s">
        <v>2284</v>
      </c>
    </row>
    <row r="4" spans="1:15" ht="15" thickTop="1">
      <c r="C4" s="320" t="s">
        <v>1883</v>
      </c>
      <c r="D4" s="382">
        <f>5000/8760</f>
        <v>0.57077625570776258</v>
      </c>
      <c r="G4" s="309" t="s">
        <v>2103</v>
      </c>
      <c r="H4" s="311">
        <v>145</v>
      </c>
      <c r="I4" s="312">
        <v>55</v>
      </c>
      <c r="J4" s="313">
        <v>2900</v>
      </c>
      <c r="K4" s="319" t="s">
        <v>1911</v>
      </c>
      <c r="L4" s="317">
        <v>4.4999999999999998E-2</v>
      </c>
      <c r="M4" s="317">
        <v>0.15</v>
      </c>
      <c r="N4" s="318">
        <v>0.1</v>
      </c>
    </row>
    <row r="5" spans="1:15" s="27" customFormat="1">
      <c r="D5" s="24"/>
      <c r="G5" s="381" t="s">
        <v>2272</v>
      </c>
      <c r="H5" s="314">
        <v>1800</v>
      </c>
      <c r="I5" s="315">
        <v>60</v>
      </c>
      <c r="J5" s="316">
        <v>0.65</v>
      </c>
      <c r="K5" s="296"/>
      <c r="L5" s="297"/>
      <c r="M5" s="23"/>
      <c r="N5" s="23"/>
    </row>
    <row r="7" spans="1:15" ht="30">
      <c r="B7" s="388" t="s">
        <v>5</v>
      </c>
      <c r="C7" s="786" t="s">
        <v>7</v>
      </c>
      <c r="D7" s="787"/>
      <c r="E7" s="786" t="s">
        <v>1878</v>
      </c>
      <c r="F7" s="788"/>
      <c r="G7" s="787"/>
      <c r="H7" s="375" t="s">
        <v>1879</v>
      </c>
      <c r="I7" s="375" t="s">
        <v>1867</v>
      </c>
      <c r="J7" s="375" t="s">
        <v>9</v>
      </c>
      <c r="K7" s="375" t="s">
        <v>1965</v>
      </c>
      <c r="L7" s="375" t="s">
        <v>1929</v>
      </c>
      <c r="M7" s="375" t="s">
        <v>1922</v>
      </c>
      <c r="N7" s="375" t="s">
        <v>1930</v>
      </c>
      <c r="O7" s="376" t="s">
        <v>1923</v>
      </c>
    </row>
    <row r="8" spans="1:15" ht="43.5">
      <c r="B8" s="388" t="s">
        <v>6</v>
      </c>
      <c r="C8" s="396" t="s">
        <v>1766</v>
      </c>
      <c r="D8" s="396" t="s">
        <v>2002</v>
      </c>
      <c r="E8" s="397" t="s">
        <v>2232</v>
      </c>
      <c r="F8" s="397" t="s">
        <v>2234</v>
      </c>
      <c r="G8" s="397" t="s">
        <v>2235</v>
      </c>
      <c r="H8" s="397" t="s">
        <v>2237</v>
      </c>
      <c r="I8" s="396" t="s">
        <v>1885</v>
      </c>
      <c r="J8" s="396" t="s">
        <v>1885</v>
      </c>
      <c r="K8" s="396" t="s">
        <v>1885</v>
      </c>
      <c r="L8" s="396" t="s">
        <v>1885</v>
      </c>
      <c r="M8" s="396" t="s">
        <v>1885</v>
      </c>
      <c r="N8" s="396" t="s">
        <v>1885</v>
      </c>
      <c r="O8" s="396" t="s">
        <v>1885</v>
      </c>
    </row>
    <row r="9" spans="1:15" s="27" customFormat="1" ht="29">
      <c r="A9" s="293" t="s">
        <v>2260</v>
      </c>
      <c r="B9" s="339"/>
      <c r="C9" s="374" t="s">
        <v>1943</v>
      </c>
      <c r="D9" s="374" t="s">
        <v>1943</v>
      </c>
      <c r="E9" s="374" t="s">
        <v>2163</v>
      </c>
      <c r="F9" s="374" t="s">
        <v>2163</v>
      </c>
      <c r="G9" s="374" t="s">
        <v>2163</v>
      </c>
      <c r="H9" s="374" t="s">
        <v>1944</v>
      </c>
      <c r="I9" s="374" t="s">
        <v>1945</v>
      </c>
      <c r="J9" s="374" t="s">
        <v>2262</v>
      </c>
      <c r="K9" s="374" t="s">
        <v>1950</v>
      </c>
      <c r="L9" s="374" t="s">
        <v>1952</v>
      </c>
      <c r="M9" s="374" t="s">
        <v>1952</v>
      </c>
      <c r="N9" s="374" t="s">
        <v>1953</v>
      </c>
      <c r="O9" s="374" t="s">
        <v>1953</v>
      </c>
    </row>
    <row r="10" spans="1:15" ht="15" thickBot="1">
      <c r="A10" s="300" t="s">
        <v>0</v>
      </c>
      <c r="B10" s="304" t="s">
        <v>4</v>
      </c>
      <c r="C10" s="321"/>
      <c r="D10" s="321"/>
      <c r="E10" s="321"/>
      <c r="F10" s="321"/>
      <c r="G10" s="321"/>
      <c r="H10" s="321"/>
      <c r="I10" s="321"/>
      <c r="J10" s="321"/>
      <c r="K10" s="321"/>
      <c r="L10" s="321"/>
      <c r="M10" s="321"/>
      <c r="N10" s="321"/>
      <c r="O10" s="321"/>
    </row>
    <row r="11" spans="1:15" ht="15" thickTop="1">
      <c r="A11" s="301" t="s">
        <v>1</v>
      </c>
      <c r="B11" s="322" t="s">
        <v>3</v>
      </c>
      <c r="C11" s="15">
        <f>INDEX('Eingabe Umwandlung'!$C$6:$U$11,MATCH($A11,'Eingabe Umwandlung'!$A$6:$A$11,0),MATCH(C$9,'Eingabe Umwandlung'!$C$3:$U$3,0))</f>
        <v>20</v>
      </c>
      <c r="D11" s="15">
        <f>INDEX('Eingabe Umwandlung'!$C$6:$U$11,MATCH($A11,'Eingabe Umwandlung'!$A$6:$A$11,0),MATCH(D$9,'Eingabe Umwandlung'!$C$3:$U$3,0))</f>
        <v>20</v>
      </c>
      <c r="E11" s="15">
        <f>INDEX('Eingabe Umwandlung'!$C$6:$U$11,MATCH($A11,'Eingabe Umwandlung'!$A$6:$A$11,0),MATCH(E$9,'Eingabe Umwandlung'!$C$3:$U$3,0))</f>
        <v>40</v>
      </c>
      <c r="F11" s="15">
        <f>INDEX('Eingabe Umwandlung'!$C$6:$U$11,MATCH($A11,'Eingabe Umwandlung'!$A$6:$A$11,0),MATCH(F$9,'Eingabe Umwandlung'!$C$3:$U$3,0))</f>
        <v>40</v>
      </c>
      <c r="G11" s="15">
        <f>INDEX('Eingabe Umwandlung'!$C$6:$U$11,MATCH($A11,'Eingabe Umwandlung'!$A$6:$A$11,0),MATCH(G$9,'Eingabe Umwandlung'!$C$3:$U$3,0))</f>
        <v>40</v>
      </c>
      <c r="H11" s="15">
        <f>INDEX('Eingabe Umwandlung'!$C$6:$U$11,MATCH($A11,'Eingabe Umwandlung'!$A$6:$A$11,0),MATCH(H$9,'Eingabe Umwandlung'!$C$3:$U$3,0))</f>
        <v>20</v>
      </c>
      <c r="I11" s="15">
        <f>INDEX('Eingabe Umwandlung'!$C$6:$U$11,MATCH($A11,'Eingabe Umwandlung'!$A$6:$A$11,0),MATCH(I$9,'Eingabe Umwandlung'!$C$3:$U$3,0))</f>
        <v>20</v>
      </c>
      <c r="J11" s="15">
        <f>INDEX('Eingabe Umwandlung'!$C$6:$U$11,MATCH($A11,'Eingabe Umwandlung'!$A$6:$A$11,0),MATCH(J$9,'Eingabe Umwandlung'!$C$3:$U$3,0))</f>
        <v>20</v>
      </c>
      <c r="K11" s="15">
        <f>INDEX('Eingabe Umwandlung'!$C$6:$U$11,MATCH($A11,'Eingabe Umwandlung'!$A$6:$A$11,0),MATCH(K$9,'Eingabe Umwandlung'!$C$3:$U$3,0))</f>
        <v>20</v>
      </c>
      <c r="L11" s="15">
        <f>INDEX('Eingabe Umwandlung'!$C$6:$U$11,MATCH($A11,'Eingabe Umwandlung'!$A$6:$A$11,0),MATCH(L$9,'Eingabe Umwandlung'!$C$3:$U$3,0))</f>
        <v>20</v>
      </c>
      <c r="M11" s="15">
        <f>INDEX('Eingabe Umwandlung'!$C$6:$U$11,MATCH($A11,'Eingabe Umwandlung'!$A$6:$A$11,0),MATCH(M$9,'Eingabe Umwandlung'!$C$3:$U$3,0))</f>
        <v>20</v>
      </c>
      <c r="N11" s="15">
        <f>INDEX('Eingabe Umwandlung'!$C$6:$U$11,MATCH($A11,'Eingabe Umwandlung'!$A$6:$A$11,0),MATCH(N$9,'Eingabe Umwandlung'!$C$3:$U$3,0))</f>
        <v>20</v>
      </c>
      <c r="O11" s="165">
        <f>INDEX('Eingabe Umwandlung'!$C$6:$U$11,MATCH($A11,'Eingabe Umwandlung'!$A$6:$A$11,0),MATCH(O$9,'Eingabe Umwandlung'!$C$3:$U$3,0))</f>
        <v>20</v>
      </c>
    </row>
    <row r="12" spans="1:15">
      <c r="A12" s="302" t="s">
        <v>1872</v>
      </c>
      <c r="B12" s="323" t="s">
        <v>1975</v>
      </c>
      <c r="C12" s="166">
        <f>INDEX('Eingabe Umwandlung'!$C$6:$U$11,MATCH($A12,'Eingabe Umwandlung'!$A$6:$A$11,0),MATCH(C$9,'Eingabe Umwandlung'!$C$3:$U$3,0))</f>
        <v>35</v>
      </c>
      <c r="D12" s="166">
        <f>INDEX('Eingabe Umwandlung'!$C$6:$U$11,MATCH($A12,'Eingabe Umwandlung'!$A$6:$A$11,0),MATCH(D$9,'Eingabe Umwandlung'!$C$3:$U$3,0))</f>
        <v>35</v>
      </c>
      <c r="E12" s="166">
        <f>INDEX('Eingabe Umwandlung'!$C$6:$U$11,MATCH($A12,'Eingabe Umwandlung'!$A$6:$A$11,0),MATCH(E$9,'Eingabe Umwandlung'!$C$3:$U$3,0))</f>
        <v>0.73</v>
      </c>
      <c r="F12" s="166">
        <f>INDEX('Eingabe Umwandlung'!$C$6:$U$11,MATCH($A12,'Eingabe Umwandlung'!$A$6:$A$11,0),MATCH(F$9,'Eingabe Umwandlung'!$C$3:$U$3,0))</f>
        <v>0.73</v>
      </c>
      <c r="G12" s="166">
        <f>INDEX('Eingabe Umwandlung'!$C$6:$U$11,MATCH($A12,'Eingabe Umwandlung'!$A$6:$A$11,0),MATCH(G$9,'Eingabe Umwandlung'!$C$3:$U$3,0))</f>
        <v>0.73</v>
      </c>
      <c r="H12" s="166">
        <f>INDEX('Eingabe Umwandlung'!$C$6:$U$11,MATCH($A12,'Eingabe Umwandlung'!$A$6:$A$11,0),MATCH(H$9,'Eingabe Umwandlung'!$C$3:$U$3,0))</f>
        <v>15</v>
      </c>
      <c r="I12" s="166">
        <f>INDEX('Eingabe Umwandlung'!$C$6:$U$11,MATCH($A12,'Eingabe Umwandlung'!$A$6:$A$11,0),MATCH(I$9,'Eingabe Umwandlung'!$C$3:$U$3,0))</f>
        <v>15</v>
      </c>
      <c r="J12" s="166">
        <f>INDEX('Eingabe Umwandlung'!$C$6:$U$11,MATCH($A12,'Eingabe Umwandlung'!$A$6:$A$11,0),MATCH(J$9,'Eingabe Umwandlung'!$C$3:$U$3,0))</f>
        <v>15</v>
      </c>
      <c r="K12" s="166">
        <f>INDEX('Eingabe Umwandlung'!$C$6:$U$11,MATCH($A12,'Eingabe Umwandlung'!$A$6:$A$11,0),MATCH(K$9,'Eingabe Umwandlung'!$C$3:$U$3,0))</f>
        <v>17.3</v>
      </c>
      <c r="L12" s="166">
        <f>INDEX('Eingabe Umwandlung'!$C$6:$U$11,MATCH($A12,'Eingabe Umwandlung'!$A$6:$A$11,0),MATCH(L$9,'Eingabe Umwandlung'!$C$3:$U$3,0))</f>
        <v>25.799999999999997</v>
      </c>
      <c r="M12" s="166">
        <f>INDEX('Eingabe Umwandlung'!$C$6:$U$11,MATCH($A12,'Eingabe Umwandlung'!$A$6:$A$11,0),MATCH(M$9,'Eingabe Umwandlung'!$C$3:$U$3,0))</f>
        <v>25.799999999999997</v>
      </c>
      <c r="N12" s="166">
        <f>INDEX('Eingabe Umwandlung'!$C$6:$U$11,MATCH($A12,'Eingabe Umwandlung'!$A$6:$A$11,0),MATCH(N$9,'Eingabe Umwandlung'!$C$3:$U$3,0))</f>
        <v>23.8</v>
      </c>
      <c r="O12" s="40">
        <f>INDEX('Eingabe Umwandlung'!$C$6:$U$11,MATCH($A12,'Eingabe Umwandlung'!$A$6:$A$11,0),MATCH(O$9,'Eingabe Umwandlung'!$C$3:$U$3,0))</f>
        <v>23.8</v>
      </c>
    </row>
    <row r="13" spans="1:15">
      <c r="A13" s="302" t="s">
        <v>1873</v>
      </c>
      <c r="B13" s="324" t="s">
        <v>32</v>
      </c>
      <c r="C13" s="260">
        <f>INDEX('Eingabe Umwandlung'!$C$6:$U$11,MATCH($A13,'Eingabe Umwandlung'!$A$6:$A$11,0),MATCH(C$9,'Eingabe Umwandlung'!$C$3:$U$3,0))</f>
        <v>0.03</v>
      </c>
      <c r="D13" s="260">
        <f>INDEX('Eingabe Umwandlung'!$C$6:$U$11,MATCH($A13,'Eingabe Umwandlung'!$A$6:$A$11,0),MATCH(D$9,'Eingabe Umwandlung'!$C$3:$U$3,0))</f>
        <v>0.03</v>
      </c>
      <c r="E13" s="260">
        <f>INDEX('Eingabe Umwandlung'!$C$6:$U$11,MATCH($A13,'Eingabe Umwandlung'!$A$6:$A$11,0),MATCH(E$9,'Eingabe Umwandlung'!$C$3:$U$3,0))</f>
        <v>0.03</v>
      </c>
      <c r="F13" s="260">
        <f>INDEX('Eingabe Umwandlung'!$C$6:$U$11,MATCH($A13,'Eingabe Umwandlung'!$A$6:$A$11,0),MATCH(F$9,'Eingabe Umwandlung'!$C$3:$U$3,0))</f>
        <v>0.03</v>
      </c>
      <c r="G13" s="260">
        <f>INDEX('Eingabe Umwandlung'!$C$6:$U$11,MATCH($A13,'Eingabe Umwandlung'!$A$6:$A$11,0),MATCH(G$9,'Eingabe Umwandlung'!$C$3:$U$3,0))</f>
        <v>0.03</v>
      </c>
      <c r="H13" s="260">
        <f>INDEX('Eingabe Umwandlung'!$C$6:$U$11,MATCH($A13,'Eingabe Umwandlung'!$A$6:$A$11,0),MATCH(H$9,'Eingabe Umwandlung'!$C$3:$U$3,0))</f>
        <v>0.03</v>
      </c>
      <c r="I13" s="260">
        <f>INDEX('Eingabe Umwandlung'!$C$6:$U$11,MATCH($A13,'Eingabe Umwandlung'!$A$6:$A$11,0),MATCH(I$9,'Eingabe Umwandlung'!$C$3:$U$3,0))</f>
        <v>0.03</v>
      </c>
      <c r="J13" s="260">
        <f>INDEX('Eingabe Umwandlung'!$C$6:$U$11,MATCH($A13,'Eingabe Umwandlung'!$A$6:$A$11,0),MATCH(J$9,'Eingabe Umwandlung'!$C$3:$U$3,0))</f>
        <v>0.03</v>
      </c>
      <c r="K13" s="260">
        <f>INDEX('Eingabe Umwandlung'!$C$6:$U$11,MATCH($A13,'Eingabe Umwandlung'!$A$6:$A$11,0),MATCH(K$9,'Eingabe Umwandlung'!$C$3:$U$3,0))</f>
        <v>0.05</v>
      </c>
      <c r="L13" s="260">
        <f>INDEX('Eingabe Umwandlung'!$C$6:$U$11,MATCH($A13,'Eingabe Umwandlung'!$A$6:$A$11,0),MATCH(L$9,'Eingabe Umwandlung'!$C$3:$U$3,0))</f>
        <v>0.03</v>
      </c>
      <c r="M13" s="260">
        <f>INDEX('Eingabe Umwandlung'!$C$6:$U$11,MATCH($A13,'Eingabe Umwandlung'!$A$6:$A$11,0),MATCH(M$9,'Eingabe Umwandlung'!$C$3:$U$3,0))</f>
        <v>0.03</v>
      </c>
      <c r="N13" s="260">
        <f>INDEX('Eingabe Umwandlung'!$C$6:$U$11,MATCH($A13,'Eingabe Umwandlung'!$A$6:$A$11,0),MATCH(N$9,'Eingabe Umwandlung'!$C$3:$U$3,0))</f>
        <v>0.03</v>
      </c>
      <c r="O13" s="326">
        <f>INDEX('Eingabe Umwandlung'!$C$6:$U$11,MATCH($A13,'Eingabe Umwandlung'!$A$6:$A$11,0),MATCH(O$9,'Eingabe Umwandlung'!$C$3:$U$3,0))</f>
        <v>0.03</v>
      </c>
    </row>
    <row r="14" spans="1:15">
      <c r="A14" s="302" t="s">
        <v>1914</v>
      </c>
      <c r="B14" s="324" t="s">
        <v>1976</v>
      </c>
      <c r="C14" s="166">
        <f>INDEX('Eingabe Umwandlung'!$C$6:$U$11,MATCH($A14,'Eingabe Umwandlung'!$A$6:$A$11,0),MATCH(C$9,'Eingabe Umwandlung'!$C$3:$U$3,0))</f>
        <v>8000</v>
      </c>
      <c r="D14" s="166">
        <f>INDEX('Eingabe Umwandlung'!$C$6:$U$11,MATCH($A14,'Eingabe Umwandlung'!$A$6:$A$11,0),MATCH(D$9,'Eingabe Umwandlung'!$C$3:$U$3,0))</f>
        <v>8000</v>
      </c>
      <c r="E14" s="166">
        <f>INDEX('Eingabe Umwandlung'!$C$6:$U$11,MATCH($A14,'Eingabe Umwandlung'!$A$6:$A$11,0),MATCH(E$9,'Eingabe Umwandlung'!$C$3:$U$3,0))</f>
        <v>464.80786026754572</v>
      </c>
      <c r="F14" s="166">
        <f>INDEX('Eingabe Umwandlung'!$C$6:$U$11,MATCH($A14,'Eingabe Umwandlung'!$A$6:$A$11,0),MATCH(F$9,'Eingabe Umwandlung'!$C$3:$U$3,0))</f>
        <v>464.80786026754572</v>
      </c>
      <c r="G14" s="166">
        <f>INDEX('Eingabe Umwandlung'!$C$6:$U$11,MATCH($A14,'Eingabe Umwandlung'!$A$6:$A$11,0),MATCH(G$9,'Eingabe Umwandlung'!$C$3:$U$3,0))</f>
        <v>464.80786026754572</v>
      </c>
      <c r="H14" s="166">
        <f>INDEX('Eingabe Umwandlung'!$C$6:$U$11,MATCH($A14,'Eingabe Umwandlung'!$A$6:$A$11,0),MATCH(H$9,'Eingabe Umwandlung'!$C$3:$U$3,0))</f>
        <v>400</v>
      </c>
      <c r="I14" s="166">
        <f>INDEX('Eingabe Umwandlung'!$C$6:$U$11,MATCH($A14,'Eingabe Umwandlung'!$A$6:$A$11,0),MATCH(I$9,'Eingabe Umwandlung'!$C$3:$U$3,0))</f>
        <v>1200</v>
      </c>
      <c r="J14" s="166">
        <f>INDEX('Eingabe Umwandlung'!$C$6:$U$11,MATCH($A14,'Eingabe Umwandlung'!$A$6:$A$11,0),MATCH(J$9,'Eingabe Umwandlung'!$C$3:$U$3,0))</f>
        <v>1500</v>
      </c>
      <c r="K14" s="166">
        <f>INDEX('Eingabe Umwandlung'!$C$6:$U$11,MATCH($A14,'Eingabe Umwandlung'!$A$6:$A$11,0),MATCH(K$9,'Eingabe Umwandlung'!$C$3:$U$3,0))</f>
        <v>704.5</v>
      </c>
      <c r="L14" s="166">
        <f>INDEX('Eingabe Umwandlung'!$C$6:$U$11,MATCH($A14,'Eingabe Umwandlung'!$A$6:$A$11,0),MATCH(L$9,'Eingabe Umwandlung'!$C$3:$U$3,0))</f>
        <v>430</v>
      </c>
      <c r="M14" s="166">
        <f>INDEX('Eingabe Umwandlung'!$C$6:$U$11,MATCH($A14,'Eingabe Umwandlung'!$A$6:$A$11,0),MATCH(M$9,'Eingabe Umwandlung'!$C$3:$U$3,0))</f>
        <v>430</v>
      </c>
      <c r="N14" s="166">
        <f>INDEX('Eingabe Umwandlung'!$C$6:$U$11,MATCH($A14,'Eingabe Umwandlung'!$A$6:$A$11,0),MATCH(N$9,'Eingabe Umwandlung'!$C$3:$U$3,0))</f>
        <v>1500</v>
      </c>
      <c r="O14" s="40">
        <f>INDEX('Eingabe Umwandlung'!$C$6:$U$11,MATCH($A14,'Eingabe Umwandlung'!$A$6:$A$11,0),MATCH(O$9,'Eingabe Umwandlung'!$C$3:$U$3,0))</f>
        <v>1500</v>
      </c>
    </row>
    <row r="15" spans="1:15">
      <c r="A15" s="302" t="s">
        <v>1915</v>
      </c>
      <c r="B15" s="324" t="s">
        <v>1976</v>
      </c>
      <c r="C15" s="15">
        <f>INDEX('Eingabe Umwandlung'!$C$6:$U$11,MATCH($A15,'Eingabe Umwandlung'!$A$6:$A$11,0),MATCH(C$9,'Eingabe Umwandlung'!$C$3:$U$3,0))</f>
        <v>0</v>
      </c>
      <c r="D15" s="15">
        <f>INDEX('Eingabe Umwandlung'!$C$6:$U$11,MATCH($A15,'Eingabe Umwandlung'!$A$6:$A$11,0),MATCH(D$9,'Eingabe Umwandlung'!$C$3:$U$3,0))</f>
        <v>0</v>
      </c>
      <c r="E15" s="15">
        <f>INDEX('Eingabe Umwandlung'!$C$6:$U$11,MATCH($A15,'Eingabe Umwandlung'!$A$6:$A$11,0),MATCH(E$9,'Eingabe Umwandlung'!$C$3:$U$3,0))</f>
        <v>0</v>
      </c>
      <c r="F15" s="15">
        <f>INDEX('Eingabe Umwandlung'!$C$6:$U$11,MATCH($A15,'Eingabe Umwandlung'!$A$6:$A$11,0),MATCH(F$9,'Eingabe Umwandlung'!$C$3:$U$3,0))</f>
        <v>0</v>
      </c>
      <c r="G15" s="15">
        <f>INDEX('Eingabe Umwandlung'!$C$6:$U$11,MATCH($A15,'Eingabe Umwandlung'!$A$6:$A$11,0),MATCH(G$9,'Eingabe Umwandlung'!$C$3:$U$3,0))</f>
        <v>0</v>
      </c>
      <c r="H15" s="15">
        <f>INDEX('Eingabe Umwandlung'!$C$6:$U$11,MATCH($A15,'Eingabe Umwandlung'!$A$6:$A$11,0),MATCH(H$9,'Eingabe Umwandlung'!$C$3:$U$3,0))</f>
        <v>0</v>
      </c>
      <c r="I15" s="15">
        <f>INDEX('Eingabe Umwandlung'!$C$6:$U$11,MATCH($A15,'Eingabe Umwandlung'!$A$6:$A$11,0),MATCH(I$9,'Eingabe Umwandlung'!$C$3:$U$3,0))</f>
        <v>0</v>
      </c>
      <c r="J15" s="15">
        <f>INDEX('Eingabe Umwandlung'!$C$6:$U$11,MATCH($A15,'Eingabe Umwandlung'!$A$6:$A$11,0),MATCH(J$9,'Eingabe Umwandlung'!$C$3:$U$3,0))</f>
        <v>0</v>
      </c>
      <c r="K15" s="15">
        <f>INDEX('Eingabe Umwandlung'!$C$6:$U$11,MATCH($A15,'Eingabe Umwandlung'!$A$6:$A$11,0),MATCH(K$9,'Eingabe Umwandlung'!$C$3:$U$3,0))</f>
        <v>0</v>
      </c>
      <c r="L15" s="15">
        <f>INDEX('Eingabe Umwandlung'!$C$6:$U$11,MATCH($A15,'Eingabe Umwandlung'!$A$6:$A$11,0),MATCH(L$9,'Eingabe Umwandlung'!$C$3:$U$3,0))</f>
        <v>950</v>
      </c>
      <c r="M15" s="15">
        <f>INDEX('Eingabe Umwandlung'!$C$6:$U$11,MATCH($A15,'Eingabe Umwandlung'!$A$6:$A$11,0),MATCH(M$9,'Eingabe Umwandlung'!$C$3:$U$3,0))</f>
        <v>950</v>
      </c>
      <c r="N15" s="15">
        <f>INDEX('Eingabe Umwandlung'!$C$6:$U$11,MATCH($A15,'Eingabe Umwandlung'!$A$6:$A$11,0),MATCH(N$9,'Eingabe Umwandlung'!$C$3:$U$3,0))</f>
        <v>950</v>
      </c>
      <c r="O15" s="165">
        <f>INDEX('Eingabe Umwandlung'!$C$6:$U$11,MATCH($A15,'Eingabe Umwandlung'!$A$6:$A$11,0),MATCH(O$9,'Eingabe Umwandlung'!$C$3:$U$3,0))</f>
        <v>950</v>
      </c>
    </row>
    <row r="16" spans="1:15">
      <c r="A16" s="303" t="s">
        <v>1916</v>
      </c>
      <c r="B16" s="324" t="s">
        <v>1977</v>
      </c>
      <c r="C16" s="327">
        <f>INDEX('Eingabe Umwandlung'!$C$6:$U$11,MATCH($A16,'Eingabe Umwandlung'!$A$6:$A$11,0),MATCH(C$9,'Eingabe Umwandlung'!$C$3:$U$3,0))</f>
        <v>0</v>
      </c>
      <c r="D16" s="327">
        <f>INDEX('Eingabe Umwandlung'!$C$6:$U$11,MATCH($A16,'Eingabe Umwandlung'!$A$6:$A$11,0),MATCH(D$9,'Eingabe Umwandlung'!$C$3:$U$3,0))</f>
        <v>0</v>
      </c>
      <c r="E16" s="327">
        <f>INDEX('Eingabe Umwandlung'!$C$6:$U$11,MATCH($A16,'Eingabe Umwandlung'!$A$6:$A$11,0),MATCH(E$9,'Eingabe Umwandlung'!$C$3:$U$3,0))</f>
        <v>0</v>
      </c>
      <c r="F16" s="327">
        <f>INDEX('Eingabe Umwandlung'!$C$6:$U$11,MATCH($A16,'Eingabe Umwandlung'!$A$6:$A$11,0),MATCH(F$9,'Eingabe Umwandlung'!$C$3:$U$3,0))</f>
        <v>0</v>
      </c>
      <c r="G16" s="327">
        <f>INDEX('Eingabe Umwandlung'!$C$6:$U$11,MATCH($A16,'Eingabe Umwandlung'!$A$6:$A$11,0),MATCH(G$9,'Eingabe Umwandlung'!$C$3:$U$3,0))</f>
        <v>0</v>
      </c>
      <c r="H16" s="327">
        <f>INDEX('Eingabe Umwandlung'!$C$6:$U$11,MATCH($A16,'Eingabe Umwandlung'!$A$6:$A$11,0),MATCH(H$9,'Eingabe Umwandlung'!$C$3:$U$3,0))</f>
        <v>0</v>
      </c>
      <c r="I16" s="327">
        <f>INDEX('Eingabe Umwandlung'!$C$6:$U$11,MATCH($A16,'Eingabe Umwandlung'!$A$6:$A$11,0),MATCH(I$9,'Eingabe Umwandlung'!$C$3:$U$3,0))</f>
        <v>0</v>
      </c>
      <c r="J16" s="327">
        <f>INDEX('Eingabe Umwandlung'!$C$6:$U$11,MATCH($A16,'Eingabe Umwandlung'!$A$6:$A$11,0),MATCH(J$9,'Eingabe Umwandlung'!$C$3:$U$3,0))</f>
        <v>0</v>
      </c>
      <c r="K16" s="327">
        <f>INDEX('Eingabe Umwandlung'!$C$6:$U$11,MATCH($A16,'Eingabe Umwandlung'!$A$6:$A$11,0),MATCH(K$9,'Eingabe Umwandlung'!$C$3:$U$3,0))</f>
        <v>0</v>
      </c>
      <c r="L16" s="295">
        <v>0</v>
      </c>
      <c r="M16" s="327">
        <f>INDEX('Eingabe Umwandlung'!$C$6:$U$11,MATCH($A16,'Eingabe Umwandlung'!$A$6:$A$11,0),MATCH(M$9,'Eingabe Umwandlung'!$C$3:$U$3,0))</f>
        <v>11220</v>
      </c>
      <c r="N16" s="295">
        <v>0</v>
      </c>
      <c r="O16" s="328">
        <f>INDEX('Eingabe Umwandlung'!$C$6:$U$11,MATCH($A16,'Eingabe Umwandlung'!$A$6:$A$11,0),MATCH(O$9,'Eingabe Umwandlung'!$C$3:$U$3,0))</f>
        <v>6650</v>
      </c>
    </row>
    <row r="17" spans="1:21">
      <c r="A17" s="293" t="s">
        <v>2263</v>
      </c>
      <c r="B17" s="340"/>
      <c r="C17" s="10"/>
      <c r="D17" s="10"/>
      <c r="E17" s="10"/>
      <c r="F17" s="10"/>
      <c r="G17" s="10"/>
      <c r="H17" s="10"/>
      <c r="I17" s="10"/>
      <c r="J17" s="10"/>
      <c r="K17" s="10"/>
      <c r="L17" s="10"/>
    </row>
    <row r="18" spans="1:21">
      <c r="A18" s="302" t="s">
        <v>1876</v>
      </c>
      <c r="B18" s="322" t="s">
        <v>1978</v>
      </c>
      <c r="C18" s="330">
        <f>'Eingabe Stoffparameter'!$C$7</f>
        <v>33.320381393298057</v>
      </c>
      <c r="D18" s="257">
        <f>'Eingabe Stoffparameter'!$C$7</f>
        <v>33.320381393298057</v>
      </c>
      <c r="E18" s="257">
        <f>'Eingabe Stoffparameter'!$C$11</f>
        <v>33.320381393298057</v>
      </c>
      <c r="F18" s="257">
        <f>'Eingabe Stoffparameter'!$C$11</f>
        <v>33.320381393298057</v>
      </c>
      <c r="G18" s="257">
        <f>'Eingabe Stoffparameter'!$C$11</f>
        <v>33.320381393298057</v>
      </c>
      <c r="H18" s="257">
        <f>'Eingabe Stoffparameter'!$C$15</f>
        <v>13.896195640881796</v>
      </c>
      <c r="I18" s="257">
        <f>'Eingabe Stoffparameter'!$C$21</f>
        <v>5.8271782174784486</v>
      </c>
      <c r="J18" s="257">
        <f>'Eingabe Stoffparameter'!$C$27</f>
        <v>5.1676844186092028</v>
      </c>
      <c r="K18" s="257">
        <f>'Eingabe Stoffparameter'!$C$33</f>
        <v>11.75</v>
      </c>
      <c r="L18" s="257">
        <f>'Eingabe Stoffparameter'!$C$39</f>
        <v>2.0565014868379183</v>
      </c>
      <c r="M18" s="257">
        <f>'Eingabe Stoffparameter'!$C$39</f>
        <v>2.0565014868379183</v>
      </c>
      <c r="N18" s="257">
        <f>'Eingabe Stoffparameter'!$C$46</f>
        <v>5.9163192609555129</v>
      </c>
      <c r="O18" s="259">
        <f>'Eingabe Stoffparameter'!$C$46</f>
        <v>5.9163192609555129</v>
      </c>
    </row>
    <row r="19" spans="1:21">
      <c r="A19" s="302" t="s">
        <v>1877</v>
      </c>
      <c r="B19" s="324" t="s">
        <v>1748</v>
      </c>
      <c r="C19" s="325">
        <f>'Eingabe Stoffparameter'!$C$8</f>
        <v>70.900999999999996</v>
      </c>
      <c r="D19" s="166">
        <f>'Eingabe Stoffparameter'!$C$8</f>
        <v>70.900999999999996</v>
      </c>
      <c r="E19" s="166">
        <f>'Eingabe Stoffparameter'!$C$12</f>
        <v>8.141</v>
      </c>
      <c r="F19" s="166">
        <f>'Eingabe Stoffparameter'!$C$12</f>
        <v>8.141</v>
      </c>
      <c r="G19" s="166">
        <f>'Eingabe Stoffparameter'!$C$12</f>
        <v>8.141</v>
      </c>
      <c r="H19" s="166">
        <f>'Eingabe Stoffparameter'!$C$16</f>
        <v>84.686000000000007</v>
      </c>
      <c r="I19" s="166">
        <f>'Eingabe Stoffparameter'!$C$22</f>
        <v>800.51</v>
      </c>
      <c r="J19" s="166">
        <f>'Eingabe Stoffparameter'!$C$28</f>
        <v>625</v>
      </c>
      <c r="K19" s="166">
        <f>'Eingabe Stoffparameter'!$C$34</f>
        <v>740</v>
      </c>
      <c r="L19" s="166">
        <f>'Eingabe Stoffparameter'!$C$40</f>
        <v>870</v>
      </c>
      <c r="M19" s="166">
        <f>'Eingabe Stoffparameter'!$C$40</f>
        <v>870</v>
      </c>
      <c r="N19" s="166">
        <f>'Eingabe Stoffparameter'!$C$47</f>
        <v>625</v>
      </c>
      <c r="O19" s="40">
        <f>'Eingabe Stoffparameter'!$C$47</f>
        <v>625</v>
      </c>
      <c r="R19" s="23"/>
    </row>
    <row r="20" spans="1:21">
      <c r="A20" s="302" t="s">
        <v>1887</v>
      </c>
      <c r="B20" s="329" t="s">
        <v>1888</v>
      </c>
      <c r="C20" s="331">
        <v>1</v>
      </c>
      <c r="D20" s="60">
        <v>1</v>
      </c>
      <c r="E20" s="60">
        <v>1</v>
      </c>
      <c r="F20" s="60">
        <v>1</v>
      </c>
      <c r="G20" s="60">
        <v>1</v>
      </c>
      <c r="H20" s="60">
        <f>'Eingabe Stoffparameter'!$C$17</f>
        <v>1.9894593253968254</v>
      </c>
      <c r="I20" s="60">
        <f>'Eingabe Stoffparameter'!$C$23</f>
        <v>5.2979497354497358</v>
      </c>
      <c r="J20" s="60">
        <f>'Eingabe Stoffparameter'!$C$29</f>
        <v>5.6319444444444438</v>
      </c>
      <c r="K20" s="60">
        <f>'Eingabe Stoffparameter'!$C$35</f>
        <v>2.2498433583959896</v>
      </c>
      <c r="L20" s="60">
        <f>'Eingabe Stoffparameter'!$C$41</f>
        <v>16.202459179609715</v>
      </c>
      <c r="M20" s="60">
        <f>'Eingabe Stoffparameter'!$C$41</f>
        <v>16.202459179609715</v>
      </c>
      <c r="N20" s="60">
        <f>'Eingabe Stoffparameter'!$C$48</f>
        <v>5.6319444444444438</v>
      </c>
      <c r="O20" s="61">
        <f>'Eingabe Stoffparameter'!$C$48</f>
        <v>5.6319444444444438</v>
      </c>
    </row>
    <row r="21" spans="1:21" s="16" customFormat="1">
      <c r="A21" s="293" t="s">
        <v>2264</v>
      </c>
      <c r="B21" s="339"/>
    </row>
    <row r="22" spans="1:21">
      <c r="A22" s="300" t="s">
        <v>1983</v>
      </c>
      <c r="B22" s="304" t="s">
        <v>1768</v>
      </c>
      <c r="C22" s="364" t="s">
        <v>51</v>
      </c>
      <c r="D22" s="364" t="s">
        <v>51</v>
      </c>
      <c r="E22" s="364" t="s">
        <v>51</v>
      </c>
      <c r="F22" s="364" t="s">
        <v>51</v>
      </c>
      <c r="G22" s="364" t="s">
        <v>51</v>
      </c>
      <c r="H22" s="705" t="s">
        <v>1979</v>
      </c>
      <c r="I22" s="705" t="s">
        <v>1979</v>
      </c>
      <c r="J22" s="705" t="s">
        <v>1980</v>
      </c>
      <c r="K22" s="705" t="s">
        <v>1979</v>
      </c>
      <c r="L22" s="364" t="s">
        <v>51</v>
      </c>
      <c r="M22" s="364" t="s">
        <v>51</v>
      </c>
      <c r="N22" s="705" t="s">
        <v>1980</v>
      </c>
      <c r="O22" s="705" t="s">
        <v>1980</v>
      </c>
    </row>
    <row r="23" spans="1:21">
      <c r="A23" s="306" t="s">
        <v>1985</v>
      </c>
      <c r="B23" s="341" t="s">
        <v>1986</v>
      </c>
      <c r="C23" s="353">
        <v>0</v>
      </c>
      <c r="D23" s="353">
        <v>0</v>
      </c>
      <c r="E23" s="342">
        <v>0</v>
      </c>
      <c r="F23" s="342">
        <v>0</v>
      </c>
      <c r="G23" s="342">
        <v>0</v>
      </c>
      <c r="H23" s="342">
        <f>'Eingabe Stoffparameter'!$C$18</f>
        <v>5.4574652777777777</v>
      </c>
      <c r="I23" s="342">
        <f>'Eingabe Stoffparameter'!$C$24</f>
        <v>7.2766203703703702</v>
      </c>
      <c r="J23" s="342">
        <f>'Eingabe Stoffparameter'!$C$30</f>
        <v>4.6319444444444446</v>
      </c>
      <c r="K23" s="342">
        <f>'Eingabe Stoffparameter'!$C$36</f>
        <v>6.8936403508771917</v>
      </c>
      <c r="L23" s="342">
        <v>0</v>
      </c>
      <c r="M23" s="342">
        <v>0</v>
      </c>
      <c r="N23" s="342">
        <f>'Eingabe Stoffparameter'!$C$49</f>
        <v>4.6319444444444446</v>
      </c>
      <c r="O23" s="354">
        <f>'Eingabe Stoffparameter'!$C$49</f>
        <v>4.6319444444444446</v>
      </c>
      <c r="U23" s="2"/>
    </row>
    <row r="24" spans="1:21" s="16" customFormat="1">
      <c r="A24" s="306" t="s">
        <v>1987</v>
      </c>
      <c r="B24" s="335" t="s">
        <v>11</v>
      </c>
      <c r="C24" s="337">
        <f t="shared" ref="C24:O24" si="0">IF(C22="-",0,HLOOKUP(C22,$H$3:$I$4,2))</f>
        <v>0</v>
      </c>
      <c r="D24" s="337">
        <f t="shared" si="0"/>
        <v>0</v>
      </c>
      <c r="E24" s="337">
        <f t="shared" si="0"/>
        <v>0</v>
      </c>
      <c r="F24" s="337">
        <f t="shared" si="0"/>
        <v>0</v>
      </c>
      <c r="G24" s="337">
        <f t="shared" si="0"/>
        <v>0</v>
      </c>
      <c r="H24" s="337">
        <f t="shared" si="0"/>
        <v>145</v>
      </c>
      <c r="I24" s="337">
        <f t="shared" si="0"/>
        <v>145</v>
      </c>
      <c r="J24" s="337">
        <f t="shared" si="0"/>
        <v>55</v>
      </c>
      <c r="K24" s="337">
        <f t="shared" si="0"/>
        <v>145</v>
      </c>
      <c r="L24" s="337">
        <f t="shared" si="0"/>
        <v>0</v>
      </c>
      <c r="M24" s="337">
        <f t="shared" si="0"/>
        <v>0</v>
      </c>
      <c r="N24" s="337">
        <f t="shared" si="0"/>
        <v>55</v>
      </c>
      <c r="O24" s="338">
        <f t="shared" si="0"/>
        <v>55</v>
      </c>
      <c r="U24" s="2"/>
    </row>
    <row r="25" spans="1:21" s="27" customFormat="1">
      <c r="A25" s="306" t="s">
        <v>2270</v>
      </c>
      <c r="B25" s="335" t="s">
        <v>2271</v>
      </c>
      <c r="C25" s="343">
        <f t="shared" ref="C25:O25" si="1">IF(C22="-",0,HLOOKUP(C22,$H$3:$I$5,3))</f>
        <v>0</v>
      </c>
      <c r="D25" s="343">
        <f t="shared" si="1"/>
        <v>0</v>
      </c>
      <c r="E25" s="343">
        <f t="shared" si="1"/>
        <v>0</v>
      </c>
      <c r="F25" s="343">
        <f t="shared" si="1"/>
        <v>0</v>
      </c>
      <c r="G25" s="343">
        <f t="shared" si="1"/>
        <v>0</v>
      </c>
      <c r="H25" s="343">
        <f t="shared" si="1"/>
        <v>1800</v>
      </c>
      <c r="I25" s="343">
        <f t="shared" si="1"/>
        <v>1800</v>
      </c>
      <c r="J25" s="343">
        <f t="shared" si="1"/>
        <v>60</v>
      </c>
      <c r="K25" s="343">
        <f t="shared" si="1"/>
        <v>1800</v>
      </c>
      <c r="L25" s="343">
        <f t="shared" si="1"/>
        <v>0</v>
      </c>
      <c r="M25" s="343">
        <f t="shared" si="1"/>
        <v>0</v>
      </c>
      <c r="N25" s="343">
        <f t="shared" si="1"/>
        <v>60</v>
      </c>
      <c r="O25" s="344">
        <f t="shared" si="1"/>
        <v>60</v>
      </c>
      <c r="U25" s="2"/>
    </row>
    <row r="26" spans="1:21" s="16" customFormat="1">
      <c r="A26" s="307" t="s">
        <v>1988</v>
      </c>
      <c r="B26" s="336"/>
      <c r="C26" s="345"/>
      <c r="D26" s="345"/>
      <c r="E26" s="345"/>
      <c r="F26" s="345"/>
      <c r="G26" s="345"/>
      <c r="H26" s="345"/>
      <c r="I26" s="345"/>
      <c r="J26" s="345"/>
      <c r="K26" s="345"/>
      <c r="L26" s="334">
        <v>0.65</v>
      </c>
      <c r="M26" s="334">
        <v>0.8</v>
      </c>
      <c r="N26" s="345"/>
      <c r="O26" s="346"/>
      <c r="U26" s="2"/>
    </row>
    <row r="27" spans="1:21">
      <c r="A27" s="293" t="s">
        <v>2265</v>
      </c>
      <c r="B27" s="339"/>
    </row>
    <row r="28" spans="1:21">
      <c r="A28" s="302" t="s">
        <v>1993</v>
      </c>
      <c r="B28" s="322" t="s">
        <v>1889</v>
      </c>
      <c r="C28" s="347">
        <f t="shared" ref="C28:O28" si="2">(-PMT($D$3,C11,1)+C13)*C12*1000000/(365*24*$D$4)</f>
        <v>922.96546176205425</v>
      </c>
      <c r="D28" s="347">
        <f t="shared" si="2"/>
        <v>922.96546176205425</v>
      </c>
      <c r="E28" s="347">
        <f t="shared" si="2"/>
        <v>16.623583579085462</v>
      </c>
      <c r="F28" s="347">
        <f t="shared" si="2"/>
        <v>16.623583579085462</v>
      </c>
      <c r="G28" s="347">
        <f t="shared" si="2"/>
        <v>16.623583579085462</v>
      </c>
      <c r="H28" s="347">
        <f t="shared" si="2"/>
        <v>395.55662646945188</v>
      </c>
      <c r="I28" s="347">
        <f t="shared" si="2"/>
        <v>395.55662646945188</v>
      </c>
      <c r="J28" s="347">
        <f t="shared" si="2"/>
        <v>395.55662646945188</v>
      </c>
      <c r="K28" s="347">
        <f t="shared" si="2"/>
        <v>525.40864252810127</v>
      </c>
      <c r="L28" s="347">
        <f t="shared" si="2"/>
        <v>680.35739752745712</v>
      </c>
      <c r="M28" s="347">
        <f t="shared" si="2"/>
        <v>680.35739752745712</v>
      </c>
      <c r="N28" s="347">
        <f t="shared" si="2"/>
        <v>627.61651399819698</v>
      </c>
      <c r="O28" s="348">
        <f t="shared" si="2"/>
        <v>627.61651399819698</v>
      </c>
    </row>
    <row r="29" spans="1:21">
      <c r="A29" s="302" t="s">
        <v>1925</v>
      </c>
      <c r="B29" s="324" t="s">
        <v>1889</v>
      </c>
      <c r="C29" s="355">
        <f t="shared" ref="C29:O29" si="3">C14*$L$4+C15*$M$4+C16*$N$4</f>
        <v>360</v>
      </c>
      <c r="D29" s="355">
        <f t="shared" si="3"/>
        <v>360</v>
      </c>
      <c r="E29" s="355">
        <f t="shared" si="3"/>
        <v>20.916353712039555</v>
      </c>
      <c r="F29" s="355">
        <f t="shared" si="3"/>
        <v>20.916353712039555</v>
      </c>
      <c r="G29" s="355">
        <f t="shared" si="3"/>
        <v>20.916353712039555</v>
      </c>
      <c r="H29" s="355">
        <f t="shared" si="3"/>
        <v>18</v>
      </c>
      <c r="I29" s="355">
        <f t="shared" si="3"/>
        <v>54</v>
      </c>
      <c r="J29" s="355">
        <f t="shared" si="3"/>
        <v>67.5</v>
      </c>
      <c r="K29" s="355">
        <f t="shared" si="3"/>
        <v>31.702500000000001</v>
      </c>
      <c r="L29" s="355">
        <f t="shared" si="3"/>
        <v>161.85</v>
      </c>
      <c r="M29" s="355">
        <f t="shared" si="3"/>
        <v>1283.8499999999999</v>
      </c>
      <c r="N29" s="355">
        <f t="shared" si="3"/>
        <v>210</v>
      </c>
      <c r="O29" s="356">
        <f t="shared" si="3"/>
        <v>875</v>
      </c>
    </row>
    <row r="30" spans="1:21" s="16" customFormat="1">
      <c r="A30" s="302" t="s">
        <v>1913</v>
      </c>
      <c r="B30" s="324" t="s">
        <v>1889</v>
      </c>
      <c r="C30" s="349">
        <f t="shared" ref="C30:K30" si="4">C23*C24</f>
        <v>0</v>
      </c>
      <c r="D30" s="349">
        <f t="shared" si="4"/>
        <v>0</v>
      </c>
      <c r="E30" s="349">
        <f t="shared" si="4"/>
        <v>0</v>
      </c>
      <c r="F30" s="349">
        <f t="shared" si="4"/>
        <v>0</v>
      </c>
      <c r="G30" s="349">
        <f t="shared" si="4"/>
        <v>0</v>
      </c>
      <c r="H30" s="349">
        <f t="shared" si="4"/>
        <v>791.33246527777771</v>
      </c>
      <c r="I30" s="349">
        <f t="shared" si="4"/>
        <v>1055.1099537037037</v>
      </c>
      <c r="J30" s="349">
        <f t="shared" si="4"/>
        <v>254.75694444444446</v>
      </c>
      <c r="K30" s="349">
        <f t="shared" si="4"/>
        <v>999.57785087719276</v>
      </c>
      <c r="L30" s="349">
        <f>('Eingabe Stoffparameter'!C43-PMT($D$3,L11,'Eingabe Stoffparameter'!C42)/L26*($F$3*INDEX(Transportmittel!$X$7:$X$10,MATCH(L8,Transportmittel!$A$7:$A$10,0))+INDEX(Transportmittel!$Y$7:$Y$10,MATCH(L8,Transportmittel!$A$7:$A$10,0))))*1000*L20</f>
        <v>291.7716099635773</v>
      </c>
      <c r="M30" s="349">
        <f>('Eingabe Stoffparameter'!C43-PMT($D$3,M11,'Eingabe Stoffparameter'!C42)/M26*($F$3*INDEX(Transportmittel!$X$7:$X$10,MATCH(M8,Transportmittel!$A$7:$A$10,0))+INDEX(Transportmittel!$Y$7:$Y$10,MATCH(M8,Transportmittel!$A$7:$A$10,0))))*1000*M20</f>
        <v>252.25423857629067</v>
      </c>
      <c r="N30" s="349">
        <f>N23*N24</f>
        <v>254.75694444444446</v>
      </c>
      <c r="O30" s="350">
        <f>O23*O24</f>
        <v>254.75694444444446</v>
      </c>
    </row>
    <row r="31" spans="1:21">
      <c r="A31" s="302" t="s">
        <v>1912</v>
      </c>
      <c r="B31" s="324" t="s">
        <v>1889</v>
      </c>
      <c r="C31" s="355">
        <f t="shared" ref="C31:O31" si="5">C38*C20</f>
        <v>1673.0351707146906</v>
      </c>
      <c r="D31" s="355">
        <f t="shared" si="5"/>
        <v>114.69674488239708</v>
      </c>
      <c r="E31" s="355">
        <f t="shared" si="5"/>
        <v>3045.3862648917643</v>
      </c>
      <c r="F31" s="355">
        <f t="shared" si="5"/>
        <v>674.45658201385447</v>
      </c>
      <c r="G31" s="355">
        <f t="shared" si="5"/>
        <v>327.59246103563146</v>
      </c>
      <c r="H31" s="355">
        <f t="shared" si="5"/>
        <v>74.116339031010199</v>
      </c>
      <c r="I31" s="355">
        <f t="shared" si="5"/>
        <v>40.005217735667436</v>
      </c>
      <c r="J31" s="355">
        <f t="shared" si="5"/>
        <v>54.469565527763045</v>
      </c>
      <c r="K31" s="355">
        <f t="shared" si="5"/>
        <v>18.377910356519738</v>
      </c>
      <c r="L31" s="355">
        <f t="shared" si="5"/>
        <v>120.32528904066668</v>
      </c>
      <c r="M31" s="355">
        <f t="shared" si="5"/>
        <v>120.32528904066668</v>
      </c>
      <c r="N31" s="355">
        <f t="shared" si="5"/>
        <v>54.469565527763045</v>
      </c>
      <c r="O31" s="356">
        <f t="shared" si="5"/>
        <v>54.469565527763045</v>
      </c>
    </row>
    <row r="32" spans="1:21">
      <c r="A32" s="302" t="s">
        <v>1868</v>
      </c>
      <c r="B32" s="324" t="s">
        <v>1889</v>
      </c>
      <c r="C32" s="349">
        <f t="shared" ref="C32:O32" si="6">SUM(C28:C31)</f>
        <v>2956.0006324767446</v>
      </c>
      <c r="D32" s="349">
        <f t="shared" si="6"/>
        <v>1397.6622066444513</v>
      </c>
      <c r="E32" s="349">
        <f t="shared" si="6"/>
        <v>3082.9262021828895</v>
      </c>
      <c r="F32" s="349">
        <f t="shared" si="6"/>
        <v>711.99651930497953</v>
      </c>
      <c r="G32" s="349">
        <f t="shared" si="6"/>
        <v>365.13239832675646</v>
      </c>
      <c r="H32" s="349">
        <f t="shared" si="6"/>
        <v>1279.0054307782398</v>
      </c>
      <c r="I32" s="349">
        <f t="shared" si="6"/>
        <v>1544.671797908823</v>
      </c>
      <c r="J32" s="349">
        <f t="shared" si="6"/>
        <v>772.28313644165939</v>
      </c>
      <c r="K32" s="349">
        <f t="shared" si="6"/>
        <v>1575.0669037618138</v>
      </c>
      <c r="L32" s="349">
        <f t="shared" si="6"/>
        <v>1254.3042965317011</v>
      </c>
      <c r="M32" s="349">
        <f t="shared" si="6"/>
        <v>2336.7869251444145</v>
      </c>
      <c r="N32" s="349">
        <f t="shared" si="6"/>
        <v>1146.8430239704046</v>
      </c>
      <c r="O32" s="350">
        <f t="shared" si="6"/>
        <v>1811.8430239704046</v>
      </c>
    </row>
    <row r="33" spans="1:15">
      <c r="A33" s="302"/>
      <c r="B33" s="329" t="s">
        <v>1890</v>
      </c>
      <c r="C33" s="357">
        <f>C32/'Eingabe Stoffparameter'!$C$7/1000</f>
        <v>8.8714489716834516E-2</v>
      </c>
      <c r="D33" s="357">
        <f>D32/'Eingabe Stoffparameter'!$C$7/1000</f>
        <v>4.1946164725640625E-2</v>
      </c>
      <c r="E33" s="357">
        <f>E32/'Eingabe Stoffparameter'!$C$7/1000</f>
        <v>9.2523736922260388E-2</v>
      </c>
      <c r="F33" s="357">
        <f>F32/'Eingabe Stoffparameter'!$C$7/1000</f>
        <v>2.1368198367867061E-2</v>
      </c>
      <c r="G33" s="357">
        <f>G32/'Eingabe Stoffparameter'!$C$7/1000</f>
        <v>1.0958229859883832E-2</v>
      </c>
      <c r="H33" s="357">
        <f>H32/'Eingabe Stoffparameter'!$C$7/1000</f>
        <v>3.8385077760109139E-2</v>
      </c>
      <c r="I33" s="357">
        <f>I32/'Eingabe Stoffparameter'!$C$7/1000</f>
        <v>4.6358166783154311E-2</v>
      </c>
      <c r="J33" s="357">
        <f>J32/'Eingabe Stoffparameter'!$C$7/1000</f>
        <v>2.3177499900916311E-2</v>
      </c>
      <c r="K33" s="357">
        <f>K32/'Eingabe Stoffparameter'!$C$7/1000</f>
        <v>4.7270374404496378E-2</v>
      </c>
      <c r="L33" s="357">
        <f>L32/'Eingabe Stoffparameter'!$C$7/1000</f>
        <v>3.7643755685941444E-2</v>
      </c>
      <c r="M33" s="357">
        <f>M32/'Eingabe Stoffparameter'!$C$7/1000</f>
        <v>7.0130857674229011E-2</v>
      </c>
      <c r="N33" s="357">
        <f>N32/'Eingabe Stoffparameter'!$C$7/1000</f>
        <v>3.4418664373423911E-2</v>
      </c>
      <c r="O33" s="358">
        <f>O32/'Eingabe Stoffparameter'!$C$7/1000</f>
        <v>5.4376419122706451E-2</v>
      </c>
    </row>
    <row r="34" spans="1:15">
      <c r="A34" s="293" t="s">
        <v>2266</v>
      </c>
      <c r="B34" s="294"/>
      <c r="H34" s="16"/>
      <c r="I34" s="16"/>
      <c r="J34" s="16"/>
    </row>
    <row r="35" spans="1:15">
      <c r="A35" s="302" t="s">
        <v>1993</v>
      </c>
      <c r="B35" s="322" t="s">
        <v>1869</v>
      </c>
      <c r="C35" s="347">
        <f t="shared" ref="C35:O35" si="7">C28/C20</f>
        <v>922.96546176205425</v>
      </c>
      <c r="D35" s="347">
        <f t="shared" si="7"/>
        <v>922.96546176205425</v>
      </c>
      <c r="E35" s="347">
        <f t="shared" si="7"/>
        <v>16.623583579085462</v>
      </c>
      <c r="F35" s="347">
        <f t="shared" si="7"/>
        <v>16.623583579085462</v>
      </c>
      <c r="G35" s="347">
        <f t="shared" si="7"/>
        <v>16.623583579085462</v>
      </c>
      <c r="H35" s="347">
        <f t="shared" si="7"/>
        <v>198.82619434330613</v>
      </c>
      <c r="I35" s="347">
        <f t="shared" si="7"/>
        <v>74.66220825439251</v>
      </c>
      <c r="J35" s="347">
        <f t="shared" si="7"/>
        <v>70.234468818250406</v>
      </c>
      <c r="K35" s="347">
        <f t="shared" si="7"/>
        <v>233.53121032509915</v>
      </c>
      <c r="L35" s="347">
        <f t="shared" si="7"/>
        <v>41.990995933732421</v>
      </c>
      <c r="M35" s="347">
        <f t="shared" si="7"/>
        <v>41.990995933732421</v>
      </c>
      <c r="N35" s="347">
        <f t="shared" si="7"/>
        <v>111.43869052495731</v>
      </c>
      <c r="O35" s="348">
        <f t="shared" si="7"/>
        <v>111.43869052495731</v>
      </c>
    </row>
    <row r="36" spans="1:15">
      <c r="A36" s="302" t="s">
        <v>1925</v>
      </c>
      <c r="B36" s="324" t="s">
        <v>1869</v>
      </c>
      <c r="C36" s="355">
        <f t="shared" ref="C36:O36" si="8">C29/C20</f>
        <v>360</v>
      </c>
      <c r="D36" s="355">
        <f t="shared" si="8"/>
        <v>360</v>
      </c>
      <c r="E36" s="355">
        <f t="shared" si="8"/>
        <v>20.916353712039555</v>
      </c>
      <c r="F36" s="355">
        <f t="shared" si="8"/>
        <v>20.916353712039555</v>
      </c>
      <c r="G36" s="355">
        <f t="shared" si="8"/>
        <v>20.916353712039555</v>
      </c>
      <c r="H36" s="355">
        <f t="shared" si="8"/>
        <v>9.047684348313906</v>
      </c>
      <c r="I36" s="355">
        <f t="shared" si="8"/>
        <v>10.192622183384307</v>
      </c>
      <c r="J36" s="355">
        <f t="shared" si="8"/>
        <v>11.985203452527745</v>
      </c>
      <c r="K36" s="355">
        <f t="shared" si="8"/>
        <v>14.090980992828799</v>
      </c>
      <c r="L36" s="355">
        <f t="shared" si="8"/>
        <v>9.9892243643905072</v>
      </c>
      <c r="M36" s="355">
        <f t="shared" si="8"/>
        <v>79.237971579998472</v>
      </c>
      <c r="N36" s="355">
        <f t="shared" si="8"/>
        <v>37.287299630086316</v>
      </c>
      <c r="O36" s="356">
        <f t="shared" si="8"/>
        <v>155.36374845869298</v>
      </c>
    </row>
    <row r="37" spans="1:15" s="16" customFormat="1">
      <c r="A37" s="302" t="s">
        <v>1913</v>
      </c>
      <c r="B37" s="324" t="s">
        <v>1869</v>
      </c>
      <c r="C37" s="349">
        <f t="shared" ref="C37:O37" si="9">C30/C20</f>
        <v>0</v>
      </c>
      <c r="D37" s="349">
        <f t="shared" si="9"/>
        <v>0</v>
      </c>
      <c r="E37" s="349">
        <f t="shared" si="9"/>
        <v>0</v>
      </c>
      <c r="F37" s="349">
        <f t="shared" si="9"/>
        <v>0</v>
      </c>
      <c r="G37" s="349">
        <f t="shared" si="9"/>
        <v>0</v>
      </c>
      <c r="H37" s="349">
        <f t="shared" si="9"/>
        <v>397.76257557813375</v>
      </c>
      <c r="I37" s="349">
        <f t="shared" si="9"/>
        <v>199.15439111166592</v>
      </c>
      <c r="J37" s="349">
        <f t="shared" si="9"/>
        <v>45.234278668310736</v>
      </c>
      <c r="K37" s="349">
        <f t="shared" si="9"/>
        <v>444.28775325489102</v>
      </c>
      <c r="L37" s="349">
        <f t="shared" si="9"/>
        <v>18.007859592743966</v>
      </c>
      <c r="M37" s="349">
        <f t="shared" si="9"/>
        <v>15.568885919104471</v>
      </c>
      <c r="N37" s="349">
        <f t="shared" si="9"/>
        <v>45.234278668310736</v>
      </c>
      <c r="O37" s="350">
        <f t="shared" si="9"/>
        <v>45.234278668310736</v>
      </c>
    </row>
    <row r="38" spans="1:15">
      <c r="A38" s="302" t="s">
        <v>1912</v>
      </c>
      <c r="B38" s="324" t="s">
        <v>1869</v>
      </c>
      <c r="C38" s="355">
        <f>FORECAST($F$3,INDEX(Transportmittel!$AO$7:$AW$10,MATCH(C$8,Transportmittel!$A$7:$A$10,0),0),Transportmittel!$AO$5:$AW$5)/MIN(INDEX(Transportmittel!$D$7:$D$10,MATCH(C$8,Transportmittel!$A$7:$A$10,0))*C$19/1000,INDEX(Transportmittel!$E$7:$E$10,MATCH(C$8,Transportmittel!$A$7:$A$10,0)))</f>
        <v>1673.0351707146906</v>
      </c>
      <c r="D38" s="355">
        <f>FORECAST($F$3,INDEX(Transportmittel!$AO$7:$AW$10,MATCH(D$8,Transportmittel!$A$7:$A$10,0),0),Transportmittel!$AO$5:$AW$5)/MIN(INDEX(Transportmittel!$D$7:$D$10,MATCH(D$8,Transportmittel!$A$7:$A$10,0))*D$19/1000,INDEX(Transportmittel!$E$7:$E$10,MATCH(D$8,Transportmittel!$A$7:$A$10,0)))</f>
        <v>114.69674488239708</v>
      </c>
      <c r="E38" s="186">
        <f>$F$3*((INDEX(Transportmittel!$AK$15:$AK$20,MATCH(E$8,Transportmittel!$A$15:$A$20,0),0)+INDEX(Transportmittel!$AG$15:$AG$20,MATCH(E$8,Transportmittel!$A$15:$A$20,0),0)*INDEX(Transportmittel!$AL$15:$AL$20,MATCH(E$8,Transportmittel!$A$15:$A$20,0),0)/INDEX(Transportmittel!$AI$15:$AI$20,MATCH(E$8,Transportmittel!$A$15:$A$20,0),0))/(365*$D$4*INDEX(Transportmittel!$AG$15:$AG$20,MATCH(E$8,Transportmittel!$A$15:$A$20,0),0))+INDEX(Transportmittel!$AM$15:$AM$20,MATCH(E$8,Transportmittel!$A$15:$A$20,0),0)/INDEX(Transportmittel!$AI$15:$AI$20,MATCH(E$8,Transportmittel!$A$15:$A$20,0),0))</f>
        <v>3045.3862648917643</v>
      </c>
      <c r="F38" s="186">
        <f>$F$3*((INDEX(Transportmittel!$AK$15:$AK$20,MATCH(F$8,Transportmittel!$A$15:$A$20,0),0)+INDEX(Transportmittel!$AG$15:$AG$20,MATCH(F$8,Transportmittel!$A$15:$A$20,0),0)*INDEX(Transportmittel!$AL$15:$AL$20,MATCH(F$8,Transportmittel!$A$15:$A$20,0),0)/INDEX(Transportmittel!$AI$15:$AI$20,MATCH(F$8,Transportmittel!$A$15:$A$20,0),0))/(365*$D$4*INDEX(Transportmittel!$AG$15:$AG$20,MATCH(F$8,Transportmittel!$A$15:$A$20,0),0))+INDEX(Transportmittel!$AM$15:$AM$20,MATCH(F$8,Transportmittel!$A$15:$A$20,0),0)/INDEX(Transportmittel!$AI$15:$AI$20,MATCH(F$8,Transportmittel!$A$15:$A$20,0),0))</f>
        <v>674.45658201385447</v>
      </c>
      <c r="G38" s="186">
        <f>$F$3*((INDEX(Transportmittel!$AK$15:$AK$20,MATCH(G$8,Transportmittel!$A$15:$A$20,0),0)+INDEX(Transportmittel!$AG$15:$AG$20,MATCH(G$8,Transportmittel!$A$15:$A$20,0),0)*INDEX(Transportmittel!$AL$15:$AL$20,MATCH(G$8,Transportmittel!$A$15:$A$20,0),0)/INDEX(Transportmittel!$AI$15:$AI$20,MATCH(G$8,Transportmittel!$A$15:$A$20,0),0))/(365*$D$4*INDEX(Transportmittel!$AG$15:$AG$20,MATCH(G$8,Transportmittel!$A$15:$A$20,0),0))+INDEX(Transportmittel!$AM$15:$AM$20,MATCH(G$8,Transportmittel!$A$15:$A$20,0),0)/INDEX(Transportmittel!$AI$15:$AI$20,MATCH(G$8,Transportmittel!$A$15:$A$20,0),0))</f>
        <v>327.59246103563146</v>
      </c>
      <c r="H38" s="186">
        <f>$F$3*((INDEX(Transportmittel!$AK$15:$AK$20,MATCH(H$8,Transportmittel!$A$15:$A$20,0),0)+INDEX(Transportmittel!$AG$15:$AG$20,MATCH(H$8,Transportmittel!$A$15:$A$20,0),0)*INDEX(Transportmittel!$AL$15:$AL$20,MATCH(H$8,Transportmittel!$A$15:$A$20,0),0)/INDEX(Transportmittel!$AI$15:$AI$20,MATCH(H$8,Transportmittel!$A$15:$A$20,0),0))/(365*$D$4*INDEX(Transportmittel!$AG$15:$AG$20,MATCH(H$8,Transportmittel!$A$15:$A$20,0),0))+INDEX(Transportmittel!$AM$15:$AM$20,MATCH(H$8,Transportmittel!$A$15:$A$20,0),0)/INDEX(Transportmittel!$AI$15:$AI$20,MATCH(H$8,Transportmittel!$A$15:$A$20,0),0))</f>
        <v>37.25451336695545</v>
      </c>
      <c r="I38" s="355">
        <f>FORECAST($F$3,INDEX(Transportmittel!$AO$7:$AW$10,MATCH(I$8,Transportmittel!$A$7:$A$10,0),0),Transportmittel!$AO$5:$AW$5)/MIN(INDEX(Transportmittel!$D$7:$D$10,MATCH(I$8,Transportmittel!$A$7:$A$10,0))*I$19/1000,INDEX(Transportmittel!$E$7:$E$10,MATCH(I$8,Transportmittel!$A$7:$A$10,0)))</f>
        <v>7.5510753656237641</v>
      </c>
      <c r="J38" s="355">
        <f>FORECAST($F$3,INDEX(Transportmittel!$AO$7:$AW$10,MATCH(J$8,Transportmittel!$A$7:$A$10,0),0),Transportmittel!$AO$5:$AW$5)/MIN(INDEX(Transportmittel!$D$7:$D$10,MATCH(J$8,Transportmittel!$A$7:$A$10,0))*J$19/1000,INDEX(Transportmittel!$E$7:$E$10,MATCH(J$8,Transportmittel!$A$7:$A$10,0)))</f>
        <v>9.6715381454967684</v>
      </c>
      <c r="K38" s="355">
        <f>FORECAST($F$3,INDEX(Transportmittel!$AO$7:$AW$10,MATCH(K$8,Transportmittel!$A$7:$A$10,0),0),Transportmittel!$AO$5:$AW$5)/MIN(INDEX(Transportmittel!$D$7:$D$10,MATCH(K$8,Transportmittel!$A$7:$A$10,0))*K$19/1000,INDEX(Transportmittel!$E$7:$E$10,MATCH(K$8,Transportmittel!$A$7:$A$10,0)))</f>
        <v>8.1685288391020006</v>
      </c>
      <c r="L38" s="355">
        <f>FORECAST($F$3,INDEX(Transportmittel!$AO$7:$AW$10,MATCH(L$8,Transportmittel!$A$7:$A$10,0),0),Transportmittel!$AO$5:$AW$5)/MIN(INDEX(Transportmittel!$D$7:$D$10,MATCH(L$8,Transportmittel!$A$7:$A$10,0))*L$19/1000,INDEX(Transportmittel!$E$7:$E$10,MATCH(L$8,Transportmittel!$A$7:$A$10,0)))</f>
        <v>7.4263596474350182</v>
      </c>
      <c r="M38" s="355">
        <f>FORECAST($F$3,INDEX(Transportmittel!$AO$7:$AW$10,MATCH(M$8,Transportmittel!$A$7:$A$10,0),0),Transportmittel!$AO$5:$AW$5)/MIN(INDEX(Transportmittel!$D$7:$D$10,MATCH(M$8,Transportmittel!$A$7:$A$10,0))*M$19/1000,INDEX(Transportmittel!$E$7:$E$10,MATCH(M$8,Transportmittel!$A$7:$A$10,0)))</f>
        <v>7.4263596474350182</v>
      </c>
      <c r="N38" s="355">
        <f>FORECAST($F$3,INDEX(Transportmittel!$AO$7:$AW$10,MATCH(N$8,Transportmittel!$A$7:$A$10,0),0),Transportmittel!$AO$5:$AW$5)/MIN(INDEX(Transportmittel!$D$7:$D$10,MATCH(N$8,Transportmittel!$A$7:$A$10,0))*N$19/1000,INDEX(Transportmittel!$E$7:$E$10,MATCH(N$8,Transportmittel!$A$7:$A$10,0)))</f>
        <v>9.6715381454967684</v>
      </c>
      <c r="O38" s="356">
        <f>FORECAST($F$3,INDEX(Transportmittel!$AO$7:$AW$10,MATCH(O$8,Transportmittel!$A$7:$A$10,0),0),Transportmittel!$AO$5:$AW$5)/MIN(INDEX(Transportmittel!$D$7:$D$10,MATCH(O$8,Transportmittel!$A$7:$A$10,0))*O$19/1000,INDEX(Transportmittel!$E$7:$E$10,MATCH(O$8,Transportmittel!$A$7:$A$10,0)))</f>
        <v>9.6715381454967684</v>
      </c>
    </row>
    <row r="39" spans="1:15" s="18" customFormat="1">
      <c r="A39" s="302" t="s">
        <v>2102</v>
      </c>
      <c r="B39" s="324" t="s">
        <v>1869</v>
      </c>
      <c r="C39" s="332">
        <f>('Eingabe Stoffparameter'!$C$7/C20-C18)/'Eingabe Stoffparameter'!$C$7*$J$4</f>
        <v>0</v>
      </c>
      <c r="D39" s="332">
        <f>('Eingabe Stoffparameter'!$C$7/D20-D18)/'Eingabe Stoffparameter'!$C$7*$J$4</f>
        <v>0</v>
      </c>
      <c r="E39" s="332">
        <f>('Eingabe Stoffparameter'!$C$7/E20-E18)/'Eingabe Stoffparameter'!$C$7*$J$4</f>
        <v>0</v>
      </c>
      <c r="F39" s="332">
        <f>('Eingabe Stoffparameter'!$C$7/F20-F18)/'Eingabe Stoffparameter'!$C$7*$J$4</f>
        <v>0</v>
      </c>
      <c r="G39" s="332">
        <f>('Eingabe Stoffparameter'!$C$7/G20-G18)/'Eingabe Stoffparameter'!$C$7*$J$4</f>
        <v>0</v>
      </c>
      <c r="H39" s="332">
        <f>('Eingabe Stoffparameter'!$C$7/H20-H18)/'Eingabe Stoffparameter'!$C$7*$J$4</f>
        <v>248.2435201568652</v>
      </c>
      <c r="I39" s="332">
        <f>('Eingabe Stoffparameter'!$C$7/I20-I18)/'Eingabe Stoffparameter'!$C$7*$J$4</f>
        <v>40.21999499363789</v>
      </c>
      <c r="J39" s="332">
        <f>('Eingabe Stoffparameter'!$C$7/J20-J18)/'Eingabe Stoffparameter'!$C$7*$J$4</f>
        <v>65.156548395360645</v>
      </c>
      <c r="K39" s="332">
        <f>('Eingabe Stoffparameter'!$C$7/K20-K18)/'Eingabe Stoffparameter'!$C$7*$J$4</f>
        <v>266.33126761756478</v>
      </c>
      <c r="L39" s="332">
        <f>('Eingabe Stoffparameter'!$C$7/L20-L18)/'Eingabe Stoffparameter'!$C$7*$J$4</f>
        <v>0</v>
      </c>
      <c r="M39" s="332">
        <f>('Eingabe Stoffparameter'!$C$7/M20-M18)/'Eingabe Stoffparameter'!$C$7*$J$4</f>
        <v>0</v>
      </c>
      <c r="N39" s="332">
        <f>('Eingabe Stoffparameter'!$C$7/N20-N18)/'Eingabe Stoffparameter'!$C$7*$J$4</f>
        <v>0</v>
      </c>
      <c r="O39" s="333">
        <f>('Eingabe Stoffparameter'!$C$7/O20-O18)/'Eingabe Stoffparameter'!$C$7*$J$4</f>
        <v>0</v>
      </c>
    </row>
    <row r="40" spans="1:15">
      <c r="A40" s="302" t="s">
        <v>1868</v>
      </c>
      <c r="B40" s="324" t="s">
        <v>1869</v>
      </c>
      <c r="C40" s="355">
        <f t="shared" ref="C40:O40" si="10">SUM(C35:C39)</f>
        <v>2956.0006324767446</v>
      </c>
      <c r="D40" s="355">
        <f t="shared" si="10"/>
        <v>1397.6622066444513</v>
      </c>
      <c r="E40" s="355">
        <f t="shared" si="10"/>
        <v>3082.9262021828895</v>
      </c>
      <c r="F40" s="355">
        <f t="shared" si="10"/>
        <v>711.99651930497953</v>
      </c>
      <c r="G40" s="355">
        <f t="shared" si="10"/>
        <v>365.13239832675646</v>
      </c>
      <c r="H40" s="355">
        <f t="shared" si="10"/>
        <v>891.13448779357452</v>
      </c>
      <c r="I40" s="355">
        <f t="shared" si="10"/>
        <v>331.78029190870438</v>
      </c>
      <c r="J40" s="355">
        <f t="shared" si="10"/>
        <v>202.28203747994627</v>
      </c>
      <c r="K40" s="355">
        <f t="shared" si="10"/>
        <v>966.40974102948576</v>
      </c>
      <c r="L40" s="355">
        <f t="shared" si="10"/>
        <v>77.41443953830192</v>
      </c>
      <c r="M40" s="355">
        <f t="shared" si="10"/>
        <v>144.22421308027037</v>
      </c>
      <c r="N40" s="355">
        <f t="shared" si="10"/>
        <v>203.63180696885115</v>
      </c>
      <c r="O40" s="356">
        <f t="shared" si="10"/>
        <v>321.70825579745775</v>
      </c>
    </row>
    <row r="41" spans="1:15">
      <c r="A41" s="302"/>
      <c r="B41" s="329" t="s">
        <v>1918</v>
      </c>
      <c r="C41" s="351">
        <f t="shared" ref="C41:O41" si="11">C40/C18/1000</f>
        <v>8.8714489716834516E-2</v>
      </c>
      <c r="D41" s="351">
        <f t="shared" si="11"/>
        <v>4.1946164725640625E-2</v>
      </c>
      <c r="E41" s="351">
        <f t="shared" si="11"/>
        <v>9.2523736922260388E-2</v>
      </c>
      <c r="F41" s="351">
        <f t="shared" si="11"/>
        <v>2.1368198367867061E-2</v>
      </c>
      <c r="G41" s="351">
        <f t="shared" si="11"/>
        <v>1.0958229859883832E-2</v>
      </c>
      <c r="H41" s="351">
        <f t="shared" si="11"/>
        <v>6.4127946297179994E-2</v>
      </c>
      <c r="I41" s="351">
        <f t="shared" si="11"/>
        <v>5.6936698952082712E-2</v>
      </c>
      <c r="J41" s="351">
        <f t="shared" si="11"/>
        <v>3.9143651410197211E-2</v>
      </c>
      <c r="K41" s="351">
        <f t="shared" si="11"/>
        <v>8.2247637534424309E-2</v>
      </c>
      <c r="L41" s="351">
        <f t="shared" si="11"/>
        <v>3.7643755685941444E-2</v>
      </c>
      <c r="M41" s="351">
        <f t="shared" si="11"/>
        <v>7.0130857674229011E-2</v>
      </c>
      <c r="N41" s="351">
        <f t="shared" si="11"/>
        <v>3.4418664373423905E-2</v>
      </c>
      <c r="O41" s="352">
        <f t="shared" si="11"/>
        <v>5.4376419122706438E-2</v>
      </c>
    </row>
    <row r="42" spans="1:15">
      <c r="A42" s="293" t="s">
        <v>2267</v>
      </c>
      <c r="B42" s="339"/>
      <c r="C42" s="11"/>
      <c r="D42" s="11"/>
      <c r="E42" s="11"/>
      <c r="F42" s="11"/>
      <c r="G42" s="11"/>
      <c r="H42" s="4"/>
      <c r="I42" s="4"/>
      <c r="J42" s="11"/>
      <c r="K42" s="4"/>
      <c r="L42" s="11"/>
      <c r="M42" s="11"/>
      <c r="N42" s="11"/>
      <c r="O42" s="11"/>
    </row>
    <row r="43" spans="1:15">
      <c r="A43" s="305" t="s">
        <v>1961</v>
      </c>
      <c r="B43" s="341" t="s">
        <v>28</v>
      </c>
      <c r="C43" s="258">
        <f>C18/(('Eingabe Stoffparameter'!$C$7+(C14+C23*C25)/1000)/C20)</f>
        <v>0.80639094484985663</v>
      </c>
      <c r="D43" s="258">
        <f>D18/(('Eingabe Stoffparameter'!$C$7+(D14+D23*D25)/1000)/D20)</f>
        <v>0.80639094484985663</v>
      </c>
      <c r="E43" s="258">
        <f>E18/(('Eingabe Stoffparameter'!$C$7+(E14+E23*E25)/1000)/E20)</f>
        <v>0.98624225968429369</v>
      </c>
      <c r="F43" s="258">
        <f>F18/(('Eingabe Stoffparameter'!$C$7+(F14+F23*F25)/1000)/F20)</f>
        <v>0.98624225968429369</v>
      </c>
      <c r="G43" s="258">
        <f>G18/(('Eingabe Stoffparameter'!$C$7+(G14+G23*G25)/1000)/G20)</f>
        <v>0.98624225968429369</v>
      </c>
      <c r="H43" s="258">
        <f>H18/(('Eingabe Stoffparameter'!$C$7+(H14+H23*H25)/1000)/H20)</f>
        <v>0.63489874585956585</v>
      </c>
      <c r="I43" s="258">
        <f>I18/(('Eingabe Stoffparameter'!$C$7+(I14+I23*I25)/1000)/I20)</f>
        <v>0.64832424831378532</v>
      </c>
      <c r="J43" s="258">
        <f>J18/(('Eingabe Stoffparameter'!$C$7+(J14+J23*J25)/1000)/J20)</f>
        <v>0.82921717464204203</v>
      </c>
      <c r="K43" s="258">
        <f>K18/(('Eingabe Stoffparameter'!$C$7+(K14+K23*K25)/1000)/K20)</f>
        <v>0.56932380764665846</v>
      </c>
      <c r="L43" s="258">
        <f>L18/(('Eingabe Stoffparameter'!$C$7+(L14+L23*L25)/1000)/L20)</f>
        <v>0.98725940323491024</v>
      </c>
      <c r="M43" s="258">
        <f>M18/(('Eingabe Stoffparameter'!$C$7+(M14+M23*M25)/1000)/M20)</f>
        <v>0.98725940323491024</v>
      </c>
      <c r="N43" s="258">
        <f>N18/(('Eingabe Stoffparameter'!$C$7+(N14+N23*N25)/1000)/N20)</f>
        <v>0.94934464732081503</v>
      </c>
      <c r="O43" s="360">
        <f>O18/(('Eingabe Stoffparameter'!$C$7+(O14+O23*O25)/1000)/O20)</f>
        <v>0.94934464732081503</v>
      </c>
    </row>
    <row r="44" spans="1:15">
      <c r="A44" s="306" t="s">
        <v>1962</v>
      </c>
      <c r="B44" s="335" t="s">
        <v>28</v>
      </c>
      <c r="C44" s="269">
        <f>1/(1+2*$F$3*1000*INDEX(Transportmittel!$R$7:$R$10,MATCH(C$8,Transportmittel!$A$7:$A$10,0))/INDEX(Transportmittel!$K$7:$K$10,MATCH(C$8,Transportmittel!$A$7:$A$10,0))/(24*INDEX(Transportmittel!$F$7:$F$10,MATCH(C$8,Transportmittel!$A$7:$A$10,0)))/MIN(INDEX(Transportmittel!$D$7:$D$10,MATCH(C$8,Transportmittel!$A$7:$A$10,0))*C19,1000*INDEX(Transportmittel!$E$7:$E$10,MATCH(C$8,Transportmittel!$A$7:$A$10,0)))/C18)</f>
        <v>0.8933441784442383</v>
      </c>
      <c r="D44" s="269">
        <f>1/(1+2*$F$3*1000*INDEX(Transportmittel!$R$7:$R$10,MATCH(D$8,Transportmittel!$A$7:$A$10,0))/INDEX(Transportmittel!$K$7:$K$10,MATCH(D$8,Transportmittel!$A$7:$A$10,0))/(24*INDEX(Transportmittel!$F$7:$F$10,MATCH(D$8,Transportmittel!$A$7:$A$10,0)))/MIN(INDEX(Transportmittel!$D$7:$D$10,MATCH(D$8,Transportmittel!$A$7:$A$10,0))*D19,1000*INDEX(Transportmittel!$E$7:$E$10,MATCH(D$8,Transportmittel!$A$7:$A$10,0)))/D18)</f>
        <v>0.97397723873027353</v>
      </c>
      <c r="E44" s="269">
        <f>1/(1+$F$3*INDEX(Transportmittel!$AH$15:$AH$20,MATCH(E$8,Transportmittel!$A$15:$A$20,0))/INDEX(Transportmittel!$AI$15:$AI$20,MATCH(E$8,Transportmittel!$A$15:$A$20,0))/E18)</f>
        <v>0.90806133640410314</v>
      </c>
      <c r="F44" s="269">
        <f>1/(1+$F$3*INDEX(Transportmittel!$AH$15:$AH$20,MATCH(F$8,Transportmittel!$A$15:$A$20,0))/INDEX(Transportmittel!$AI$15:$AI$20,MATCH(F$8,Transportmittel!$A$15:$A$20,0))/F18)</f>
        <v>0.97798280008045591</v>
      </c>
      <c r="G44" s="269">
        <f>1/(1+$F$3*INDEX(Transportmittel!$AH$15:$AH$20,MATCH(G$8,Transportmittel!$A$15:$A$20,0))/INDEX(Transportmittel!$AI$15:$AI$20,MATCH(G$8,Transportmittel!$A$15:$A$20,0))/G18)</f>
        <v>0.98877132139029422</v>
      </c>
      <c r="H44" s="269">
        <f>1/(1+$F$3*INDEX(Transportmittel!$AH$15:$AH$20,MATCH(H$8,Transportmittel!$A$15:$A$20,0))/INDEX(Transportmittel!$AI$15:$AI$20,MATCH(H$8,Transportmittel!$A$15:$A$20,0))/H18)</f>
        <v>0.99715473236978991</v>
      </c>
      <c r="I44" s="269">
        <f>1/(1+2*$F$3*1000*INDEX(Transportmittel!$R$7:$R$10,MATCH(I$8,Transportmittel!$A$7:$A$10,0))/INDEX(Transportmittel!$K$7:$K$10,MATCH(I$8,Transportmittel!$A$7:$A$10,0))/(24*INDEX(Transportmittel!$F$7:$F$10,MATCH(I$8,Transportmittel!$A$7:$A$10,0)))/MIN(INDEX(Transportmittel!$D$7:$D$10,MATCH(I$8,Transportmittel!$A$7:$A$10,0))*I19,1000*INDEX(Transportmittel!$E$7:$E$10,MATCH(I$8,Transportmittel!$A$7:$A$10,0)))/I18)</f>
        <v>0.99116246565825672</v>
      </c>
      <c r="J44" s="269">
        <f>1/(1+2*$F$3*1000*INDEX(Transportmittel!$R$7:$R$10,MATCH(J$8,Transportmittel!$A$7:$A$10,0))/INDEX(Transportmittel!$K$7:$K$10,MATCH(J$8,Transportmittel!$A$7:$A$10,0))/(24*INDEX(Transportmittel!$F$7:$F$10,MATCH(J$8,Transportmittel!$A$7:$A$10,0)))/MIN(INDEX(Transportmittel!$D$7:$D$10,MATCH(J$8,Transportmittel!$A$7:$A$10,0))*J19,1000*INDEX(Transportmittel!$E$7:$E$10,MATCH(J$8,Transportmittel!$A$7:$A$10,0)))/J18)</f>
        <v>0.9872861127422724</v>
      </c>
      <c r="K44" s="269">
        <f>1/(1+2*$F$3*1000*INDEX(Transportmittel!$R$7:$R$10,MATCH(K$8,Transportmittel!$A$7:$A$10,0))/INDEX(Transportmittel!$K$7:$K$10,MATCH(K$8,Transportmittel!$A$7:$A$10,0))/(24*INDEX(Transportmittel!$F$7:$F$10,MATCH(K$8,Transportmittel!$A$7:$A$10,0)))/MIN(INDEX(Transportmittel!$D$7:$D$10,MATCH(K$8,Transportmittel!$A$7:$A$10,0))*K19,1000*INDEX(Transportmittel!$E$7:$E$10,MATCH(K$8,Transportmittel!$A$7:$A$10,0)))/K18)</f>
        <v>0.99523931696291734</v>
      </c>
      <c r="L44" s="269">
        <f>1/(1+2*$F$3*1000*INDEX(Transportmittel!$R$7:$R$10,MATCH(L$8,Transportmittel!$A$7:$A$10,0))/INDEX(Transportmittel!$K$7:$K$10,MATCH(L$8,Transportmittel!$A$7:$A$10,0))/(24*INDEX(Transportmittel!$F$7:$F$10,MATCH(L$8,Transportmittel!$A$7:$A$10,0)))/MIN(INDEX(Transportmittel!$D$7:$D$10,MATCH(L$8,Transportmittel!$A$7:$A$10,0))*L19,1000*INDEX(Transportmittel!$E$7:$E$10,MATCH(L$8,Transportmittel!$A$7:$A$10,0)))/L18)</f>
        <v>0.97575492866363922</v>
      </c>
      <c r="M44" s="269">
        <f>1/(1+2*$F$3*1000*INDEX(Transportmittel!$R$7:$R$10,MATCH(M$8,Transportmittel!$A$7:$A$10,0))/INDEX(Transportmittel!$K$7:$K$10,MATCH(M$8,Transportmittel!$A$7:$A$10,0))/(24*INDEX(Transportmittel!$F$7:$F$10,MATCH(M$8,Transportmittel!$A$7:$A$10,0)))/MIN(INDEX(Transportmittel!$D$7:$D$10,MATCH(M$8,Transportmittel!$A$7:$A$10,0))*M19,1000*INDEX(Transportmittel!$E$7:$E$10,MATCH(M$8,Transportmittel!$A$7:$A$10,0)))/M18)</f>
        <v>0.97575492866363922</v>
      </c>
      <c r="N44" s="269">
        <f>1/(1+2*$F$3*1000*INDEX(Transportmittel!$R$7:$R$10,MATCH(N$8,Transportmittel!$A$7:$A$10,0))/INDEX(Transportmittel!$K$7:$K$10,MATCH(N$8,Transportmittel!$A$7:$A$10,0))/(24*INDEX(Transportmittel!$F$7:$F$10,MATCH(N$8,Transportmittel!$A$7:$A$10,0)))/MIN(INDEX(Transportmittel!$D$7:$D$10,MATCH(N$8,Transportmittel!$A$7:$A$10,0))*N19,1000*INDEX(Transportmittel!$E$7:$E$10,MATCH(N$8,Transportmittel!$A$7:$A$10,0)))/N18)</f>
        <v>0.98887699876207613</v>
      </c>
      <c r="O44" s="363">
        <f>1/(1+2*$F$3*1000*INDEX(Transportmittel!$R$7:$R$10,MATCH(O$8,Transportmittel!$A$7:$A$10,0))/INDEX(Transportmittel!$K$7:$K$10,MATCH(O$8,Transportmittel!$A$7:$A$10,0))/(24*INDEX(Transportmittel!$F$7:$F$10,MATCH(O$8,Transportmittel!$A$7:$A$10,0)))/MIN(INDEX(Transportmittel!$D$7:$D$10,MATCH(O$8,Transportmittel!$A$7:$A$10,0))*O19,1000*INDEX(Transportmittel!$E$7:$E$10,MATCH(O$8,Transportmittel!$A$7:$A$10,0)))/O18)</f>
        <v>0.98887699876207613</v>
      </c>
    </row>
    <row r="45" spans="1:15">
      <c r="A45" s="306" t="s">
        <v>1963</v>
      </c>
      <c r="B45" s="335" t="s">
        <v>28</v>
      </c>
      <c r="C45" s="260">
        <v>1</v>
      </c>
      <c r="D45" s="260">
        <v>1</v>
      </c>
      <c r="E45" s="260">
        <v>1</v>
      </c>
      <c r="F45" s="260">
        <v>1</v>
      </c>
      <c r="G45" s="260">
        <v>1</v>
      </c>
      <c r="H45" s="260">
        <v>1</v>
      </c>
      <c r="I45" s="260">
        <v>1</v>
      </c>
      <c r="J45" s="260">
        <v>1</v>
      </c>
      <c r="K45" s="260">
        <v>1</v>
      </c>
      <c r="L45" s="260">
        <f>1/(1+(L15+L16)/1000/'Eingabe Stoffparameter'!$C$7)</f>
        <v>0.97227926969654965</v>
      </c>
      <c r="M45" s="260">
        <f>1/(1+(M15+M16)/1000/'Eingabe Stoffparameter'!$C$7)</f>
        <v>0.73247091742798687</v>
      </c>
      <c r="N45" s="260">
        <f>1/(1+(N15+N16)/1000/'Eingabe Stoffparameter'!$C$7)</f>
        <v>0.97227926969654965</v>
      </c>
      <c r="O45" s="326">
        <f>1/(1+(O15+O16)/1000/'Eingabe Stoffparameter'!$C$7)</f>
        <v>0.81427348081255357</v>
      </c>
    </row>
    <row r="46" spans="1:15">
      <c r="A46" s="306" t="s">
        <v>2170</v>
      </c>
      <c r="B46" s="335" t="s">
        <v>28</v>
      </c>
      <c r="C46" s="269">
        <f t="shared" ref="C46:O46" si="12">C43*C44*C45</f>
        <v>0.72038465613176828</v>
      </c>
      <c r="D46" s="269">
        <f t="shared" si="12"/>
        <v>0.78540642580195963</v>
      </c>
      <c r="E46" s="269">
        <f t="shared" si="12"/>
        <v>0.89556846434712223</v>
      </c>
      <c r="F46" s="269">
        <f t="shared" si="12"/>
        <v>0.96452796668372165</v>
      </c>
      <c r="G46" s="269">
        <f t="shared" si="12"/>
        <v>0.97516806231898878</v>
      </c>
      <c r="H46" s="269">
        <f t="shared" si="12"/>
        <v>0.63309228900951064</v>
      </c>
      <c r="I46" s="269">
        <f t="shared" si="12"/>
        <v>0.64259466050472736</v>
      </c>
      <c r="J46" s="269">
        <f t="shared" si="12"/>
        <v>0.81867460097147171</v>
      </c>
      <c r="K46" s="269">
        <f t="shared" si="12"/>
        <v>0.56661343745298776</v>
      </c>
      <c r="L46" s="269">
        <f t="shared" si="12"/>
        <v>0.93661920516158281</v>
      </c>
      <c r="M46" s="269">
        <f t="shared" si="12"/>
        <v>0.70560624901474334</v>
      </c>
      <c r="N46" s="269">
        <f t="shared" si="12"/>
        <v>0.91276127746170277</v>
      </c>
      <c r="O46" s="363">
        <f t="shared" si="12"/>
        <v>0.7644277994136599</v>
      </c>
    </row>
    <row r="47" spans="1:15" s="16" customFormat="1">
      <c r="A47" s="307" t="s">
        <v>2171</v>
      </c>
      <c r="B47" s="336" t="s">
        <v>28</v>
      </c>
      <c r="C47" s="361">
        <f t="shared" ref="C47:O47" si="13">0.65*C46</f>
        <v>0.4682500264856494</v>
      </c>
      <c r="D47" s="361">
        <f t="shared" si="13"/>
        <v>0.51051417677127375</v>
      </c>
      <c r="E47" s="361">
        <f t="shared" si="13"/>
        <v>0.58211950182562944</v>
      </c>
      <c r="F47" s="361">
        <f t="shared" si="13"/>
        <v>0.62694317834441904</v>
      </c>
      <c r="G47" s="361">
        <f t="shared" si="13"/>
        <v>0.63385924050734277</v>
      </c>
      <c r="H47" s="361">
        <f t="shared" si="13"/>
        <v>0.41150998785618192</v>
      </c>
      <c r="I47" s="361">
        <f t="shared" si="13"/>
        <v>0.41768652932807282</v>
      </c>
      <c r="J47" s="361">
        <f t="shared" si="13"/>
        <v>0.53213849063145668</v>
      </c>
      <c r="K47" s="361">
        <f t="shared" si="13"/>
        <v>0.36829873434444205</v>
      </c>
      <c r="L47" s="361">
        <f t="shared" si="13"/>
        <v>0.60880248335502885</v>
      </c>
      <c r="M47" s="361">
        <f t="shared" si="13"/>
        <v>0.45864406185958317</v>
      </c>
      <c r="N47" s="361">
        <f t="shared" si="13"/>
        <v>0.59329483035010677</v>
      </c>
      <c r="O47" s="362">
        <f t="shared" si="13"/>
        <v>0.49687806961887898</v>
      </c>
    </row>
    <row r="48" spans="1:15" s="27" customFormat="1">
      <c r="A48" s="359"/>
      <c r="B48" s="299"/>
      <c r="C48" s="24"/>
      <c r="D48" s="24"/>
      <c r="E48" s="24"/>
      <c r="F48" s="24"/>
      <c r="G48" s="24"/>
      <c r="H48" s="24"/>
      <c r="I48" s="24"/>
      <c r="J48" s="24"/>
      <c r="K48" s="24"/>
      <c r="L48" s="24"/>
      <c r="M48" s="24"/>
      <c r="N48" s="24"/>
      <c r="O48" s="24"/>
    </row>
    <row r="49" spans="1:15" s="16" customFormat="1">
      <c r="A49" s="293" t="s">
        <v>2268</v>
      </c>
      <c r="B49" s="294"/>
    </row>
    <row r="50" spans="1:15">
      <c r="A50" s="302" t="s">
        <v>1994</v>
      </c>
      <c r="B50" s="305"/>
    </row>
    <row r="51" spans="1:15">
      <c r="A51" s="365">
        <v>100</v>
      </c>
      <c r="B51" s="368" t="s">
        <v>12</v>
      </c>
      <c r="C51" s="347">
        <f>(SUM(C$35:C$37)+FORECAST($A51,INDEX(Transportmittel!$AO$7:$AW$10,MATCH(C$8,Transportmittel!$A$7:$A$10,0),0),Transportmittel!$AO$5:$AW$5)/(INDEX(Transportmittel!$D$7:$D$10,MATCH(C$8,Transportmittel!$A$7:$A$10,0))*C$19/1000)+C$39)/C$18/1000</f>
        <v>5.4800586841835766E-2</v>
      </c>
      <c r="D51" s="347">
        <f>(SUM(D$35:D$37)+FORECAST($A51,INDEX(Transportmittel!$AO$7:$AW$10,MATCH(D$8,Transportmittel!$A$7:$A$10,0),0),Transportmittel!$AO$5:$AW$5)/(INDEX(Transportmittel!$D$7:$D$10,MATCH(D$8,Transportmittel!$A$7:$A$10,0))*D$19/1000)+D$39)/D$18/1000</f>
        <v>3.9467007928939632E-2</v>
      </c>
      <c r="E51" s="347">
        <f>(SUM(E$35:E$37)+$A51*((INDEX(Transportmittel!$AK$15:$AK$20,MATCH(E$8,Transportmittel!$A$15:$A$20,0),0)+INDEX(Transportmittel!$AG$15:$AG$20,MATCH(E$8,Transportmittel!$A$15:$A$20,0),0)*INDEX(Transportmittel!$AL$15:$AL$20,MATCH(E$8,Transportmittel!$A$15:$A$20,0),0)/INDEX(Transportmittel!$AI$15:$AI$20,MATCH(E$8,Transportmittel!$A$15:$A$20,0),0))/(365*$D$4*INDEX(Transportmittel!$AG$15:$AG$20,MATCH(E$8,Transportmittel!$A$15:$A$20,0),0))+INDEX(Transportmittel!$AM$15:$AM$20,MATCH(E$8,Transportmittel!$A$15:$A$20,0),0)/INDEX(Transportmittel!$AI$15:$AI$20,MATCH(E$8,Transportmittel!$A$15:$A$20,0),0))+E$39)/E$18/1000</f>
        <v>5.696490934341188E-3</v>
      </c>
      <c r="F51" s="347">
        <f>(SUM(F$35:F$37)+$A51*((INDEX(Transportmittel!$AK$15:$AK$20,MATCH(F$8,Transportmittel!$A$15:$A$20,0),0)+INDEX(Transportmittel!$AG$15:$AG$20,MATCH(F$8,Transportmittel!$A$15:$A$20,0),0)*INDEX(Transportmittel!$AL$15:$AL$20,MATCH(F$8,Transportmittel!$A$15:$A$20,0),0)/INDEX(Transportmittel!$AI$15:$AI$20,MATCH(F$8,Transportmittel!$A$15:$A$20,0),0))/(365*$D$4*INDEX(Transportmittel!$AG$15:$AG$20,MATCH(F$8,Transportmittel!$A$15:$A$20,0),0))+INDEX(Transportmittel!$AM$15:$AM$20,MATCH(F$8,Transportmittel!$A$15:$A$20,0),0)/INDEX(Transportmittel!$AI$15:$AI$20,MATCH(F$8,Transportmittel!$A$15:$A$20,0),0))+F$39)/F$18/1000</f>
        <v>2.1387140066215231E-3</v>
      </c>
      <c r="G51" s="347">
        <f>(SUM(G$35:G$37)+$A51*((INDEX(Transportmittel!$AK$15:$AK$20,MATCH(G$8,Transportmittel!$A$15:$A$20,0),0)+INDEX(Transportmittel!$AG$15:$AG$20,MATCH(G$8,Transportmittel!$A$15:$A$20,0),0)*INDEX(Transportmittel!$AL$15:$AL$20,MATCH(G$8,Transportmittel!$A$15:$A$20,0),0)/INDEX(Transportmittel!$AI$15:$AI$20,MATCH(G$8,Transportmittel!$A$15:$A$20,0),0))/(365*$D$4*INDEX(Transportmittel!$AG$15:$AG$20,MATCH(G$8,Transportmittel!$A$15:$A$20,0),0))+INDEX(Transportmittel!$AM$15:$AM$20,MATCH(G$8,Transportmittel!$A$15:$A$20,0),0)/INDEX(Transportmittel!$AI$15:$AI$20,MATCH(G$8,Transportmittel!$A$15:$A$20,0),0))+G$39)/G$18/1000</f>
        <v>1.6182155812223618E-3</v>
      </c>
      <c r="H51" s="347">
        <f>(SUM(H$35:H$37)+$A51*((INDEX(Transportmittel!$AK$15:$AK$20,MATCH(H$8,Transportmittel!$A$15:$A$20,0),0)+INDEX(Transportmittel!$AG$15:$AG$20,MATCH(H$8,Transportmittel!$A$15:$A$20,0),0)*INDEX(Transportmittel!$AL$15:$AL$20,MATCH(H$8,Transportmittel!$A$15:$A$20,0),0)/INDEX(Transportmittel!$AI$15:$AI$20,MATCH(H$8,Transportmittel!$A$15:$A$20,0),0))/(365*$D$4*INDEX(Transportmittel!$AG$15:$AG$20,MATCH(H$8,Transportmittel!$A$15:$A$20,0),0))+INDEX(Transportmittel!$AM$15:$AM$20,MATCH(H$8,Transportmittel!$A$15:$A$20,0),0)/INDEX(Transportmittel!$AI$15:$AI$20,MATCH(H$8,Transportmittel!$A$15:$A$20,0),0))+H$39)/H$18/1000</f>
        <v>6.1581077455287243E-2</v>
      </c>
      <c r="I51" s="347">
        <f>(SUM(I$35:I$37)+FORECAST($A51,INDEX(Transportmittel!$AO$7:$AW$10,MATCH(I$8,Transportmittel!$A$7:$A$10,0),0),Transportmittel!$AO$5:$AW$5)/(INDEX(Transportmittel!$D$7:$D$10,MATCH(I$8,Transportmittel!$A$7:$A$10,0))*I$19/1000)+I$39)/I$18/1000</f>
        <v>5.6099236962816608E-2</v>
      </c>
      <c r="J51" s="347">
        <f>(SUM(J$35:J$37)+FORECAST($A51,INDEX(Transportmittel!$AO$7:$AW$10,MATCH(J$8,Transportmittel!$A$7:$A$10,0),0),Transportmittel!$AO$5:$AW$5)/(INDEX(Transportmittel!$D$7:$D$10,MATCH(J$8,Transportmittel!$A$7:$A$10,0))*J$19/1000)+J$39)/J$18/1000</f>
        <v>3.7934128315971129E-2</v>
      </c>
      <c r="K51" s="347">
        <f>(SUM(K$35:K$37)+FORECAST($A51,INDEX(Transportmittel!$AO$7:$AW$10,MATCH(K$8,Transportmittel!$A$7:$A$10,0),0),Transportmittel!$AO$5:$AW$5)/(INDEX(Transportmittel!$D$7:$D$10,MATCH(K$8,Transportmittel!$A$7:$A$10,0))*K$19/1000)+K$39)/K$18/1000</f>
        <v>8.1798353919704636E-2</v>
      </c>
      <c r="L51" s="347">
        <f>((L$35+L$36+L$39)+FORECAST($A51,INDEX(Transportmittel!$AO$7:$AW$10,MATCH(L$8,Transportmittel!$A$7:$A$10,0),0),Transportmittel!$AO$5:$AW$5)/(INDEX(Transportmittel!$D$7:$D$10,MATCH(L$8,Transportmittel!$A$7:$A$10,0))*L$19/1000)+(('Eingabe Stoffparameter'!$C$43-PMT($D$3,L$11,'Eingabe Stoffparameter'!$C$42)/L$26*($A51*INDEX(Transportmittel!$X$7:$X$10,MATCH(L$8,Transportmittel!$A$7:$A$10,0))+INDEX(Transportmittel!$Y$7:$Y$10,MATCH(L$8,Transportmittel!$A$7:$A$10,0))))*1000))/L$18/1000</f>
        <v>3.0083006267786098E-2</v>
      </c>
      <c r="M51" s="347">
        <f>((M$35+M$36+M$39)+FORECAST($A51,INDEX(Transportmittel!$AO$7:$AW$10,MATCH(M$8,Transportmittel!$A$7:$A$10,0),0),Transportmittel!$AO$5:$AW$5)/(INDEX(Transportmittel!$D$7:$D$10,MATCH(M$8,Transportmittel!$A$7:$A$10,0))*M$19/1000)+(('Eingabe Stoffparameter'!$C$43-PMT($D$3,M$11,'Eingabe Stoffparameter'!$C$42)/M$26*($A51*INDEX(Transportmittel!$X$7:$X$10,MATCH(M$8,Transportmittel!$A$7:$A$10,0))+INDEX(Transportmittel!$Y$7:$Y$10,MATCH(M$8,Transportmittel!$A$7:$A$10,0))))*1000))/M$18/1000</f>
        <v>6.3534733997859097E-2</v>
      </c>
      <c r="N51" s="347">
        <f>(SUM(N$35:N$37)+FORECAST($A51,INDEX(Transportmittel!$AO$7:$AW$10,MATCH(N$8,Transportmittel!$A$7:$A$10,0),0),Transportmittel!$AO$5:$AW$5)/(INDEX(Transportmittel!$D$7:$D$10,MATCH(N$8,Transportmittel!$A$7:$A$10,0))*N$19/1000)+N$39)/N$18/1000</f>
        <v>3.3362191020265018E-2</v>
      </c>
      <c r="O51" s="348">
        <f>(SUM(O$35:O$37)+FORECAST($A51,INDEX(Transportmittel!$AO$7:$AW$10,MATCH(O$8,Transportmittel!$A$7:$A$10,0),0),Transportmittel!$AO$5:$AW$5)/(INDEX(Transportmittel!$D$7:$D$10,MATCH(O$8,Transportmittel!$A$7:$A$10,0))*O$19/1000)+O$39)/O$18/1000</f>
        <v>5.3319945769547558E-2</v>
      </c>
    </row>
    <row r="52" spans="1:15">
      <c r="A52" s="366">
        <f t="shared" ref="A52:A59" si="14">A51*2</f>
        <v>200</v>
      </c>
      <c r="B52" s="369" t="s">
        <v>12</v>
      </c>
      <c r="C52" s="355">
        <f>(SUM(C$35:C$37)+FORECAST($A52,INDEX(Transportmittel!$AO$7:$AW$10,MATCH(C$8,Transportmittel!$A$7:$A$10,0),0),Transportmittel!$AO$5:$AW$5)/(INDEX(Transportmittel!$D$7:$D$10,MATCH(C$8,Transportmittel!$A$7:$A$10,0))*C$19/1000)+C$39)/C$18/1000</f>
        <v>5.6585529098414654E-2</v>
      </c>
      <c r="D52" s="355">
        <f>(SUM(D$35:D$37)+FORECAST($A52,INDEX(Transportmittel!$AO$7:$AW$10,MATCH(D$8,Transportmittel!$A$7:$A$10,0),0),Transportmittel!$AO$5:$AW$5)/(INDEX(Transportmittel!$D$7:$D$10,MATCH(D$8,Transportmittel!$A$7:$A$10,0))*D$19/1000)+D$39)/D$18/1000</f>
        <v>3.9597489865608099E-2</v>
      </c>
      <c r="E52" s="355">
        <f>(SUM(E$35:E$37)+$A52*((INDEX(Transportmittel!$AK$15:$AK$20,MATCH(E$8,Transportmittel!$A$15:$A$20,0),0)+INDEX(Transportmittel!$AG$15:$AG$20,MATCH(E$8,Transportmittel!$A$15:$A$20,0),0)*INDEX(Transportmittel!$AL$15:$AL$20,MATCH(E$8,Transportmittel!$A$15:$A$20,0),0)/INDEX(Transportmittel!$AI$15:$AI$20,MATCH(E$8,Transportmittel!$A$15:$A$20,0),0))/(365*$D$4*INDEX(Transportmittel!$AG$15:$AG$20,MATCH(E$8,Transportmittel!$A$15:$A$20,0),0))+INDEX(Transportmittel!$AM$15:$AM$20,MATCH(E$8,Transportmittel!$A$15:$A$20,0),0)/INDEX(Transportmittel!$AI$15:$AI$20,MATCH(E$8,Transportmittel!$A$15:$A$20,0),0))+E$39)/E$18/1000</f>
        <v>1.0266345986336935E-2</v>
      </c>
      <c r="F52" s="355">
        <f>(SUM(F$35:F$37)+$A52*((INDEX(Transportmittel!$AK$15:$AK$20,MATCH(F$8,Transportmittel!$A$15:$A$20,0),0)+INDEX(Transportmittel!$AG$15:$AG$20,MATCH(F$8,Transportmittel!$A$15:$A$20,0),0)*INDEX(Transportmittel!$AL$15:$AL$20,MATCH(F$8,Transportmittel!$A$15:$A$20,0),0)/INDEX(Transportmittel!$AI$15:$AI$20,MATCH(F$8,Transportmittel!$A$15:$A$20,0),0))/(365*$D$4*INDEX(Transportmittel!$AG$15:$AG$20,MATCH(F$8,Transportmittel!$A$15:$A$20,0),0))+INDEX(Transportmittel!$AM$15:$AM$20,MATCH(F$8,Transportmittel!$A$15:$A$20,0),0)/INDEX(Transportmittel!$AI$15:$AI$20,MATCH(F$8,Transportmittel!$A$15:$A$20,0),0))+F$39)/F$18/1000</f>
        <v>3.1507921308976043E-3</v>
      </c>
      <c r="G52" s="355">
        <f>(SUM(G$35:G$37)+$A52*((INDEX(Transportmittel!$AK$15:$AK$20,MATCH(G$8,Transportmittel!$A$15:$A$20,0),0)+INDEX(Transportmittel!$AG$15:$AG$20,MATCH(G$8,Transportmittel!$A$15:$A$20,0),0)*INDEX(Transportmittel!$AL$15:$AL$20,MATCH(G$8,Transportmittel!$A$15:$A$20,0),0)/INDEX(Transportmittel!$AI$15:$AI$20,MATCH(G$8,Transportmittel!$A$15:$A$20,0),0))/(365*$D$4*INDEX(Transportmittel!$AG$15:$AG$20,MATCH(G$8,Transportmittel!$A$15:$A$20,0),0))+INDEX(Transportmittel!$AM$15:$AM$20,MATCH(G$8,Transportmittel!$A$15:$A$20,0),0)/INDEX(Transportmittel!$AI$15:$AI$20,MATCH(G$8,Transportmittel!$A$15:$A$20,0),0))+G$39)/G$18/1000</f>
        <v>2.1097952800992813E-3</v>
      </c>
      <c r="H52" s="355">
        <f>(SUM(H$35:H$37)+$A52*((INDEX(Transportmittel!$AK$15:$AK$20,MATCH(H$8,Transportmittel!$A$15:$A$20,0),0)+INDEX(Transportmittel!$AG$15:$AG$20,MATCH(H$8,Transportmittel!$A$15:$A$20,0),0)*INDEX(Transportmittel!$AL$15:$AL$20,MATCH(H$8,Transportmittel!$A$15:$A$20,0),0)/INDEX(Transportmittel!$AI$15:$AI$20,MATCH(H$8,Transportmittel!$A$15:$A$20,0),0))/(365*$D$4*INDEX(Transportmittel!$AG$15:$AG$20,MATCH(H$8,Transportmittel!$A$15:$A$20,0),0))+INDEX(Transportmittel!$AM$15:$AM$20,MATCH(H$8,Transportmittel!$A$15:$A$20,0),0)/INDEX(Transportmittel!$AI$15:$AI$20,MATCH(H$8,Transportmittel!$A$15:$A$20,0),0))+H$39)/H$18/1000</f>
        <v>6.171512318380791E-2</v>
      </c>
      <c r="I52" s="355">
        <f>(SUM(I$35:I$37)+FORECAST($A52,INDEX(Transportmittel!$AO$7:$AW$10,MATCH(I$8,Transportmittel!$A$7:$A$10,0),0),Transportmittel!$AO$5:$AW$5)/(INDEX(Transportmittel!$D$7:$D$10,MATCH(I$8,Transportmittel!$A$7:$A$10,0))*I$19/1000)+I$39)/I$18/1000</f>
        <v>5.6143313909620081E-2</v>
      </c>
      <c r="J52" s="355">
        <f>(SUM(J$35:J$37)+FORECAST($A52,INDEX(Transportmittel!$AO$7:$AW$10,MATCH(J$8,Transportmittel!$A$7:$A$10,0),0),Transportmittel!$AO$5:$AW$5)/(INDEX(Transportmittel!$D$7:$D$10,MATCH(J$8,Transportmittel!$A$7:$A$10,0))*J$19/1000)+J$39)/J$18/1000</f>
        <v>3.7997787426193551E-2</v>
      </c>
      <c r="K52" s="355">
        <f>(SUM(K$35:K$37)+FORECAST($A52,INDEX(Transportmittel!$AO$7:$AW$10,MATCH(K$8,Transportmittel!$A$7:$A$10,0),0),Transportmittel!$AO$5:$AW$5)/(INDEX(Transportmittel!$D$7:$D$10,MATCH(K$8,Transportmittel!$A$7:$A$10,0))*K$19/1000)+K$39)/K$18/1000</f>
        <v>8.1822000425742517E-2</v>
      </c>
      <c r="L52" s="355">
        <f>((L$35+L$36+L$39)+FORECAST($A52,INDEX(Transportmittel!$AO$7:$AW$10,MATCH(L$8,Transportmittel!$A$7:$A$10,0),0),Transportmittel!$AO$5:$AW$5)/(INDEX(Transportmittel!$D$7:$D$10,MATCH(L$8,Transportmittel!$A$7:$A$10,0))*L$19/1000)+(('Eingabe Stoffparameter'!$C$43-PMT($D$3,L$11,'Eingabe Stoffparameter'!$C$42)/L$26*($A52*INDEX(Transportmittel!$X$7:$X$10,MATCH(L$8,Transportmittel!$A$7:$A$10,0))+INDEX(Transportmittel!$Y$7:$Y$10,MATCH(L$8,Transportmittel!$A$7:$A$10,0))))*1000))/L$18/1000</f>
        <v>3.0468696465667876E-2</v>
      </c>
      <c r="M52" s="355">
        <f>((M$35+M$36+M$39)+FORECAST($A52,INDEX(Transportmittel!$AO$7:$AW$10,MATCH(M$8,Transportmittel!$A$7:$A$10,0),0),Transportmittel!$AO$5:$AW$5)/(INDEX(Transportmittel!$D$7:$D$10,MATCH(M$8,Transportmittel!$A$7:$A$10,0))*M$19/1000)+(('Eingabe Stoffparameter'!$C$43-PMT($D$3,M$11,'Eingabe Stoffparameter'!$C$42)/M$26*($A52*INDEX(Transportmittel!$X$7:$X$10,MATCH(M$8,Transportmittel!$A$7:$A$10,0))+INDEX(Transportmittel!$Y$7:$Y$10,MATCH(M$8,Transportmittel!$A$7:$A$10,0))))*1000))/M$18/1000</f>
        <v>6.3869654419857452E-2</v>
      </c>
      <c r="N52" s="355">
        <f>(SUM(N$35:N$37)+FORECAST($A52,INDEX(Transportmittel!$AO$7:$AW$10,MATCH(N$8,Transportmittel!$A$7:$A$10,0),0),Transportmittel!$AO$5:$AW$5)/(INDEX(Transportmittel!$D$7:$D$10,MATCH(N$8,Transportmittel!$A$7:$A$10,0))*N$19/1000)+N$39)/N$18/1000</f>
        <v>3.3417794880957592E-2</v>
      </c>
      <c r="O52" s="356">
        <f>(SUM(O$35:O$37)+FORECAST($A52,INDEX(Transportmittel!$AO$7:$AW$10,MATCH(O$8,Transportmittel!$A$7:$A$10,0),0),Transportmittel!$AO$5:$AW$5)/(INDEX(Transportmittel!$D$7:$D$10,MATCH(O$8,Transportmittel!$A$7:$A$10,0))*O$19/1000)+O$39)/O$18/1000</f>
        <v>5.3375549630240125E-2</v>
      </c>
    </row>
    <row r="53" spans="1:15">
      <c r="A53" s="366">
        <f t="shared" si="14"/>
        <v>400</v>
      </c>
      <c r="B53" s="369" t="s">
        <v>12</v>
      </c>
      <c r="C53" s="349">
        <f>(SUM(C$35:C$37)+FORECAST($A53,INDEX(Transportmittel!$AO$7:$AW$10,MATCH(C$8,Transportmittel!$A$7:$A$10,0),0),Transportmittel!$AO$5:$AW$5)/(INDEX(Transportmittel!$D$7:$D$10,MATCH(C$8,Transportmittel!$A$7:$A$10,0))*C$19/1000)+C$39)/C$18/1000</f>
        <v>6.0155413611572416E-2</v>
      </c>
      <c r="D53" s="349">
        <f>(SUM(D$35:D$37)+FORECAST($A53,INDEX(Transportmittel!$AO$7:$AW$10,MATCH(D$8,Transportmittel!$A$7:$A$10,0),0),Transportmittel!$AO$5:$AW$5)/(INDEX(Transportmittel!$D$7:$D$10,MATCH(D$8,Transportmittel!$A$7:$A$10,0))*D$19/1000)+D$39)/D$18/1000</f>
        <v>3.9858453738945053E-2</v>
      </c>
      <c r="E53" s="349">
        <f>(SUM(E$35:E$37)+$A53*((INDEX(Transportmittel!$AK$15:$AK$20,MATCH(E$8,Transportmittel!$A$15:$A$20,0),0)+INDEX(Transportmittel!$AG$15:$AG$20,MATCH(E$8,Transportmittel!$A$15:$A$20,0),0)*INDEX(Transportmittel!$AL$15:$AL$20,MATCH(E$8,Transportmittel!$A$15:$A$20,0),0)/INDEX(Transportmittel!$AI$15:$AI$20,MATCH(E$8,Transportmittel!$A$15:$A$20,0),0))/(365*$D$4*INDEX(Transportmittel!$AG$15:$AG$20,MATCH(E$8,Transportmittel!$A$15:$A$20,0),0))+INDEX(Transportmittel!$AM$15:$AM$20,MATCH(E$8,Transportmittel!$A$15:$A$20,0),0)/INDEX(Transportmittel!$AI$15:$AI$20,MATCH(E$8,Transportmittel!$A$15:$A$20,0),0))+E$39)/E$18/1000</f>
        <v>1.940605609032843E-2</v>
      </c>
      <c r="F53" s="349">
        <f>(SUM(F$35:F$37)+$A53*((INDEX(Transportmittel!$AK$15:$AK$20,MATCH(F$8,Transportmittel!$A$15:$A$20,0),0)+INDEX(Transportmittel!$AG$15:$AG$20,MATCH(F$8,Transportmittel!$A$15:$A$20,0),0)*INDEX(Transportmittel!$AL$15:$AL$20,MATCH(F$8,Transportmittel!$A$15:$A$20,0),0)/INDEX(Transportmittel!$AI$15:$AI$20,MATCH(F$8,Transportmittel!$A$15:$A$20,0),0))/(365*$D$4*INDEX(Transportmittel!$AG$15:$AG$20,MATCH(F$8,Transportmittel!$A$15:$A$20,0),0))+INDEX(Transportmittel!$AM$15:$AM$20,MATCH(F$8,Transportmittel!$A$15:$A$20,0),0)/INDEX(Transportmittel!$AI$15:$AI$20,MATCH(F$8,Transportmittel!$A$15:$A$20,0),0))+F$39)/F$18/1000</f>
        <v>5.1749483794497663E-3</v>
      </c>
      <c r="G53" s="349">
        <f>(SUM(G$35:G$37)+$A53*((INDEX(Transportmittel!$AK$15:$AK$20,MATCH(G$8,Transportmittel!$A$15:$A$20,0),0)+INDEX(Transportmittel!$AG$15:$AG$20,MATCH(G$8,Transportmittel!$A$15:$A$20,0),0)*INDEX(Transportmittel!$AL$15:$AL$20,MATCH(G$8,Transportmittel!$A$15:$A$20,0),0)/INDEX(Transportmittel!$AI$15:$AI$20,MATCH(G$8,Transportmittel!$A$15:$A$20,0),0))/(365*$D$4*INDEX(Transportmittel!$AG$15:$AG$20,MATCH(G$8,Transportmittel!$A$15:$A$20,0),0))+INDEX(Transportmittel!$AM$15:$AM$20,MATCH(G$8,Transportmittel!$A$15:$A$20,0),0)/INDEX(Transportmittel!$AI$15:$AI$20,MATCH(G$8,Transportmittel!$A$15:$A$20,0),0))+G$39)/G$18/1000</f>
        <v>3.0929546778531206E-3</v>
      </c>
      <c r="H53" s="349">
        <f>(SUM(H$35:H$37)+$A53*((INDEX(Transportmittel!$AK$15:$AK$20,MATCH(H$8,Transportmittel!$A$15:$A$20,0),0)+INDEX(Transportmittel!$AG$15:$AG$20,MATCH(H$8,Transportmittel!$A$15:$A$20,0),0)*INDEX(Transportmittel!$AL$15:$AL$20,MATCH(H$8,Transportmittel!$A$15:$A$20,0),0)/INDEX(Transportmittel!$AI$15:$AI$20,MATCH(H$8,Transportmittel!$A$15:$A$20,0),0))/(365*$D$4*INDEX(Transportmittel!$AG$15:$AG$20,MATCH(H$8,Transportmittel!$A$15:$A$20,0),0))+INDEX(Transportmittel!$AM$15:$AM$20,MATCH(H$8,Transportmittel!$A$15:$A$20,0),0)/INDEX(Transportmittel!$AI$15:$AI$20,MATCH(H$8,Transportmittel!$A$15:$A$20,0),0))+H$39)/H$18/1000</f>
        <v>6.198321464084925E-2</v>
      </c>
      <c r="I53" s="349">
        <f>(SUM(I$35:I$37)+FORECAST($A53,INDEX(Transportmittel!$AO$7:$AW$10,MATCH(I$8,Transportmittel!$A$7:$A$10,0),0),Transportmittel!$AO$5:$AW$5)/(INDEX(Transportmittel!$D$7:$D$10,MATCH(I$8,Transportmittel!$A$7:$A$10,0))*I$19/1000)+I$39)/I$18/1000</f>
        <v>5.6231467803227048E-2</v>
      </c>
      <c r="J53" s="349">
        <f>(SUM(J$35:J$37)+FORECAST($A53,INDEX(Transportmittel!$AO$7:$AW$10,MATCH(J$8,Transportmittel!$A$7:$A$10,0),0),Transportmittel!$AO$5:$AW$5)/(INDEX(Transportmittel!$D$7:$D$10,MATCH(J$8,Transportmittel!$A$7:$A$10,0))*J$19/1000)+J$39)/J$18/1000</f>
        <v>3.8125105646638395E-2</v>
      </c>
      <c r="K53" s="349">
        <f>(SUM(K$35:K$37)+FORECAST($A53,INDEX(Transportmittel!$AO$7:$AW$10,MATCH(K$8,Transportmittel!$A$7:$A$10,0),0),Transportmittel!$AO$5:$AW$5)/(INDEX(Transportmittel!$D$7:$D$10,MATCH(K$8,Transportmittel!$A$7:$A$10,0))*K$19/1000)+K$39)/K$18/1000</f>
        <v>8.1869293437818277E-2</v>
      </c>
      <c r="L53" s="349">
        <f>((L$35+L$36+L$39)+FORECAST($A53,INDEX(Transportmittel!$AO$7:$AW$10,MATCH(L$8,Transportmittel!$A$7:$A$10,0),0),Transportmittel!$AO$5:$AW$5)/(INDEX(Transportmittel!$D$7:$D$10,MATCH(L$8,Transportmittel!$A$7:$A$10,0))*L$19/1000)+(('Eingabe Stoffparameter'!$C$43-PMT($D$3,L$11,'Eingabe Stoffparameter'!$C$42)/L$26*($A53*INDEX(Transportmittel!$X$7:$X$10,MATCH(L$8,Transportmittel!$A$7:$A$10,0))+INDEX(Transportmittel!$Y$7:$Y$10,MATCH(L$8,Transportmittel!$A$7:$A$10,0))))*1000))/L$18/1000</f>
        <v>3.1240076861431432E-2</v>
      </c>
      <c r="M53" s="349">
        <f>((M$35+M$36+M$39)+FORECAST($A53,INDEX(Transportmittel!$AO$7:$AW$10,MATCH(M$8,Transportmittel!$A$7:$A$10,0),0),Transportmittel!$AO$5:$AW$5)/(INDEX(Transportmittel!$D$7:$D$10,MATCH(M$8,Transportmittel!$A$7:$A$10,0))*M$19/1000)+(('Eingabe Stoffparameter'!$C$43-PMT($D$3,M$11,'Eingabe Stoffparameter'!$C$42)/M$26*($A53*INDEX(Transportmittel!$X$7:$X$10,MATCH(M$8,Transportmittel!$A$7:$A$10,0))+INDEX(Transportmittel!$Y$7:$Y$10,MATCH(M$8,Transportmittel!$A$7:$A$10,0))))*1000))/M$18/1000</f>
        <v>6.4539495263854108E-2</v>
      </c>
      <c r="N53" s="349">
        <f>(SUM(N$35:N$37)+FORECAST($A53,INDEX(Transportmittel!$AO$7:$AW$10,MATCH(N$8,Transportmittel!$A$7:$A$10,0),0),Transportmittel!$AO$5:$AW$5)/(INDEX(Transportmittel!$D$7:$D$10,MATCH(N$8,Transportmittel!$A$7:$A$10,0))*N$19/1000)+N$39)/N$18/1000</f>
        <v>3.3529002602342733E-2</v>
      </c>
      <c r="O53" s="350">
        <f>(SUM(O$35:O$37)+FORECAST($A53,INDEX(Transportmittel!$AO$7:$AW$10,MATCH(O$8,Transportmittel!$A$7:$A$10,0),0),Transportmittel!$AO$5:$AW$5)/(INDEX(Transportmittel!$D$7:$D$10,MATCH(O$8,Transportmittel!$A$7:$A$10,0))*O$19/1000)+O$39)/O$18/1000</f>
        <v>5.3486757351625273E-2</v>
      </c>
    </row>
    <row r="54" spans="1:15">
      <c r="A54" s="366">
        <f t="shared" si="14"/>
        <v>800</v>
      </c>
      <c r="B54" s="369" t="s">
        <v>12</v>
      </c>
      <c r="C54" s="355">
        <f>(SUM(C$35:C$37)+FORECAST($A54,INDEX(Transportmittel!$AO$7:$AW$10,MATCH(C$8,Transportmittel!$A$7:$A$10,0),0),Transportmittel!$AO$5:$AW$5)/(INDEX(Transportmittel!$D$7:$D$10,MATCH(C$8,Transportmittel!$A$7:$A$10,0))*C$19/1000)+C$39)/C$18/1000</f>
        <v>6.7295182637887946E-2</v>
      </c>
      <c r="D54" s="355">
        <f>(SUM(D$35:D$37)+FORECAST($A54,INDEX(Transportmittel!$AO$7:$AW$10,MATCH(D$8,Transportmittel!$A$7:$A$10,0),0),Transportmittel!$AO$5:$AW$5)/(INDEX(Transportmittel!$D$7:$D$10,MATCH(D$8,Transportmittel!$A$7:$A$10,0))*D$19/1000)+D$39)/D$18/1000</f>
        <v>4.0380381485618941E-2</v>
      </c>
      <c r="E54" s="355">
        <f>(SUM(E$35:E$37)+$A54*((INDEX(Transportmittel!$AK$15:$AK$20,MATCH(E$8,Transportmittel!$A$15:$A$20,0),0)+INDEX(Transportmittel!$AG$15:$AG$20,MATCH(E$8,Transportmittel!$A$15:$A$20,0),0)*INDEX(Transportmittel!$AL$15:$AL$20,MATCH(E$8,Transportmittel!$A$15:$A$20,0),0)/INDEX(Transportmittel!$AI$15:$AI$20,MATCH(E$8,Transportmittel!$A$15:$A$20,0),0))/(365*$D$4*INDEX(Transportmittel!$AG$15:$AG$20,MATCH(E$8,Transportmittel!$A$15:$A$20,0),0))+INDEX(Transportmittel!$AM$15:$AM$20,MATCH(E$8,Transportmittel!$A$15:$A$20,0),0)/INDEX(Transportmittel!$AI$15:$AI$20,MATCH(E$8,Transportmittel!$A$15:$A$20,0),0))+E$39)/E$18/1000</f>
        <v>3.7685476298311413E-2</v>
      </c>
      <c r="F54" s="355">
        <f>(SUM(F$35:F$37)+$A54*((INDEX(Transportmittel!$AK$15:$AK$20,MATCH(F$8,Transportmittel!$A$15:$A$20,0),0)+INDEX(Transportmittel!$AG$15:$AG$20,MATCH(F$8,Transportmittel!$A$15:$A$20,0),0)*INDEX(Transportmittel!$AL$15:$AL$20,MATCH(F$8,Transportmittel!$A$15:$A$20,0),0)/INDEX(Transportmittel!$AI$15:$AI$20,MATCH(F$8,Transportmittel!$A$15:$A$20,0),0))/(365*$D$4*INDEX(Transportmittel!$AG$15:$AG$20,MATCH(F$8,Transportmittel!$A$15:$A$20,0),0))+INDEX(Transportmittel!$AM$15:$AM$20,MATCH(F$8,Transportmittel!$A$15:$A$20,0),0)/INDEX(Transportmittel!$AI$15:$AI$20,MATCH(F$8,Transportmittel!$A$15:$A$20,0),0))+F$39)/F$18/1000</f>
        <v>9.2232608765540902E-3</v>
      </c>
      <c r="G54" s="355">
        <f>(SUM(G$35:G$37)+$A54*((INDEX(Transportmittel!$AK$15:$AK$20,MATCH(G$8,Transportmittel!$A$15:$A$20,0),0)+INDEX(Transportmittel!$AG$15:$AG$20,MATCH(G$8,Transportmittel!$A$15:$A$20,0),0)*INDEX(Transportmittel!$AL$15:$AL$20,MATCH(G$8,Transportmittel!$A$15:$A$20,0),0)/INDEX(Transportmittel!$AI$15:$AI$20,MATCH(G$8,Transportmittel!$A$15:$A$20,0),0))/(365*$D$4*INDEX(Transportmittel!$AG$15:$AG$20,MATCH(G$8,Transportmittel!$A$15:$A$20,0),0))+INDEX(Transportmittel!$AM$15:$AM$20,MATCH(G$8,Transportmittel!$A$15:$A$20,0),0)/INDEX(Transportmittel!$AI$15:$AI$20,MATCH(G$8,Transportmittel!$A$15:$A$20,0),0))+G$39)/G$18/1000</f>
        <v>5.059273473360798E-3</v>
      </c>
      <c r="H54" s="355">
        <f>(SUM(H$35:H$37)+$A54*((INDEX(Transportmittel!$AK$15:$AK$20,MATCH(H$8,Transportmittel!$A$15:$A$20,0),0)+INDEX(Transportmittel!$AG$15:$AG$20,MATCH(H$8,Transportmittel!$A$15:$A$20,0),0)*INDEX(Transportmittel!$AL$15:$AL$20,MATCH(H$8,Transportmittel!$A$15:$A$20,0),0)/INDEX(Transportmittel!$AI$15:$AI$20,MATCH(H$8,Transportmittel!$A$15:$A$20,0),0))/(365*$D$4*INDEX(Transportmittel!$AG$15:$AG$20,MATCH(H$8,Transportmittel!$A$15:$A$20,0),0))+INDEX(Transportmittel!$AM$15:$AM$20,MATCH(H$8,Transportmittel!$A$15:$A$20,0),0)/INDEX(Transportmittel!$AI$15:$AI$20,MATCH(H$8,Transportmittel!$A$15:$A$20,0),0))+H$39)/H$18/1000</f>
        <v>6.2519397554931938E-2</v>
      </c>
      <c r="I54" s="355">
        <f>(SUM(I$35:I$37)+FORECAST($A54,INDEX(Transportmittel!$AO$7:$AW$10,MATCH(I$8,Transportmittel!$A$7:$A$10,0),0),Transportmittel!$AO$5:$AW$5)/(INDEX(Transportmittel!$D$7:$D$10,MATCH(I$8,Transportmittel!$A$7:$A$10,0))*I$19/1000)+I$39)/I$18/1000</f>
        <v>5.6407775590440967E-2</v>
      </c>
      <c r="J54" s="355">
        <f>(SUM(J$35:J$37)+FORECAST($A54,INDEX(Transportmittel!$AO$7:$AW$10,MATCH(J$8,Transportmittel!$A$7:$A$10,0),0),Transportmittel!$AO$5:$AW$5)/(INDEX(Transportmittel!$D$7:$D$10,MATCH(J$8,Transportmittel!$A$7:$A$10,0))*J$19/1000)+J$39)/J$18/1000</f>
        <v>3.8379742087528104E-2</v>
      </c>
      <c r="K54" s="355">
        <f>(SUM(K$35:K$37)+FORECAST($A54,INDEX(Transportmittel!$AO$7:$AW$10,MATCH(K$8,Transportmittel!$A$7:$A$10,0),0),Transportmittel!$AO$5:$AW$5)/(INDEX(Transportmittel!$D$7:$D$10,MATCH(K$8,Transportmittel!$A$7:$A$10,0))*K$19/1000)+K$39)/K$18/1000</f>
        <v>8.1963879461969785E-2</v>
      </c>
      <c r="L54" s="355">
        <f>((L$35+L$36+L$39)+FORECAST($A54,INDEX(Transportmittel!$AO$7:$AW$10,MATCH(L$8,Transportmittel!$A$7:$A$10,0),0),Transportmittel!$AO$5:$AW$5)/(INDEX(Transportmittel!$D$7:$D$10,MATCH(L$8,Transportmittel!$A$7:$A$10,0))*L$19/1000)+(('Eingabe Stoffparameter'!$C$43-PMT($D$3,L$11,'Eingabe Stoffparameter'!$C$42)/L$26*($A54*INDEX(Transportmittel!$X$7:$X$10,MATCH(L$8,Transportmittel!$A$7:$A$10,0))+INDEX(Transportmittel!$Y$7:$Y$10,MATCH(L$8,Transportmittel!$A$7:$A$10,0))))*1000))/L$18/1000</f>
        <v>3.2782837652958564E-2</v>
      </c>
      <c r="M54" s="355">
        <f>((M$35+M$36+M$39)+FORECAST($A54,INDEX(Transportmittel!$AO$7:$AW$10,MATCH(M$8,Transportmittel!$A$7:$A$10,0),0),Transportmittel!$AO$5:$AW$5)/(INDEX(Transportmittel!$D$7:$D$10,MATCH(M$8,Transportmittel!$A$7:$A$10,0))*M$19/1000)+(('Eingabe Stoffparameter'!$C$43-PMT($D$3,M$11,'Eingabe Stoffparameter'!$C$42)/M$26*($A54*INDEX(Transportmittel!$X$7:$X$10,MATCH(M$8,Transportmittel!$A$7:$A$10,0))+INDEX(Transportmittel!$Y$7:$Y$10,MATCH(M$8,Transportmittel!$A$7:$A$10,0))))*1000))/M$18/1000</f>
        <v>6.587917695184746E-2</v>
      </c>
      <c r="N54" s="355">
        <f>(SUM(N$35:N$37)+FORECAST($A54,INDEX(Transportmittel!$AO$7:$AW$10,MATCH(N$8,Transportmittel!$A$7:$A$10,0),0),Transportmittel!$AO$5:$AW$5)/(INDEX(Transportmittel!$D$7:$D$10,MATCH(N$8,Transportmittel!$A$7:$A$10,0))*N$19/1000)+N$39)/N$18/1000</f>
        <v>3.375141804511303E-2</v>
      </c>
      <c r="O54" s="356">
        <f>(SUM(O$35:O$37)+FORECAST($A54,INDEX(Transportmittel!$AO$7:$AW$10,MATCH(O$8,Transportmittel!$A$7:$A$10,0),0),Transportmittel!$AO$5:$AW$5)/(INDEX(Transportmittel!$D$7:$D$10,MATCH(O$8,Transportmittel!$A$7:$A$10,0))*O$19/1000)+O$39)/O$18/1000</f>
        <v>5.3709172794395563E-2</v>
      </c>
    </row>
    <row r="55" spans="1:15">
      <c r="A55" s="366">
        <f t="shared" si="14"/>
        <v>1600</v>
      </c>
      <c r="B55" s="369" t="s">
        <v>12</v>
      </c>
      <c r="C55" s="349">
        <f>(SUM(C$35:C$37)+FORECAST($A55,INDEX(Transportmittel!$AO$7:$AW$10,MATCH(C$8,Transportmittel!$A$7:$A$10,0),0),Transportmittel!$AO$5:$AW$5)/(INDEX(Transportmittel!$D$7:$D$10,MATCH(C$8,Transportmittel!$A$7:$A$10,0))*C$19/1000)+C$39)/C$18/1000</f>
        <v>8.1574720690519006E-2</v>
      </c>
      <c r="D55" s="349">
        <f>(SUM(D$35:D$37)+FORECAST($A55,INDEX(Transportmittel!$AO$7:$AW$10,MATCH(D$8,Transportmittel!$A$7:$A$10,0),0),Transportmittel!$AO$5:$AW$5)/(INDEX(Transportmittel!$D$7:$D$10,MATCH(D$8,Transportmittel!$A$7:$A$10,0))*D$19/1000)+D$39)/D$18/1000</f>
        <v>4.1424236978966737E-2</v>
      </c>
      <c r="E55" s="349">
        <f>(SUM(E$35:E$37)+$A55*((INDEX(Transportmittel!$AK$15:$AK$20,MATCH(E$8,Transportmittel!$A$15:$A$20,0),0)+INDEX(Transportmittel!$AG$15:$AG$20,MATCH(E$8,Transportmittel!$A$15:$A$20,0),0)*INDEX(Transportmittel!$AL$15:$AL$20,MATCH(E$8,Transportmittel!$A$15:$A$20,0),0)/INDEX(Transportmittel!$AI$15:$AI$20,MATCH(E$8,Transportmittel!$A$15:$A$20,0),0))/(365*$D$4*INDEX(Transportmittel!$AG$15:$AG$20,MATCH(E$8,Transportmittel!$A$15:$A$20,0),0))+INDEX(Transportmittel!$AM$15:$AM$20,MATCH(E$8,Transportmittel!$A$15:$A$20,0),0)/INDEX(Transportmittel!$AI$15:$AI$20,MATCH(E$8,Transportmittel!$A$15:$A$20,0),0))+E$39)/E$18/1000</f>
        <v>7.4244316714277392E-2</v>
      </c>
      <c r="F55" s="349">
        <f>(SUM(F$35:F$37)+$A55*((INDEX(Transportmittel!$AK$15:$AK$20,MATCH(F$8,Transportmittel!$A$15:$A$20,0),0)+INDEX(Transportmittel!$AG$15:$AG$20,MATCH(F$8,Transportmittel!$A$15:$A$20,0),0)*INDEX(Transportmittel!$AL$15:$AL$20,MATCH(F$8,Transportmittel!$A$15:$A$20,0),0)/INDEX(Transportmittel!$AI$15:$AI$20,MATCH(F$8,Transportmittel!$A$15:$A$20,0),0))/(365*$D$4*INDEX(Transportmittel!$AG$15:$AG$20,MATCH(F$8,Transportmittel!$A$15:$A$20,0),0))+INDEX(Transportmittel!$AM$15:$AM$20,MATCH(F$8,Transportmittel!$A$15:$A$20,0),0)/INDEX(Transportmittel!$AI$15:$AI$20,MATCH(F$8,Transportmittel!$A$15:$A$20,0),0))+F$39)/F$18/1000</f>
        <v>1.731988587076274E-2</v>
      </c>
      <c r="G55" s="349">
        <f>(SUM(G$35:G$37)+$A55*((INDEX(Transportmittel!$AK$15:$AK$20,MATCH(G$8,Transportmittel!$A$15:$A$20,0),0)+INDEX(Transportmittel!$AG$15:$AG$20,MATCH(G$8,Transportmittel!$A$15:$A$20,0),0)*INDEX(Transportmittel!$AL$15:$AL$20,MATCH(G$8,Transportmittel!$A$15:$A$20,0),0)/INDEX(Transportmittel!$AI$15:$AI$20,MATCH(G$8,Transportmittel!$A$15:$A$20,0),0))/(365*$D$4*INDEX(Transportmittel!$AG$15:$AG$20,MATCH(G$8,Transportmittel!$A$15:$A$20,0),0))+INDEX(Transportmittel!$AM$15:$AM$20,MATCH(G$8,Transportmittel!$A$15:$A$20,0),0)/INDEX(Transportmittel!$AI$15:$AI$20,MATCH(G$8,Transportmittel!$A$15:$A$20,0),0))+G$39)/G$18/1000</f>
        <v>8.9919110643761537E-3</v>
      </c>
      <c r="H55" s="349">
        <f>(SUM(H$35:H$37)+$A55*((INDEX(Transportmittel!$AK$15:$AK$20,MATCH(H$8,Transportmittel!$A$15:$A$20,0),0)+INDEX(Transportmittel!$AG$15:$AG$20,MATCH(H$8,Transportmittel!$A$15:$A$20,0),0)*INDEX(Transportmittel!$AL$15:$AL$20,MATCH(H$8,Transportmittel!$A$15:$A$20,0),0)/INDEX(Transportmittel!$AI$15:$AI$20,MATCH(H$8,Transportmittel!$A$15:$A$20,0),0))/(365*$D$4*INDEX(Transportmittel!$AG$15:$AG$20,MATCH(H$8,Transportmittel!$A$15:$A$20,0),0))+INDEX(Transportmittel!$AM$15:$AM$20,MATCH(H$8,Transportmittel!$A$15:$A$20,0),0)/INDEX(Transportmittel!$AI$15:$AI$20,MATCH(H$8,Transportmittel!$A$15:$A$20,0),0))+H$39)/H$18/1000</f>
        <v>6.3591763383097299E-2</v>
      </c>
      <c r="I55" s="349">
        <f>(SUM(I$35:I$37)+FORECAST($A55,INDEX(Transportmittel!$AO$7:$AW$10,MATCH(I$8,Transportmittel!$A$7:$A$10,0),0),Transportmittel!$AO$5:$AW$5)/(INDEX(Transportmittel!$D$7:$D$10,MATCH(I$8,Transportmittel!$A$7:$A$10,0))*I$19/1000)+I$39)/I$18/1000</f>
        <v>5.6760391164868793E-2</v>
      </c>
      <c r="J55" s="349">
        <f>(SUM(J$35:J$37)+FORECAST($A55,INDEX(Transportmittel!$AO$7:$AW$10,MATCH(J$8,Transportmittel!$A$7:$A$10,0),0),Transportmittel!$AO$5:$AW$5)/(INDEX(Transportmittel!$D$7:$D$10,MATCH(J$8,Transportmittel!$A$7:$A$10,0))*J$19/1000)+J$39)/J$18/1000</f>
        <v>3.8889014969307509E-2</v>
      </c>
      <c r="K55" s="349">
        <f>(SUM(K$35:K$37)+FORECAST($A55,INDEX(Transportmittel!$AO$7:$AW$10,MATCH(K$8,Transportmittel!$A$7:$A$10,0),0),Transportmittel!$AO$5:$AW$5)/(INDEX(Transportmittel!$D$7:$D$10,MATCH(K$8,Transportmittel!$A$7:$A$10,0))*K$19/1000)+K$39)/K$18/1000</f>
        <v>8.2153051510272801E-2</v>
      </c>
      <c r="L55" s="349">
        <f>((L$35+L$36+L$39)+FORECAST($A55,INDEX(Transportmittel!$AO$7:$AW$10,MATCH(L$8,Transportmittel!$A$7:$A$10,0),0),Transportmittel!$AO$5:$AW$5)/(INDEX(Transportmittel!$D$7:$D$10,MATCH(L$8,Transportmittel!$A$7:$A$10,0))*L$19/1000)+(('Eingabe Stoffparameter'!$C$43-PMT($D$3,L$11,'Eingabe Stoffparameter'!$C$42)/L$26*($A55*INDEX(Transportmittel!$X$7:$X$10,MATCH(L$8,Transportmittel!$A$7:$A$10,0))+INDEX(Transportmittel!$Y$7:$Y$10,MATCH(L$8,Transportmittel!$A$7:$A$10,0))))*1000))/L$18/1000</f>
        <v>3.5868359236012809E-2</v>
      </c>
      <c r="M55" s="349">
        <f>((M$35+M$36+M$39)+FORECAST($A55,INDEX(Transportmittel!$AO$7:$AW$10,MATCH(M$8,Transportmittel!$A$7:$A$10,0),0),Transportmittel!$AO$5:$AW$5)/(INDEX(Transportmittel!$D$7:$D$10,MATCH(M$8,Transportmittel!$A$7:$A$10,0))*M$19/1000)+(('Eingabe Stoffparameter'!$C$43-PMT($D$3,M$11,'Eingabe Stoffparameter'!$C$42)/M$26*($A55*INDEX(Transportmittel!$X$7:$X$10,MATCH(M$8,Transportmittel!$A$7:$A$10,0))+INDEX(Transportmittel!$Y$7:$Y$10,MATCH(M$8,Transportmittel!$A$7:$A$10,0))))*1000))/M$18/1000</f>
        <v>6.8558540327834136E-2</v>
      </c>
      <c r="N55" s="349">
        <f>(SUM(N$35:N$37)+FORECAST($A55,INDEX(Transportmittel!$AO$7:$AW$10,MATCH(N$8,Transportmittel!$A$7:$A$10,0),0),Transportmittel!$AO$5:$AW$5)/(INDEX(Transportmittel!$D$7:$D$10,MATCH(N$8,Transportmittel!$A$7:$A$10,0))*N$19/1000)+N$39)/N$18/1000</f>
        <v>3.4196248930653608E-2</v>
      </c>
      <c r="O55" s="350">
        <f>(SUM(O$35:O$37)+FORECAST($A55,INDEX(Transportmittel!$AO$7:$AW$10,MATCH(O$8,Transportmittel!$A$7:$A$10,0),0),Transportmittel!$AO$5:$AW$5)/(INDEX(Transportmittel!$D$7:$D$10,MATCH(O$8,Transportmittel!$A$7:$A$10,0))*O$19/1000)+O$39)/O$18/1000</f>
        <v>5.4154003679936148E-2</v>
      </c>
    </row>
    <row r="56" spans="1:15">
      <c r="A56" s="366">
        <f t="shared" si="14"/>
        <v>3200</v>
      </c>
      <c r="B56" s="369" t="s">
        <v>12</v>
      </c>
      <c r="C56" s="355">
        <f>(SUM(C$35:C$37)+FORECAST($A56,INDEX(Transportmittel!$AO$7:$AW$10,MATCH(C$8,Transportmittel!$A$7:$A$10,0),0),Transportmittel!$AO$5:$AW$5)/(INDEX(Transportmittel!$D$7:$D$10,MATCH(C$8,Transportmittel!$A$7:$A$10,0))*C$19/1000)+C$39)/C$18/1000</f>
        <v>0.11013379679578111</v>
      </c>
      <c r="D56" s="355">
        <f>(SUM(D$35:D$37)+FORECAST($A56,INDEX(Transportmittel!$AO$7:$AW$10,MATCH(D$8,Transportmittel!$A$7:$A$10,0),0),Transportmittel!$AO$5:$AW$5)/(INDEX(Transportmittel!$D$7:$D$10,MATCH(D$8,Transportmittel!$A$7:$A$10,0))*D$19/1000)+D$39)/D$18/1000</f>
        <v>4.3511947965662316E-2</v>
      </c>
      <c r="E56" s="355">
        <f>(SUM(E$35:E$37)+$A56*((INDEX(Transportmittel!$AK$15:$AK$20,MATCH(E$8,Transportmittel!$A$15:$A$20,0),0)+INDEX(Transportmittel!$AG$15:$AG$20,MATCH(E$8,Transportmittel!$A$15:$A$20,0),0)*INDEX(Transportmittel!$AL$15:$AL$20,MATCH(E$8,Transportmittel!$A$15:$A$20,0),0)/INDEX(Transportmittel!$AI$15:$AI$20,MATCH(E$8,Transportmittel!$A$15:$A$20,0),0))/(365*$D$4*INDEX(Transportmittel!$AG$15:$AG$20,MATCH(E$8,Transportmittel!$A$15:$A$20,0),0))+INDEX(Transportmittel!$AM$15:$AM$20,MATCH(E$8,Transportmittel!$A$15:$A$20,0),0)/INDEX(Transportmittel!$AI$15:$AI$20,MATCH(E$8,Transportmittel!$A$15:$A$20,0),0))+E$39)/E$18/1000</f>
        <v>0.14736199754620935</v>
      </c>
      <c r="F56" s="355">
        <f>(SUM(F$35:F$37)+$A56*((INDEX(Transportmittel!$AK$15:$AK$20,MATCH(F$8,Transportmittel!$A$15:$A$20,0),0)+INDEX(Transportmittel!$AG$15:$AG$20,MATCH(F$8,Transportmittel!$A$15:$A$20,0),0)*INDEX(Transportmittel!$AL$15:$AL$20,MATCH(F$8,Transportmittel!$A$15:$A$20,0),0)/INDEX(Transportmittel!$AI$15:$AI$20,MATCH(F$8,Transportmittel!$A$15:$A$20,0),0))/(365*$D$4*INDEX(Transportmittel!$AG$15:$AG$20,MATCH(F$8,Transportmittel!$A$15:$A$20,0),0))+INDEX(Transportmittel!$AM$15:$AM$20,MATCH(F$8,Transportmittel!$A$15:$A$20,0),0)/INDEX(Transportmittel!$AI$15:$AI$20,MATCH(F$8,Transportmittel!$A$15:$A$20,0),0))+F$39)/F$18/1000</f>
        <v>3.3513135859180032E-2</v>
      </c>
      <c r="G56" s="355">
        <f>(SUM(G$35:G$37)+$A56*((INDEX(Transportmittel!$AK$15:$AK$20,MATCH(G$8,Transportmittel!$A$15:$A$20,0),0)+INDEX(Transportmittel!$AG$15:$AG$20,MATCH(G$8,Transportmittel!$A$15:$A$20,0),0)*INDEX(Transportmittel!$AL$15:$AL$20,MATCH(G$8,Transportmittel!$A$15:$A$20,0),0)/INDEX(Transportmittel!$AI$15:$AI$20,MATCH(G$8,Transportmittel!$A$15:$A$20,0),0))/(365*$D$4*INDEX(Transportmittel!$AG$15:$AG$20,MATCH(G$8,Transportmittel!$A$15:$A$20,0),0))+INDEX(Transportmittel!$AM$15:$AM$20,MATCH(G$8,Transportmittel!$A$15:$A$20,0),0)/INDEX(Transportmittel!$AI$15:$AI$20,MATCH(G$8,Transportmittel!$A$15:$A$20,0),0))+G$39)/G$18/1000</f>
        <v>1.685718624640687E-2</v>
      </c>
      <c r="H56" s="355">
        <f>(SUM(H$35:H$37)+$A56*((INDEX(Transportmittel!$AK$15:$AK$20,MATCH(H$8,Transportmittel!$A$15:$A$20,0),0)+INDEX(Transportmittel!$AG$15:$AG$20,MATCH(H$8,Transportmittel!$A$15:$A$20,0),0)*INDEX(Transportmittel!$AL$15:$AL$20,MATCH(H$8,Transportmittel!$A$15:$A$20,0),0)/INDEX(Transportmittel!$AI$15:$AI$20,MATCH(H$8,Transportmittel!$A$15:$A$20,0),0))/(365*$D$4*INDEX(Transportmittel!$AG$15:$AG$20,MATCH(H$8,Transportmittel!$A$15:$A$20,0),0))+INDEX(Transportmittel!$AM$15:$AM$20,MATCH(H$8,Transportmittel!$A$15:$A$20,0),0)/INDEX(Transportmittel!$AI$15:$AI$20,MATCH(H$8,Transportmittel!$A$15:$A$20,0),0))+H$39)/H$18/1000</f>
        <v>6.5736495039428036E-2</v>
      </c>
      <c r="I56" s="355">
        <f>(SUM(I$35:I$37)+FORECAST($A56,INDEX(Transportmittel!$AO$7:$AW$10,MATCH(I$8,Transportmittel!$A$7:$A$10,0),0),Transportmittel!$AO$5:$AW$5)/(INDEX(Transportmittel!$D$7:$D$10,MATCH(I$8,Transportmittel!$A$7:$A$10,0))*I$19/1000)+I$39)/I$18/1000</f>
        <v>5.7465622313724457E-2</v>
      </c>
      <c r="J56" s="355">
        <f>(SUM(J$35:J$37)+FORECAST($A56,INDEX(Transportmittel!$AO$7:$AW$10,MATCH(J$8,Transportmittel!$A$7:$A$10,0),0),Transportmittel!$AO$5:$AW$5)/(INDEX(Transportmittel!$D$7:$D$10,MATCH(J$8,Transportmittel!$A$7:$A$10,0))*J$19/1000)+J$39)/J$18/1000</f>
        <v>3.9907560732866325E-2</v>
      </c>
      <c r="K56" s="355">
        <f>(SUM(K$35:K$37)+FORECAST($A56,INDEX(Transportmittel!$AO$7:$AW$10,MATCH(K$8,Transportmittel!$A$7:$A$10,0),0),Transportmittel!$AO$5:$AW$5)/(INDEX(Transportmittel!$D$7:$D$10,MATCH(K$8,Transportmittel!$A$7:$A$10,0))*K$19/1000)+K$39)/K$18/1000</f>
        <v>8.253139560687886E-2</v>
      </c>
      <c r="L56" s="355">
        <f>((L$35+L$36+L$39)+FORECAST($A56,INDEX(Transportmittel!$AO$7:$AW$10,MATCH(L$8,Transportmittel!$A$7:$A$10,0),0),Transportmittel!$AO$5:$AW$5)/(INDEX(Transportmittel!$D$7:$D$10,MATCH(L$8,Transportmittel!$A$7:$A$10,0))*L$19/1000)+(('Eingabe Stoffparameter'!$C$43-PMT($D$3,L$11,'Eingabe Stoffparameter'!$C$42)/L$26*($A56*INDEX(Transportmittel!$X$7:$X$10,MATCH(L$8,Transportmittel!$A$7:$A$10,0))+INDEX(Transportmittel!$Y$7:$Y$10,MATCH(L$8,Transportmittel!$A$7:$A$10,0))))*1000))/L$18/1000</f>
        <v>4.2039402402121291E-2</v>
      </c>
      <c r="M56" s="355">
        <f>((M$35+M$36+M$39)+FORECAST($A56,INDEX(Transportmittel!$AO$7:$AW$10,MATCH(M$8,Transportmittel!$A$7:$A$10,0),0),Transportmittel!$AO$5:$AW$5)/(INDEX(Transportmittel!$D$7:$D$10,MATCH(M$8,Transportmittel!$A$7:$A$10,0))*M$19/1000)+(('Eingabe Stoffparameter'!$C$43-PMT($D$3,M$11,'Eingabe Stoffparameter'!$C$42)/M$26*($A56*INDEX(Transportmittel!$X$7:$X$10,MATCH(M$8,Transportmittel!$A$7:$A$10,0))+INDEX(Transportmittel!$Y$7:$Y$10,MATCH(M$8,Transportmittel!$A$7:$A$10,0))))*1000))/M$18/1000</f>
        <v>7.3917267079807517E-2</v>
      </c>
      <c r="N56" s="355">
        <f>(SUM(N$35:N$37)+FORECAST($A56,INDEX(Transportmittel!$AO$7:$AW$10,MATCH(N$8,Transportmittel!$A$7:$A$10,0),0),Transportmittel!$AO$5:$AW$5)/(INDEX(Transportmittel!$D$7:$D$10,MATCH(N$8,Transportmittel!$A$7:$A$10,0))*N$19/1000)+N$39)/N$18/1000</f>
        <v>3.5085910701734772E-2</v>
      </c>
      <c r="O56" s="356">
        <f>(SUM(O$35:O$37)+FORECAST($A56,INDEX(Transportmittel!$AO$7:$AW$10,MATCH(O$8,Transportmittel!$A$7:$A$10,0),0),Transportmittel!$AO$5:$AW$5)/(INDEX(Transportmittel!$D$7:$D$10,MATCH(O$8,Transportmittel!$A$7:$A$10,0))*O$19/1000)+O$39)/O$18/1000</f>
        <v>5.5043665451017312E-2</v>
      </c>
    </row>
    <row r="57" spans="1:15">
      <c r="A57" s="366">
        <f t="shared" si="14"/>
        <v>6400</v>
      </c>
      <c r="B57" s="369" t="s">
        <v>12</v>
      </c>
      <c r="C57" s="349">
        <f>(SUM(C$35:C$37)+FORECAST($A57,INDEX(Transportmittel!$AO$7:$AW$10,MATCH(C$8,Transportmittel!$A$7:$A$10,0),0),Transportmittel!$AO$5:$AW$5)/(INDEX(Transportmittel!$D$7:$D$10,MATCH(C$8,Transportmittel!$A$7:$A$10,0))*C$19/1000)+C$39)/C$18/1000</f>
        <v>0.16725194900630536</v>
      </c>
      <c r="D57" s="349">
        <f>(SUM(D$35:D$37)+FORECAST($A57,INDEX(Transportmittel!$AO$7:$AW$10,MATCH(D$8,Transportmittel!$A$7:$A$10,0),0),Transportmittel!$AO$5:$AW$5)/(INDEX(Transportmittel!$D$7:$D$10,MATCH(D$8,Transportmittel!$A$7:$A$10,0))*D$19/1000)+D$39)/D$18/1000</f>
        <v>4.7687369939053481E-2</v>
      </c>
      <c r="E57" s="349">
        <f>(SUM(E$35:E$37)+$A57*((INDEX(Transportmittel!$AK$15:$AK$20,MATCH(E$8,Transportmittel!$A$15:$A$20,0),0)+INDEX(Transportmittel!$AG$15:$AG$20,MATCH(E$8,Transportmittel!$A$15:$A$20,0),0)*INDEX(Transportmittel!$AL$15:$AL$20,MATCH(E$8,Transportmittel!$A$15:$A$20,0),0)/INDEX(Transportmittel!$AI$15:$AI$20,MATCH(E$8,Transportmittel!$A$15:$A$20,0),0))/(365*$D$4*INDEX(Transportmittel!$AG$15:$AG$20,MATCH(E$8,Transportmittel!$A$15:$A$20,0),0))+INDEX(Transportmittel!$AM$15:$AM$20,MATCH(E$8,Transportmittel!$A$15:$A$20,0),0)/INDEX(Transportmittel!$AI$15:$AI$20,MATCH(E$8,Transportmittel!$A$15:$A$20,0),0))+E$39)/E$18/1000</f>
        <v>0.29359735921007324</v>
      </c>
      <c r="F57" s="349">
        <f>(SUM(F$35:F$37)+$A57*((INDEX(Transportmittel!$AK$15:$AK$20,MATCH(F$8,Transportmittel!$A$15:$A$20,0),0)+INDEX(Transportmittel!$AG$15:$AG$20,MATCH(F$8,Transportmittel!$A$15:$A$20,0),0)*INDEX(Transportmittel!$AL$15:$AL$20,MATCH(F$8,Transportmittel!$A$15:$A$20,0),0)/INDEX(Transportmittel!$AI$15:$AI$20,MATCH(F$8,Transportmittel!$A$15:$A$20,0),0))/(365*$D$4*INDEX(Transportmittel!$AG$15:$AG$20,MATCH(F$8,Transportmittel!$A$15:$A$20,0),0))+INDEX(Transportmittel!$AM$15:$AM$20,MATCH(F$8,Transportmittel!$A$15:$A$20,0),0)/INDEX(Transportmittel!$AI$15:$AI$20,MATCH(F$8,Transportmittel!$A$15:$A$20,0),0))+F$39)/F$18/1000</f>
        <v>6.5899635836014631E-2</v>
      </c>
      <c r="G57" s="349">
        <f>(SUM(G$35:G$37)+$A57*((INDEX(Transportmittel!$AK$15:$AK$20,MATCH(G$8,Transportmittel!$A$15:$A$20,0),0)+INDEX(Transportmittel!$AG$15:$AG$20,MATCH(G$8,Transportmittel!$A$15:$A$20,0),0)*INDEX(Transportmittel!$AL$15:$AL$20,MATCH(G$8,Transportmittel!$A$15:$A$20,0),0)/INDEX(Transportmittel!$AI$15:$AI$20,MATCH(G$8,Transportmittel!$A$15:$A$20,0),0))/(365*$D$4*INDEX(Transportmittel!$AG$15:$AG$20,MATCH(G$8,Transportmittel!$A$15:$A$20,0),0))+INDEX(Transportmittel!$AM$15:$AM$20,MATCH(G$8,Transportmittel!$A$15:$A$20,0),0)/INDEX(Transportmittel!$AI$15:$AI$20,MATCH(G$8,Transportmittel!$A$15:$A$20,0),0))+G$39)/G$18/1000</f>
        <v>3.2587736610468293E-2</v>
      </c>
      <c r="H57" s="349">
        <f>(SUM(H$35:H$37)+$A57*((INDEX(Transportmittel!$AK$15:$AK$20,MATCH(H$8,Transportmittel!$A$15:$A$20,0),0)+INDEX(Transportmittel!$AG$15:$AG$20,MATCH(H$8,Transportmittel!$A$15:$A$20,0),0)*INDEX(Transportmittel!$AL$15:$AL$20,MATCH(H$8,Transportmittel!$A$15:$A$20,0),0)/INDEX(Transportmittel!$AI$15:$AI$20,MATCH(H$8,Transportmittel!$A$15:$A$20,0),0))/(365*$D$4*INDEX(Transportmittel!$AG$15:$AG$20,MATCH(H$8,Transportmittel!$A$15:$A$20,0),0))+INDEX(Transportmittel!$AM$15:$AM$20,MATCH(H$8,Transportmittel!$A$15:$A$20,0),0)/INDEX(Transportmittel!$AI$15:$AI$20,MATCH(H$8,Transportmittel!$A$15:$A$20,0),0))+H$39)/H$18/1000</f>
        <v>7.0025958352089523E-2</v>
      </c>
      <c r="I57" s="349">
        <f>(SUM(I$35:I$37)+FORECAST($A57,INDEX(Transportmittel!$AO$7:$AW$10,MATCH(I$8,Transportmittel!$A$7:$A$10,0),0),Transportmittel!$AO$5:$AW$5)/(INDEX(Transportmittel!$D$7:$D$10,MATCH(I$8,Transportmittel!$A$7:$A$10,0))*I$19/1000)+I$39)/I$18/1000</f>
        <v>5.8876084611435779E-2</v>
      </c>
      <c r="J57" s="349">
        <f>(SUM(J$35:J$37)+FORECAST($A57,INDEX(Transportmittel!$AO$7:$AW$10,MATCH(J$8,Transportmittel!$A$7:$A$10,0),0),Transportmittel!$AO$5:$AW$5)/(INDEX(Transportmittel!$D$7:$D$10,MATCH(J$8,Transportmittel!$A$7:$A$10,0))*J$19/1000)+J$39)/J$18/1000</f>
        <v>4.194465225998395E-2</v>
      </c>
      <c r="K57" s="349">
        <f>(SUM(K$35:K$37)+FORECAST($A57,INDEX(Transportmittel!$AO$7:$AW$10,MATCH(K$8,Transportmittel!$A$7:$A$10,0),0),Transportmittel!$AO$5:$AW$5)/(INDEX(Transportmittel!$D$7:$D$10,MATCH(K$8,Transportmittel!$A$7:$A$10,0))*K$19/1000)+K$39)/K$18/1000</f>
        <v>8.3288083800090951E-2</v>
      </c>
      <c r="L57" s="349">
        <f>((L$35+L$36+L$39)+FORECAST($A57,INDEX(Transportmittel!$AO$7:$AW$10,MATCH(L$8,Transportmittel!$A$7:$A$10,0),0),Transportmittel!$AO$5:$AW$5)/(INDEX(Transportmittel!$D$7:$D$10,MATCH(L$8,Transportmittel!$A$7:$A$10,0))*L$19/1000)+(('Eingabe Stoffparameter'!$C$43-PMT($D$3,L$11,'Eingabe Stoffparameter'!$C$42)/L$26*($A57*INDEX(Transportmittel!$X$7:$X$10,MATCH(L$8,Transportmittel!$A$7:$A$10,0))+INDEX(Transportmittel!$Y$7:$Y$10,MATCH(L$8,Transportmittel!$A$7:$A$10,0))))*1000))/L$18/1000</f>
        <v>5.4381488734338262E-2</v>
      </c>
      <c r="M57" s="349">
        <f>((M$35+M$36+M$39)+FORECAST($A57,INDEX(Transportmittel!$AO$7:$AW$10,MATCH(M$8,Transportmittel!$A$7:$A$10,0),0),Transportmittel!$AO$5:$AW$5)/(INDEX(Transportmittel!$D$7:$D$10,MATCH(M$8,Transportmittel!$A$7:$A$10,0))*M$19/1000)+(('Eingabe Stoffparameter'!$C$43-PMT($D$3,M$11,'Eingabe Stoffparameter'!$C$42)/M$26*($A57*INDEX(Transportmittel!$X$7:$X$10,MATCH(M$8,Transportmittel!$A$7:$A$10,0))+INDEX(Transportmittel!$Y$7:$Y$10,MATCH(M$8,Transportmittel!$A$7:$A$10,0))))*1000))/M$18/1000</f>
        <v>8.4634720583754264E-2</v>
      </c>
      <c r="N57" s="349">
        <f>(SUM(N$35:N$37)+FORECAST($A57,INDEX(Transportmittel!$AO$7:$AW$10,MATCH(N$8,Transportmittel!$A$7:$A$10,0),0),Transportmittel!$AO$5:$AW$5)/(INDEX(Transportmittel!$D$7:$D$10,MATCH(N$8,Transportmittel!$A$7:$A$10,0))*N$19/1000)+N$39)/N$18/1000</f>
        <v>3.6865234243897108E-2</v>
      </c>
      <c r="O57" s="350">
        <f>(SUM(O$35:O$37)+FORECAST($A57,INDEX(Transportmittel!$AO$7:$AW$10,MATCH(O$8,Transportmittel!$A$7:$A$10,0),0),Transportmittel!$AO$5:$AW$5)/(INDEX(Transportmittel!$D$7:$D$10,MATCH(O$8,Transportmittel!$A$7:$A$10,0))*O$19/1000)+O$39)/O$18/1000</f>
        <v>5.6822988993179641E-2</v>
      </c>
    </row>
    <row r="58" spans="1:15">
      <c r="A58" s="366">
        <f t="shared" si="14"/>
        <v>12800</v>
      </c>
      <c r="B58" s="369" t="s">
        <v>12</v>
      </c>
      <c r="C58" s="355">
        <f>(SUM(C$35:C$37)+FORECAST($A58,INDEX(Transportmittel!$AO$7:$AW$10,MATCH(C$8,Transportmittel!$A$7:$A$10,0),0),Transportmittel!$AO$5:$AW$5)/(INDEX(Transportmittel!$D$7:$D$10,MATCH(C$8,Transportmittel!$A$7:$A$10,0))*C$19/1000)+C$39)/C$18/1000</f>
        <v>0.28148825342735373</v>
      </c>
      <c r="D58" s="355">
        <f>(SUM(D$35:D$37)+FORECAST($A58,INDEX(Transportmittel!$AO$7:$AW$10,MATCH(D$8,Transportmittel!$A$7:$A$10,0),0),Transportmittel!$AO$5:$AW$5)/(INDEX(Transportmittel!$D$7:$D$10,MATCH(D$8,Transportmittel!$A$7:$A$10,0))*D$19/1000)+D$39)/D$18/1000</f>
        <v>5.6038213885835818E-2</v>
      </c>
      <c r="E58" s="355">
        <f>(SUM(E$35:E$37)+$A58*((INDEX(Transportmittel!$AK$15:$AK$20,MATCH(E$8,Transportmittel!$A$15:$A$20,0),0)+INDEX(Transportmittel!$AG$15:$AG$20,MATCH(E$8,Transportmittel!$A$15:$A$20,0),0)*INDEX(Transportmittel!$AL$15:$AL$20,MATCH(E$8,Transportmittel!$A$15:$A$20,0),0)/INDEX(Transportmittel!$AI$15:$AI$20,MATCH(E$8,Transportmittel!$A$15:$A$20,0),0))/(365*$D$4*INDEX(Transportmittel!$AG$15:$AG$20,MATCH(E$8,Transportmittel!$A$15:$A$20,0),0))+INDEX(Transportmittel!$AM$15:$AM$20,MATCH(E$8,Transportmittel!$A$15:$A$20,0),0)/INDEX(Transportmittel!$AI$15:$AI$20,MATCH(E$8,Transportmittel!$A$15:$A$20,0),0))+E$39)/E$18/1000</f>
        <v>0.58606808253780096</v>
      </c>
      <c r="F58" s="355">
        <f>(SUM(F$35:F$37)+$A58*((INDEX(Transportmittel!$AK$15:$AK$20,MATCH(F$8,Transportmittel!$A$15:$A$20,0),0)+INDEX(Transportmittel!$AG$15:$AG$20,MATCH(F$8,Transportmittel!$A$15:$A$20,0),0)*INDEX(Transportmittel!$AL$15:$AL$20,MATCH(F$8,Transportmittel!$A$15:$A$20,0),0)/INDEX(Transportmittel!$AI$15:$AI$20,MATCH(F$8,Transportmittel!$A$15:$A$20,0),0))/(365*$D$4*INDEX(Transportmittel!$AG$15:$AG$20,MATCH(F$8,Transportmittel!$A$15:$A$20,0),0))+INDEX(Transportmittel!$AM$15:$AM$20,MATCH(F$8,Transportmittel!$A$15:$A$20,0),0)/INDEX(Transportmittel!$AI$15:$AI$20,MATCH(F$8,Transportmittel!$A$15:$A$20,0),0))+F$39)/F$18/1000</f>
        <v>0.13067263578968383</v>
      </c>
      <c r="G58" s="355">
        <f>(SUM(G$35:G$37)+$A58*((INDEX(Transportmittel!$AK$15:$AK$20,MATCH(G$8,Transportmittel!$A$15:$A$20,0),0)+INDEX(Transportmittel!$AG$15:$AG$20,MATCH(G$8,Transportmittel!$A$15:$A$20,0),0)*INDEX(Transportmittel!$AL$15:$AL$20,MATCH(G$8,Transportmittel!$A$15:$A$20,0),0)/INDEX(Transportmittel!$AI$15:$AI$20,MATCH(G$8,Transportmittel!$A$15:$A$20,0),0))/(365*$D$4*INDEX(Transportmittel!$AG$15:$AG$20,MATCH(G$8,Transportmittel!$A$15:$A$20,0),0))+INDEX(Transportmittel!$AM$15:$AM$20,MATCH(G$8,Transportmittel!$A$15:$A$20,0),0)/INDEX(Transportmittel!$AI$15:$AI$20,MATCH(G$8,Transportmittel!$A$15:$A$20,0),0))+G$39)/G$18/1000</f>
        <v>6.4048837338591139E-2</v>
      </c>
      <c r="H58" s="355">
        <f>(SUM(H$35:H$37)+$A58*((INDEX(Transportmittel!$AK$15:$AK$20,MATCH(H$8,Transportmittel!$A$15:$A$20,0),0)+INDEX(Transportmittel!$AG$15:$AG$20,MATCH(H$8,Transportmittel!$A$15:$A$20,0),0)*INDEX(Transportmittel!$AL$15:$AL$20,MATCH(H$8,Transportmittel!$A$15:$A$20,0),0)/INDEX(Transportmittel!$AI$15:$AI$20,MATCH(H$8,Transportmittel!$A$15:$A$20,0),0))/(365*$D$4*INDEX(Transportmittel!$AG$15:$AG$20,MATCH(H$8,Transportmittel!$A$15:$A$20,0),0))+INDEX(Transportmittel!$AM$15:$AM$20,MATCH(H$8,Transportmittel!$A$15:$A$20,0),0)/INDEX(Transportmittel!$AI$15:$AI$20,MATCH(H$8,Transportmittel!$A$15:$A$20,0),0))+H$39)/H$18/1000</f>
        <v>7.860488497741247E-2</v>
      </c>
      <c r="I58" s="355">
        <f>(SUM(I$35:I$37)+FORECAST($A58,INDEX(Transportmittel!$AO$7:$AW$10,MATCH(I$8,Transportmittel!$A$7:$A$10,0),0),Transportmittel!$AO$5:$AW$5)/(INDEX(Transportmittel!$D$7:$D$10,MATCH(I$8,Transportmittel!$A$7:$A$10,0))*I$19/1000)+I$39)/I$18/1000</f>
        <v>6.169700920685843E-2</v>
      </c>
      <c r="J58" s="355">
        <f>(SUM(J$35:J$37)+FORECAST($A58,INDEX(Transportmittel!$AO$7:$AW$10,MATCH(J$8,Transportmittel!$A$7:$A$10,0),0),Transportmittel!$AO$5:$AW$5)/(INDEX(Transportmittel!$D$7:$D$10,MATCH(J$8,Transportmittel!$A$7:$A$10,0))*J$19/1000)+J$39)/J$18/1000</f>
        <v>4.6018835314219193E-2</v>
      </c>
      <c r="K58" s="355">
        <f>(SUM(K$35:K$37)+FORECAST($A58,INDEX(Transportmittel!$AO$7:$AW$10,MATCH(K$8,Transportmittel!$A$7:$A$10,0),0),Transportmittel!$AO$5:$AW$5)/(INDEX(Transportmittel!$D$7:$D$10,MATCH(K$8,Transportmittel!$A$7:$A$10,0))*K$19/1000)+K$39)/K$18/1000</f>
        <v>8.4801460186515118E-2</v>
      </c>
      <c r="L58" s="355">
        <f>((L$35+L$36+L$39)+FORECAST($A58,INDEX(Transportmittel!$AO$7:$AW$10,MATCH(L$8,Transportmittel!$A$7:$A$10,0),0),Transportmittel!$AO$5:$AW$5)/(INDEX(Transportmittel!$D$7:$D$10,MATCH(L$8,Transportmittel!$A$7:$A$10,0))*L$19/1000)+(('Eingabe Stoffparameter'!$C$43-PMT($D$3,L$11,'Eingabe Stoffparameter'!$C$42)/L$26*($A58*INDEX(Transportmittel!$X$7:$X$10,MATCH(L$8,Transportmittel!$A$7:$A$10,0))+INDEX(Transportmittel!$Y$7:$Y$10,MATCH(L$8,Transportmittel!$A$7:$A$10,0))))*1000))/L$18/1000</f>
        <v>7.9065661398772205E-2</v>
      </c>
      <c r="M58" s="355">
        <f>((M$35+M$36+M$39)+FORECAST($A58,INDEX(Transportmittel!$AO$7:$AW$10,MATCH(M$8,Transportmittel!$A$7:$A$10,0),0),Transportmittel!$AO$5:$AW$5)/(INDEX(Transportmittel!$D$7:$D$10,MATCH(M$8,Transportmittel!$A$7:$A$10,0))*M$19/1000)+(('Eingabe Stoffparameter'!$C$43-PMT($D$3,M$11,'Eingabe Stoffparameter'!$C$42)/M$26*($A58*INDEX(Transportmittel!$X$7:$X$10,MATCH(M$8,Transportmittel!$A$7:$A$10,0))+INDEX(Transportmittel!$Y$7:$Y$10,MATCH(M$8,Transportmittel!$A$7:$A$10,0))))*1000))/M$18/1000</f>
        <v>0.10606962759164776</v>
      </c>
      <c r="N58" s="355">
        <f>(SUM(N$35:N$37)+FORECAST($A58,INDEX(Transportmittel!$AO$7:$AW$10,MATCH(N$8,Transportmittel!$A$7:$A$10,0),0),Transportmittel!$AO$5:$AW$5)/(INDEX(Transportmittel!$D$7:$D$10,MATCH(N$8,Transportmittel!$A$7:$A$10,0))*N$19/1000)+N$39)/N$18/1000</f>
        <v>4.0423881328221764E-2</v>
      </c>
      <c r="O58" s="356">
        <f>(SUM(O$35:O$37)+FORECAST($A58,INDEX(Transportmittel!$AO$7:$AW$10,MATCH(O$8,Transportmittel!$A$7:$A$10,0),0),Transportmittel!$AO$5:$AW$5)/(INDEX(Transportmittel!$D$7:$D$10,MATCH(O$8,Transportmittel!$A$7:$A$10,0))*O$19/1000)+O$39)/O$18/1000</f>
        <v>6.0381636077504297E-2</v>
      </c>
    </row>
    <row r="59" spans="1:15">
      <c r="A59" s="367">
        <f t="shared" si="14"/>
        <v>25600</v>
      </c>
      <c r="B59" s="370" t="s">
        <v>12</v>
      </c>
      <c r="C59" s="351">
        <f>(SUM(C$35:C$37)+FORECAST($A59,INDEX(Transportmittel!$AO$7:$AW$10,MATCH(C$8,Transportmittel!$A$7:$A$10,0),0),Transportmittel!$AO$5:$AW$5)/(INDEX(Transportmittel!$D$7:$D$10,MATCH(C$8,Transportmittel!$A$7:$A$10,0))*C$19/1000)+C$39)/C$18/1000</f>
        <v>0.50996086226945059</v>
      </c>
      <c r="D59" s="351">
        <f>(SUM(D$35:D$37)+FORECAST($A59,INDEX(Transportmittel!$AO$7:$AW$10,MATCH(D$8,Transportmittel!$A$7:$A$10,0),0),Transportmittel!$AO$5:$AW$5)/(INDEX(Transportmittel!$D$7:$D$10,MATCH(D$8,Transportmittel!$A$7:$A$10,0))*D$19/1000)+D$39)/D$18/1000</f>
        <v>7.2739901779400484E-2</v>
      </c>
      <c r="E59" s="351">
        <f>(SUM(E$35:E$37)+$A59*((INDEX(Transportmittel!$AK$15:$AK$20,MATCH(E$8,Transportmittel!$A$15:$A$20,0),0)+INDEX(Transportmittel!$AG$15:$AG$20,MATCH(E$8,Transportmittel!$A$15:$A$20,0),0)*INDEX(Transportmittel!$AL$15:$AL$20,MATCH(E$8,Transportmittel!$A$15:$A$20,0),0)/INDEX(Transportmittel!$AI$15:$AI$20,MATCH(E$8,Transportmittel!$A$15:$A$20,0),0))/(365*$D$4*INDEX(Transportmittel!$AG$15:$AG$20,MATCH(E$8,Transportmittel!$A$15:$A$20,0),0))+INDEX(Transportmittel!$AM$15:$AM$20,MATCH(E$8,Transportmittel!$A$15:$A$20,0),0)/INDEX(Transportmittel!$AI$15:$AI$20,MATCH(E$8,Transportmittel!$A$15:$A$20,0),0))+E$39)/E$18/1000</f>
        <v>1.1710095291932567</v>
      </c>
      <c r="F59" s="351">
        <f>(SUM(F$35:F$37)+$A59*((INDEX(Transportmittel!$AK$15:$AK$20,MATCH(F$8,Transportmittel!$A$15:$A$20,0),0)+INDEX(Transportmittel!$AG$15:$AG$20,MATCH(F$8,Transportmittel!$A$15:$A$20,0),0)*INDEX(Transportmittel!$AL$15:$AL$20,MATCH(F$8,Transportmittel!$A$15:$A$20,0),0)/INDEX(Transportmittel!$AI$15:$AI$20,MATCH(F$8,Transportmittel!$A$15:$A$20,0),0))/(365*$D$4*INDEX(Transportmittel!$AG$15:$AG$20,MATCH(F$8,Transportmittel!$A$15:$A$20,0),0))+INDEX(Transportmittel!$AM$15:$AM$20,MATCH(F$8,Transportmittel!$A$15:$A$20,0),0)/INDEX(Transportmittel!$AI$15:$AI$20,MATCH(F$8,Transportmittel!$A$15:$A$20,0),0))+F$39)/F$18/1000</f>
        <v>0.26021863569702219</v>
      </c>
      <c r="G59" s="351">
        <f>(SUM(G$35:G$37)+$A59*((INDEX(Transportmittel!$AK$15:$AK$20,MATCH(G$8,Transportmittel!$A$15:$A$20,0),0)+INDEX(Transportmittel!$AG$15:$AG$20,MATCH(G$8,Transportmittel!$A$15:$A$20,0),0)*INDEX(Transportmittel!$AL$15:$AL$20,MATCH(G$8,Transportmittel!$A$15:$A$20,0),0)/INDEX(Transportmittel!$AI$15:$AI$20,MATCH(G$8,Transportmittel!$A$15:$A$20,0),0))/(365*$D$4*INDEX(Transportmittel!$AG$15:$AG$20,MATCH(G$8,Transportmittel!$A$15:$A$20,0),0))+INDEX(Transportmittel!$AM$15:$AM$20,MATCH(G$8,Transportmittel!$A$15:$A$20,0),0)/INDEX(Transportmittel!$AI$15:$AI$20,MATCH(G$8,Transportmittel!$A$15:$A$20,0),0))+G$39)/G$18/1000</f>
        <v>0.12697103879483684</v>
      </c>
      <c r="H59" s="351">
        <f>(SUM(H$35:H$37)+$A59*((INDEX(Transportmittel!$AK$15:$AK$20,MATCH(H$8,Transportmittel!$A$15:$A$20,0),0)+INDEX(Transportmittel!$AG$15:$AG$20,MATCH(H$8,Transportmittel!$A$15:$A$20,0),0)*INDEX(Transportmittel!$AL$15:$AL$20,MATCH(H$8,Transportmittel!$A$15:$A$20,0),0)/INDEX(Transportmittel!$AI$15:$AI$20,MATCH(H$8,Transportmittel!$A$15:$A$20,0),0))/(365*$D$4*INDEX(Transportmittel!$AG$15:$AG$20,MATCH(H$8,Transportmittel!$A$15:$A$20,0),0))+INDEX(Transportmittel!$AM$15:$AM$20,MATCH(H$8,Transportmittel!$A$15:$A$20,0),0)/INDEX(Transportmittel!$AI$15:$AI$20,MATCH(H$8,Transportmittel!$A$15:$A$20,0),0))+H$39)/H$18/1000</f>
        <v>9.5762738228058336E-2</v>
      </c>
      <c r="I59" s="351">
        <f>(SUM(I$35:I$37)+FORECAST($A59,INDEX(Transportmittel!$AO$7:$AW$10,MATCH(I$8,Transportmittel!$A$7:$A$10,0),0),Transportmittel!$AO$5:$AW$5)/(INDEX(Transportmittel!$D$7:$D$10,MATCH(I$8,Transportmittel!$A$7:$A$10,0))*I$19/1000)+I$39)/I$18/1000</f>
        <v>6.7338858397703746E-2</v>
      </c>
      <c r="J59" s="351">
        <f>(SUM(J$35:J$37)+FORECAST($A59,INDEX(Transportmittel!$AO$7:$AW$10,MATCH(J$8,Transportmittel!$A$7:$A$10,0),0),Transportmittel!$AO$5:$AW$5)/(INDEX(Transportmittel!$D$7:$D$10,MATCH(J$8,Transportmittel!$A$7:$A$10,0))*J$19/1000)+J$39)/J$18/1000</f>
        <v>5.4167201422689694E-2</v>
      </c>
      <c r="K59" s="351">
        <f>(SUM(K$35:K$37)+FORECAST($A59,INDEX(Transportmittel!$AO$7:$AW$10,MATCH(K$8,Transportmittel!$A$7:$A$10,0),0),Transportmittel!$AO$5:$AW$5)/(INDEX(Transportmittel!$D$7:$D$10,MATCH(K$8,Transportmittel!$A$7:$A$10,0))*K$19/1000)+K$39)/K$18/1000</f>
        <v>8.7828212959363453E-2</v>
      </c>
      <c r="L59" s="351">
        <f>((L$35+L$36+L$39)+FORECAST($A59,INDEX(Transportmittel!$AO$7:$AW$10,MATCH(L$8,Transportmittel!$A$7:$A$10,0),0),Transportmittel!$AO$5:$AW$5)/(INDEX(Transportmittel!$D$7:$D$10,MATCH(L$8,Transportmittel!$A$7:$A$10,0))*L$19/1000)+(('Eingabe Stoffparameter'!$C$43-PMT($D$3,L$11,'Eingabe Stoffparameter'!$C$42)/L$26*($A59*INDEX(Transportmittel!$X$7:$X$10,MATCH(L$8,Transportmittel!$A$7:$A$10,0))+INDEX(Transportmittel!$Y$7:$Y$10,MATCH(L$8,Transportmittel!$A$7:$A$10,0))))*1000))/L$18/1000</f>
        <v>0.1284340067276401</v>
      </c>
      <c r="M59" s="351">
        <f>((M$35+M$36+M$39)+FORECAST($A59,INDEX(Transportmittel!$AO$7:$AW$10,MATCH(M$8,Transportmittel!$A$7:$A$10,0),0),Transportmittel!$AO$5:$AW$5)/(INDEX(Transportmittel!$D$7:$D$10,MATCH(M$8,Transportmittel!$A$7:$A$10,0))*M$19/1000)+(('Eingabe Stoffparameter'!$C$43-PMT($D$3,M$11,'Eingabe Stoffparameter'!$C$42)/M$26*($A59*INDEX(Transportmittel!$X$7:$X$10,MATCH(M$8,Transportmittel!$A$7:$A$10,0))+INDEX(Transportmittel!$Y$7:$Y$10,MATCH(M$8,Transportmittel!$A$7:$A$10,0))))*1000))/M$18/1000</f>
        <v>0.14893944160743475</v>
      </c>
      <c r="N59" s="351">
        <f>(SUM(N$35:N$37)+FORECAST($A59,INDEX(Transportmittel!$AO$7:$AW$10,MATCH(N$8,Transportmittel!$A$7:$A$10,0),0),Transportmittel!$AO$5:$AW$5)/(INDEX(Transportmittel!$D$7:$D$10,MATCH(N$8,Transportmittel!$A$7:$A$10,0))*N$19/1000)+N$39)/N$18/1000</f>
        <v>4.754117549687107E-2</v>
      </c>
      <c r="O59" s="352">
        <f>(SUM(O$35:O$37)+FORECAST($A59,INDEX(Transportmittel!$AO$7:$AW$10,MATCH(O$8,Transportmittel!$A$7:$A$10,0),0),Transportmittel!$AO$5:$AW$5)/(INDEX(Transportmittel!$D$7:$D$10,MATCH(O$8,Transportmittel!$A$7:$A$10,0))*O$19/1000)+O$39)/O$18/1000</f>
        <v>6.749893024615361E-2</v>
      </c>
    </row>
    <row r="61" spans="1:15">
      <c r="A61" s="294" t="s">
        <v>1924</v>
      </c>
      <c r="B61" s="378" t="s">
        <v>2109</v>
      </c>
      <c r="C61" s="347">
        <f t="shared" ref="C61" si="15">C35/C$18/1000</f>
        <v>2.7699726808880294E-2</v>
      </c>
      <c r="D61" s="347">
        <f t="shared" ref="D61:O61" si="16">D35/D$18/1000</f>
        <v>2.7699726808880294E-2</v>
      </c>
      <c r="E61" s="347">
        <f t="shared" si="16"/>
        <v>4.9890135958735062E-4</v>
      </c>
      <c r="F61" s="347">
        <f t="shared" si="16"/>
        <v>4.9890135958735062E-4</v>
      </c>
      <c r="G61" s="347">
        <f t="shared" si="16"/>
        <v>4.9890135958735062E-4</v>
      </c>
      <c r="H61" s="347">
        <f t="shared" si="16"/>
        <v>1.4307958773865493E-2</v>
      </c>
      <c r="I61" s="347">
        <f t="shared" si="16"/>
        <v>1.2812755242399387E-2</v>
      </c>
      <c r="J61" s="347">
        <f t="shared" si="16"/>
        <v>1.3591090927559554E-2</v>
      </c>
      <c r="K61" s="347">
        <f t="shared" si="16"/>
        <v>1.9874996623412695E-2</v>
      </c>
      <c r="L61" s="347">
        <f t="shared" si="16"/>
        <v>2.0418655761974613E-2</v>
      </c>
      <c r="M61" s="347">
        <f t="shared" si="16"/>
        <v>2.0418655761974613E-2</v>
      </c>
      <c r="N61" s="347">
        <f t="shared" si="16"/>
        <v>1.8835814230038602E-2</v>
      </c>
      <c r="O61" s="348">
        <f t="shared" si="16"/>
        <v>1.8835814230038602E-2</v>
      </c>
    </row>
    <row r="62" spans="1:15">
      <c r="B62" s="379" t="s">
        <v>1925</v>
      </c>
      <c r="C62" s="355">
        <f t="shared" ref="C62" si="17">C36/C$18/1000</f>
        <v>1.0804198059761978E-2</v>
      </c>
      <c r="D62" s="355">
        <f t="shared" ref="D62:O62" si="18">D36/D$18/1000</f>
        <v>1.0804198059761978E-2</v>
      </c>
      <c r="E62" s="355">
        <f t="shared" si="18"/>
        <v>6.2773452275809171E-4</v>
      </c>
      <c r="F62" s="355">
        <f t="shared" si="18"/>
        <v>6.2773452275809171E-4</v>
      </c>
      <c r="G62" s="355">
        <f t="shared" si="18"/>
        <v>6.2773452275809171E-4</v>
      </c>
      <c r="H62" s="355">
        <f t="shared" si="18"/>
        <v>6.5109074326041773E-4</v>
      </c>
      <c r="I62" s="355">
        <f t="shared" si="18"/>
        <v>1.7491523003040886E-3</v>
      </c>
      <c r="J62" s="355">
        <f t="shared" si="18"/>
        <v>2.3192599395907704E-3</v>
      </c>
      <c r="K62" s="355">
        <f t="shared" si="18"/>
        <v>1.1992324249216E-3</v>
      </c>
      <c r="L62" s="355">
        <f t="shared" si="18"/>
        <v>4.8573873777013228E-3</v>
      </c>
      <c r="M62" s="355">
        <f t="shared" si="18"/>
        <v>3.8530471330626155E-2</v>
      </c>
      <c r="N62" s="355">
        <f t="shared" si="18"/>
        <v>6.3024488681944872E-3</v>
      </c>
      <c r="O62" s="356">
        <f t="shared" si="18"/>
        <v>2.6260203617477027E-2</v>
      </c>
    </row>
    <row r="63" spans="1:15">
      <c r="B63" s="379" t="s">
        <v>1913</v>
      </c>
      <c r="C63" s="349">
        <f>C37/C$18/1000</f>
        <v>0</v>
      </c>
      <c r="D63" s="349">
        <f t="shared" ref="D63:O63" si="19">D37/D$18/1000</f>
        <v>0</v>
      </c>
      <c r="E63" s="349">
        <f t="shared" si="19"/>
        <v>0</v>
      </c>
      <c r="F63" s="349">
        <f t="shared" si="19"/>
        <v>0</v>
      </c>
      <c r="G63" s="349">
        <f t="shared" si="19"/>
        <v>0</v>
      </c>
      <c r="H63" s="349">
        <f t="shared" si="19"/>
        <v>2.8623846832433724E-2</v>
      </c>
      <c r="I63" s="349">
        <f t="shared" si="19"/>
        <v>3.4176814862862476E-2</v>
      </c>
      <c r="J63" s="349">
        <f t="shared" si="19"/>
        <v>8.7532974160377999E-3</v>
      </c>
      <c r="K63" s="349">
        <f t="shared" si="19"/>
        <v>3.7811723681267319E-2</v>
      </c>
      <c r="L63" s="349">
        <f t="shared" si="19"/>
        <v>8.7565507285058651E-3</v>
      </c>
      <c r="M63" s="349">
        <f t="shared" si="19"/>
        <v>7.5705687638685966E-3</v>
      </c>
      <c r="N63" s="349">
        <f t="shared" si="19"/>
        <v>7.6456791246598804E-3</v>
      </c>
      <c r="O63" s="350">
        <f t="shared" si="19"/>
        <v>7.6456791246598804E-3</v>
      </c>
    </row>
    <row r="64" spans="1:15">
      <c r="B64" s="379" t="s">
        <v>1912</v>
      </c>
      <c r="C64" s="355">
        <f t="shared" ref="C64" si="20">C38/C$18/1000</f>
        <v>5.0210564848192259E-2</v>
      </c>
      <c r="D64" s="355">
        <f t="shared" ref="D64:O64" si="21">D38/D$18/1000</f>
        <v>3.4422398569983587E-3</v>
      </c>
      <c r="E64" s="355">
        <f t="shared" si="21"/>
        <v>9.1397101039914941E-2</v>
      </c>
      <c r="F64" s="355">
        <f t="shared" si="21"/>
        <v>2.0241562485521621E-2</v>
      </c>
      <c r="G64" s="355">
        <f t="shared" si="21"/>
        <v>9.8315939775383918E-3</v>
      </c>
      <c r="H64" s="355">
        <f t="shared" si="21"/>
        <v>2.6809145704134191E-3</v>
      </c>
      <c r="I64" s="355">
        <f t="shared" si="21"/>
        <v>1.2958373819723819E-3</v>
      </c>
      <c r="J64" s="355">
        <f t="shared" si="21"/>
        <v>1.8715419445252625E-3</v>
      </c>
      <c r="K64" s="355">
        <f t="shared" si="21"/>
        <v>6.9519394375336179E-4</v>
      </c>
      <c r="L64" s="355">
        <f t="shared" si="21"/>
        <v>3.611161817759639E-3</v>
      </c>
      <c r="M64" s="355">
        <f t="shared" si="21"/>
        <v>3.611161817759639E-3</v>
      </c>
      <c r="N64" s="355">
        <f t="shared" si="21"/>
        <v>1.6347221505309318E-3</v>
      </c>
      <c r="O64" s="356">
        <f t="shared" si="21"/>
        <v>1.6347221505309318E-3</v>
      </c>
    </row>
    <row r="65" spans="1:15" s="18" customFormat="1">
      <c r="B65" s="380" t="s">
        <v>2108</v>
      </c>
      <c r="C65" s="351">
        <f>C39/C$18/1000</f>
        <v>0</v>
      </c>
      <c r="D65" s="351">
        <f t="shared" ref="D65:O65" si="22">D39/D$18/1000</f>
        <v>0</v>
      </c>
      <c r="E65" s="351">
        <f t="shared" si="22"/>
        <v>0</v>
      </c>
      <c r="F65" s="351">
        <f t="shared" si="22"/>
        <v>0</v>
      </c>
      <c r="G65" s="351">
        <f t="shared" si="22"/>
        <v>0</v>
      </c>
      <c r="H65" s="351">
        <f t="shared" si="22"/>
        <v>1.7864135377206929E-2</v>
      </c>
      <c r="I65" s="351">
        <f t="shared" si="22"/>
        <v>6.9021391645443771E-3</v>
      </c>
      <c r="J65" s="351">
        <f t="shared" si="22"/>
        <v>1.260846118248383E-2</v>
      </c>
      <c r="K65" s="351">
        <f t="shared" si="22"/>
        <v>2.2666490861069342E-2</v>
      </c>
      <c r="L65" s="351">
        <f t="shared" si="22"/>
        <v>0</v>
      </c>
      <c r="M65" s="351">
        <f t="shared" si="22"/>
        <v>0</v>
      </c>
      <c r="N65" s="351">
        <f t="shared" si="22"/>
        <v>0</v>
      </c>
      <c r="O65" s="352">
        <f t="shared" si="22"/>
        <v>0</v>
      </c>
    </row>
    <row r="66" spans="1:15">
      <c r="A66" s="293" t="s">
        <v>2274</v>
      </c>
      <c r="B66" s="371" t="str">
        <f>"Umwandlungs- und Transportkosten H2-basierter Energieträger/Grundstoffe bei "&amp;$F$3&amp;"km Distanz"</f>
        <v>Umwandlungs- und Transportkosten H2-basierter Energieträger/Grundstoffe bei 2000km Distanz</v>
      </c>
      <c r="C66" s="372"/>
      <c r="D66" s="372"/>
      <c r="E66" s="372"/>
      <c r="F66" s="373"/>
      <c r="G66" s="27"/>
    </row>
    <row r="67" spans="1:15">
      <c r="C67" s="14"/>
    </row>
  </sheetData>
  <mergeCells count="4">
    <mergeCell ref="C7:D7"/>
    <mergeCell ref="E7:G7"/>
    <mergeCell ref="A2:I2"/>
    <mergeCell ref="A1:H1"/>
  </mergeCells>
  <pageMargins left="0.7" right="0.7" top="0.78740157499999996" bottom="0.78740157499999996"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O32"/>
  <sheetViews>
    <sheetView zoomScale="70" zoomScaleNormal="70" workbookViewId="0">
      <pane xSplit="2" ySplit="10" topLeftCell="C11" activePane="bottomRight" state="frozen"/>
      <selection pane="topRight" activeCell="C1" sqref="C1"/>
      <selection pane="bottomLeft" activeCell="A11" sqref="A11"/>
      <selection pane="bottomRight" activeCell="I1" sqref="I1"/>
    </sheetView>
  </sheetViews>
  <sheetFormatPr baseColWidth="10" defaultRowHeight="14.5"/>
  <cols>
    <col min="1" max="1" width="27.453125" customWidth="1"/>
    <col min="2" max="2" width="20.1796875" customWidth="1"/>
    <col min="3" max="12" width="18.54296875" customWidth="1"/>
  </cols>
  <sheetData>
    <row r="1" spans="1:13" s="16" customFormat="1">
      <c r="A1" s="798" t="s">
        <v>2325</v>
      </c>
      <c r="B1" s="799"/>
      <c r="C1" s="799"/>
      <c r="D1" s="799"/>
      <c r="E1" s="799"/>
      <c r="F1" s="799"/>
      <c r="G1" s="799"/>
      <c r="H1" s="800"/>
      <c r="I1" s="27"/>
      <c r="J1" s="27"/>
      <c r="K1" s="27"/>
      <c r="L1" s="27"/>
      <c r="M1" s="27"/>
    </row>
    <row r="2" spans="1:13" s="27" customFormat="1">
      <c r="A2" s="795" t="s">
        <v>2324</v>
      </c>
      <c r="B2" s="796"/>
      <c r="C2" s="796"/>
      <c r="D2" s="797"/>
    </row>
    <row r="3" spans="1:13" s="16" customFormat="1"/>
    <row r="4" spans="1:13" ht="16" thickBot="1">
      <c r="A4" s="383" t="s">
        <v>1882</v>
      </c>
      <c r="B4" s="27"/>
      <c r="C4" s="398" t="s">
        <v>1883</v>
      </c>
      <c r="D4" s="386">
        <f>5000/8760</f>
        <v>0.57077625570776258</v>
      </c>
      <c r="E4" s="398" t="s">
        <v>1925</v>
      </c>
      <c r="F4" s="310" t="s">
        <v>1982</v>
      </c>
      <c r="G4" s="310" t="s">
        <v>2322</v>
      </c>
      <c r="K4" s="16"/>
    </row>
    <row r="5" spans="1:13" ht="15" thickTop="1">
      <c r="E5" s="400" t="s">
        <v>1984</v>
      </c>
      <c r="F5" s="698">
        <v>0.15</v>
      </c>
      <c r="G5" s="699">
        <v>0.1</v>
      </c>
      <c r="K5" s="16"/>
    </row>
    <row r="7" spans="1:13" ht="15">
      <c r="B7" s="395" t="s">
        <v>1967</v>
      </c>
      <c r="C7" s="399" t="s">
        <v>1968</v>
      </c>
      <c r="D7" s="399" t="s">
        <v>1970</v>
      </c>
      <c r="E7" s="399" t="s">
        <v>1970</v>
      </c>
      <c r="F7" s="399" t="s">
        <v>1971</v>
      </c>
      <c r="G7" s="399" t="s">
        <v>1971</v>
      </c>
      <c r="H7" s="399" t="s">
        <v>1972</v>
      </c>
      <c r="I7" s="399" t="s">
        <v>1972</v>
      </c>
      <c r="J7" s="399" t="s">
        <v>1973</v>
      </c>
      <c r="K7" s="399" t="s">
        <v>1973</v>
      </c>
      <c r="L7" s="399" t="s">
        <v>1974</v>
      </c>
    </row>
    <row r="8" spans="1:13" ht="15">
      <c r="B8" s="395" t="s">
        <v>5</v>
      </c>
      <c r="C8" s="439" t="s">
        <v>1878</v>
      </c>
      <c r="D8" s="439" t="s">
        <v>1878</v>
      </c>
      <c r="E8" s="439" t="s">
        <v>1879</v>
      </c>
      <c r="F8" s="439" t="s">
        <v>9</v>
      </c>
      <c r="G8" s="439" t="s">
        <v>7</v>
      </c>
      <c r="H8" s="439" t="s">
        <v>1867</v>
      </c>
      <c r="I8" s="439" t="s">
        <v>1965</v>
      </c>
      <c r="J8" s="439" t="s">
        <v>1965</v>
      </c>
      <c r="K8" s="439" t="s">
        <v>1922</v>
      </c>
      <c r="L8" s="439" t="s">
        <v>1867</v>
      </c>
    </row>
    <row r="9" spans="1:13" ht="43.5" customHeight="1">
      <c r="B9" s="395" t="s">
        <v>6</v>
      </c>
      <c r="C9" s="401" t="s">
        <v>2234</v>
      </c>
      <c r="D9" s="401" t="s">
        <v>2235</v>
      </c>
      <c r="E9" s="401" t="s">
        <v>2237</v>
      </c>
      <c r="F9" s="403" t="s">
        <v>1885</v>
      </c>
      <c r="G9" s="403" t="s">
        <v>2002</v>
      </c>
      <c r="H9" s="403" t="s">
        <v>1885</v>
      </c>
      <c r="I9" s="403" t="s">
        <v>17</v>
      </c>
      <c r="J9" s="403" t="s">
        <v>17</v>
      </c>
      <c r="K9" s="403" t="s">
        <v>1885</v>
      </c>
      <c r="L9" s="403" t="s">
        <v>1885</v>
      </c>
    </row>
    <row r="10" spans="1:13" ht="15" thickBot="1">
      <c r="A10" s="300" t="s">
        <v>0</v>
      </c>
      <c r="B10" s="304" t="s">
        <v>4</v>
      </c>
      <c r="C10" s="402"/>
      <c r="D10" s="402"/>
      <c r="E10" s="402"/>
      <c r="F10" s="404"/>
      <c r="G10" s="404"/>
      <c r="H10" s="404"/>
      <c r="I10" s="404"/>
      <c r="J10" s="404"/>
      <c r="K10" s="404"/>
      <c r="L10" s="404"/>
    </row>
    <row r="11" spans="1:13" ht="15" thickTop="1">
      <c r="A11" s="302" t="s">
        <v>1964</v>
      </c>
      <c r="B11" s="335" t="s">
        <v>12</v>
      </c>
      <c r="C11" s="408">
        <v>1400</v>
      </c>
      <c r="D11" s="410">
        <v>1000</v>
      </c>
      <c r="E11" s="415">
        <v>1000</v>
      </c>
      <c r="F11" s="415">
        <v>2670</v>
      </c>
      <c r="G11" s="415">
        <v>2670</v>
      </c>
      <c r="H11" s="415">
        <v>8300</v>
      </c>
      <c r="I11" s="415">
        <v>8300</v>
      </c>
      <c r="J11" s="415">
        <v>13900</v>
      </c>
      <c r="K11" s="415">
        <v>13900</v>
      </c>
      <c r="L11" s="420">
        <v>10400</v>
      </c>
    </row>
    <row r="12" spans="1:13">
      <c r="A12" s="302" t="s">
        <v>2</v>
      </c>
      <c r="B12" s="335" t="s">
        <v>15</v>
      </c>
      <c r="C12" s="406">
        <v>0.08</v>
      </c>
      <c r="D12" s="411">
        <v>0.08</v>
      </c>
      <c r="E12" s="416">
        <v>0.08</v>
      </c>
      <c r="F12" s="416">
        <v>0.08</v>
      </c>
      <c r="G12" s="416">
        <v>0.08</v>
      </c>
      <c r="H12" s="416">
        <v>0.08</v>
      </c>
      <c r="I12" s="416">
        <v>0.08</v>
      </c>
      <c r="J12" s="416">
        <v>0.08</v>
      </c>
      <c r="K12" s="416">
        <v>0.08</v>
      </c>
      <c r="L12" s="421">
        <v>0.08</v>
      </c>
    </row>
    <row r="13" spans="1:13" s="16" customFormat="1">
      <c r="A13" s="302" t="s">
        <v>2010</v>
      </c>
      <c r="B13" s="335" t="s">
        <v>11</v>
      </c>
      <c r="C13" s="409">
        <v>2900</v>
      </c>
      <c r="D13" s="412">
        <v>2900</v>
      </c>
      <c r="E13" s="417">
        <v>2900</v>
      </c>
      <c r="F13" s="417">
        <v>2900</v>
      </c>
      <c r="G13" s="417">
        <v>2900</v>
      </c>
      <c r="H13" s="417">
        <v>2900</v>
      </c>
      <c r="I13" s="417">
        <v>2900</v>
      </c>
      <c r="J13" s="417">
        <v>2900</v>
      </c>
      <c r="K13" s="417">
        <v>2900</v>
      </c>
      <c r="L13" s="422">
        <v>2900</v>
      </c>
    </row>
    <row r="14" spans="1:13" s="16" customFormat="1">
      <c r="A14" s="302" t="s">
        <v>2011</v>
      </c>
      <c r="B14" s="335" t="s">
        <v>10</v>
      </c>
      <c r="C14" s="407">
        <v>4.4999999999999998E-2</v>
      </c>
      <c r="D14" s="413">
        <v>4.4999999999999998E-2</v>
      </c>
      <c r="E14" s="418">
        <v>4.4999999999999998E-2</v>
      </c>
      <c r="F14" s="418">
        <v>4.4999999999999998E-2</v>
      </c>
      <c r="G14" s="418">
        <v>4.4999999999999998E-2</v>
      </c>
      <c r="H14" s="418">
        <v>4.4999999999999998E-2</v>
      </c>
      <c r="I14" s="418">
        <v>4.4999999999999998E-2</v>
      </c>
      <c r="J14" s="418">
        <v>4.4999999999999998E-2</v>
      </c>
      <c r="K14" s="418">
        <v>4.4999999999999998E-2</v>
      </c>
      <c r="L14" s="423">
        <v>4.4999999999999998E-2</v>
      </c>
    </row>
    <row r="15" spans="1:13" s="27" customFormat="1">
      <c r="A15" s="302" t="s">
        <v>2269</v>
      </c>
      <c r="B15" s="336" t="s">
        <v>11</v>
      </c>
      <c r="C15" s="438"/>
      <c r="D15" s="414"/>
      <c r="E15" s="419">
        <v>145</v>
      </c>
      <c r="F15" s="419">
        <v>55</v>
      </c>
      <c r="G15" s="419"/>
      <c r="H15" s="419">
        <v>145</v>
      </c>
      <c r="I15" s="419">
        <v>145</v>
      </c>
      <c r="J15" s="419">
        <v>145</v>
      </c>
      <c r="K15" s="419"/>
      <c r="L15" s="424">
        <v>145</v>
      </c>
    </row>
    <row r="17" spans="1:15">
      <c r="A17" s="301" t="s">
        <v>1993</v>
      </c>
      <c r="B17" s="341" t="s">
        <v>1889</v>
      </c>
      <c r="C17" s="425">
        <f>(-PMT(C12,INDEX(Transportoptionen!$C$11:$O$11,1,MATCH(C8,Transportoptionen!$C$7:$O$7,0)),1)+INDEX(Transportoptionen!$C$13:$O$13,1,MATCH(C8,Transportoptionen!$C$7:$O$7,0)))*INDEX(Transportoptionen!$C$12:$O$12,1,MATCH(C8,Transportoptionen!$C$7:$O$7,0))*1000000/(365*24*$D$4)</f>
        <v>16.623583579085462</v>
      </c>
      <c r="D17" s="425">
        <f>(-PMT(D12,INDEX(Transportoptionen!$C$11:$O$11,1,MATCH(D8,Transportoptionen!$C$7:$O$7,0)),1)+INDEX(Transportoptionen!$C$13:$O$13,1,MATCH(D8,Transportoptionen!$C$7:$O$7,0)))*INDEX(Transportoptionen!$C$12:$O$12,1,MATCH(D8,Transportoptionen!$C$7:$O$7,0))*1000000/(365*24*$D$4)</f>
        <v>16.623583579085462</v>
      </c>
      <c r="E17" s="425">
        <f>(-PMT(E12,INDEX(Transportoptionen!$C$11:$O$11,1,MATCH(E8,Transportoptionen!$C$7:$O$7,0)),1)+INDEX(Transportoptionen!$C$13:$O$13,1,MATCH(E8,Transportoptionen!$C$7:$O$7,0)))*INDEX(Transportoptionen!$C$12:$O$12,1,MATCH(E8,Transportoptionen!$C$7:$O$7,0))*1000000/(365*24*$D$4)</f>
        <v>395.55662646945188</v>
      </c>
      <c r="F17" s="425">
        <f>(-PMT(F12,INDEX(Transportoptionen!$C$11:$O$11,1,MATCH(F8,Transportoptionen!$C$7:$O$7,0)),1)+INDEX(Transportoptionen!$C$13:$O$13,1,MATCH(F8,Transportoptionen!$C$7:$O$7,0)))*INDEX(Transportoptionen!$C$12:$O$12,1,MATCH(F8,Transportoptionen!$C$7:$O$7,0))*1000000/(365*24*$D$4)</f>
        <v>395.55662646945188</v>
      </c>
      <c r="G17" s="425">
        <f>(-PMT(G12,INDEX(Transportoptionen!$C$11:$O$11,1,MATCH(G8,Transportoptionen!$C$7:$O$7,0)),1)+INDEX(Transportoptionen!$C$13:$O$13,1,MATCH(G8,Transportoptionen!$C$7:$O$7,0)))*INDEX(Transportoptionen!$C$12:$O$12,1,MATCH(G8,Transportoptionen!$C$7:$O$7,0))*1000000/(365*24*$D$4)</f>
        <v>922.96546176205425</v>
      </c>
      <c r="H17" s="425">
        <f>(-PMT(H12,INDEX(Transportoptionen!$C$11:$O$11,1,MATCH(H8,Transportoptionen!$C$7:$O$7,0)),1)+INDEX(Transportoptionen!$C$13:$O$13,1,MATCH(H8,Transportoptionen!$C$7:$O$7,0)))*INDEX(Transportoptionen!$C$12:$O$12,1,MATCH(H8,Transportoptionen!$C$7:$O$7,0))*1000000/(365*24*$D$4)</f>
        <v>395.55662646945188</v>
      </c>
      <c r="I17" s="425">
        <f>(-PMT(I12,INDEX(Transportoptionen!$C$11:$O$11,1,MATCH(I8,Transportoptionen!$C$7:$O$7,0)),1)+INDEX(Transportoptionen!$C$13:$O$13,1,MATCH(I8,Transportoptionen!$C$7:$O$7,0)))*INDEX(Transportoptionen!$C$12:$O$12,1,MATCH(I8,Transportoptionen!$C$7:$O$7,0))*1000000/(365*24*$D$4)</f>
        <v>525.40864252810127</v>
      </c>
      <c r="J17" s="425">
        <f>(-PMT(J12,INDEX(Transportoptionen!$C$11:$O$11,1,MATCH(J8,Transportoptionen!$C$7:$O$7,0)),1)+INDEX(Transportoptionen!$C$13:$O$13,1,MATCH(J8,Transportoptionen!$C$7:$O$7,0)))*INDEX(Transportoptionen!$C$12:$O$12,1,MATCH(J8,Transportoptionen!$C$7:$O$7,0))*1000000/(365*24*$D$4)</f>
        <v>525.40864252810127</v>
      </c>
      <c r="K17" s="425">
        <f>(-PMT(K12,INDEX(Transportoptionen!$C$11:$O$11,1,MATCH(K8,Transportoptionen!$C$7:$O$7,0)),1)+INDEX(Transportoptionen!$C$13:$O$13,1,MATCH(K8,Transportoptionen!$C$7:$O$7,0)))*INDEX(Transportoptionen!$C$12:$O$12,1,MATCH(K8,Transportoptionen!$C$7:$O$7,0))*1000000/(365*24*$D$4)</f>
        <v>680.35739752745712</v>
      </c>
      <c r="L17" s="426">
        <f>(-PMT(L12,INDEX(Transportoptionen!$C$11:$O$11,1,MATCH(L8,Transportoptionen!$C$7:$O$7,0)),1)+INDEX(Transportoptionen!$C$13:$O$13,1,MATCH(L8,Transportoptionen!$C$7:$O$7,0)))*INDEX(Transportoptionen!$C$12:$O$12,1,MATCH(L8,Transportoptionen!$C$7:$O$7,0))*1000000/(365*24*$D$4)</f>
        <v>395.55662646945188</v>
      </c>
    </row>
    <row r="18" spans="1:15">
      <c r="A18" s="302" t="s">
        <v>1925</v>
      </c>
      <c r="B18" s="335" t="s">
        <v>1889</v>
      </c>
      <c r="C18" s="186">
        <f>INDEX(Transportoptionen!$C$14:$O$14,1,MATCH(C8,Transportoptionen!$C$7:$O$7,0))*C14+INDEX(Transportoptionen!$C$15:$O$15,1,MATCH(C8,Transportoptionen!$C$7:$O$7,0))*$F$5+INDEX(Transportoptionen!$C$16:$O$16,1,MATCH(C8,Transportoptionen!$C$7:$O$7,0))*$G$5</f>
        <v>20.916353712039555</v>
      </c>
      <c r="D18" s="186">
        <f>INDEX(Transportoptionen!$C$14:$O$14,1,MATCH(D8,Transportoptionen!$C$7:$O$7,0))*D14+INDEX(Transportoptionen!$C$15:$O$15,1,MATCH(D8,Transportoptionen!$C$7:$O$7,0))*$F$5+INDEX(Transportoptionen!$C$16:$O$16,1,MATCH(D8,Transportoptionen!$C$7:$O$7,0))*$G$5</f>
        <v>20.916353712039555</v>
      </c>
      <c r="E18" s="186">
        <f>INDEX(Transportoptionen!$C$14:$O$14,1,MATCH(E8,Transportoptionen!$C$7:$O$7,0))*E14+INDEX(Transportoptionen!$C$15:$O$15,1,MATCH(E8,Transportoptionen!$C$7:$O$7,0))*$F$5+INDEX(Transportoptionen!$C$16:$O$16,1,MATCH(E8,Transportoptionen!$C$7:$O$7,0))*$G$5</f>
        <v>18</v>
      </c>
      <c r="F18" s="186">
        <f>INDEX(Transportoptionen!$C$14:$O$14,1,MATCH(F8,Transportoptionen!$C$7:$O$7,0))*F14+INDEX(Transportoptionen!$C$15:$O$15,1,MATCH(F8,Transportoptionen!$C$7:$O$7,0))*$F$5+INDEX(Transportoptionen!$C$16:$O$16,1,MATCH(F8,Transportoptionen!$C$7:$O$7,0))*$G$5</f>
        <v>67.5</v>
      </c>
      <c r="G18" s="186">
        <f>INDEX(Transportoptionen!$C$14:$O$14,1,MATCH(G8,Transportoptionen!$C$7:$O$7,0))*G14+INDEX(Transportoptionen!$C$15:$O$15,1,MATCH(G8,Transportoptionen!$C$7:$O$7,0))*$F$5+INDEX(Transportoptionen!$C$16:$O$16,1,MATCH(G8,Transportoptionen!$C$7:$O$7,0))*$G$5</f>
        <v>360</v>
      </c>
      <c r="H18" s="186">
        <f>INDEX(Transportoptionen!$C$14:$O$14,1,MATCH(H8,Transportoptionen!$C$7:$O$7,0))*H14+INDEX(Transportoptionen!$C$15:$O$15,1,MATCH(H8,Transportoptionen!$C$7:$O$7,0))*$F$5+INDEX(Transportoptionen!$C$16:$O$16,1,MATCH(H8,Transportoptionen!$C$7:$O$7,0))*$G$5</f>
        <v>54</v>
      </c>
      <c r="I18" s="186">
        <f>INDEX(Transportoptionen!$C$14:$O$14,1,MATCH(I8,Transportoptionen!$C$7:$O$7,0))*I14+INDEX(Transportoptionen!$C$15:$O$15,1,MATCH(I8,Transportoptionen!$C$7:$O$7,0))*$F$5+INDEX(Transportoptionen!$C$16:$O$16,1,MATCH(I8,Transportoptionen!$C$7:$O$7,0))*$G$5</f>
        <v>31.702500000000001</v>
      </c>
      <c r="J18" s="186">
        <f>INDEX(Transportoptionen!$C$14:$O$14,1,MATCH(J8,Transportoptionen!$C$7:$O$7,0))*J14+INDEX(Transportoptionen!$C$15:$O$15,1,MATCH(J8,Transportoptionen!$C$7:$O$7,0))*$F$5+INDEX(Transportoptionen!$C$16:$O$16,1,MATCH(J8,Transportoptionen!$C$7:$O$7,0))*$G$5</f>
        <v>31.702500000000001</v>
      </c>
      <c r="K18" s="186">
        <f>INDEX(Transportoptionen!$C$14:$O$14,1,MATCH(K8,Transportoptionen!$C$7:$O$7,0))*K14+INDEX(Transportoptionen!$C$15:$O$15,1,MATCH(K8,Transportoptionen!$C$7:$O$7,0))*$F$5+INDEX(Transportoptionen!$C$16:$O$16,1,MATCH(K8,Transportoptionen!$C$7:$O$7,0))*$G$5</f>
        <v>1283.8499999999999</v>
      </c>
      <c r="L18" s="209">
        <f>INDEX(Transportoptionen!$C$14:$O$14,1,MATCH(L8,Transportoptionen!$C$7:$O$7,0))*L14+INDEX(Transportoptionen!$C$15:$O$15,1,MATCH(L8,Transportoptionen!$C$7:$O$7,0))*$F$5+INDEX(Transportoptionen!$C$16:$O$16,1,MATCH(L8,Transportoptionen!$C$7:$O$7,0))*$G$5</f>
        <v>54</v>
      </c>
    </row>
    <row r="19" spans="1:15">
      <c r="A19" s="302" t="s">
        <v>1913</v>
      </c>
      <c r="B19" s="335" t="s">
        <v>1889</v>
      </c>
      <c r="C19" s="182">
        <f>INDEX(Transportoptionen!$C$23:$O$23,1,MATCH(C8,Transportoptionen!$C$7:$O$7,0))*C15</f>
        <v>0</v>
      </c>
      <c r="D19" s="182">
        <f>INDEX(Transportoptionen!$C$23:$O$23,1,MATCH(D8,Transportoptionen!$C$7:$O$7,0))*D15</f>
        <v>0</v>
      </c>
      <c r="E19" s="182">
        <f>INDEX(Transportoptionen!$C$23:$O$23,1,MATCH(E8,Transportoptionen!$C$7:$O$7,0))*E15</f>
        <v>791.33246527777771</v>
      </c>
      <c r="F19" s="182">
        <f>INDEX(Transportoptionen!$C$23:$O$23,1,MATCH(F8,Transportoptionen!$C$7:$O$7,0))*F15</f>
        <v>254.75694444444446</v>
      </c>
      <c r="G19" s="182">
        <f>INDEX(Transportoptionen!$C$23:$O$23,1,MATCH(G8,Transportoptionen!$C$7:$O$7,0))*G15</f>
        <v>0</v>
      </c>
      <c r="H19" s="182">
        <f>INDEX(Transportoptionen!$C$23:$O$23,1,MATCH(H8,Transportoptionen!$C$7:$O$7,0))*H15</f>
        <v>1055.1099537037037</v>
      </c>
      <c r="I19" s="182">
        <f>INDEX(Transportoptionen!$C$23:$O$23,1,MATCH(I8,Transportoptionen!$C$7:$O$7,0))*I15</f>
        <v>999.57785087719276</v>
      </c>
      <c r="J19" s="182">
        <f>INDEX(Transportoptionen!$C$23:$O$23,1,MATCH(J8,Transportoptionen!$C$7:$O$7,0))*J15</f>
        <v>999.57785087719276</v>
      </c>
      <c r="K19" s="182">
        <f>('Eingabe Stoffparameter'!$C$43-PMT(0.08,INDEX(Transportoptionen!$C$11:$O$11,1,MATCH(K8,Transportoptionen!$C$7:$O$7,0)),'Eingabe Stoffparameter'!$C$42)/INDEX(Transportoptionen!$C$26:$O$26,1,MATCH(K8,Transportoptionen!$C$7:$O$7,0))*(K11*INDEX(Transportmittel!$X$7:$X$10,MATCH(K9,Transportmittel!$A$7:$A$10,0))+INDEX(Transportmittel!$Y$7:$Y$10,MATCH(K9,Transportmittel!$A$7:$A$10,0))))*1000*INDEX(Transportoptionen!$C$20:$O$20,1,MATCH(K8,Transportoptionen!$C$7:$O$7,0))</f>
        <v>1124.5911897197327</v>
      </c>
      <c r="L19" s="202">
        <f>INDEX(Transportoptionen!$C$23:$O$23,1,MATCH(L8,Transportoptionen!$C$7:$O$7,0))*L15</f>
        <v>1055.1099537037037</v>
      </c>
    </row>
    <row r="20" spans="1:15">
      <c r="A20" s="302" t="s">
        <v>1912</v>
      </c>
      <c r="B20" s="335" t="s">
        <v>1889</v>
      </c>
      <c r="C20" s="186">
        <f>C11*((INDEX(Transportmittel!$AK$15:$AK$20,MATCH(C$9,Transportmittel!$A$15:$A$20,0),0)+INDEX(Transportmittel!$AG$15:$AG$20,MATCH(C$9,Transportmittel!$A$15:$A$20,0),0)*INDEX(Transportmittel!$AL$15:$AL$20,MATCH(C$9,Transportmittel!$A$15:$A$20,0),0)/INDEX(Transportmittel!$AI$15:$AI$20,MATCH(C$9,Transportmittel!$A$15:$A$20,0),0))/(365*$D$4*INDEX(Transportmittel!$AG$15:$AG$20,MATCH(C$9,Transportmittel!$A$15:$A$20,0),0))+INDEX(Transportmittel!$AM$15:$AM$20,MATCH(C$9,Transportmittel!$A$15:$A$20,0),0)/INDEX(Transportmittel!$AI$15:$AI$20,MATCH(C$9,Transportmittel!$A$15:$A$20,0),0))*INDEX(Transportoptionen!$C$20:$O$20,1,MATCH(C8,Transportoptionen!$C$7:$O$7,0))</f>
        <v>472.11960740969818</v>
      </c>
      <c r="D20" s="186">
        <f>D11*((INDEX(Transportmittel!$AK$15:$AK$20,MATCH(D$9,Transportmittel!$A$15:$A$20,0),0)+INDEX(Transportmittel!$AG$15:$AG$20,MATCH(D$9,Transportmittel!$A$15:$A$20,0),0)*INDEX(Transportmittel!$AL$15:$AL$20,MATCH(D$9,Transportmittel!$A$15:$A$20,0),0)/INDEX(Transportmittel!$AI$15:$AI$20,MATCH(D$9,Transportmittel!$A$15:$A$20,0),0))/(365*$D$4*INDEX(Transportmittel!$AG$15:$AG$20,MATCH(D$9,Transportmittel!$A$15:$A$20,0),0))+INDEX(Transportmittel!$AM$15:$AM$20,MATCH(D$9,Transportmittel!$A$15:$A$20,0),0)/INDEX(Transportmittel!$AI$15:$AI$20,MATCH(D$9,Transportmittel!$A$15:$A$20,0),0))*INDEX(Transportoptionen!$C$20:$O$20,1,MATCH(D8,Transportoptionen!$C$7:$O$7,0))</f>
        <v>163.79623051781573</v>
      </c>
      <c r="E20" s="186">
        <f>E11*((INDEX(Transportmittel!$AK$15:$AK$20,MATCH(E$9,Transportmittel!$A$15:$A$20,0),0)+INDEX(Transportmittel!$AG$15:$AG$20,MATCH(E$9,Transportmittel!$A$15:$A$20,0),0)*INDEX(Transportmittel!$AL$15:$AL$20,MATCH(E$9,Transportmittel!$A$15:$A$20,0),0)/INDEX(Transportmittel!$AI$15:$AI$20,MATCH(E$9,Transportmittel!$A$15:$A$20,0),0))/(365*$D$4*INDEX(Transportmittel!$AG$15:$AG$20,MATCH(E$9,Transportmittel!$A$15:$A$20,0),0))+INDEX(Transportmittel!$AM$15:$AM$20,MATCH(E$9,Transportmittel!$A$15:$A$20,0),0)/INDEX(Transportmittel!$AI$15:$AI$20,MATCH(E$9,Transportmittel!$A$15:$A$20,0),0))*INDEX(Transportoptionen!$C$20:$O$20,1,MATCH(E8,Transportoptionen!$C$7:$O$7,0))</f>
        <v>37.058169515505099</v>
      </c>
      <c r="F20" s="186">
        <f>FORECAST(F11,INDEX(Transportmittel!$AO$7:$AW$10,MATCH(F$9,Transportmittel!$A$7:$A$10,0),0),Transportmittel!$AO$5:$AW$5)/MIN(INDEX(Transportmittel!$D$7:$D$10,MATCH(F$9,Transportmittel!$A$7:$A$10,0))*INDEX(Transportoptionen!$C$19:$O$19,1,MATCH(F8,Transportoptionen!$C$7:$O$7,0))/1000,INDEX(Transportmittel!$E$7:$E$10,MATCH(F$9,Transportmittel!$A$7:$A$10,0)))*INDEX(Transportoptionen!$C$20:$O$20,1,MATCH(F8,Transportoptionen!$C$7:$O$7,0))</f>
        <v>66.882935890712503</v>
      </c>
      <c r="G20" s="186">
        <f>FORECAST(G11,INDEX(Transportmittel!$AO$7:$AW$10,MATCH(G$9,Transportmittel!$A$7:$A$10,0),0),Transportmittel!$AO$5:$AW$5)/MIN(INDEX(Transportmittel!$D$7:$D$10,MATCH(G$9,Transportmittel!$A$7:$A$10,0))*INDEX(Transportoptionen!$C$19:$O$19,1,MATCH(G8,Transportoptionen!$C$7:$O$7,0))/1000,INDEX(Transportmittel!$E$7:$E$10,MATCH(G$9,Transportmittel!$A$7:$A$10,0)))*INDEX(Transportoptionen!$C$20:$O$20,1,MATCH(G8,Transportoptionen!$C$7:$O$7,0))</f>
        <v>143.82638777708618</v>
      </c>
      <c r="H20" s="186">
        <f>FORECAST(H11,INDEX(Transportmittel!$AO$7:$AW$10,MATCH(H$9,Transportmittel!$A$7:$A$10,0),0),Transportmittel!$AO$5:$AW$5)/MIN(INDEX(Transportmittel!$D$7:$D$10,MATCH(H$9,Transportmittel!$A$7:$A$10,0))*INDEX(Transportoptionen!$C$19:$O$19,1,MATCH(H8,Transportoptionen!$C$7:$O$7,0))/1000,INDEX(Transportmittel!$E$7:$E$10,MATCH(H$9,Transportmittel!$A$7:$A$10,0)))*INDEX(Transportoptionen!$C$20:$O$20,1,MATCH(H8,Transportoptionen!$C$7:$O$7,0))</f>
        <v>125.73232851919767</v>
      </c>
      <c r="I20" s="186">
        <f>FORECAST(I11,INDEX(Transportmittel!$AO$7:$AW$10,MATCH(I$9,Transportmittel!$A$7:$A$10,0),0),Transportmittel!$AO$5:$AW$5)/MIN(INDEX(Transportmittel!$D$7:$D$10,MATCH(I$9,Transportmittel!$A$7:$A$10,0))*INDEX(Transportoptionen!$C$19:$O$19,1,MATCH(I8,Transportoptionen!$C$7:$O$7,0))/1000,INDEX(Transportmittel!$E$7:$E$10,MATCH(I$9,Transportmittel!$A$7:$A$10,0)))*INDEX(Transportoptionen!$C$20:$O$20,1,MATCH(I8,Transportoptionen!$C$7:$O$7,0))</f>
        <v>31.789827608441239</v>
      </c>
      <c r="J20" s="186">
        <f>FORECAST(J11,INDEX(Transportmittel!$AO$7:$AW$10,MATCH(J$9,Transportmittel!$A$7:$A$10,0),0),Transportmittel!$AO$5:$AW$5)/MIN(INDEX(Transportmittel!$D$7:$D$10,MATCH(J$9,Transportmittel!$A$7:$A$10,0))*INDEX(Transportoptionen!$C$19:$O$19,1,MATCH(J8,Transportoptionen!$C$7:$O$7,0))/1000,INDEX(Transportmittel!$E$7:$E$10,MATCH(J$9,Transportmittel!$A$7:$A$10,0)))*INDEX(Transportoptionen!$C$20:$O$20,1,MATCH(J8,Transportoptionen!$C$7:$O$7,0))</f>
        <v>50.208513222033709</v>
      </c>
      <c r="K20" s="186">
        <f>FORECAST(K11,INDEX(Transportmittel!$AO$7:$AW$10,MATCH(K$9,Transportmittel!$A$7:$A$10,0),0),Transportmittel!$AO$5:$AW$5)/MIN(INDEX(Transportmittel!$D$7:$D$10,MATCH(K$9,Transportmittel!$A$7:$A$10,0))*INDEX(Transportoptionen!$C$19:$O$19,1,MATCH(K8,Transportoptionen!$C$7:$O$7,0))/1000,INDEX(Transportmittel!$E$7:$E$10,MATCH(K$9,Transportmittel!$A$7:$A$10,0)))*INDEX(Transportoptionen!$C$20:$O$20,1,MATCH(K8,Transportoptionen!$C$7:$O$7,0))</f>
        <v>607.36556208345769</v>
      </c>
      <c r="L20" s="209">
        <f>FORECAST(L11,INDEX(Transportmittel!$AO$7:$AW$10,MATCH(L$9,Transportmittel!$A$7:$A$10,0),0),Transportmittel!$AO$5:$AW$5)/MIN(INDEX(Transportmittel!$D$7:$D$10,MATCH(L$9,Transportmittel!$A$7:$A$10,0))*INDEX(Transportoptionen!$C$19:$O$19,1,MATCH(L8,Transportoptionen!$C$7:$O$7,0))/1000,INDEX(Transportmittel!$E$7:$E$10,MATCH(L$9,Transportmittel!$A$7:$A$10,0)))*INDEX(Transportoptionen!$C$20:$O$20,1,MATCH(L8,Transportoptionen!$C$7:$O$7,0))</f>
        <v>154.30803211370775</v>
      </c>
    </row>
    <row r="21" spans="1:15">
      <c r="A21" s="302" t="s">
        <v>1868</v>
      </c>
      <c r="B21" s="335" t="s">
        <v>1889</v>
      </c>
      <c r="C21" s="427">
        <f t="shared" ref="C21:L21" si="0">SUM(C17:C20)</f>
        <v>509.65954470082318</v>
      </c>
      <c r="D21" s="427">
        <f t="shared" si="0"/>
        <v>201.33616780894073</v>
      </c>
      <c r="E21" s="427">
        <f t="shared" si="0"/>
        <v>1241.9472612627346</v>
      </c>
      <c r="F21" s="427">
        <f t="shared" si="0"/>
        <v>784.69650680460882</v>
      </c>
      <c r="G21" s="427">
        <f t="shared" si="0"/>
        <v>1426.7918495391405</v>
      </c>
      <c r="H21" s="427">
        <f t="shared" si="0"/>
        <v>1630.3989086923532</v>
      </c>
      <c r="I21" s="427">
        <f t="shared" si="0"/>
        <v>1588.4788210137353</v>
      </c>
      <c r="J21" s="427">
        <f t="shared" si="0"/>
        <v>1606.8975066273276</v>
      </c>
      <c r="K21" s="427">
        <f t="shared" si="0"/>
        <v>3696.1641493306479</v>
      </c>
      <c r="L21" s="428">
        <f t="shared" si="0"/>
        <v>1658.9746122868632</v>
      </c>
    </row>
    <row r="22" spans="1:15">
      <c r="A22" s="303"/>
      <c r="B22" s="329" t="s">
        <v>1890</v>
      </c>
      <c r="C22" s="432">
        <f>C21/'Eingabe Stoffparameter'!$C$7/1000</f>
        <v>1.5295729622210576E-2</v>
      </c>
      <c r="D22" s="432">
        <f>D21/'Eingabe Stoffparameter'!$C$7/1000</f>
        <v>6.0424328711146382E-3</v>
      </c>
      <c r="E22" s="432">
        <f>E21/'Eingabe Stoffparameter'!$C$7/1000</f>
        <v>3.7272900529059835E-2</v>
      </c>
      <c r="F22" s="432">
        <f>F21/'Eingabe Stoffparameter'!$C$7/1000</f>
        <v>2.3550045767556548E-2</v>
      </c>
      <c r="G22" s="432">
        <f>G21/'Eingabe Stoffparameter'!$C$7/1000</f>
        <v>4.2820393701319404E-2</v>
      </c>
      <c r="H22" s="432">
        <f>H21/'Eingabe Stoffparameter'!$C$7/1000</f>
        <v>4.8930979794255473E-2</v>
      </c>
      <c r="I22" s="432">
        <f>I21/'Eingabe Stoffparameter'!$C$7/1000</f>
        <v>4.7672888322137764E-2</v>
      </c>
      <c r="J22" s="432">
        <f>J21/'Eingabe Stoffparameter'!$C$7/1000</f>
        <v>4.8225663675942596E-2</v>
      </c>
      <c r="K22" s="432">
        <f>K21/'Eingabe Stoffparameter'!$C$7/1000</f>
        <v>0.11092802647433325</v>
      </c>
      <c r="L22" s="433">
        <f>L21/'Eingabe Stoffparameter'!$C$7/1000</f>
        <v>4.9788584131289192E-2</v>
      </c>
    </row>
    <row r="24" spans="1:15">
      <c r="A24" s="301" t="s">
        <v>1961</v>
      </c>
      <c r="B24" s="341" t="s">
        <v>28</v>
      </c>
      <c r="C24" s="258">
        <f>INDEX(Transportoptionen!$C$18:$O$18,1,MATCH(C8,Transportoptionen!$C$7:$O$7,0))/(('Eingabe Stoffparameter'!$C$7+(INDEX(Transportoptionen!$C$14:$O$14,1,MATCH(C8,Transportoptionen!$C$7:$O$7,0))+INDEX(Transportoptionen!$C$23:$O$23,1,MATCH(C8,Transportoptionen!$C$7:$O$7,0))*INDEX(Transportoptionen!$C$25:$O$25,1,MATCH(C8,Transportoptionen!$C$7:$O$7,0)))/1000)/INDEX(Transportoptionen!$C$20:$O$20,1,MATCH(C8,Transportoptionen!$C$7:$O$7,0)))</f>
        <v>0.98624225968429369</v>
      </c>
      <c r="D24" s="258">
        <f>INDEX(Transportoptionen!$C$18:$O$18,1,MATCH(D8,Transportoptionen!$C$7:$O$7,0))/(('Eingabe Stoffparameter'!$C$7+(INDEX(Transportoptionen!$C$14:$O$14,1,MATCH(D8,Transportoptionen!$C$7:$O$7,0))+INDEX(Transportoptionen!$C$23:$O$23,1,MATCH(D8,Transportoptionen!$C$7:$O$7,0))*INDEX(Transportoptionen!$C$25:$O$25,1,MATCH(D8,Transportoptionen!$C$7:$O$7,0)))/1000)/INDEX(Transportoptionen!$C$20:$O$20,1,MATCH(D8,Transportoptionen!$C$7:$O$7,0)))</f>
        <v>0.98624225968429369</v>
      </c>
      <c r="E24" s="258">
        <f>INDEX(Transportoptionen!$C$18:$O$18,1,MATCH(E8,Transportoptionen!$C$7:$O$7,0))/(('Eingabe Stoffparameter'!$C$7+(INDEX(Transportoptionen!$C$14:$O$14,1,MATCH(E8,Transportoptionen!$C$7:$O$7,0))+INDEX(Transportoptionen!$C$23:$O$23,1,MATCH(E8,Transportoptionen!$C$7:$O$7,0))*INDEX(Transportoptionen!$C$25:$O$25,1,MATCH(E8,Transportoptionen!$C$7:$O$7,0)))/1000)/INDEX(Transportoptionen!$C$20:$O$20,1,MATCH(E8,Transportoptionen!$C$7:$O$7,0)))</f>
        <v>0.63489874585956585</v>
      </c>
      <c r="F24" s="258">
        <f>INDEX(Transportoptionen!$C$18:$O$18,1,MATCH(F8,Transportoptionen!$C$7:$O$7,0))/(('Eingabe Stoffparameter'!$C$7+(INDEX(Transportoptionen!$C$14:$O$14,1,MATCH(F8,Transportoptionen!$C$7:$O$7,0))+INDEX(Transportoptionen!$C$23:$O$23,1,MATCH(F8,Transportoptionen!$C$7:$O$7,0))*INDEX(Transportoptionen!$C$25:$O$25,1,MATCH(F8,Transportoptionen!$C$7:$O$7,0)))/1000)/INDEX(Transportoptionen!$C$20:$O$20,1,MATCH(F8,Transportoptionen!$C$7:$O$7,0)))</f>
        <v>0.82921717464204203</v>
      </c>
      <c r="G24" s="258">
        <f>INDEX(Transportoptionen!$C$18:$O$18,1,MATCH(G8,Transportoptionen!$C$7:$O$7,0))/(('Eingabe Stoffparameter'!$C$7+(INDEX(Transportoptionen!$C$14:$O$14,1,MATCH(G8,Transportoptionen!$C$7:$O$7,0))+INDEX(Transportoptionen!$C$23:$O$23,1,MATCH(G8,Transportoptionen!$C$7:$O$7,0))*INDEX(Transportoptionen!$C$25:$O$25,1,MATCH(G8,Transportoptionen!$C$7:$O$7,0)))/1000)/INDEX(Transportoptionen!$C$20:$O$20,1,MATCH(G8,Transportoptionen!$C$7:$O$7,0)))</f>
        <v>0.80639094484985663</v>
      </c>
      <c r="H24" s="258">
        <f>INDEX(Transportoptionen!$C$18:$O$18,1,MATCH(H8,Transportoptionen!$C$7:$O$7,0))/(('Eingabe Stoffparameter'!$C$7+(INDEX(Transportoptionen!$C$14:$O$14,1,MATCH(H8,Transportoptionen!$C$7:$O$7,0))+INDEX(Transportoptionen!$C$23:$O$23,1,MATCH(H8,Transportoptionen!$C$7:$O$7,0))*INDEX(Transportoptionen!$C$25:$O$25,1,MATCH(H8,Transportoptionen!$C$7:$O$7,0)))/1000)/INDEX(Transportoptionen!$C$20:$O$20,1,MATCH(H8,Transportoptionen!$C$7:$O$7,0)))</f>
        <v>0.64832424831378532</v>
      </c>
      <c r="I24" s="258">
        <f>INDEX(Transportoptionen!$C$18:$O$18,1,MATCH(I8,Transportoptionen!$C$7:$O$7,0))/(('Eingabe Stoffparameter'!$C$7+(INDEX(Transportoptionen!$C$14:$O$14,1,MATCH(I8,Transportoptionen!$C$7:$O$7,0))+INDEX(Transportoptionen!$C$23:$O$23,1,MATCH(I8,Transportoptionen!$C$7:$O$7,0))*INDEX(Transportoptionen!$C$25:$O$25,1,MATCH(I8,Transportoptionen!$C$7:$O$7,0)))/1000)/INDEX(Transportoptionen!$C$20:$O$20,1,MATCH(I8,Transportoptionen!$C$7:$O$7,0)))</f>
        <v>0.56932380764665846</v>
      </c>
      <c r="J24" s="258">
        <f>INDEX(Transportoptionen!$C$18:$O$18,1,MATCH(J8,Transportoptionen!$C$7:$O$7,0))/(('Eingabe Stoffparameter'!$C$7+(INDEX(Transportoptionen!$C$14:$O$14,1,MATCH(J8,Transportoptionen!$C$7:$O$7,0))+INDEX(Transportoptionen!$C$23:$O$23,1,MATCH(J8,Transportoptionen!$C$7:$O$7,0))*INDEX(Transportoptionen!$C$25:$O$25,1,MATCH(J8,Transportoptionen!$C$7:$O$7,0)))/1000)/INDEX(Transportoptionen!$C$20:$O$20,1,MATCH(J8,Transportoptionen!$C$7:$O$7,0)))</f>
        <v>0.56932380764665846</v>
      </c>
      <c r="K24" s="258">
        <f>INDEX(Transportoptionen!$C$18:$O$18,1,MATCH(K8,Transportoptionen!$C$7:$O$7,0))/(('Eingabe Stoffparameter'!$C$7+(INDEX(Transportoptionen!$C$14:$O$14,1,MATCH(K8,Transportoptionen!$C$7:$O$7,0))+INDEX(Transportoptionen!$C$23:$O$23,1,MATCH(K8,Transportoptionen!$C$7:$O$7,0))*INDEX(Transportoptionen!$C$25:$O$25,1,MATCH(K8,Transportoptionen!$C$7:$O$7,0)))/1000)/INDEX(Transportoptionen!$C$20:$O$20,1,MATCH(K8,Transportoptionen!$C$7:$O$7,0)))</f>
        <v>0.98725940323491024</v>
      </c>
      <c r="L24" s="360">
        <f>INDEX(Transportoptionen!$C$18:$O$18,1,MATCH(L8,Transportoptionen!$C$7:$O$7,0))/(('Eingabe Stoffparameter'!$C$7+(INDEX(Transportoptionen!$C$14:$O$14,1,MATCH(L8,Transportoptionen!$C$7:$O$7,0))+INDEX(Transportoptionen!$C$23:$O$23,1,MATCH(L8,Transportoptionen!$C$7:$O$7,0))*INDEX(Transportoptionen!$C$25:$O$25,1,MATCH(L8,Transportoptionen!$C$7:$O$7,0)))/1000)/INDEX(Transportoptionen!$C$20:$O$20,1,MATCH(L8,Transportoptionen!$C$7:$O$7,0)))</f>
        <v>0.64832424831378532</v>
      </c>
      <c r="M24" s="11"/>
      <c r="N24" s="11"/>
      <c r="O24" s="11"/>
    </row>
    <row r="25" spans="1:15">
      <c r="A25" s="302" t="s">
        <v>1962</v>
      </c>
      <c r="B25" s="335" t="s">
        <v>28</v>
      </c>
      <c r="C25" s="269">
        <f>1/(1+C11*INDEX(Transportmittel!$AH$15:$AH$20,MATCH(C$9,Transportmittel!$A$15:$A$20,0))/INDEX(Transportmittel!$AI$15:$AI$20,MATCH(C$9,Transportmittel!$A$15:$A$20,0))/INDEX(Transportoptionen!$C$18:$O$18,1,MATCH(C8,Transportoptionen!$C$7:$O$7,0)))</f>
        <v>0.98448548419749549</v>
      </c>
      <c r="D25" s="269">
        <f>1/(1+D11*INDEX(Transportmittel!$AH$15:$AH$20,MATCH(D$9,Transportmittel!$A$15:$A$20,0))/INDEX(Transportmittel!$AI$15:$AI$20,MATCH(D$9,Transportmittel!$A$15:$A$20,0))/INDEX(Transportoptionen!$C$18:$O$18,1,MATCH(D8,Transportoptionen!$C$7:$O$7,0)))</f>
        <v>0.99435396192164704</v>
      </c>
      <c r="E25" s="269">
        <f>1/(1+E11*INDEX(Transportmittel!$AH$15:$AH$20,MATCH(E$9,Transportmittel!$A$15:$A$20,0))/INDEX(Transportmittel!$AI$15:$AI$20,MATCH(E$9,Transportmittel!$A$15:$A$20,0))/INDEX(Transportoptionen!$C$18:$O$18,1,MATCH(E8,Transportoptionen!$C$7:$O$7,0)))</f>
        <v>0.99857533941457122</v>
      </c>
      <c r="F25" s="269">
        <f>1/(1+2*F11*1000*INDEX(Transportmittel!$R$7:$R$10,MATCH(F$9,Transportmittel!$A$7:$A$10,0))/INDEX(Transportmittel!$K$7:$K$10,MATCH(F$9,Transportmittel!$A$7:$A$10,0))/(24*INDEX(Transportmittel!$F$7:$F$10,MATCH(F$9,Transportmittel!$A$7:$A$10,0)))/MIN(INDEX(Transportmittel!$D$7:$D$10,MATCH(F$9,Transportmittel!$A$7:$A$10,0))*INDEX(Transportoptionen!$C$19:$O$19,1,MATCH(F8,Transportoptionen!$C$7:$O$7,0)),1000*INDEX(Transportmittel!$E$7:$E$10,MATCH(F$9,Transportmittel!$A$7:$A$10,0)))/INDEX(Transportoptionen!$C$18:$O$18,1,MATCH(F8,Transportoptionen!$C$7:$O$7,0)))</f>
        <v>0.98309894467841852</v>
      </c>
      <c r="G25" s="269">
        <f>1/(1+2*G11*1000*INDEX(Transportmittel!$R$7:$R$10,MATCH(G$9,Transportmittel!$A$7:$A$10,0))/INDEX(Transportmittel!$K$7:$K$10,MATCH(G$9,Transportmittel!$A$7:$A$10,0))/(24*INDEX(Transportmittel!$F$7:$F$10,MATCH(G$9,Transportmittel!$A$7:$A$10,0)))/MIN(INDEX(Transportmittel!$D$7:$D$10,MATCH(G$9,Transportmittel!$A$7:$A$10,0))*INDEX(Transportoptionen!$C$19:$O$19,1,MATCH(G8,Transportoptionen!$C$7:$O$7,0)),1000*INDEX(Transportmittel!$E$7:$E$10,MATCH(G$9,Transportmittel!$A$7:$A$10,0)))/INDEX(Transportoptionen!$C$18:$O$18,1,MATCH(G8,Transportoptionen!$C$7:$O$7,0)))</f>
        <v>0.96555985001827305</v>
      </c>
      <c r="H25" s="269">
        <f>1/(1+2*H11*1000*INDEX(Transportmittel!$R$7:$R$10,MATCH(H$9,Transportmittel!$A$7:$A$10,0))/INDEX(Transportmittel!$K$7:$K$10,MATCH(H$9,Transportmittel!$A$7:$A$10,0))/(24*INDEX(Transportmittel!$F$7:$F$10,MATCH(H$9,Transportmittel!$A$7:$A$10,0)))/MIN(INDEX(Transportmittel!$D$7:$D$10,MATCH(H$9,Transportmittel!$A$7:$A$10,0))*INDEX(Transportoptionen!$C$19:$O$19,1,MATCH(H8,Transportoptionen!$C$7:$O$7,0)),1000*INDEX(Transportmittel!$E$7:$E$10,MATCH(H$9,Transportmittel!$A$7:$A$10,0)))/INDEX(Transportoptionen!$C$18:$O$18,1,MATCH(H8,Transportoptionen!$C$7:$O$7,0)))</f>
        <v>0.96431756833476578</v>
      </c>
      <c r="I25" s="269">
        <f>1/(1+2*I11*1000*INDEX(Transportmittel!$R$7:$R$10,MATCH(I$9,Transportmittel!$A$7:$A$10,0))/INDEX(Transportmittel!$K$7:$K$10,MATCH(I$9,Transportmittel!$A$7:$A$10,0))/(24*INDEX(Transportmittel!$F$7:$F$10,MATCH(I$9,Transportmittel!$A$7:$A$10,0)))/MIN(INDEX(Transportmittel!$D$7:$D$10,MATCH(I$9,Transportmittel!$A$7:$A$10,0))*INDEX(Transportoptionen!$C$19:$O$19,1,MATCH(I8,Transportoptionen!$C$7:$O$7,0)),1000*INDEX(Transportmittel!$E$7:$E$10,MATCH(I$9,Transportmittel!$A$7:$A$10,0)))/INDEX(Transportoptionen!$C$18:$O$18,1,MATCH(I8,Transportoptionen!$C$7:$O$7,0)))</f>
        <v>0.98996330766649354</v>
      </c>
      <c r="J25" s="269">
        <f>1/(1+2*J11*1000*INDEX(Transportmittel!$R$7:$R$10,MATCH(J$9,Transportmittel!$A$7:$A$10,0))/INDEX(Transportmittel!$K$7:$K$10,MATCH(J$9,Transportmittel!$A$7:$A$10,0))/(24*INDEX(Transportmittel!$F$7:$F$10,MATCH(J$9,Transportmittel!$A$7:$A$10,0)))/MIN(INDEX(Transportmittel!$D$7:$D$10,MATCH(J$9,Transportmittel!$A$7:$A$10,0))*INDEX(Transportoptionen!$C$19:$O$19,1,MATCH(J8,Transportoptionen!$C$7:$O$7,0)),1000*INDEX(Transportmittel!$E$7:$E$10,MATCH(J$9,Transportmittel!$A$7:$A$10,0)))/INDEX(Transportoptionen!$C$18:$O$18,1,MATCH(J8,Transportoptionen!$C$7:$O$7,0)))</f>
        <v>0.9833046202826623</v>
      </c>
      <c r="K25" s="269">
        <f>1/(1+2*K11*1000*INDEX(Transportmittel!$R$7:$R$10,MATCH(K$9,Transportmittel!$A$7:$A$10,0))/INDEX(Transportmittel!$K$7:$K$10,MATCH(K$9,Transportmittel!$A$7:$A$10,0))/(24*INDEX(Transportmittel!$F$7:$F$10,MATCH(K$9,Transportmittel!$A$7:$A$10,0)))/MIN(INDEX(Transportmittel!$D$7:$D$10,MATCH(K$9,Transportmittel!$A$7:$A$10,0))*INDEX(Transportoptionen!$C$19:$O$19,1,MATCH(K8,Transportoptionen!$C$7:$O$7,0)),1000*INDEX(Transportmittel!$E$7:$E$10,MATCH(K$9,Transportmittel!$A$7:$A$10,0)))/INDEX(Transportoptionen!$C$18:$O$18,1,MATCH(K8,Transportoptionen!$C$7:$O$7,0)))</f>
        <v>0.85274018613106928</v>
      </c>
      <c r="L25" s="363">
        <f>1/(1+2*L11*1000*INDEX(Transportmittel!$R$7:$R$10,MATCH(L$9,Transportmittel!$A$7:$A$10,0))/INDEX(Transportmittel!$K$7:$K$10,MATCH(L$9,Transportmittel!$A$7:$A$10,0))/(24*INDEX(Transportmittel!$F$7:$F$10,MATCH(L$9,Transportmittel!$A$7:$A$10,0)))/MIN(INDEX(Transportmittel!$D$7:$D$10,MATCH(L$9,Transportmittel!$A$7:$A$10,0))*INDEX(Transportoptionen!$C$19:$O$19,1,MATCH(L8,Transportoptionen!$C$7:$O$7,0)),1000*INDEX(Transportmittel!$E$7:$E$10,MATCH(L$9,Transportmittel!$A$7:$A$10,0)))/INDEX(Transportoptionen!$C$18:$O$18,1,MATCH(L8,Transportoptionen!$C$7:$O$7,0)))</f>
        <v>0.95568952198190693</v>
      </c>
      <c r="M25" s="2"/>
      <c r="N25" s="11"/>
      <c r="O25" s="11"/>
    </row>
    <row r="26" spans="1:15">
      <c r="A26" s="302" t="s">
        <v>1963</v>
      </c>
      <c r="B26" s="335" t="s">
        <v>28</v>
      </c>
      <c r="C26" s="260">
        <f>1/(1+(INDEX(Transportoptionen!$C$15:$O$15,1,MATCH(C8,Transportoptionen!$C$7:$O$7,0))+INDEX(Transportoptionen!$C$16:$O$16,1,MATCH(C8,Transportoptionen!$C$7:$O$7,0)))/1000/'Eingabe Stoffparameter'!$C$7)</f>
        <v>1</v>
      </c>
      <c r="D26" s="260">
        <f>1/(1+(INDEX(Transportoptionen!$C$15:$O$15,1,MATCH(D8,Transportoptionen!$C$7:$O$7,0))+INDEX(Transportoptionen!$C$16:$O$16,1,MATCH(D8,Transportoptionen!$C$7:$O$7,0)))/1000/'Eingabe Stoffparameter'!$C$7)</f>
        <v>1</v>
      </c>
      <c r="E26" s="260">
        <f>1/(1+(INDEX(Transportoptionen!$C$15:$O$15,1,MATCH(E8,Transportoptionen!$C$7:$O$7,0))+INDEX(Transportoptionen!$C$16:$O$16,1,MATCH(E8,Transportoptionen!$C$7:$O$7,0)))/1000/'Eingabe Stoffparameter'!$C$7)</f>
        <v>1</v>
      </c>
      <c r="F26" s="260">
        <f>1/(1+(INDEX(Transportoptionen!$C$15:$O$15,1,MATCH(F8,Transportoptionen!$C$7:$O$7,0))+INDEX(Transportoptionen!$C$16:$O$16,1,MATCH(F8,Transportoptionen!$C$7:$O$7,0)))/1000/'Eingabe Stoffparameter'!$C$7)</f>
        <v>1</v>
      </c>
      <c r="G26" s="260">
        <f>1/(1+(INDEX(Transportoptionen!$C$15:$O$15,1,MATCH(G8,Transportoptionen!$C$7:$O$7,0))+INDEX(Transportoptionen!$C$16:$O$16,1,MATCH(G8,Transportoptionen!$C$7:$O$7,0)))/1000/'Eingabe Stoffparameter'!$C$7)</f>
        <v>1</v>
      </c>
      <c r="H26" s="260">
        <f>1/(1+(INDEX(Transportoptionen!$C$15:$O$15,1,MATCH(H8,Transportoptionen!$C$7:$O$7,0))+INDEX(Transportoptionen!$C$16:$O$16,1,MATCH(H8,Transportoptionen!$C$7:$O$7,0)))/1000/'Eingabe Stoffparameter'!$C$7)</f>
        <v>1</v>
      </c>
      <c r="I26" s="260">
        <f>1/(1+(INDEX(Transportoptionen!$C$15:$O$15,1,MATCH(I8,Transportoptionen!$C$7:$O$7,0))+INDEX(Transportoptionen!$C$16:$O$16,1,MATCH(I8,Transportoptionen!$C$7:$O$7,0)))/1000/'Eingabe Stoffparameter'!$C$7)</f>
        <v>1</v>
      </c>
      <c r="J26" s="260">
        <f>1/(1+(INDEX(Transportoptionen!$C$15:$O$15,1,MATCH(J8,Transportoptionen!$C$7:$O$7,0))+INDEX(Transportoptionen!$C$16:$O$16,1,MATCH(J8,Transportoptionen!$C$7:$O$7,0)))/1000/'Eingabe Stoffparameter'!$C$7)</f>
        <v>1</v>
      </c>
      <c r="K26" s="260">
        <f>1/(1+(INDEX(Transportoptionen!$C$15:$O$15,1,MATCH(K8,Transportoptionen!$C$7:$O$7,0))+INDEX(Transportoptionen!$C$16:$O$16,1,MATCH(K8,Transportoptionen!$C$7:$O$7,0)))/1000/'Eingabe Stoffparameter'!$C$7)</f>
        <v>0.73247091742798687</v>
      </c>
      <c r="L26" s="326">
        <f>1/(1+(INDEX(Transportoptionen!$C$15:$O$15,1,MATCH(L8,Transportoptionen!$C$7:$O$7,0))+INDEX(Transportoptionen!$C$16:$O$16,1,MATCH(L8,Transportoptionen!$C$7:$O$7,0)))/1000/'Eingabe Stoffparameter'!$C$7)</f>
        <v>1</v>
      </c>
      <c r="M26" s="11"/>
      <c r="N26" s="11"/>
      <c r="O26" s="11"/>
    </row>
    <row r="27" spans="1:15">
      <c r="A27" s="303" t="s">
        <v>2170</v>
      </c>
      <c r="B27" s="336" t="s">
        <v>28</v>
      </c>
      <c r="C27" s="434">
        <f t="shared" ref="C27:L27" si="1">C24*C25*C26</f>
        <v>0.97094118856132394</v>
      </c>
      <c r="D27" s="434">
        <f t="shared" si="1"/>
        <v>0.98067389833163532</v>
      </c>
      <c r="E27" s="434">
        <f t="shared" si="1"/>
        <v>0.63399423064060156</v>
      </c>
      <c r="F27" s="434">
        <f t="shared" si="1"/>
        <v>0.81520252929981141</v>
      </c>
      <c r="G27" s="434">
        <f t="shared" si="1"/>
        <v>0.77861871976532104</v>
      </c>
      <c r="H27" s="434">
        <f t="shared" si="1"/>
        <v>0.62519046262641431</v>
      </c>
      <c r="I27" s="434">
        <f t="shared" si="1"/>
        <v>0.56360967975116849</v>
      </c>
      <c r="J27" s="434">
        <f t="shared" si="1"/>
        <v>0.55981873049587694</v>
      </c>
      <c r="K27" s="434">
        <f t="shared" si="1"/>
        <v>0.61664951561571324</v>
      </c>
      <c r="L27" s="435">
        <f t="shared" si="1"/>
        <v>0.61959669096028058</v>
      </c>
      <c r="M27" s="2"/>
      <c r="N27" s="2"/>
      <c r="O27" s="2"/>
    </row>
    <row r="29" spans="1:15">
      <c r="A29" s="301" t="s">
        <v>2012</v>
      </c>
      <c r="B29" s="341" t="s">
        <v>1869</v>
      </c>
      <c r="C29" s="430">
        <f>(C21+C13)/INDEX(Transportoptionen!$C$20:$O$20,1,MATCH(C8,Transportoptionen!$C$7:$O$7,0))</f>
        <v>3409.6595447008231</v>
      </c>
      <c r="D29" s="430">
        <f>(D21+D13)/INDEX(Transportoptionen!$C$20:$O$20,1,MATCH(D8,Transportoptionen!$C$7:$O$7,0))</f>
        <v>3101.3361678089409</v>
      </c>
      <c r="E29" s="430">
        <f>(E21+E13)/INDEX(Transportoptionen!$C$20:$O$20,1,MATCH(E8,Transportoptionen!$C$7:$O$7,0))</f>
        <v>2081.9461892926938</v>
      </c>
      <c r="F29" s="430">
        <f>(F21+F13)/INDEX(Transportoptionen!$C$20:$O$20,1,MATCH(F8,Transportoptionen!$C$7:$O$7,0))</f>
        <v>654.24944140550394</v>
      </c>
      <c r="G29" s="430">
        <f>(G21+G13)/INDEX(Transportoptionen!$C$20:$O$20,1,MATCH(G8,Transportoptionen!$C$7:$O$7,0))</f>
        <v>4326.7918495391405</v>
      </c>
      <c r="H29" s="430">
        <f>(H21+H13)/INDEX(Transportoptionen!$C$20:$O$20,1,MATCH(H8,Transportoptionen!$C$7:$O$7,0))</f>
        <v>855.12304474662471</v>
      </c>
      <c r="I29" s="430">
        <f>(I21+I13)/INDEX(Transportoptionen!$C$20:$O$20,1,MATCH(I8,Transportoptionen!$C$7:$O$7,0))</f>
        <v>1995.0183661736194</v>
      </c>
      <c r="J29" s="430">
        <f>(J21+J13)/INDEX(Transportoptionen!$C$20:$O$20,1,MATCH(J8,Transportoptionen!$C$7:$O$7,0))</f>
        <v>2003.2050186109354</v>
      </c>
      <c r="K29" s="430">
        <f>(K21+K13)/INDEX(Transportoptionen!$C$20:$O$20,1,MATCH(K8,Transportoptionen!$C$7:$O$7,0))</f>
        <v>407.10882688917451</v>
      </c>
      <c r="L29" s="431">
        <f>(L21+L13)/INDEX(Transportoptionen!$C$20:$O$20,1,MATCH(L8,Transportoptionen!$C$7:$O$7,0))</f>
        <v>860.5167734570548</v>
      </c>
    </row>
    <row r="30" spans="1:15">
      <c r="A30" s="303" t="s">
        <v>2013</v>
      </c>
      <c r="B30" s="336" t="s">
        <v>2273</v>
      </c>
      <c r="C30" s="436">
        <f>C29/1000/INDEX(Transportoptionen!$C$18:$O$18,1,MATCH(C8,Transportoptionen!$C$7:$O$7,0))</f>
        <v>0.10232954732584873</v>
      </c>
      <c r="D30" s="436">
        <f>D29/1000/INDEX(Transportoptionen!$C$18:$O$18,1,MATCH(D8,Transportoptionen!$C$7:$O$7,0))</f>
        <v>9.30762505747528E-2</v>
      </c>
      <c r="E30" s="436">
        <f>E29/1000/INDEX(Transportoptionen!$C$18:$O$18,1,MATCH(E8,Transportoptionen!$C$7:$O$7,0))</f>
        <v>0.14982130671561142</v>
      </c>
      <c r="F30" s="436">
        <f>F29/1000/INDEX(Transportoptionen!$C$18:$O$18,1,MATCH(F8,Transportoptionen!$C$7:$O$7,0))</f>
        <v>0.1266039851523256</v>
      </c>
      <c r="G30" s="436">
        <f>G29/1000/INDEX(Transportoptionen!$C$18:$O$18,1,MATCH(G8,Transportoptionen!$C$7:$O$7,0))</f>
        <v>0.12985421140495756</v>
      </c>
      <c r="H30" s="436">
        <f>H29/1000/INDEX(Transportoptionen!$C$18:$O$18,1,MATCH(H8,Transportoptionen!$C$7:$O$7,0))</f>
        <v>0.14674736430434004</v>
      </c>
      <c r="I30" s="436">
        <f>I29/1000/INDEX(Transportoptionen!$C$18:$O$18,1,MATCH(I8,Transportoptionen!$C$7:$O$7,0))</f>
        <v>0.1697887971211591</v>
      </c>
      <c r="J30" s="436">
        <f>J29/1000/INDEX(Transportoptionen!$C$18:$O$18,1,MATCH(J8,Transportoptionen!$C$7:$O$7,0))</f>
        <v>0.17048553349880302</v>
      </c>
      <c r="K30" s="436">
        <f>K29/1000/INDEX(Transportoptionen!$C$18:$O$18,1,MATCH(K8,Transportoptionen!$C$7:$O$7,0))</f>
        <v>0.19796184417797141</v>
      </c>
      <c r="L30" s="437">
        <f>L29/1000/INDEX(Transportoptionen!$C$18:$O$18,1,MATCH(L8,Transportoptionen!$C$7:$O$7,0))</f>
        <v>0.14767298018721312</v>
      </c>
    </row>
    <row r="31" spans="1:15">
      <c r="A31" s="27"/>
      <c r="C31" s="17"/>
      <c r="D31" s="17"/>
      <c r="E31" s="17"/>
      <c r="F31" s="17"/>
      <c r="G31" s="17"/>
      <c r="H31" s="17"/>
      <c r="I31" s="17"/>
      <c r="J31" s="17"/>
      <c r="K31" s="17"/>
      <c r="L31" s="17"/>
    </row>
    <row r="32" spans="1:15" s="16" customFormat="1">
      <c r="A32" s="27"/>
    </row>
  </sheetData>
  <mergeCells count="2">
    <mergeCell ref="A2:D2"/>
    <mergeCell ref="A1:H1"/>
  </mergeCells>
  <pageMargins left="0.7" right="0.7" top="0.78740157499999996" bottom="0.78740157499999996"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0"/>
  <dimension ref="A1:AO1697"/>
  <sheetViews>
    <sheetView zoomScale="70" zoomScaleNormal="70" workbookViewId="0">
      <selection activeCell="F1" sqref="F1"/>
    </sheetView>
  </sheetViews>
  <sheetFormatPr baseColWidth="10" defaultRowHeight="14.5"/>
  <cols>
    <col min="1" max="1" width="33" customWidth="1"/>
    <col min="2" max="7" width="10.54296875" customWidth="1"/>
    <col min="8" max="8" width="13" customWidth="1"/>
    <col min="9" max="10" width="10.54296875" customWidth="1"/>
    <col min="11" max="11" width="13" customWidth="1"/>
    <col min="12" max="12" width="51.453125" customWidth="1"/>
    <col min="13" max="13" width="35.81640625" customWidth="1"/>
    <col min="15" max="15" width="13.453125" customWidth="1"/>
    <col min="19" max="27" width="11.54296875" customWidth="1"/>
  </cols>
  <sheetData>
    <row r="1" spans="1:37" ht="15.5">
      <c r="A1" s="818" t="s">
        <v>52</v>
      </c>
      <c r="B1" s="819"/>
      <c r="C1" s="819"/>
      <c r="D1" s="819"/>
      <c r="E1" s="820"/>
      <c r="F1" s="27"/>
      <c r="G1" s="27"/>
      <c r="R1" s="812" t="s">
        <v>2327</v>
      </c>
      <c r="S1" s="813"/>
      <c r="T1" s="813"/>
      <c r="U1" s="813"/>
      <c r="V1" s="813"/>
      <c r="W1" s="814"/>
      <c r="X1" s="27"/>
      <c r="Y1" s="27"/>
      <c r="Z1" s="27"/>
      <c r="AA1" s="27"/>
      <c r="AB1" s="27"/>
      <c r="AC1" s="27"/>
      <c r="AD1" s="27"/>
      <c r="AE1" s="27"/>
      <c r="AF1" s="27"/>
      <c r="AG1" s="27"/>
      <c r="AH1" s="27"/>
      <c r="AI1" s="27"/>
    </row>
    <row r="2" spans="1:37" ht="15" thickBot="1">
      <c r="A2" s="812" t="s">
        <v>2326</v>
      </c>
      <c r="B2" s="813"/>
      <c r="C2" s="813"/>
      <c r="D2" s="813"/>
      <c r="E2" s="813"/>
      <c r="F2" s="813"/>
      <c r="G2" s="813"/>
      <c r="H2" s="813"/>
      <c r="I2" s="813"/>
      <c r="J2" s="813"/>
      <c r="K2" s="813"/>
      <c r="L2" s="814"/>
      <c r="M2" s="27"/>
      <c r="N2" s="27"/>
      <c r="O2" s="27"/>
      <c r="P2" s="27"/>
      <c r="Q2" s="27"/>
      <c r="R2" s="27"/>
      <c r="T2" s="457" t="s">
        <v>1728</v>
      </c>
      <c r="U2" s="445">
        <f>1/157000000</f>
        <v>6.3694267515923568E-9</v>
      </c>
      <c r="V2" s="446" t="s">
        <v>1731</v>
      </c>
      <c r="W2" s="457" t="s">
        <v>2341</v>
      </c>
      <c r="X2" s="446">
        <v>3.3</v>
      </c>
      <c r="Y2" s="457" t="s">
        <v>2342</v>
      </c>
      <c r="Z2" s="447">
        <v>1.2</v>
      </c>
    </row>
    <row r="3" spans="1:37" ht="15.5" thickTop="1" thickBot="1">
      <c r="A3" s="815" t="s">
        <v>55</v>
      </c>
      <c r="B3" s="816"/>
      <c r="C3" s="816"/>
      <c r="D3" s="816"/>
      <c r="E3" s="816"/>
      <c r="F3" s="816"/>
      <c r="G3" s="816"/>
      <c r="H3" s="817"/>
      <c r="I3" s="27"/>
      <c r="J3" s="27"/>
      <c r="R3" s="465" t="s">
        <v>53</v>
      </c>
      <c r="S3" s="458">
        <v>34103.488855920004</v>
      </c>
      <c r="T3" s="459">
        <v>45522.0399059712</v>
      </c>
      <c r="U3" s="459">
        <v>57163.573825380001</v>
      </c>
      <c r="V3" s="459">
        <v>70129.679474032804</v>
      </c>
      <c r="W3" s="459">
        <v>81503.303645220003</v>
      </c>
      <c r="X3" s="459">
        <v>90838.205041459209</v>
      </c>
      <c r="Y3" s="459">
        <v>100360.82896095121</v>
      </c>
      <c r="Z3" s="459">
        <v>110375.94155727122</v>
      </c>
      <c r="AA3" s="460">
        <v>131722.08496127999</v>
      </c>
      <c r="AC3" s="18"/>
      <c r="AD3" s="18"/>
      <c r="AE3" s="18"/>
      <c r="AF3" s="18"/>
      <c r="AG3" s="18"/>
      <c r="AH3" s="18"/>
      <c r="AI3" s="18"/>
      <c r="AJ3" s="18"/>
      <c r="AK3" s="18"/>
    </row>
    <row r="4" spans="1:37" ht="15.5" thickTop="1" thickBot="1">
      <c r="A4" s="462" t="s">
        <v>53</v>
      </c>
      <c r="B4" s="468">
        <f t="shared" ref="B4:J4" si="0">-0.0002390712*B8^2+14.08449*B8</f>
        <v>34103.488855920004</v>
      </c>
      <c r="C4" s="469">
        <f t="shared" si="0"/>
        <v>45522.0399059712</v>
      </c>
      <c r="D4" s="469">
        <f t="shared" si="0"/>
        <v>57163.573825380001</v>
      </c>
      <c r="E4" s="469">
        <f t="shared" si="0"/>
        <v>70129.679474032804</v>
      </c>
      <c r="F4" s="469">
        <f t="shared" si="0"/>
        <v>81503.303645220003</v>
      </c>
      <c r="G4" s="469">
        <f t="shared" si="0"/>
        <v>90838.205041459209</v>
      </c>
      <c r="H4" s="469">
        <f t="shared" si="0"/>
        <v>100360.82896095121</v>
      </c>
      <c r="I4" s="469">
        <f t="shared" si="0"/>
        <v>110375.94155727122</v>
      </c>
      <c r="J4" s="470">
        <f t="shared" si="0"/>
        <v>131722.08496127999</v>
      </c>
      <c r="R4" s="466" t="s">
        <v>1729</v>
      </c>
      <c r="S4" s="147"/>
      <c r="T4" s="145"/>
      <c r="U4" s="145"/>
      <c r="V4" s="145"/>
      <c r="W4" s="145"/>
      <c r="X4" s="145"/>
      <c r="Y4" s="145"/>
      <c r="Z4" s="145"/>
      <c r="AA4" s="148"/>
      <c r="AC4" s="18"/>
      <c r="AD4" s="18"/>
      <c r="AE4" s="18"/>
      <c r="AF4" s="18"/>
      <c r="AG4" s="18"/>
      <c r="AH4" s="18"/>
      <c r="AI4" s="18"/>
      <c r="AJ4" s="18"/>
      <c r="AK4" s="18"/>
    </row>
    <row r="5" spans="1:37" ht="15" thickTop="1">
      <c r="A5" s="463" t="s">
        <v>54</v>
      </c>
      <c r="B5" s="471">
        <f t="shared" ref="B5:J5" si="1">-9.103278E-15*B8^4+0.0000000004349943*B8^3-0.000007713997*B8^2+0.06819518*B8+82.79616</f>
        <v>212.62488504630488</v>
      </c>
      <c r="C5" s="472">
        <f t="shared" si="1"/>
        <v>242.30310825891075</v>
      </c>
      <c r="D5" s="472">
        <f t="shared" si="1"/>
        <v>266.81672606580054</v>
      </c>
      <c r="E5" s="472">
        <f t="shared" si="1"/>
        <v>288.41234319279226</v>
      </c>
      <c r="F5" s="472">
        <f t="shared" si="1"/>
        <v>303.42405172338988</v>
      </c>
      <c r="G5" s="472">
        <f t="shared" si="1"/>
        <v>313.6931716054213</v>
      </c>
      <c r="H5" s="472">
        <f t="shared" si="1"/>
        <v>322.85576796294168</v>
      </c>
      <c r="I5" s="472">
        <f t="shared" si="1"/>
        <v>331.6792304864386</v>
      </c>
      <c r="J5" s="473">
        <f t="shared" si="1"/>
        <v>350.49792177962502</v>
      </c>
      <c r="R5" s="448">
        <v>13</v>
      </c>
      <c r="S5" s="477">
        <f t="shared" ref="S5:AA5" si="2">$U$2*POWER($R5,$X$2)*POWER(S$3,$Z$2)</f>
        <v>8.3075312337491223</v>
      </c>
      <c r="T5" s="478">
        <f t="shared" si="2"/>
        <v>11.74842012080313</v>
      </c>
      <c r="U5" s="478">
        <f t="shared" si="2"/>
        <v>15.440332822756144</v>
      </c>
      <c r="V5" s="478">
        <f t="shared" si="2"/>
        <v>19.733114459675104</v>
      </c>
      <c r="W5" s="478">
        <f t="shared" si="2"/>
        <v>23.633261775452251</v>
      </c>
      <c r="X5" s="478">
        <f t="shared" si="2"/>
        <v>26.917558339933493</v>
      </c>
      <c r="Y5" s="478">
        <f t="shared" si="2"/>
        <v>30.338248060437479</v>
      </c>
      <c r="Z5" s="478">
        <f t="shared" si="2"/>
        <v>34.006561061300758</v>
      </c>
      <c r="AA5" s="479">
        <f t="shared" si="2"/>
        <v>42.043970799283215</v>
      </c>
      <c r="AC5" s="18"/>
      <c r="AD5" s="18"/>
      <c r="AE5" s="18"/>
      <c r="AF5" s="18"/>
      <c r="AG5" s="18"/>
      <c r="AH5" s="18"/>
      <c r="AI5" s="18"/>
      <c r="AJ5" s="18"/>
      <c r="AK5" s="18"/>
    </row>
    <row r="6" spans="1:37">
      <c r="A6" s="463" t="s">
        <v>2329</v>
      </c>
      <c r="B6" s="471" t="s">
        <v>40</v>
      </c>
      <c r="C6" s="472" t="s">
        <v>41</v>
      </c>
      <c r="D6" s="472" t="s">
        <v>42</v>
      </c>
      <c r="E6" s="472" t="s">
        <v>43</v>
      </c>
      <c r="F6" s="472" t="s">
        <v>44</v>
      </c>
      <c r="G6" s="472" t="s">
        <v>45</v>
      </c>
      <c r="H6" s="472" t="s">
        <v>46</v>
      </c>
      <c r="I6" s="472" t="s">
        <v>47</v>
      </c>
      <c r="J6" s="473" t="s">
        <v>48</v>
      </c>
      <c r="R6" s="449">
        <v>14</v>
      </c>
      <c r="S6" s="62">
        <f t="shared" ref="S6:AA17" si="3">$U$2*POWER($R6,$X$2)*POWER(S$3,$Z$2)</f>
        <v>10.609170716889256</v>
      </c>
      <c r="T6" s="62">
        <f t="shared" si="3"/>
        <v>15.003373590578441</v>
      </c>
      <c r="U6" s="62">
        <f t="shared" si="3"/>
        <v>19.718147573943309</v>
      </c>
      <c r="V6" s="62">
        <f t="shared" si="3"/>
        <v>25.200263975911671</v>
      </c>
      <c r="W6" s="62">
        <f t="shared" si="3"/>
        <v>30.180964924227442</v>
      </c>
      <c r="X6" s="62">
        <f t="shared" si="3"/>
        <v>34.375190856947739</v>
      </c>
      <c r="Y6" s="62">
        <f t="shared" si="3"/>
        <v>38.74359829270977</v>
      </c>
      <c r="Z6" s="62">
        <f t="shared" si="3"/>
        <v>43.428234169977429</v>
      </c>
      <c r="AA6" s="480">
        <f t="shared" si="3"/>
        <v>53.6924449965869</v>
      </c>
      <c r="AC6" s="18"/>
      <c r="AD6" s="18"/>
      <c r="AE6" s="18"/>
      <c r="AF6" s="18"/>
      <c r="AG6" s="18"/>
      <c r="AH6" s="18"/>
      <c r="AI6" s="18"/>
      <c r="AJ6" s="18"/>
      <c r="AK6" s="18"/>
    </row>
    <row r="7" spans="1:37">
      <c r="A7" s="463" t="s">
        <v>2330</v>
      </c>
      <c r="B7" s="471">
        <v>764</v>
      </c>
      <c r="C7" s="472">
        <v>350</v>
      </c>
      <c r="D7" s="472">
        <v>469</v>
      </c>
      <c r="E7" s="472">
        <v>285</v>
      </c>
      <c r="F7" s="472">
        <v>146</v>
      </c>
      <c r="G7" s="472">
        <v>60</v>
      </c>
      <c r="H7" s="472">
        <v>122</v>
      </c>
      <c r="I7" s="472">
        <v>46</v>
      </c>
      <c r="J7" s="473">
        <v>17</v>
      </c>
      <c r="R7" s="449">
        <v>15</v>
      </c>
      <c r="S7" s="62">
        <f t="shared" si="3"/>
        <v>13.321713060102708</v>
      </c>
      <c r="T7" s="62">
        <f t="shared" si="3"/>
        <v>18.839421406333393</v>
      </c>
      <c r="U7" s="62">
        <f t="shared" si="3"/>
        <v>24.75966416853494</v>
      </c>
      <c r="V7" s="62">
        <f t="shared" si="3"/>
        <v>31.643442704857605</v>
      </c>
      <c r="W7" s="62">
        <f t="shared" si="3"/>
        <v>37.897604377081052</v>
      </c>
      <c r="X7" s="62">
        <f t="shared" si="3"/>
        <v>43.164205874594181</v>
      </c>
      <c r="Y7" s="62">
        <f t="shared" si="3"/>
        <v>48.649523430677796</v>
      </c>
      <c r="Z7" s="62">
        <f t="shared" si="3"/>
        <v>54.531922405432063</v>
      </c>
      <c r="AA7" s="480">
        <f t="shared" si="3"/>
        <v>67.420476569501915</v>
      </c>
      <c r="AC7" s="18"/>
      <c r="AD7" s="18"/>
      <c r="AE7" s="18"/>
      <c r="AF7" s="18"/>
      <c r="AG7" s="18"/>
      <c r="AH7" s="18"/>
      <c r="AI7" s="18"/>
      <c r="AJ7" s="18"/>
      <c r="AK7" s="18"/>
    </row>
    <row r="8" spans="1:37">
      <c r="A8" s="463" t="s">
        <v>2331</v>
      </c>
      <c r="B8" s="471">
        <v>2530</v>
      </c>
      <c r="C8" s="472">
        <v>3432</v>
      </c>
      <c r="D8" s="472">
        <v>4385</v>
      </c>
      <c r="E8" s="472">
        <v>5491</v>
      </c>
      <c r="F8" s="472">
        <v>6505</v>
      </c>
      <c r="G8" s="472">
        <v>7372</v>
      </c>
      <c r="H8" s="472">
        <v>8293</v>
      </c>
      <c r="I8" s="472">
        <v>9307</v>
      </c>
      <c r="J8" s="473">
        <v>11660</v>
      </c>
      <c r="R8" s="449">
        <v>16</v>
      </c>
      <c r="S8" s="62">
        <f t="shared" si="3"/>
        <v>16.483706113276703</v>
      </c>
      <c r="T8" s="62">
        <f t="shared" si="3"/>
        <v>23.311077517216809</v>
      </c>
      <c r="U8" s="62">
        <f t="shared" si="3"/>
        <v>30.636527432787311</v>
      </c>
      <c r="V8" s="62">
        <f t="shared" si="3"/>
        <v>39.154214447189197</v>
      </c>
      <c r="W8" s="62">
        <f t="shared" si="3"/>
        <v>46.892841043088545</v>
      </c>
      <c r="X8" s="62">
        <f t="shared" si="3"/>
        <v>53.409503795775109</v>
      </c>
      <c r="Y8" s="62">
        <f t="shared" si="3"/>
        <v>60.196796250172291</v>
      </c>
      <c r="Z8" s="62">
        <f t="shared" si="3"/>
        <v>67.475419915418982</v>
      </c>
      <c r="AA8" s="480">
        <f t="shared" si="3"/>
        <v>83.423154122504386</v>
      </c>
      <c r="AC8" s="18"/>
      <c r="AD8" s="18"/>
      <c r="AE8" s="18"/>
      <c r="AF8" s="18"/>
      <c r="AG8" s="18"/>
      <c r="AH8" s="18"/>
      <c r="AI8" s="18"/>
      <c r="AJ8" s="18"/>
      <c r="AK8" s="18"/>
    </row>
    <row r="9" spans="1:37">
      <c r="A9" s="463" t="s">
        <v>2332</v>
      </c>
      <c r="B9" s="471">
        <v>21.2</v>
      </c>
      <c r="C9" s="472">
        <v>22.4</v>
      </c>
      <c r="D9" s="472">
        <v>23.9</v>
      </c>
      <c r="E9" s="472">
        <v>24.5</v>
      </c>
      <c r="F9" s="472">
        <v>25.3</v>
      </c>
      <c r="G9" s="472">
        <v>25.1</v>
      </c>
      <c r="H9" s="472">
        <v>24.9</v>
      </c>
      <c r="I9" s="472">
        <v>25.1</v>
      </c>
      <c r="J9" s="473">
        <v>23.6</v>
      </c>
      <c r="R9" s="449">
        <v>17</v>
      </c>
      <c r="S9" s="62">
        <f t="shared" si="3"/>
        <v>20.134477350578866</v>
      </c>
      <c r="T9" s="62">
        <f t="shared" si="3"/>
        <v>28.473958408537126</v>
      </c>
      <c r="U9" s="62">
        <f t="shared" si="3"/>
        <v>37.421831198446661</v>
      </c>
      <c r="V9" s="62">
        <f t="shared" si="3"/>
        <v>47.82599486723845</v>
      </c>
      <c r="W9" s="62">
        <f t="shared" si="3"/>
        <v>57.278553706189349</v>
      </c>
      <c r="X9" s="62">
        <f t="shared" si="3"/>
        <v>65.238511114653846</v>
      </c>
      <c r="Y9" s="62">
        <f t="shared" si="3"/>
        <v>73.529036634563724</v>
      </c>
      <c r="Z9" s="62">
        <f t="shared" si="3"/>
        <v>82.4197122098373</v>
      </c>
      <c r="AA9" s="480">
        <f t="shared" si="3"/>
        <v>101.89951189681334</v>
      </c>
      <c r="AC9" s="18"/>
      <c r="AD9" s="18"/>
      <c r="AE9" s="18"/>
      <c r="AF9" s="18"/>
      <c r="AG9" s="18"/>
      <c r="AH9" s="18"/>
      <c r="AI9" s="18"/>
      <c r="AJ9" s="18"/>
      <c r="AK9" s="18"/>
    </row>
    <row r="10" spans="1:37">
      <c r="A10" s="463" t="s">
        <v>2333</v>
      </c>
      <c r="B10" s="471">
        <v>10.1</v>
      </c>
      <c r="C10" s="472">
        <v>11.6</v>
      </c>
      <c r="D10" s="472">
        <v>6.5</v>
      </c>
      <c r="E10" s="472">
        <v>5.2</v>
      </c>
      <c r="F10" s="472">
        <v>4.4000000000000004</v>
      </c>
      <c r="G10" s="472">
        <v>4.7</v>
      </c>
      <c r="H10" s="472">
        <v>1.9</v>
      </c>
      <c r="I10" s="472">
        <v>1.4</v>
      </c>
      <c r="J10" s="473">
        <v>0.6</v>
      </c>
      <c r="R10" s="449">
        <v>18</v>
      </c>
      <c r="S10" s="62">
        <f t="shared" si="3"/>
        <v>24.314099353168672</v>
      </c>
      <c r="T10" s="62">
        <f t="shared" si="3"/>
        <v>34.384734287789207</v>
      </c>
      <c r="U10" s="62">
        <f t="shared" si="3"/>
        <v>45.190054149102622</v>
      </c>
      <c r="V10" s="62">
        <f t="shared" si="3"/>
        <v>57.753969503099064</v>
      </c>
      <c r="W10" s="62">
        <f t="shared" si="3"/>
        <v>69.168740830417235</v>
      </c>
      <c r="X10" s="62">
        <f t="shared" si="3"/>
        <v>78.781068575832123</v>
      </c>
      <c r="Y10" s="62">
        <f t="shared" si="3"/>
        <v>88.79258552118128</v>
      </c>
      <c r="Z10" s="62">
        <f t="shared" si="3"/>
        <v>99.528834865531749</v>
      </c>
      <c r="AA10" s="480">
        <f t="shared" si="3"/>
        <v>123.0523550802416</v>
      </c>
      <c r="AC10" s="18"/>
      <c r="AD10" s="18"/>
      <c r="AE10" s="18"/>
      <c r="AF10" s="18"/>
      <c r="AG10" s="18"/>
      <c r="AH10" s="18"/>
      <c r="AI10" s="18"/>
      <c r="AJ10" s="18"/>
      <c r="AK10" s="18"/>
    </row>
    <row r="11" spans="1:37">
      <c r="A11" s="463" t="s">
        <v>2334</v>
      </c>
      <c r="B11" s="471">
        <v>20699</v>
      </c>
      <c r="C11" s="472">
        <v>26741</v>
      </c>
      <c r="D11" s="472">
        <v>38616</v>
      </c>
      <c r="E11" s="472">
        <v>49243</v>
      </c>
      <c r="F11" s="472">
        <v>57764</v>
      </c>
      <c r="G11" s="472">
        <v>61436</v>
      </c>
      <c r="H11" s="472">
        <v>64353</v>
      </c>
      <c r="I11" s="472">
        <v>67259</v>
      </c>
      <c r="J11" s="473">
        <v>66580</v>
      </c>
      <c r="R11" s="449">
        <v>19</v>
      </c>
      <c r="S11" s="62">
        <f t="shared" si="3"/>
        <v>29.063358786985471</v>
      </c>
      <c r="T11" s="62">
        <f t="shared" si="3"/>
        <v>41.101085213380244</v>
      </c>
      <c r="U11" s="62">
        <f t="shared" si="3"/>
        <v>54.017002162471989</v>
      </c>
      <c r="V11" s="62">
        <f t="shared" si="3"/>
        <v>69.035020078686813</v>
      </c>
      <c r="W11" s="62">
        <f t="shared" si="3"/>
        <v>82.679432307923165</v>
      </c>
      <c r="X11" s="62">
        <f t="shared" si="3"/>
        <v>94.169330658062151</v>
      </c>
      <c r="Y11" s="62">
        <f t="shared" si="3"/>
        <v>106.13639161139118</v>
      </c>
      <c r="Z11" s="62">
        <f t="shared" si="3"/>
        <v>118.96974653805559</v>
      </c>
      <c r="AA11" s="480">
        <f t="shared" si="3"/>
        <v>147.08810280544165</v>
      </c>
    </row>
    <row r="12" spans="1:37">
      <c r="A12" s="463" t="s">
        <v>2335</v>
      </c>
      <c r="B12" s="471"/>
      <c r="C12" s="472"/>
      <c r="D12" s="472"/>
      <c r="E12" s="472"/>
      <c r="F12" s="472"/>
      <c r="G12" s="472"/>
      <c r="H12" s="472"/>
      <c r="I12" s="472"/>
      <c r="J12" s="473"/>
      <c r="R12" s="449">
        <v>20</v>
      </c>
      <c r="S12" s="62">
        <f t="shared" si="3"/>
        <v>34.423728344534631</v>
      </c>
      <c r="T12" s="62">
        <f t="shared" si="3"/>
        <v>48.681661415009593</v>
      </c>
      <c r="U12" s="62">
        <f t="shared" si="3"/>
        <v>63.97975616155356</v>
      </c>
      <c r="V12" s="62">
        <f t="shared" si="3"/>
        <v>81.767657856268698</v>
      </c>
      <c r="W12" s="62">
        <f t="shared" si="3"/>
        <v>97.92860963897887</v>
      </c>
      <c r="X12" s="62">
        <f t="shared" si="3"/>
        <v>111.53767466172555</v>
      </c>
      <c r="Y12" s="62">
        <f t="shared" si="3"/>
        <v>125.71190890489075</v>
      </c>
      <c r="Z12" s="62">
        <f t="shared" si="3"/>
        <v>140.91221410644633</v>
      </c>
      <c r="AA12" s="480">
        <f t="shared" si="3"/>
        <v>174.21664614878762</v>
      </c>
      <c r="AC12" s="18"/>
      <c r="AD12" s="18"/>
      <c r="AE12" s="18"/>
      <c r="AF12" s="18"/>
      <c r="AG12" s="18"/>
      <c r="AH12" s="18"/>
      <c r="AI12" s="18"/>
      <c r="AJ12" s="18"/>
    </row>
    <row r="13" spans="1:37">
      <c r="A13" s="444" t="s">
        <v>2336</v>
      </c>
      <c r="B13" s="471">
        <v>93</v>
      </c>
      <c r="C13" s="472">
        <v>98</v>
      </c>
      <c r="D13" s="472">
        <v>99</v>
      </c>
      <c r="E13" s="472">
        <v>97</v>
      </c>
      <c r="F13" s="472">
        <v>99</v>
      </c>
      <c r="G13" s="472">
        <v>98</v>
      </c>
      <c r="H13" s="472">
        <v>99</v>
      </c>
      <c r="I13" s="472">
        <v>100</v>
      </c>
      <c r="J13" s="473">
        <v>100</v>
      </c>
      <c r="R13" s="449">
        <v>21</v>
      </c>
      <c r="S13" s="62">
        <f t="shared" si="3"/>
        <v>40.437341224394061</v>
      </c>
      <c r="T13" s="62">
        <f t="shared" si="3"/>
        <v>57.186047202865055</v>
      </c>
      <c r="U13" s="62">
        <f t="shared" si="3"/>
        <v>75.156624682376346</v>
      </c>
      <c r="V13" s="62">
        <f t="shared" si="3"/>
        <v>96.051963016911344</v>
      </c>
      <c r="W13" s="62">
        <f t="shared" si="3"/>
        <v>115.03613333128656</v>
      </c>
      <c r="X13" s="62">
        <f t="shared" si="3"/>
        <v>131.02261801887983</v>
      </c>
      <c r="Y13" s="62">
        <f t="shared" si="3"/>
        <v>147.673003501496</v>
      </c>
      <c r="Z13" s="62">
        <f t="shared" si="3"/>
        <v>165.52870820606273</v>
      </c>
      <c r="AA13" s="480">
        <f t="shared" si="3"/>
        <v>204.65121897252413</v>
      </c>
      <c r="AC13" s="18"/>
      <c r="AD13" s="18"/>
      <c r="AE13" s="18"/>
      <c r="AF13" s="18"/>
      <c r="AG13" s="18"/>
      <c r="AH13" s="18"/>
      <c r="AI13" s="18"/>
      <c r="AJ13" s="18"/>
    </row>
    <row r="14" spans="1:37">
      <c r="A14" s="444" t="s">
        <v>2337</v>
      </c>
      <c r="B14" s="471">
        <v>7</v>
      </c>
      <c r="C14" s="472">
        <v>2</v>
      </c>
      <c r="D14" s="472">
        <v>1</v>
      </c>
      <c r="E14" s="472">
        <v>3</v>
      </c>
      <c r="F14" s="472">
        <v>1</v>
      </c>
      <c r="G14" s="472">
        <v>2</v>
      </c>
      <c r="H14" s="472">
        <v>1</v>
      </c>
      <c r="I14" s="472">
        <v>0</v>
      </c>
      <c r="J14" s="473">
        <v>0</v>
      </c>
      <c r="R14" s="449">
        <v>22</v>
      </c>
      <c r="S14" s="62">
        <f t="shared" si="3"/>
        <v>47.146967802000795</v>
      </c>
      <c r="T14" s="62">
        <f t="shared" si="3"/>
        <v>66.674727975703533</v>
      </c>
      <c r="U14" s="62">
        <f t="shared" si="3"/>
        <v>87.627100514449126</v>
      </c>
      <c r="V14" s="62">
        <f t="shared" si="3"/>
        <v>111.98952924593891</v>
      </c>
      <c r="W14" s="62">
        <f t="shared" si="3"/>
        <v>134.12367653304111</v>
      </c>
      <c r="X14" s="62">
        <f t="shared" si="3"/>
        <v>152.76274270335739</v>
      </c>
      <c r="Y14" s="62">
        <f t="shared" si="3"/>
        <v>172.17586840525792</v>
      </c>
      <c r="Z14" s="62">
        <f t="shared" si="3"/>
        <v>192.99430773134287</v>
      </c>
      <c r="AA14" s="480">
        <f t="shared" si="3"/>
        <v>238.60827985686618</v>
      </c>
      <c r="AC14" s="18"/>
      <c r="AD14" s="18"/>
      <c r="AE14" s="18"/>
      <c r="AF14" s="18"/>
      <c r="AG14" s="18"/>
      <c r="AH14" s="18"/>
      <c r="AI14" s="18"/>
      <c r="AJ14" s="18"/>
    </row>
    <row r="15" spans="1:37">
      <c r="A15" s="463" t="s">
        <v>2338</v>
      </c>
      <c r="B15" s="471">
        <v>80</v>
      </c>
      <c r="C15" s="472">
        <v>102</v>
      </c>
      <c r="D15" s="472">
        <v>142</v>
      </c>
      <c r="E15" s="472">
        <v>199</v>
      </c>
      <c r="F15" s="472">
        <v>229</v>
      </c>
      <c r="G15" s="472">
        <v>233</v>
      </c>
      <c r="H15" s="472">
        <v>255</v>
      </c>
      <c r="I15" s="472" t="s">
        <v>49</v>
      </c>
      <c r="J15" s="473" t="s">
        <v>49</v>
      </c>
      <c r="R15" s="449">
        <v>23</v>
      </c>
      <c r="S15" s="62">
        <f t="shared" si="3"/>
        <v>54.595994207020688</v>
      </c>
      <c r="T15" s="62">
        <f t="shared" si="3"/>
        <v>77.209059925200762</v>
      </c>
      <c r="U15" s="62">
        <f t="shared" si="3"/>
        <v>101.47182088477511</v>
      </c>
      <c r="V15" s="62">
        <f t="shared" si="3"/>
        <v>129.68341284715206</v>
      </c>
      <c r="W15" s="62">
        <f t="shared" si="3"/>
        <v>155.31466408983945</v>
      </c>
      <c r="X15" s="62">
        <f t="shared" si="3"/>
        <v>176.89862581845938</v>
      </c>
      <c r="Y15" s="62">
        <f t="shared" si="3"/>
        <v>199.37894529122403</v>
      </c>
      <c r="Z15" s="62">
        <f t="shared" si="3"/>
        <v>223.486612143087</v>
      </c>
      <c r="AA15" s="480">
        <f t="shared" si="3"/>
        <v>276.30740368121411</v>
      </c>
      <c r="AC15" s="18"/>
      <c r="AD15" s="18"/>
      <c r="AE15" s="18"/>
      <c r="AF15" s="18"/>
      <c r="AG15" s="18"/>
      <c r="AH15" s="18"/>
      <c r="AI15" s="18"/>
      <c r="AJ15" s="18"/>
    </row>
    <row r="16" spans="1:37">
      <c r="A16" s="463" t="s">
        <v>2339</v>
      </c>
      <c r="B16" s="471">
        <v>62</v>
      </c>
      <c r="C16" s="472">
        <v>55</v>
      </c>
      <c r="D16" s="472">
        <v>56</v>
      </c>
      <c r="E16" s="472">
        <v>62</v>
      </c>
      <c r="F16" s="472">
        <v>58</v>
      </c>
      <c r="G16" s="472">
        <v>52</v>
      </c>
      <c r="H16" s="472">
        <v>51</v>
      </c>
      <c r="I16" s="472" t="s">
        <v>49</v>
      </c>
      <c r="J16" s="473" t="s">
        <v>49</v>
      </c>
      <c r="R16" s="449">
        <v>24</v>
      </c>
      <c r="S16" s="62">
        <f t="shared" si="3"/>
        <v>62.828402571001668</v>
      </c>
      <c r="T16" s="62">
        <f t="shared" si="3"/>
        <v>88.851242102397848</v>
      </c>
      <c r="U16" s="62">
        <f t="shared" si="3"/>
        <v>116.77253074624662</v>
      </c>
      <c r="V16" s="62">
        <f t="shared" si="3"/>
        <v>149.23808582451872</v>
      </c>
      <c r="W16" s="62">
        <f t="shared" si="3"/>
        <v>178.73421635321171</v>
      </c>
      <c r="X16" s="62">
        <f t="shared" si="3"/>
        <v>203.5727755966011</v>
      </c>
      <c r="Y16" s="62">
        <f t="shared" si="3"/>
        <v>229.4428523719034</v>
      </c>
      <c r="Z16" s="62">
        <f t="shared" si="3"/>
        <v>257.18566061298247</v>
      </c>
      <c r="AA16" s="480">
        <f t="shared" si="3"/>
        <v>317.97118165858421</v>
      </c>
      <c r="AC16" s="18"/>
      <c r="AD16" s="18"/>
      <c r="AE16" s="18"/>
      <c r="AF16" s="18"/>
      <c r="AG16" s="18"/>
      <c r="AH16" s="18"/>
      <c r="AI16" s="18"/>
      <c r="AJ16" s="18"/>
    </row>
    <row r="17" spans="1:41">
      <c r="A17" s="463" t="s">
        <v>50</v>
      </c>
      <c r="B17" s="471">
        <v>78.099999999999994</v>
      </c>
      <c r="C17" s="472">
        <v>106.4</v>
      </c>
      <c r="D17" s="472">
        <v>136.4</v>
      </c>
      <c r="E17" s="472">
        <v>171.3</v>
      </c>
      <c r="F17" s="472">
        <v>203.4</v>
      </c>
      <c r="G17" s="472">
        <v>230</v>
      </c>
      <c r="H17" s="472">
        <v>260</v>
      </c>
      <c r="I17" s="472">
        <v>292</v>
      </c>
      <c r="J17" s="473">
        <v>367</v>
      </c>
      <c r="R17" s="450">
        <v>25</v>
      </c>
      <c r="S17" s="481">
        <f t="shared" si="3"/>
        <v>71.888752747409669</v>
      </c>
      <c r="T17" s="481">
        <f t="shared" si="3"/>
        <v>101.6642905663753</v>
      </c>
      <c r="U17" s="481">
        <f t="shared" si="3"/>
        <v>133.61204880260226</v>
      </c>
      <c r="V17" s="481">
        <f t="shared" si="3"/>
        <v>170.75939246125711</v>
      </c>
      <c r="W17" s="481">
        <f t="shared" si="3"/>
        <v>204.50909717778637</v>
      </c>
      <c r="X17" s="481">
        <f t="shared" si="3"/>
        <v>232.92957216968205</v>
      </c>
      <c r="Y17" s="481">
        <f t="shared" si="3"/>
        <v>262.53031764072136</v>
      </c>
      <c r="Z17" s="481">
        <f t="shared" si="3"/>
        <v>294.27385719527058</v>
      </c>
      <c r="AA17" s="482">
        <f t="shared" si="3"/>
        <v>363.82512882168947</v>
      </c>
      <c r="AC17" s="18"/>
      <c r="AD17" s="18"/>
      <c r="AE17" s="18"/>
      <c r="AF17" s="18"/>
      <c r="AG17" s="18"/>
      <c r="AH17" s="18"/>
      <c r="AI17" s="18"/>
      <c r="AJ17" s="18"/>
    </row>
    <row r="18" spans="1:41" ht="15" thickBot="1">
      <c r="A18" s="464" t="s">
        <v>2340</v>
      </c>
      <c r="B18" s="471"/>
      <c r="C18" s="472"/>
      <c r="D18" s="472"/>
      <c r="E18" s="472"/>
      <c r="F18" s="472"/>
      <c r="G18" s="472"/>
      <c r="H18" s="472"/>
      <c r="I18" s="472"/>
      <c r="J18" s="473"/>
      <c r="R18" s="466" t="s">
        <v>1730</v>
      </c>
      <c r="S18" s="228"/>
      <c r="T18" s="454" t="s">
        <v>2343</v>
      </c>
      <c r="U18" s="455">
        <f>AVERAGE(S19:AA26)</f>
        <v>-6.4053521932820726E-2</v>
      </c>
      <c r="V18" s="456" t="s">
        <v>1732</v>
      </c>
      <c r="W18" s="455">
        <f>MIN(S19:AA26)</f>
        <v>-0.48267873716662402</v>
      </c>
      <c r="X18" s="456" t="s">
        <v>1733</v>
      </c>
      <c r="Y18" s="455">
        <f>MAX(S19:AA26)</f>
        <v>1.3057898834927813E-2</v>
      </c>
      <c r="Z18" s="145"/>
      <c r="AA18" s="148"/>
      <c r="AC18" s="18"/>
      <c r="AD18" s="18"/>
      <c r="AE18" s="18"/>
      <c r="AF18" s="18"/>
      <c r="AG18" s="18"/>
      <c r="AH18" s="18"/>
      <c r="AI18" s="18"/>
      <c r="AJ18" s="18"/>
    </row>
    <row r="19" spans="1:41" ht="15" thickTop="1">
      <c r="A19" s="443">
        <v>18</v>
      </c>
      <c r="B19" s="471">
        <v>47</v>
      </c>
      <c r="C19" s="472">
        <v>54.9</v>
      </c>
      <c r="D19" s="472">
        <v>52.8</v>
      </c>
      <c r="E19" s="472">
        <v>57.9</v>
      </c>
      <c r="F19" s="472">
        <v>68.8</v>
      </c>
      <c r="G19" s="472">
        <v>77.8</v>
      </c>
      <c r="H19" s="472">
        <v>87.9</v>
      </c>
      <c r="I19" s="472">
        <v>98.8</v>
      </c>
      <c r="J19" s="473">
        <v>124.1</v>
      </c>
      <c r="R19" s="448">
        <f t="shared" ref="R19:R26" si="4">A19</f>
        <v>18</v>
      </c>
      <c r="S19" s="451">
        <f>(S10-B19)/B19</f>
        <v>-0.48267873716662402</v>
      </c>
      <c r="T19" s="15">
        <f t="shared" ref="T19:AA19" si="5">(T10-C19)/C19</f>
        <v>-0.37368425705301989</v>
      </c>
      <c r="U19" s="15">
        <f t="shared" si="5"/>
        <v>-0.14412776232760183</v>
      </c>
      <c r="V19" s="15">
        <f t="shared" si="5"/>
        <v>-2.5221156632285716E-3</v>
      </c>
      <c r="W19" s="15">
        <f t="shared" si="5"/>
        <v>5.359605093273807E-3</v>
      </c>
      <c r="X19" s="15">
        <f t="shared" si="5"/>
        <v>1.2610135936145574E-2</v>
      </c>
      <c r="Y19" s="15">
        <f t="shared" si="5"/>
        <v>1.0154556554963305E-2</v>
      </c>
      <c r="Z19" s="452">
        <f t="shared" si="5"/>
        <v>7.3768711086209726E-3</v>
      </c>
      <c r="AA19" s="453">
        <f t="shared" si="5"/>
        <v>-8.4419413356841052E-3</v>
      </c>
      <c r="AC19" s="18"/>
      <c r="AD19" s="18"/>
      <c r="AE19" s="18"/>
      <c r="AF19" s="18"/>
      <c r="AG19" s="18"/>
      <c r="AH19" s="18"/>
      <c r="AI19" s="18"/>
      <c r="AJ19" s="18"/>
      <c r="AK19" s="16"/>
      <c r="AL19" s="16"/>
      <c r="AM19" s="16"/>
      <c r="AN19" s="16"/>
      <c r="AO19" s="16"/>
    </row>
    <row r="20" spans="1:41">
      <c r="A20" s="443">
        <v>19</v>
      </c>
      <c r="B20" s="471">
        <v>56.1</v>
      </c>
      <c r="C20" s="472">
        <v>65.599999999999994</v>
      </c>
      <c r="D20" s="472">
        <v>63.1</v>
      </c>
      <c r="E20" s="472">
        <v>69.3</v>
      </c>
      <c r="F20" s="472">
        <v>82.2</v>
      </c>
      <c r="G20" s="472">
        <v>93</v>
      </c>
      <c r="H20" s="472">
        <v>105.1</v>
      </c>
      <c r="I20" s="472">
        <v>118.1</v>
      </c>
      <c r="J20" s="473">
        <v>148.4</v>
      </c>
      <c r="R20" s="449">
        <f t="shared" si="4"/>
        <v>19</v>
      </c>
      <c r="S20" s="15">
        <f t="shared" ref="S20:S22" si="6">(S11-B20)/B20</f>
        <v>-0.48193656351184544</v>
      </c>
      <c r="T20" s="15">
        <f t="shared" ref="T20:T23" si="7">(T11-C20)/C20</f>
        <v>-0.37345906686920355</v>
      </c>
      <c r="U20" s="15">
        <f t="shared" ref="U20:U25" si="8">(U11-D20)/D20</f>
        <v>-0.1439460830036135</v>
      </c>
      <c r="V20" s="15">
        <f t="shared" ref="V20:V26" si="9">(V11-E20)/E20</f>
        <v>-3.8236640882133373E-3</v>
      </c>
      <c r="W20" s="15">
        <f t="shared" ref="W20:W26" si="10">(W11-F20)/F20</f>
        <v>5.8325098287489259E-3</v>
      </c>
      <c r="X20" s="15">
        <f t="shared" ref="X20:X26" si="11">(X11-G20)/G20</f>
        <v>1.2573447936152161E-2</v>
      </c>
      <c r="Y20" s="15">
        <f t="shared" ref="Y20:Y26" si="12">(Y11-H20)/H20</f>
        <v>9.8610048657581488E-3</v>
      </c>
      <c r="Z20" s="15">
        <f t="shared" ref="Z20:Z26" si="13">(Z11-I20)/I20</f>
        <v>7.3644922782014734E-3</v>
      </c>
      <c r="AA20" s="165">
        <f t="shared" ref="AA20:AA26" si="14">(AA11-J20)/J20</f>
        <v>-8.8402775913635802E-3</v>
      </c>
      <c r="AC20" s="18"/>
      <c r="AD20" s="18"/>
      <c r="AE20" s="18"/>
      <c r="AF20" s="18"/>
      <c r="AG20" s="18"/>
      <c r="AH20" s="18"/>
      <c r="AI20" s="18"/>
      <c r="AJ20" s="18"/>
      <c r="AK20" s="16"/>
      <c r="AL20" s="16"/>
      <c r="AM20" s="16"/>
      <c r="AN20" s="16"/>
      <c r="AO20" s="16"/>
    </row>
    <row r="21" spans="1:41">
      <c r="A21" s="443">
        <v>20</v>
      </c>
      <c r="B21" s="471">
        <v>66.5</v>
      </c>
      <c r="C21" s="472">
        <v>77.7</v>
      </c>
      <c r="D21" s="472">
        <v>74.7</v>
      </c>
      <c r="E21" s="472">
        <v>82</v>
      </c>
      <c r="F21" s="472">
        <v>97.4</v>
      </c>
      <c r="G21" s="472">
        <v>110.1</v>
      </c>
      <c r="H21" s="472">
        <v>124.5</v>
      </c>
      <c r="I21" s="472">
        <v>139.80000000000001</v>
      </c>
      <c r="J21" s="473">
        <v>175.7</v>
      </c>
      <c r="R21" s="449">
        <f t="shared" si="4"/>
        <v>20</v>
      </c>
      <c r="S21" s="15">
        <f t="shared" si="6"/>
        <v>-0.48234994970624617</v>
      </c>
      <c r="T21" s="15">
        <f t="shared" si="7"/>
        <v>-0.37346639105521762</v>
      </c>
      <c r="U21" s="15">
        <f t="shared" si="8"/>
        <v>-0.14351062702070205</v>
      </c>
      <c r="V21" s="15">
        <f t="shared" si="9"/>
        <v>-2.8334407772109948E-3</v>
      </c>
      <c r="W21" s="15">
        <f t="shared" si="10"/>
        <v>5.4272036856146191E-3</v>
      </c>
      <c r="X21" s="15">
        <f t="shared" si="11"/>
        <v>1.3057898834927813E-2</v>
      </c>
      <c r="Y21" s="15">
        <f t="shared" si="12"/>
        <v>9.734208071411633E-3</v>
      </c>
      <c r="Z21" s="15">
        <f t="shared" si="13"/>
        <v>7.9557518343799458E-3</v>
      </c>
      <c r="AA21" s="165">
        <f t="shared" si="14"/>
        <v>-8.4425375709298294E-3</v>
      </c>
      <c r="AC21" s="16"/>
      <c r="AD21" s="16"/>
      <c r="AE21" s="16"/>
      <c r="AF21" s="16"/>
      <c r="AG21" s="16"/>
      <c r="AH21" s="16"/>
      <c r="AI21" s="16"/>
      <c r="AJ21" s="16"/>
      <c r="AK21" s="16"/>
      <c r="AL21" s="16"/>
      <c r="AM21" s="16"/>
      <c r="AN21" s="16"/>
      <c r="AO21" s="16"/>
    </row>
    <row r="22" spans="1:41">
      <c r="A22" s="443">
        <v>21</v>
      </c>
      <c r="B22" s="471">
        <v>78.099999999999994</v>
      </c>
      <c r="C22" s="472">
        <v>91.3</v>
      </c>
      <c r="D22" s="472">
        <v>87.8</v>
      </c>
      <c r="E22" s="472">
        <v>96.4</v>
      </c>
      <c r="F22" s="472">
        <v>114.4</v>
      </c>
      <c r="G22" s="472">
        <v>129.4</v>
      </c>
      <c r="H22" s="472">
        <v>146.19999999999999</v>
      </c>
      <c r="I22" s="472">
        <v>164.2</v>
      </c>
      <c r="J22" s="473">
        <v>206.4</v>
      </c>
      <c r="R22" s="449">
        <f t="shared" si="4"/>
        <v>21</v>
      </c>
      <c r="S22" s="15">
        <f t="shared" si="6"/>
        <v>-0.48223634795910292</v>
      </c>
      <c r="T22" s="15">
        <f t="shared" si="7"/>
        <v>-0.37364679953050323</v>
      </c>
      <c r="U22" s="15">
        <f t="shared" si="8"/>
        <v>-0.14400199678386846</v>
      </c>
      <c r="V22" s="15">
        <f t="shared" si="9"/>
        <v>-3.6103421482226307E-3</v>
      </c>
      <c r="W22" s="15">
        <f t="shared" si="10"/>
        <v>5.5606060427146695E-3</v>
      </c>
      <c r="X22" s="15">
        <f t="shared" si="11"/>
        <v>1.253955192333709E-2</v>
      </c>
      <c r="Y22" s="15">
        <f t="shared" si="12"/>
        <v>1.007526334812592E-2</v>
      </c>
      <c r="Z22" s="15">
        <f t="shared" si="13"/>
        <v>8.092010999164085E-3</v>
      </c>
      <c r="AA22" s="165">
        <f t="shared" si="14"/>
        <v>-8.4727762959102299E-3</v>
      </c>
      <c r="AC22" s="16"/>
      <c r="AD22" s="16"/>
      <c r="AE22" s="16"/>
      <c r="AF22" s="16"/>
      <c r="AG22" s="16"/>
      <c r="AH22" s="16"/>
      <c r="AI22" s="16"/>
      <c r="AJ22" s="16"/>
      <c r="AK22" s="16"/>
      <c r="AL22" s="16"/>
      <c r="AM22" s="16"/>
      <c r="AN22" s="16"/>
      <c r="AO22" s="16"/>
    </row>
    <row r="23" spans="1:41">
      <c r="A23" s="443">
        <v>22</v>
      </c>
      <c r="B23" s="471" t="s">
        <v>51</v>
      </c>
      <c r="C23" s="472">
        <v>106.4</v>
      </c>
      <c r="D23" s="472">
        <v>102.4</v>
      </c>
      <c r="E23" s="472">
        <v>112.3</v>
      </c>
      <c r="F23" s="472">
        <v>133.4</v>
      </c>
      <c r="G23" s="472">
        <v>150.80000000000001</v>
      </c>
      <c r="H23" s="472">
        <v>170.5</v>
      </c>
      <c r="I23" s="472">
        <v>191.5</v>
      </c>
      <c r="J23" s="473">
        <v>240.7</v>
      </c>
      <c r="R23" s="449">
        <f t="shared" si="4"/>
        <v>22</v>
      </c>
      <c r="S23" s="15">
        <f>IFERROR((S14-B23)/B23,0)</f>
        <v>0</v>
      </c>
      <c r="T23" s="15">
        <f t="shared" si="7"/>
        <v>-0.37335781977722249</v>
      </c>
      <c r="U23" s="15">
        <f t="shared" si="8"/>
        <v>-0.14426659653858281</v>
      </c>
      <c r="V23" s="15">
        <f t="shared" si="9"/>
        <v>-2.7646549782821554E-3</v>
      </c>
      <c r="W23" s="15">
        <f t="shared" si="10"/>
        <v>5.4248615670247401E-3</v>
      </c>
      <c r="X23" s="15">
        <f t="shared" si="11"/>
        <v>1.3015535168152374E-2</v>
      </c>
      <c r="Y23" s="15">
        <f t="shared" si="12"/>
        <v>9.8291402067912943E-3</v>
      </c>
      <c r="Z23" s="15">
        <f t="shared" si="13"/>
        <v>7.8031735318165622E-3</v>
      </c>
      <c r="AA23" s="165">
        <f t="shared" si="14"/>
        <v>-8.6901543129780344E-3</v>
      </c>
      <c r="AC23" s="16"/>
      <c r="AD23" s="16"/>
      <c r="AE23" s="16"/>
      <c r="AF23" s="16"/>
      <c r="AG23" s="16"/>
      <c r="AH23" s="16"/>
      <c r="AI23" s="16"/>
      <c r="AJ23" s="16"/>
      <c r="AK23" s="16"/>
      <c r="AL23" s="16"/>
      <c r="AM23" s="16"/>
      <c r="AN23" s="16"/>
      <c r="AO23" s="16"/>
    </row>
    <row r="24" spans="1:41">
      <c r="A24" s="443">
        <v>23</v>
      </c>
      <c r="B24" s="471" t="s">
        <v>51</v>
      </c>
      <c r="C24" s="472" t="s">
        <v>51</v>
      </c>
      <c r="D24" s="472">
        <v>118.5</v>
      </c>
      <c r="E24" s="472">
        <v>130.1</v>
      </c>
      <c r="F24" s="472">
        <v>154.5</v>
      </c>
      <c r="G24" s="472">
        <v>174.7</v>
      </c>
      <c r="H24" s="472">
        <v>197.5</v>
      </c>
      <c r="I24" s="472">
        <v>221.8</v>
      </c>
      <c r="J24" s="473">
        <v>278.7</v>
      </c>
      <c r="R24" s="449">
        <f t="shared" si="4"/>
        <v>23</v>
      </c>
      <c r="S24" s="15">
        <f>IFERROR((S15-B24)/B24,0)</f>
        <v>0</v>
      </c>
      <c r="T24" s="15">
        <f>IFERROR((T15-C24)/C24,0)</f>
        <v>0</v>
      </c>
      <c r="U24" s="15">
        <f t="shared" si="8"/>
        <v>-0.14369771405253071</v>
      </c>
      <c r="V24" s="15">
        <f t="shared" si="9"/>
        <v>-3.2020534423361923E-3</v>
      </c>
      <c r="W24" s="15">
        <f t="shared" si="10"/>
        <v>5.2729067303524512E-3</v>
      </c>
      <c r="X24" s="15">
        <f t="shared" si="11"/>
        <v>1.2585150649452724E-2</v>
      </c>
      <c r="Y24" s="15">
        <f t="shared" si="12"/>
        <v>9.5136470441722926E-3</v>
      </c>
      <c r="Z24" s="15">
        <f t="shared" si="13"/>
        <v>7.6042026288863371E-3</v>
      </c>
      <c r="AA24" s="165">
        <f t="shared" si="14"/>
        <v>-8.5848450620232396E-3</v>
      </c>
      <c r="AC24" s="16"/>
      <c r="AD24" s="16"/>
      <c r="AE24" s="16"/>
      <c r="AF24" s="16"/>
      <c r="AG24" s="16"/>
      <c r="AH24" s="16"/>
      <c r="AI24" s="16"/>
      <c r="AJ24" s="16"/>
      <c r="AK24" s="16"/>
      <c r="AL24" s="16"/>
      <c r="AM24" s="16"/>
      <c r="AN24" s="16"/>
      <c r="AO24" s="16"/>
    </row>
    <row r="25" spans="1:41">
      <c r="A25" s="443">
        <v>24</v>
      </c>
      <c r="B25" s="471" t="s">
        <v>51</v>
      </c>
      <c r="C25" s="472" t="s">
        <v>51</v>
      </c>
      <c r="D25" s="472">
        <v>136.4</v>
      </c>
      <c r="E25" s="472">
        <v>149.69999999999999</v>
      </c>
      <c r="F25" s="472">
        <v>177.8</v>
      </c>
      <c r="G25" s="472">
        <v>201</v>
      </c>
      <c r="H25" s="472">
        <v>227.2</v>
      </c>
      <c r="I25" s="472">
        <v>255.2</v>
      </c>
      <c r="J25" s="473">
        <v>320.7</v>
      </c>
      <c r="R25" s="449">
        <f t="shared" si="4"/>
        <v>24</v>
      </c>
      <c r="S25" s="15">
        <f>IFERROR((S16-B25)/B25,0)</f>
        <v>0</v>
      </c>
      <c r="T25" s="15">
        <f>IFERROR((T16-C25)/C25,0)</f>
        <v>0</v>
      </c>
      <c r="U25" s="15">
        <f t="shared" si="8"/>
        <v>-0.14389640215361721</v>
      </c>
      <c r="V25" s="15">
        <f t="shared" si="9"/>
        <v>-3.0855990346110142E-3</v>
      </c>
      <c r="W25" s="15">
        <f t="shared" si="10"/>
        <v>5.2543101980410322E-3</v>
      </c>
      <c r="X25" s="15">
        <f t="shared" si="11"/>
        <v>1.2799878590055247E-2</v>
      </c>
      <c r="Y25" s="15">
        <f t="shared" si="12"/>
        <v>9.8717093833776866E-3</v>
      </c>
      <c r="Z25" s="15">
        <f t="shared" si="13"/>
        <v>7.7808017750097391E-3</v>
      </c>
      <c r="AA25" s="165">
        <f t="shared" si="14"/>
        <v>-8.5089440019200952E-3</v>
      </c>
      <c r="AC25" s="16"/>
      <c r="AD25" s="16"/>
      <c r="AE25" s="16"/>
      <c r="AF25" s="16"/>
      <c r="AG25" s="16"/>
      <c r="AH25" s="16"/>
      <c r="AI25" s="16"/>
      <c r="AJ25" s="16"/>
      <c r="AK25" s="16"/>
      <c r="AL25" s="16"/>
      <c r="AM25" s="16"/>
      <c r="AN25" s="16"/>
      <c r="AO25" s="16"/>
    </row>
    <row r="26" spans="1:41">
      <c r="A26" s="443">
        <v>25</v>
      </c>
      <c r="B26" s="474" t="s">
        <v>51</v>
      </c>
      <c r="C26" s="475" t="s">
        <v>51</v>
      </c>
      <c r="D26" s="475" t="s">
        <v>51</v>
      </c>
      <c r="E26" s="475">
        <v>171.3</v>
      </c>
      <c r="F26" s="475">
        <v>203.4</v>
      </c>
      <c r="G26" s="475">
        <v>230</v>
      </c>
      <c r="H26" s="475">
        <v>260</v>
      </c>
      <c r="I26" s="475">
        <v>292</v>
      </c>
      <c r="J26" s="476">
        <v>367</v>
      </c>
      <c r="R26" s="450">
        <f t="shared" si="4"/>
        <v>25</v>
      </c>
      <c r="S26" s="60">
        <f>IFERROR((S17-B26)/B26,0)</f>
        <v>0</v>
      </c>
      <c r="T26" s="60">
        <f>IFERROR((T17-C26)/C26,0)</f>
        <v>0</v>
      </c>
      <c r="U26" s="60">
        <f>IFERROR((U17-D26)/D26,0)</f>
        <v>0</v>
      </c>
      <c r="V26" s="60">
        <f t="shared" si="9"/>
        <v>-3.1559109091821606E-3</v>
      </c>
      <c r="W26" s="60">
        <f t="shared" si="10"/>
        <v>5.4527884846920704E-3</v>
      </c>
      <c r="X26" s="60">
        <f t="shared" si="11"/>
        <v>1.273727030296542E-2</v>
      </c>
      <c r="Y26" s="60">
        <f t="shared" si="12"/>
        <v>9.7319909258514001E-3</v>
      </c>
      <c r="Z26" s="60">
        <f t="shared" si="13"/>
        <v>7.7871821755841775E-3</v>
      </c>
      <c r="AA26" s="61">
        <f t="shared" si="14"/>
        <v>-8.6508751452602853E-3</v>
      </c>
      <c r="AC26" s="16"/>
      <c r="AD26" s="16"/>
      <c r="AE26" s="16"/>
      <c r="AF26" s="16"/>
      <c r="AG26" s="16"/>
      <c r="AH26" s="16"/>
      <c r="AI26" s="16"/>
      <c r="AJ26" s="16"/>
      <c r="AK26" s="16"/>
      <c r="AL26" s="16"/>
      <c r="AM26" s="16"/>
      <c r="AN26" s="16"/>
      <c r="AO26" s="16"/>
    </row>
    <row r="27" spans="1:41">
      <c r="AC27" s="16"/>
      <c r="AD27" s="16"/>
      <c r="AE27" s="16"/>
      <c r="AF27" s="16"/>
      <c r="AG27" s="16"/>
      <c r="AH27" s="16"/>
      <c r="AI27" s="16"/>
      <c r="AJ27" s="16"/>
      <c r="AK27" s="16"/>
      <c r="AL27" s="16"/>
      <c r="AM27" s="16"/>
      <c r="AN27" s="16"/>
      <c r="AO27" s="16"/>
    </row>
    <row r="28" spans="1:41">
      <c r="A28" s="461" t="s">
        <v>1674</v>
      </c>
      <c r="B28" s="821" t="s">
        <v>2328</v>
      </c>
      <c r="C28" s="821"/>
      <c r="D28" s="821"/>
      <c r="E28" s="821"/>
      <c r="F28" s="821"/>
      <c r="G28" s="822"/>
    </row>
    <row r="29" spans="1:41">
      <c r="A29" s="801" t="s">
        <v>2344</v>
      </c>
      <c r="B29" s="802"/>
      <c r="C29" s="802"/>
      <c r="D29" s="803"/>
      <c r="E29" s="27"/>
      <c r="F29" s="27"/>
      <c r="G29" s="27"/>
      <c r="H29" s="27"/>
    </row>
    <row r="30" spans="1:41" ht="15" thickBot="1">
      <c r="A30" s="467" t="s">
        <v>59</v>
      </c>
      <c r="B30" s="483" t="s">
        <v>60</v>
      </c>
      <c r="C30" s="483" t="s">
        <v>58</v>
      </c>
      <c r="D30" s="483" t="s">
        <v>19</v>
      </c>
      <c r="E30" s="483" t="s">
        <v>56</v>
      </c>
      <c r="F30" s="483" t="s">
        <v>20</v>
      </c>
      <c r="G30" s="483" t="s">
        <v>57</v>
      </c>
      <c r="H30" s="483" t="s">
        <v>61</v>
      </c>
    </row>
    <row r="31" spans="1:41" ht="15" thickTop="1">
      <c r="A31" s="449" t="s">
        <v>1676</v>
      </c>
      <c r="B31" s="451">
        <v>9246554</v>
      </c>
      <c r="C31" s="452">
        <v>9962</v>
      </c>
      <c r="D31" s="452">
        <v>11388</v>
      </c>
      <c r="E31" s="452">
        <v>868</v>
      </c>
      <c r="F31" s="452">
        <v>134.44</v>
      </c>
      <c r="G31" s="452">
        <v>8.7100000000000009</v>
      </c>
      <c r="H31" s="453" t="s">
        <v>63</v>
      </c>
    </row>
    <row r="32" spans="1:41">
      <c r="A32" s="449" t="s">
        <v>1704</v>
      </c>
      <c r="B32" s="166">
        <v>9354416</v>
      </c>
      <c r="C32" s="166">
        <v>9962</v>
      </c>
      <c r="D32" s="166">
        <v>11433</v>
      </c>
      <c r="E32" s="166">
        <v>868</v>
      </c>
      <c r="F32" s="166">
        <v>134.44</v>
      </c>
      <c r="G32" s="166">
        <v>8.7100000000000009</v>
      </c>
      <c r="H32" s="40" t="s">
        <v>63</v>
      </c>
    </row>
    <row r="33" spans="1:8">
      <c r="A33" s="449" t="s">
        <v>1712</v>
      </c>
      <c r="B33" s="15">
        <v>8201636</v>
      </c>
      <c r="C33" s="15">
        <v>21586</v>
      </c>
      <c r="D33" s="15">
        <v>21370</v>
      </c>
      <c r="E33" s="15">
        <v>1254</v>
      </c>
      <c r="F33" s="15">
        <v>203.06</v>
      </c>
      <c r="G33" s="15">
        <v>9.82</v>
      </c>
      <c r="H33" s="165" t="s">
        <v>63</v>
      </c>
    </row>
    <row r="34" spans="1:8">
      <c r="A34" s="449" t="s">
        <v>1694</v>
      </c>
      <c r="B34" s="166">
        <v>9470882</v>
      </c>
      <c r="C34" s="166">
        <v>16137</v>
      </c>
      <c r="D34" s="166">
        <v>17230</v>
      </c>
      <c r="E34" s="166">
        <v>1338</v>
      </c>
      <c r="F34" s="166">
        <v>161.31</v>
      </c>
      <c r="G34" s="166">
        <v>9.5</v>
      </c>
      <c r="H34" s="40" t="s">
        <v>63</v>
      </c>
    </row>
    <row r="35" spans="1:8">
      <c r="A35" s="449" t="s">
        <v>1708</v>
      </c>
      <c r="B35" s="15">
        <v>8201648</v>
      </c>
      <c r="C35" s="15">
        <v>21586</v>
      </c>
      <c r="D35" s="15">
        <v>21370</v>
      </c>
      <c r="E35" s="15">
        <v>1438</v>
      </c>
      <c r="F35" s="15">
        <v>203.06</v>
      </c>
      <c r="G35" s="15">
        <v>9.82</v>
      </c>
      <c r="H35" s="165" t="s">
        <v>63</v>
      </c>
    </row>
    <row r="36" spans="1:8">
      <c r="A36" s="449" t="s">
        <v>1709</v>
      </c>
      <c r="B36" s="166">
        <v>8201686</v>
      </c>
      <c r="C36" s="166">
        <v>21586</v>
      </c>
      <c r="D36" s="166">
        <v>21370</v>
      </c>
      <c r="E36" s="166">
        <v>1438</v>
      </c>
      <c r="F36" s="166">
        <v>203.06</v>
      </c>
      <c r="G36" s="166">
        <v>9.82</v>
      </c>
      <c r="H36" s="40" t="s">
        <v>63</v>
      </c>
    </row>
    <row r="37" spans="1:8">
      <c r="A37" s="449" t="s">
        <v>1710</v>
      </c>
      <c r="B37" s="15">
        <v>8201624</v>
      </c>
      <c r="C37" s="15">
        <v>21586</v>
      </c>
      <c r="D37" s="15">
        <v>21370</v>
      </c>
      <c r="E37" s="15">
        <v>1438</v>
      </c>
      <c r="F37" s="15">
        <v>203.06</v>
      </c>
      <c r="G37" s="15">
        <v>9.82</v>
      </c>
      <c r="H37" s="165" t="s">
        <v>63</v>
      </c>
    </row>
    <row r="38" spans="1:8">
      <c r="A38" s="449" t="s">
        <v>1707</v>
      </c>
      <c r="B38" s="166">
        <v>9169029</v>
      </c>
      <c r="C38" s="166">
        <v>25219</v>
      </c>
      <c r="D38" s="166">
        <v>18779</v>
      </c>
      <c r="E38" s="166">
        <v>1658</v>
      </c>
      <c r="F38" s="166">
        <v>215.98</v>
      </c>
      <c r="G38" s="166">
        <v>11.4</v>
      </c>
      <c r="H38" s="40" t="s">
        <v>63</v>
      </c>
    </row>
    <row r="39" spans="1:8">
      <c r="A39" s="449" t="s">
        <v>1691</v>
      </c>
      <c r="B39" s="15">
        <v>9348986</v>
      </c>
      <c r="C39" s="15">
        <v>18017</v>
      </c>
      <c r="D39" s="15">
        <v>23896</v>
      </c>
      <c r="E39" s="15">
        <v>1674</v>
      </c>
      <c r="F39" s="15">
        <v>182</v>
      </c>
      <c r="G39" s="15">
        <v>10</v>
      </c>
      <c r="H39" s="165" t="s">
        <v>63</v>
      </c>
    </row>
    <row r="40" spans="1:8">
      <c r="A40" s="449" t="s">
        <v>1682</v>
      </c>
      <c r="B40" s="166">
        <v>9242625</v>
      </c>
      <c r="C40" s="166">
        <v>17189</v>
      </c>
      <c r="D40" s="166">
        <v>22308</v>
      </c>
      <c r="E40" s="166">
        <v>1678</v>
      </c>
      <c r="F40" s="166">
        <v>178.57</v>
      </c>
      <c r="G40" s="166">
        <v>10.86</v>
      </c>
      <c r="H40" s="40" t="s">
        <v>63</v>
      </c>
    </row>
    <row r="41" spans="1:8">
      <c r="A41" s="449" t="s">
        <v>1683</v>
      </c>
      <c r="B41" s="15">
        <v>9242649</v>
      </c>
      <c r="C41" s="15">
        <v>17189</v>
      </c>
      <c r="D41" s="15">
        <v>22310</v>
      </c>
      <c r="E41" s="15">
        <v>1678</v>
      </c>
      <c r="F41" s="15">
        <v>178.57</v>
      </c>
      <c r="G41" s="15">
        <v>10.87</v>
      </c>
      <c r="H41" s="165" t="s">
        <v>63</v>
      </c>
    </row>
    <row r="42" spans="1:8">
      <c r="A42" s="449" t="s">
        <v>1717</v>
      </c>
      <c r="B42" s="166">
        <v>9333369</v>
      </c>
      <c r="C42" s="166">
        <v>17360</v>
      </c>
      <c r="D42" s="166">
        <v>22248</v>
      </c>
      <c r="E42" s="166">
        <v>1678</v>
      </c>
      <c r="F42" s="166">
        <v>178.57</v>
      </c>
      <c r="G42" s="166">
        <v>10.86</v>
      </c>
      <c r="H42" s="40" t="s">
        <v>63</v>
      </c>
    </row>
    <row r="43" spans="1:8">
      <c r="A43" s="449" t="s">
        <v>1705</v>
      </c>
      <c r="B43" s="15">
        <v>9354648</v>
      </c>
      <c r="C43" s="15">
        <v>18100</v>
      </c>
      <c r="D43" s="15">
        <v>23978</v>
      </c>
      <c r="E43" s="15">
        <v>1698</v>
      </c>
      <c r="F43" s="15">
        <v>182.52</v>
      </c>
      <c r="G43" s="15">
        <v>10</v>
      </c>
      <c r="H43" s="165" t="s">
        <v>63</v>
      </c>
    </row>
    <row r="44" spans="1:8">
      <c r="A44" s="449" t="s">
        <v>1719</v>
      </c>
      <c r="B44" s="166">
        <v>9355812</v>
      </c>
      <c r="C44" s="166">
        <v>16523</v>
      </c>
      <c r="D44" s="166">
        <v>16450</v>
      </c>
      <c r="E44" s="166">
        <v>1712</v>
      </c>
      <c r="F44" s="166">
        <v>176</v>
      </c>
      <c r="G44" s="166">
        <v>7.7</v>
      </c>
      <c r="H44" s="40" t="s">
        <v>63</v>
      </c>
    </row>
    <row r="45" spans="1:8">
      <c r="A45" s="449" t="s">
        <v>1720</v>
      </c>
      <c r="B45" s="15">
        <v>9182643</v>
      </c>
      <c r="C45" s="15">
        <v>25360</v>
      </c>
      <c r="D45" s="15">
        <v>19131</v>
      </c>
      <c r="E45" s="15">
        <v>1716</v>
      </c>
      <c r="F45" s="15">
        <v>189</v>
      </c>
      <c r="G45" s="15">
        <v>9.8000000000000007</v>
      </c>
      <c r="H45" s="165" t="s">
        <v>63</v>
      </c>
    </row>
    <row r="46" spans="1:8">
      <c r="A46" s="449" t="s">
        <v>1726</v>
      </c>
      <c r="B46" s="166">
        <v>9322009</v>
      </c>
      <c r="C46" s="166">
        <v>16803</v>
      </c>
      <c r="D46" s="166">
        <v>22749</v>
      </c>
      <c r="E46" s="166">
        <v>1728</v>
      </c>
      <c r="F46" s="166">
        <v>183.98</v>
      </c>
      <c r="G46" s="166">
        <v>9.85</v>
      </c>
      <c r="H46" s="40" t="s">
        <v>63</v>
      </c>
    </row>
    <row r="47" spans="1:8">
      <c r="A47" s="449" t="s">
        <v>1727</v>
      </c>
      <c r="B47" s="15">
        <v>9322011</v>
      </c>
      <c r="C47" s="15">
        <v>16803</v>
      </c>
      <c r="D47" s="15">
        <v>22746</v>
      </c>
      <c r="E47" s="15">
        <v>1728</v>
      </c>
      <c r="F47" s="15">
        <v>183</v>
      </c>
      <c r="G47" s="15">
        <v>9.85</v>
      </c>
      <c r="H47" s="165" t="s">
        <v>63</v>
      </c>
    </row>
    <row r="48" spans="1:8">
      <c r="A48" s="449" t="s">
        <v>1677</v>
      </c>
      <c r="B48" s="166">
        <v>9217565</v>
      </c>
      <c r="C48" s="166">
        <v>16803</v>
      </c>
      <c r="D48" s="166">
        <v>22967</v>
      </c>
      <c r="E48" s="166">
        <v>1730</v>
      </c>
      <c r="F48" s="166">
        <v>183.98</v>
      </c>
      <c r="G48" s="166">
        <v>9.8800000000000008</v>
      </c>
      <c r="H48" s="40" t="s">
        <v>63</v>
      </c>
    </row>
    <row r="49" spans="1:8">
      <c r="A49" s="449" t="s">
        <v>1684</v>
      </c>
      <c r="B49" s="15">
        <v>9105982</v>
      </c>
      <c r="C49" s="15">
        <v>16801</v>
      </c>
      <c r="D49" s="15">
        <v>23045</v>
      </c>
      <c r="E49" s="15">
        <v>1730</v>
      </c>
      <c r="F49" s="15">
        <v>184.1</v>
      </c>
      <c r="G49" s="15">
        <v>9.85</v>
      </c>
      <c r="H49" s="165" t="s">
        <v>63</v>
      </c>
    </row>
    <row r="50" spans="1:8">
      <c r="A50" s="449" t="s">
        <v>1692</v>
      </c>
      <c r="B50" s="166">
        <v>9144160</v>
      </c>
      <c r="C50" s="166">
        <v>16801</v>
      </c>
      <c r="D50" s="166">
        <v>23027</v>
      </c>
      <c r="E50" s="166">
        <v>1730</v>
      </c>
      <c r="F50" s="166">
        <v>184.1</v>
      </c>
      <c r="G50" s="166">
        <v>9.89</v>
      </c>
      <c r="H50" s="40" t="s">
        <v>63</v>
      </c>
    </row>
    <row r="51" spans="1:8">
      <c r="A51" s="449" t="s">
        <v>1716</v>
      </c>
      <c r="B51" s="15">
        <v>9139086</v>
      </c>
      <c r="C51" s="15">
        <v>16661</v>
      </c>
      <c r="D51" s="15">
        <v>22967</v>
      </c>
      <c r="E51" s="15">
        <v>1730</v>
      </c>
      <c r="F51" s="15">
        <v>184.7</v>
      </c>
      <c r="G51" s="15">
        <v>9.8800000000000008</v>
      </c>
      <c r="H51" s="165" t="s">
        <v>63</v>
      </c>
    </row>
    <row r="52" spans="1:8">
      <c r="A52" s="449" t="s">
        <v>1697</v>
      </c>
      <c r="B52" s="166">
        <v>9357872</v>
      </c>
      <c r="C52" s="166">
        <v>18480</v>
      </c>
      <c r="D52" s="166">
        <v>23732</v>
      </c>
      <c r="E52" s="166">
        <v>1732</v>
      </c>
      <c r="F52" s="166">
        <v>176.84</v>
      </c>
      <c r="G52" s="166">
        <v>10.9</v>
      </c>
      <c r="H52" s="40" t="s">
        <v>63</v>
      </c>
    </row>
    <row r="53" spans="1:8">
      <c r="A53" s="449" t="s">
        <v>1698</v>
      </c>
      <c r="B53" s="15">
        <v>9337597</v>
      </c>
      <c r="C53" s="15">
        <v>18480</v>
      </c>
      <c r="D53" s="15">
        <v>23690</v>
      </c>
      <c r="E53" s="15">
        <v>1732</v>
      </c>
      <c r="F53" s="15">
        <v>176</v>
      </c>
      <c r="G53" s="15">
        <v>10.9</v>
      </c>
      <c r="H53" s="165" t="s">
        <v>63</v>
      </c>
    </row>
    <row r="54" spans="1:8">
      <c r="A54" s="449" t="s">
        <v>1699</v>
      </c>
      <c r="B54" s="15">
        <v>9430870</v>
      </c>
      <c r="C54" s="15">
        <v>18326</v>
      </c>
      <c r="D54" s="15">
        <v>23295</v>
      </c>
      <c r="E54" s="15">
        <v>1740</v>
      </c>
      <c r="F54" s="15">
        <v>175.56</v>
      </c>
      <c r="G54" s="15">
        <v>10.9</v>
      </c>
      <c r="H54" s="165" t="s">
        <v>63</v>
      </c>
    </row>
    <row r="55" spans="1:8">
      <c r="A55" s="449" t="s">
        <v>1718</v>
      </c>
      <c r="B55" s="15">
        <v>9373486</v>
      </c>
      <c r="C55" s="15">
        <v>18480</v>
      </c>
      <c r="D55" s="15">
        <v>23664</v>
      </c>
      <c r="E55" s="15">
        <v>1740</v>
      </c>
      <c r="F55" s="15">
        <v>176.88</v>
      </c>
      <c r="G55" s="15">
        <v>10.9</v>
      </c>
      <c r="H55" s="165" t="s">
        <v>63</v>
      </c>
    </row>
    <row r="56" spans="1:8">
      <c r="A56" s="449" t="s">
        <v>1681</v>
      </c>
      <c r="B56" s="15">
        <v>9242637</v>
      </c>
      <c r="C56" s="15">
        <v>17189</v>
      </c>
      <c r="D56" s="15">
        <v>22300</v>
      </c>
      <c r="E56" s="15">
        <v>1768</v>
      </c>
      <c r="F56" s="15">
        <v>178.57</v>
      </c>
      <c r="G56" s="15">
        <v>10.87</v>
      </c>
      <c r="H56" s="165" t="s">
        <v>63</v>
      </c>
    </row>
    <row r="57" spans="1:8">
      <c r="A57" s="449" t="s">
        <v>1706</v>
      </c>
      <c r="B57" s="15">
        <v>9242651</v>
      </c>
      <c r="C57" s="15">
        <v>17189</v>
      </c>
      <c r="D57" s="15">
        <v>22308</v>
      </c>
      <c r="E57" s="15">
        <v>1768</v>
      </c>
      <c r="F57" s="15">
        <v>178.57</v>
      </c>
      <c r="G57" s="15">
        <v>10.87</v>
      </c>
      <c r="H57" s="165" t="s">
        <v>63</v>
      </c>
    </row>
    <row r="58" spans="1:8">
      <c r="A58" s="449" t="s">
        <v>1680</v>
      </c>
      <c r="B58" s="15">
        <v>9433145</v>
      </c>
      <c r="C58" s="15">
        <v>21018</v>
      </c>
      <c r="D58" s="15">
        <v>25900</v>
      </c>
      <c r="E58" s="15">
        <v>1795</v>
      </c>
      <c r="F58" s="15">
        <v>179</v>
      </c>
      <c r="G58" s="15">
        <v>10.7</v>
      </c>
      <c r="H58" s="165" t="s">
        <v>63</v>
      </c>
    </row>
    <row r="59" spans="1:8">
      <c r="A59" s="449" t="s">
        <v>1685</v>
      </c>
      <c r="B59" s="15">
        <v>9344679</v>
      </c>
      <c r="C59" s="15">
        <v>22914</v>
      </c>
      <c r="D59" s="15">
        <v>28220</v>
      </c>
      <c r="E59" s="15">
        <v>1819</v>
      </c>
      <c r="F59" s="15">
        <v>186</v>
      </c>
      <c r="G59" s="15">
        <v>11.3</v>
      </c>
      <c r="H59" s="165" t="s">
        <v>63</v>
      </c>
    </row>
    <row r="60" spans="1:8">
      <c r="A60" s="449" t="s">
        <v>1686</v>
      </c>
      <c r="B60" s="15">
        <v>9344643</v>
      </c>
      <c r="C60" s="15">
        <v>22914</v>
      </c>
      <c r="D60" s="15">
        <v>28187</v>
      </c>
      <c r="E60" s="15">
        <v>1819</v>
      </c>
      <c r="F60" s="15">
        <v>186.36</v>
      </c>
      <c r="G60" s="15">
        <v>11.3</v>
      </c>
      <c r="H60" s="165" t="s">
        <v>63</v>
      </c>
    </row>
    <row r="61" spans="1:8">
      <c r="A61" s="449" t="s">
        <v>1687</v>
      </c>
      <c r="B61" s="15">
        <v>9344655</v>
      </c>
      <c r="C61" s="15">
        <v>22914</v>
      </c>
      <c r="D61" s="15">
        <v>28203</v>
      </c>
      <c r="E61" s="15">
        <v>1819</v>
      </c>
      <c r="F61" s="15">
        <v>186</v>
      </c>
      <c r="G61" s="15">
        <v>13.3</v>
      </c>
      <c r="H61" s="165" t="s">
        <v>63</v>
      </c>
    </row>
    <row r="62" spans="1:8">
      <c r="A62" s="449" t="s">
        <v>1688</v>
      </c>
      <c r="B62" s="15">
        <v>9344667</v>
      </c>
      <c r="C62" s="15">
        <v>22914</v>
      </c>
      <c r="D62" s="15">
        <v>28179</v>
      </c>
      <c r="E62" s="15">
        <v>1819</v>
      </c>
      <c r="F62" s="15">
        <v>186</v>
      </c>
      <c r="G62" s="15">
        <v>11.3</v>
      </c>
      <c r="H62" s="165" t="s">
        <v>63</v>
      </c>
    </row>
    <row r="63" spans="1:8">
      <c r="A63" s="449" t="s">
        <v>1689</v>
      </c>
      <c r="B63" s="15">
        <v>9344631</v>
      </c>
      <c r="C63" s="15">
        <v>22914</v>
      </c>
      <c r="D63" s="15">
        <v>28142</v>
      </c>
      <c r="E63" s="15">
        <v>1819</v>
      </c>
      <c r="F63" s="15">
        <v>186.37</v>
      </c>
      <c r="G63" s="15">
        <v>11.3</v>
      </c>
      <c r="H63" s="165" t="s">
        <v>63</v>
      </c>
    </row>
    <row r="64" spans="1:8">
      <c r="A64" s="449" t="s">
        <v>1690</v>
      </c>
      <c r="B64" s="15">
        <v>9344681</v>
      </c>
      <c r="C64" s="15">
        <v>22914</v>
      </c>
      <c r="D64" s="15">
        <v>28123</v>
      </c>
      <c r="E64" s="15">
        <v>1819</v>
      </c>
      <c r="F64" s="15">
        <v>186</v>
      </c>
      <c r="G64" s="15">
        <v>11.3</v>
      </c>
      <c r="H64" s="165" t="s">
        <v>63</v>
      </c>
    </row>
    <row r="65" spans="1:8">
      <c r="A65" s="449" t="s">
        <v>1721</v>
      </c>
      <c r="B65" s="15">
        <v>9344693</v>
      </c>
      <c r="C65" s="15">
        <v>22914</v>
      </c>
      <c r="D65" s="15">
        <v>28186</v>
      </c>
      <c r="E65" s="15">
        <v>1819</v>
      </c>
      <c r="F65" s="15">
        <v>186.34</v>
      </c>
      <c r="G65" s="15">
        <v>11.3</v>
      </c>
      <c r="H65" s="165" t="s">
        <v>63</v>
      </c>
    </row>
    <row r="66" spans="1:8">
      <c r="A66" s="449" t="s">
        <v>1722</v>
      </c>
      <c r="B66" s="15">
        <v>9347255</v>
      </c>
      <c r="C66" s="15">
        <v>22914</v>
      </c>
      <c r="D66" s="15">
        <v>28156</v>
      </c>
      <c r="E66" s="15">
        <v>1819</v>
      </c>
      <c r="F66" s="15">
        <v>186.34</v>
      </c>
      <c r="G66" s="15">
        <v>11.3</v>
      </c>
      <c r="H66" s="165" t="s">
        <v>63</v>
      </c>
    </row>
    <row r="67" spans="1:8">
      <c r="A67" s="449" t="s">
        <v>1723</v>
      </c>
      <c r="B67" s="15">
        <v>9347267</v>
      </c>
      <c r="C67" s="15">
        <v>22914</v>
      </c>
      <c r="D67" s="15">
        <v>28197</v>
      </c>
      <c r="E67" s="15">
        <v>1819</v>
      </c>
      <c r="F67" s="15">
        <v>186.33</v>
      </c>
      <c r="G67" s="15">
        <v>11.3</v>
      </c>
      <c r="H67" s="165" t="s">
        <v>63</v>
      </c>
    </row>
    <row r="68" spans="1:8">
      <c r="A68" s="449" t="s">
        <v>1679</v>
      </c>
      <c r="B68" s="15">
        <v>9225433</v>
      </c>
      <c r="C68" s="15">
        <v>23722</v>
      </c>
      <c r="D68" s="15">
        <v>29098</v>
      </c>
      <c r="E68" s="15">
        <v>1835</v>
      </c>
      <c r="F68" s="15">
        <v>194.06</v>
      </c>
      <c r="G68" s="15">
        <v>11.5</v>
      </c>
      <c r="H68" s="165" t="s">
        <v>63</v>
      </c>
    </row>
    <row r="69" spans="1:8">
      <c r="A69" s="449" t="s">
        <v>1713</v>
      </c>
      <c r="B69" s="15">
        <v>9365829</v>
      </c>
      <c r="C69" s="15">
        <v>21092</v>
      </c>
      <c r="D69" s="15">
        <v>26811</v>
      </c>
      <c r="E69" s="15">
        <v>1845</v>
      </c>
      <c r="F69" s="15">
        <v>182.85</v>
      </c>
      <c r="G69" s="15">
        <v>11</v>
      </c>
      <c r="H69" s="165" t="s">
        <v>63</v>
      </c>
    </row>
    <row r="70" spans="1:8">
      <c r="A70" s="449" t="s">
        <v>1714</v>
      </c>
      <c r="B70" s="15">
        <v>9365855</v>
      </c>
      <c r="C70" s="15">
        <v>20000</v>
      </c>
      <c r="D70" s="15">
        <v>26000</v>
      </c>
      <c r="E70" s="15">
        <v>1849</v>
      </c>
      <c r="F70" s="15">
        <v>182.84</v>
      </c>
      <c r="G70" s="15">
        <v>11</v>
      </c>
      <c r="H70" s="165" t="s">
        <v>63</v>
      </c>
    </row>
    <row r="71" spans="1:8">
      <c r="A71" s="449" t="s">
        <v>1701</v>
      </c>
      <c r="B71" s="15">
        <v>9300154</v>
      </c>
      <c r="C71" s="15">
        <v>21971</v>
      </c>
      <c r="D71" s="15">
        <v>24084</v>
      </c>
      <c r="E71" s="15">
        <v>1850</v>
      </c>
      <c r="F71" s="15">
        <v>196.83</v>
      </c>
      <c r="G71" s="15">
        <v>11</v>
      </c>
      <c r="H71" s="165" t="s">
        <v>63</v>
      </c>
    </row>
    <row r="72" spans="1:8">
      <c r="A72" s="449" t="s">
        <v>1724</v>
      </c>
      <c r="B72" s="15">
        <v>9344722</v>
      </c>
      <c r="C72" s="15">
        <v>17360</v>
      </c>
      <c r="D72" s="15">
        <v>22263</v>
      </c>
      <c r="E72" s="15">
        <v>1852</v>
      </c>
      <c r="F72" s="15">
        <v>178.57</v>
      </c>
      <c r="G72" s="15">
        <v>10.86</v>
      </c>
      <c r="H72" s="165" t="s">
        <v>63</v>
      </c>
    </row>
    <row r="73" spans="1:8">
      <c r="A73" s="449" t="s">
        <v>1703</v>
      </c>
      <c r="B73" s="15">
        <v>9333383</v>
      </c>
      <c r="C73" s="15">
        <v>17360</v>
      </c>
      <c r="D73" s="15">
        <v>22243</v>
      </c>
      <c r="E73" s="15">
        <v>1853</v>
      </c>
      <c r="F73" s="15">
        <v>178.57</v>
      </c>
      <c r="G73" s="15">
        <v>10.86</v>
      </c>
      <c r="H73" s="165" t="s">
        <v>63</v>
      </c>
    </row>
    <row r="74" spans="1:8">
      <c r="A74" s="449" t="s">
        <v>1715</v>
      </c>
      <c r="B74" s="15">
        <v>9339856</v>
      </c>
      <c r="C74" s="15">
        <v>23633</v>
      </c>
      <c r="D74" s="15">
        <v>27131</v>
      </c>
      <c r="E74" s="15">
        <v>1853</v>
      </c>
      <c r="F74" s="15">
        <v>190.98</v>
      </c>
      <c r="G74" s="15">
        <v>11.5</v>
      </c>
      <c r="H74" s="165" t="s">
        <v>63</v>
      </c>
    </row>
    <row r="75" spans="1:8">
      <c r="A75" s="449" t="s">
        <v>1725</v>
      </c>
      <c r="B75" s="15">
        <v>9344710</v>
      </c>
      <c r="C75" s="15">
        <v>17360</v>
      </c>
      <c r="D75" s="15">
        <v>22267</v>
      </c>
      <c r="E75" s="15">
        <v>1853</v>
      </c>
      <c r="F75" s="15">
        <v>179</v>
      </c>
      <c r="G75" s="15">
        <v>10.9</v>
      </c>
      <c r="H75" s="165" t="s">
        <v>63</v>
      </c>
    </row>
    <row r="76" spans="1:8">
      <c r="A76" s="449" t="s">
        <v>1700</v>
      </c>
      <c r="B76" s="15">
        <v>9333371</v>
      </c>
      <c r="C76" s="15">
        <v>17360</v>
      </c>
      <c r="D76" s="15">
        <v>22254</v>
      </c>
      <c r="E76" s="15">
        <v>1875</v>
      </c>
      <c r="F76" s="15">
        <v>178.57</v>
      </c>
      <c r="G76" s="15">
        <v>10.86</v>
      </c>
      <c r="H76" s="165" t="s">
        <v>63</v>
      </c>
    </row>
    <row r="77" spans="1:8">
      <c r="A77" s="449" t="s">
        <v>1678</v>
      </c>
      <c r="B77" s="15">
        <v>9225421</v>
      </c>
      <c r="C77" s="15">
        <v>23722</v>
      </c>
      <c r="D77" s="15">
        <v>29266</v>
      </c>
      <c r="E77" s="15">
        <v>1876</v>
      </c>
      <c r="F77" s="15">
        <v>193.9</v>
      </c>
      <c r="G77" s="15">
        <v>11.5</v>
      </c>
      <c r="H77" s="165" t="s">
        <v>63</v>
      </c>
    </row>
    <row r="78" spans="1:8">
      <c r="A78" s="449" t="s">
        <v>1675</v>
      </c>
      <c r="B78" s="15">
        <v>9088524</v>
      </c>
      <c r="C78" s="15">
        <v>18166</v>
      </c>
      <c r="D78" s="15">
        <v>26337</v>
      </c>
      <c r="E78" s="15">
        <v>1900</v>
      </c>
      <c r="F78" s="15">
        <v>178.09</v>
      </c>
      <c r="G78" s="15">
        <v>10.5</v>
      </c>
      <c r="H78" s="165" t="s">
        <v>63</v>
      </c>
    </row>
    <row r="79" spans="1:8">
      <c r="A79" s="449" t="s">
        <v>1693</v>
      </c>
      <c r="B79" s="15">
        <v>9763722</v>
      </c>
      <c r="C79" s="15">
        <v>25715</v>
      </c>
      <c r="D79" s="15">
        <v>24750</v>
      </c>
      <c r="E79" s="15">
        <v>1924</v>
      </c>
      <c r="F79" s="15">
        <v>177.5</v>
      </c>
      <c r="G79" s="15">
        <v>9.5</v>
      </c>
      <c r="H79" s="165" t="s">
        <v>63</v>
      </c>
    </row>
    <row r="80" spans="1:8">
      <c r="A80" s="449" t="s">
        <v>1696</v>
      </c>
      <c r="B80" s="15">
        <v>9470961</v>
      </c>
      <c r="C80" s="15">
        <v>22000</v>
      </c>
      <c r="D80" s="15">
        <v>28520</v>
      </c>
      <c r="E80" s="15">
        <v>1970</v>
      </c>
      <c r="F80" s="15">
        <v>189.49</v>
      </c>
      <c r="G80" s="15">
        <v>11.35</v>
      </c>
      <c r="H80" s="165" t="s">
        <v>63</v>
      </c>
    </row>
    <row r="81" spans="1:16">
      <c r="A81" s="449" t="s">
        <v>1695</v>
      </c>
      <c r="B81" s="15">
        <v>9339868</v>
      </c>
      <c r="C81" s="15">
        <v>23633</v>
      </c>
      <c r="D81" s="15">
        <v>27155</v>
      </c>
      <c r="E81" s="15">
        <v>2007</v>
      </c>
      <c r="F81" s="15">
        <v>190.94</v>
      </c>
      <c r="G81" s="15">
        <v>11.5</v>
      </c>
      <c r="H81" s="165" t="s">
        <v>63</v>
      </c>
    </row>
    <row r="82" spans="1:16">
      <c r="A82" s="449" t="s">
        <v>1702</v>
      </c>
      <c r="B82" s="15">
        <v>9337028</v>
      </c>
      <c r="C82" s="15">
        <v>23633</v>
      </c>
      <c r="D82" s="15">
        <v>27244</v>
      </c>
      <c r="E82" s="15">
        <v>2007</v>
      </c>
      <c r="F82" s="15">
        <v>191.07</v>
      </c>
      <c r="G82" s="15">
        <v>11.5</v>
      </c>
      <c r="H82" s="165" t="s">
        <v>63</v>
      </c>
      <c r="K82" s="806" t="s">
        <v>2345</v>
      </c>
      <c r="L82" s="807"/>
      <c r="M82" s="808"/>
      <c r="N82" s="808"/>
      <c r="O82" s="808"/>
      <c r="P82" s="809"/>
    </row>
    <row r="83" spans="1:16">
      <c r="A83" s="449" t="s">
        <v>1711</v>
      </c>
      <c r="B83" s="15">
        <v>9039250</v>
      </c>
      <c r="C83" s="15">
        <v>30567</v>
      </c>
      <c r="D83" s="15">
        <v>31160</v>
      </c>
      <c r="E83" s="15">
        <v>2017</v>
      </c>
      <c r="F83" s="15">
        <v>202</v>
      </c>
      <c r="G83" s="15">
        <v>10.55</v>
      </c>
      <c r="H83" s="165" t="s">
        <v>63</v>
      </c>
      <c r="K83" s="804" t="s">
        <v>1804</v>
      </c>
      <c r="L83" s="805"/>
      <c r="M83" s="484" t="s">
        <v>1808</v>
      </c>
      <c r="N83" s="810" t="s">
        <v>1809</v>
      </c>
      <c r="O83" s="810"/>
      <c r="P83" s="811"/>
    </row>
    <row r="84" spans="1:16">
      <c r="A84" s="449" t="s">
        <v>358</v>
      </c>
      <c r="B84" s="15">
        <v>9143233</v>
      </c>
      <c r="C84" s="15">
        <v>23897</v>
      </c>
      <c r="D84" s="15">
        <v>30258</v>
      </c>
      <c r="E84" s="15">
        <v>2048</v>
      </c>
      <c r="F84" s="15">
        <v>188.05</v>
      </c>
      <c r="G84" s="15">
        <v>11.5</v>
      </c>
      <c r="H84" s="165" t="s">
        <v>63</v>
      </c>
      <c r="K84" s="485" t="s">
        <v>1803</v>
      </c>
      <c r="L84" s="485" t="s">
        <v>1802</v>
      </c>
      <c r="M84" s="485" t="s">
        <v>2346</v>
      </c>
      <c r="N84" s="486" t="s">
        <v>1805</v>
      </c>
      <c r="O84" s="486" t="s">
        <v>1806</v>
      </c>
      <c r="P84" s="486" t="s">
        <v>29</v>
      </c>
    </row>
    <row r="85" spans="1:16" ht="15" thickBot="1">
      <c r="A85" s="449" t="s">
        <v>251</v>
      </c>
      <c r="B85" s="15">
        <v>9141792</v>
      </c>
      <c r="C85" s="15">
        <v>21531</v>
      </c>
      <c r="D85" s="15">
        <v>30188</v>
      </c>
      <c r="E85" s="15">
        <v>2061</v>
      </c>
      <c r="F85" s="15">
        <v>181</v>
      </c>
      <c r="G85" s="15">
        <v>11.55</v>
      </c>
      <c r="H85" s="165" t="s">
        <v>63</v>
      </c>
      <c r="K85" s="487">
        <v>7</v>
      </c>
      <c r="L85" s="488" t="s">
        <v>1770</v>
      </c>
      <c r="M85" s="488" t="s">
        <v>1771</v>
      </c>
      <c r="N85" s="489"/>
      <c r="O85" s="489"/>
      <c r="P85" s="489"/>
    </row>
    <row r="86" spans="1:16" ht="15" thickTop="1">
      <c r="A86" s="449" t="s">
        <v>1069</v>
      </c>
      <c r="B86" s="15">
        <v>9141780</v>
      </c>
      <c r="C86" s="15">
        <v>21531</v>
      </c>
      <c r="D86" s="15">
        <v>30173</v>
      </c>
      <c r="E86" s="15">
        <v>2061</v>
      </c>
      <c r="F86" s="15">
        <v>182.03</v>
      </c>
      <c r="G86" s="15">
        <v>11.57</v>
      </c>
      <c r="H86" s="165" t="s">
        <v>63</v>
      </c>
      <c r="K86" s="491">
        <v>1</v>
      </c>
      <c r="L86" s="493" t="s">
        <v>1772</v>
      </c>
      <c r="M86" s="15" t="s">
        <v>1773</v>
      </c>
      <c r="N86" s="506">
        <v>1</v>
      </c>
      <c r="O86" s="501">
        <v>10000</v>
      </c>
      <c r="P86" s="503">
        <f t="shared" ref="P86:P92" si="15">N86*O86</f>
        <v>10000</v>
      </c>
    </row>
    <row r="87" spans="1:16">
      <c r="A87" s="449" t="s">
        <v>1444</v>
      </c>
      <c r="B87" s="15">
        <v>9126479</v>
      </c>
      <c r="C87" s="15">
        <v>21531</v>
      </c>
      <c r="D87" s="15">
        <v>30201</v>
      </c>
      <c r="E87" s="15">
        <v>2061</v>
      </c>
      <c r="F87" s="15">
        <v>182</v>
      </c>
      <c r="G87" s="15">
        <v>11.55</v>
      </c>
      <c r="H87" s="165" t="s">
        <v>63</v>
      </c>
      <c r="K87" s="492">
        <v>1</v>
      </c>
      <c r="L87" s="28" t="s">
        <v>1774</v>
      </c>
      <c r="M87" s="15" t="s">
        <v>1775</v>
      </c>
      <c r="N87" s="507">
        <v>1</v>
      </c>
      <c r="O87" s="502">
        <v>7000</v>
      </c>
      <c r="P87" s="504">
        <f t="shared" si="15"/>
        <v>7000</v>
      </c>
    </row>
    <row r="88" spans="1:16">
      <c r="A88" s="449" t="s">
        <v>1445</v>
      </c>
      <c r="B88" s="15">
        <v>9126481</v>
      </c>
      <c r="C88" s="15">
        <v>21531</v>
      </c>
      <c r="D88" s="15">
        <v>30095</v>
      </c>
      <c r="E88" s="15">
        <v>2061</v>
      </c>
      <c r="F88" s="15">
        <v>182</v>
      </c>
      <c r="G88" s="15">
        <v>11.55</v>
      </c>
      <c r="H88" s="165" t="s">
        <v>63</v>
      </c>
      <c r="K88" s="492">
        <v>1</v>
      </c>
      <c r="L88" s="28" t="s">
        <v>1776</v>
      </c>
      <c r="M88" s="15" t="s">
        <v>1777</v>
      </c>
      <c r="N88" s="507">
        <v>1</v>
      </c>
      <c r="O88" s="502">
        <v>7000</v>
      </c>
      <c r="P88" s="504">
        <f t="shared" si="15"/>
        <v>7000</v>
      </c>
    </row>
    <row r="89" spans="1:16">
      <c r="A89" s="449" t="s">
        <v>97</v>
      </c>
      <c r="B89" s="15">
        <v>9152739</v>
      </c>
      <c r="C89" s="15">
        <v>26131</v>
      </c>
      <c r="D89" s="15">
        <v>30781</v>
      </c>
      <c r="E89" s="15">
        <v>2065</v>
      </c>
      <c r="F89" s="15">
        <v>195.3</v>
      </c>
      <c r="G89" s="15">
        <v>11</v>
      </c>
      <c r="H89" s="165" t="s">
        <v>63</v>
      </c>
      <c r="K89" s="492">
        <v>1</v>
      </c>
      <c r="L89" s="28" t="s">
        <v>1778</v>
      </c>
      <c r="M89" s="15" t="s">
        <v>1779</v>
      </c>
      <c r="N89" s="507">
        <v>1</v>
      </c>
      <c r="O89" s="502">
        <v>6000</v>
      </c>
      <c r="P89" s="504">
        <f t="shared" si="15"/>
        <v>6000</v>
      </c>
    </row>
    <row r="90" spans="1:16">
      <c r="A90" s="449" t="s">
        <v>1585</v>
      </c>
      <c r="B90" s="15">
        <v>9137698</v>
      </c>
      <c r="C90" s="15">
        <v>23896</v>
      </c>
      <c r="D90" s="15">
        <v>30259</v>
      </c>
      <c r="E90" s="15">
        <v>2072</v>
      </c>
      <c r="F90" s="15">
        <v>188</v>
      </c>
      <c r="G90" s="15">
        <v>11.5</v>
      </c>
      <c r="H90" s="165" t="s">
        <v>63</v>
      </c>
      <c r="K90" s="492">
        <v>1</v>
      </c>
      <c r="L90" s="28" t="s">
        <v>1780</v>
      </c>
      <c r="M90" s="15" t="s">
        <v>1781</v>
      </c>
      <c r="N90" s="507">
        <v>1</v>
      </c>
      <c r="O90" s="502">
        <v>6000</v>
      </c>
      <c r="P90" s="504">
        <f t="shared" si="15"/>
        <v>6000</v>
      </c>
    </row>
    <row r="91" spans="1:16">
      <c r="A91" s="449" t="s">
        <v>872</v>
      </c>
      <c r="B91" s="15">
        <v>9228576</v>
      </c>
      <c r="C91" s="15">
        <v>23652</v>
      </c>
      <c r="D91" s="15">
        <v>30375</v>
      </c>
      <c r="E91" s="15">
        <v>2078</v>
      </c>
      <c r="F91" s="15">
        <v>188.02</v>
      </c>
      <c r="G91" s="15">
        <v>11.6</v>
      </c>
      <c r="H91" s="165" t="s">
        <v>63</v>
      </c>
      <c r="K91" s="492">
        <v>1</v>
      </c>
      <c r="L91" s="28" t="s">
        <v>1782</v>
      </c>
      <c r="M91" s="15" t="s">
        <v>1783</v>
      </c>
      <c r="N91" s="507">
        <v>1</v>
      </c>
      <c r="O91" s="502">
        <v>5000</v>
      </c>
      <c r="P91" s="504">
        <f t="shared" si="15"/>
        <v>5000</v>
      </c>
    </row>
    <row r="92" spans="1:16">
      <c r="A92" s="449" t="s">
        <v>1541</v>
      </c>
      <c r="B92" s="15">
        <v>9134490</v>
      </c>
      <c r="C92" s="15">
        <v>24053</v>
      </c>
      <c r="D92" s="15">
        <v>28370</v>
      </c>
      <c r="E92" s="15">
        <v>2109</v>
      </c>
      <c r="F92" s="15">
        <v>205.72</v>
      </c>
      <c r="G92" s="15">
        <v>10.1</v>
      </c>
      <c r="H92" s="165" t="s">
        <v>63</v>
      </c>
      <c r="K92" s="492">
        <v>1</v>
      </c>
      <c r="L92" s="28" t="s">
        <v>1784</v>
      </c>
      <c r="M92" s="15" t="s">
        <v>1785</v>
      </c>
      <c r="N92" s="507">
        <v>1</v>
      </c>
      <c r="O92" s="502">
        <v>5000</v>
      </c>
      <c r="P92" s="504">
        <f t="shared" si="15"/>
        <v>5000</v>
      </c>
    </row>
    <row r="93" spans="1:16" ht="15" thickBot="1">
      <c r="A93" s="449" t="s">
        <v>280</v>
      </c>
      <c r="B93" s="15">
        <v>9357107</v>
      </c>
      <c r="C93" s="15">
        <v>22801</v>
      </c>
      <c r="D93" s="15">
        <v>31200</v>
      </c>
      <c r="E93" s="15">
        <v>2122</v>
      </c>
      <c r="F93" s="15">
        <v>204</v>
      </c>
      <c r="G93" s="15">
        <v>11</v>
      </c>
      <c r="H93" s="165" t="s">
        <v>63</v>
      </c>
      <c r="K93" s="487">
        <v>9</v>
      </c>
      <c r="L93" s="487" t="s">
        <v>1786</v>
      </c>
      <c r="M93" s="490" t="s">
        <v>1787</v>
      </c>
      <c r="N93" s="496"/>
      <c r="O93" s="496"/>
      <c r="P93" s="496"/>
    </row>
    <row r="94" spans="1:16" ht="15" thickTop="1">
      <c r="A94" s="449" t="s">
        <v>369</v>
      </c>
      <c r="B94" s="15">
        <v>9357080</v>
      </c>
      <c r="C94" s="15">
        <v>22801</v>
      </c>
      <c r="D94" s="15">
        <v>30573</v>
      </c>
      <c r="E94" s="15">
        <v>2127</v>
      </c>
      <c r="F94" s="15">
        <v>204.42</v>
      </c>
      <c r="G94" s="15">
        <v>11</v>
      </c>
      <c r="H94" s="165" t="s">
        <v>63</v>
      </c>
      <c r="K94" s="491">
        <v>1</v>
      </c>
      <c r="L94" s="28" t="s">
        <v>1788</v>
      </c>
      <c r="M94" s="494" t="s">
        <v>1789</v>
      </c>
      <c r="N94" s="506">
        <v>1</v>
      </c>
      <c r="O94" s="501">
        <v>3000</v>
      </c>
      <c r="P94" s="503">
        <f t="shared" ref="P94:P100" si="16">N94*O94</f>
        <v>3000</v>
      </c>
    </row>
    <row r="95" spans="1:16">
      <c r="A95" s="449" t="s">
        <v>496</v>
      </c>
      <c r="B95" s="15">
        <v>9178537</v>
      </c>
      <c r="C95" s="15">
        <v>25497</v>
      </c>
      <c r="D95" s="15">
        <v>28917</v>
      </c>
      <c r="E95" s="15">
        <v>2135</v>
      </c>
      <c r="F95" s="15">
        <v>193.9</v>
      </c>
      <c r="G95" s="15">
        <v>10.27</v>
      </c>
      <c r="H95" s="165" t="s">
        <v>63</v>
      </c>
      <c r="K95" s="492"/>
      <c r="L95" s="28" t="s">
        <v>1790</v>
      </c>
      <c r="M95" s="495" t="s">
        <v>1791</v>
      </c>
      <c r="N95" s="502">
        <v>4</v>
      </c>
      <c r="O95" s="502">
        <v>2500</v>
      </c>
      <c r="P95" s="504">
        <f t="shared" si="16"/>
        <v>10000</v>
      </c>
    </row>
    <row r="96" spans="1:16">
      <c r="A96" s="449" t="s">
        <v>735</v>
      </c>
      <c r="B96" s="15">
        <v>9178525</v>
      </c>
      <c r="C96" s="15">
        <v>25497</v>
      </c>
      <c r="D96" s="15">
        <v>28879</v>
      </c>
      <c r="E96" s="15">
        <v>2135</v>
      </c>
      <c r="F96" s="15">
        <v>193.9</v>
      </c>
      <c r="G96" s="15">
        <v>10.26</v>
      </c>
      <c r="H96" s="165" t="s">
        <v>63</v>
      </c>
      <c r="K96" s="492">
        <v>3</v>
      </c>
      <c r="L96" s="28" t="s">
        <v>1792</v>
      </c>
      <c r="M96" s="495" t="s">
        <v>1793</v>
      </c>
      <c r="N96" s="502">
        <v>3</v>
      </c>
      <c r="O96" s="502">
        <v>2000</v>
      </c>
      <c r="P96" s="504">
        <f t="shared" si="16"/>
        <v>6000</v>
      </c>
    </row>
    <row r="97" spans="1:16">
      <c r="A97" s="449" t="s">
        <v>1511</v>
      </c>
      <c r="B97" s="15">
        <v>9178549</v>
      </c>
      <c r="C97" s="15">
        <v>25497</v>
      </c>
      <c r="D97" s="15">
        <v>28876</v>
      </c>
      <c r="E97" s="15">
        <v>2135</v>
      </c>
      <c r="F97" s="15">
        <v>193.9</v>
      </c>
      <c r="G97" s="15">
        <v>10.26</v>
      </c>
      <c r="H97" s="165" t="s">
        <v>63</v>
      </c>
      <c r="K97" s="492">
        <v>3</v>
      </c>
      <c r="L97" s="28" t="s">
        <v>1794</v>
      </c>
      <c r="M97" s="495" t="s">
        <v>1795</v>
      </c>
      <c r="N97" s="502">
        <v>3</v>
      </c>
      <c r="O97" s="502">
        <v>1500</v>
      </c>
      <c r="P97" s="504">
        <f t="shared" si="16"/>
        <v>4500</v>
      </c>
    </row>
    <row r="98" spans="1:16">
      <c r="A98" s="449" t="s">
        <v>1443</v>
      </c>
      <c r="B98" s="15">
        <v>9188219</v>
      </c>
      <c r="C98" s="15">
        <v>21583</v>
      </c>
      <c r="D98" s="15">
        <v>30029</v>
      </c>
      <c r="E98" s="15">
        <v>2169</v>
      </c>
      <c r="F98" s="15">
        <v>183.2</v>
      </c>
      <c r="G98" s="15">
        <v>11.5</v>
      </c>
      <c r="H98" s="165" t="s">
        <v>63</v>
      </c>
      <c r="K98" s="492"/>
      <c r="L98" s="28" t="s">
        <v>1796</v>
      </c>
      <c r="M98" s="495" t="s">
        <v>1797</v>
      </c>
      <c r="N98" s="502">
        <v>3</v>
      </c>
      <c r="O98" s="502">
        <v>2000</v>
      </c>
      <c r="P98" s="504">
        <f t="shared" si="16"/>
        <v>6000</v>
      </c>
    </row>
    <row r="99" spans="1:16">
      <c r="A99" s="449" t="s">
        <v>1489</v>
      </c>
      <c r="B99" s="15">
        <v>9270646</v>
      </c>
      <c r="C99" s="15">
        <v>23289</v>
      </c>
      <c r="D99" s="15">
        <v>30239</v>
      </c>
      <c r="E99" s="15">
        <v>2200</v>
      </c>
      <c r="F99" s="15">
        <v>187</v>
      </c>
      <c r="G99" s="15">
        <v>11.55</v>
      </c>
      <c r="H99" s="165" t="s">
        <v>63</v>
      </c>
      <c r="K99" s="492">
        <v>1</v>
      </c>
      <c r="L99" s="28" t="s">
        <v>1798</v>
      </c>
      <c r="M99" s="495" t="s">
        <v>1799</v>
      </c>
      <c r="N99" s="502">
        <v>1</v>
      </c>
      <c r="O99" s="502">
        <v>3000</v>
      </c>
      <c r="P99" s="504">
        <f t="shared" si="16"/>
        <v>3000</v>
      </c>
    </row>
    <row r="100" spans="1:16">
      <c r="A100" s="449" t="s">
        <v>1502</v>
      </c>
      <c r="B100" s="15">
        <v>9204972</v>
      </c>
      <c r="C100" s="15">
        <v>26047</v>
      </c>
      <c r="D100" s="15">
        <v>30554</v>
      </c>
      <c r="E100" s="15">
        <v>2205</v>
      </c>
      <c r="F100" s="15">
        <v>195</v>
      </c>
      <c r="G100" s="15">
        <v>11</v>
      </c>
      <c r="H100" s="165" t="s">
        <v>63</v>
      </c>
      <c r="K100" s="492">
        <v>1</v>
      </c>
      <c r="L100" s="28" t="s">
        <v>1800</v>
      </c>
      <c r="M100" s="495" t="s">
        <v>1801</v>
      </c>
      <c r="N100" s="502">
        <v>1</v>
      </c>
      <c r="O100" s="502">
        <v>1500</v>
      </c>
      <c r="P100" s="504">
        <f t="shared" si="16"/>
        <v>1500</v>
      </c>
    </row>
    <row r="101" spans="1:16">
      <c r="A101" s="449" t="s">
        <v>1258</v>
      </c>
      <c r="B101" s="15">
        <v>9220861</v>
      </c>
      <c r="C101" s="15">
        <v>26061</v>
      </c>
      <c r="D101" s="15">
        <v>30450</v>
      </c>
      <c r="E101" s="15">
        <v>2207</v>
      </c>
      <c r="F101" s="15">
        <v>195.6</v>
      </c>
      <c r="G101" s="15">
        <v>11</v>
      </c>
      <c r="H101" s="165" t="s">
        <v>63</v>
      </c>
      <c r="K101" s="497"/>
      <c r="L101" s="445"/>
      <c r="M101" s="445"/>
      <c r="N101" s="445"/>
      <c r="O101" s="445"/>
      <c r="P101" s="446"/>
    </row>
    <row r="102" spans="1:16">
      <c r="A102" s="449" t="s">
        <v>594</v>
      </c>
      <c r="B102" s="15">
        <v>9502312</v>
      </c>
      <c r="C102" s="15">
        <v>30469</v>
      </c>
      <c r="D102" s="15">
        <v>37400</v>
      </c>
      <c r="E102" s="15">
        <v>2208</v>
      </c>
      <c r="F102" s="15">
        <v>199.97</v>
      </c>
      <c r="G102" s="15">
        <v>11.7</v>
      </c>
      <c r="H102" s="165" t="s">
        <v>63</v>
      </c>
      <c r="K102" s="499"/>
      <c r="L102" s="500"/>
      <c r="M102" s="498" t="s">
        <v>2347</v>
      </c>
      <c r="N102" s="508">
        <f>SUM(N86:N100)</f>
        <v>23</v>
      </c>
      <c r="O102" s="498" t="s">
        <v>2348</v>
      </c>
      <c r="P102" s="505">
        <f>SUM(P86:P100)</f>
        <v>80000</v>
      </c>
    </row>
    <row r="103" spans="1:16">
      <c r="A103" s="449" t="s">
        <v>1371</v>
      </c>
      <c r="B103" s="15">
        <v>9204984</v>
      </c>
      <c r="C103" s="15">
        <v>26047</v>
      </c>
      <c r="D103" s="15">
        <v>30705</v>
      </c>
      <c r="E103" s="15">
        <v>2225</v>
      </c>
      <c r="F103" s="15">
        <v>195.6</v>
      </c>
      <c r="G103" s="15">
        <v>11.01</v>
      </c>
      <c r="H103" s="165" t="s">
        <v>63</v>
      </c>
    </row>
    <row r="104" spans="1:16">
      <c r="A104" s="449" t="s">
        <v>70</v>
      </c>
      <c r="B104" s="15">
        <v>9152753</v>
      </c>
      <c r="C104" s="15">
        <v>26131</v>
      </c>
      <c r="D104" s="15">
        <v>30781</v>
      </c>
      <c r="E104" s="15">
        <v>2226</v>
      </c>
      <c r="F104" s="15">
        <v>195.6</v>
      </c>
      <c r="G104" s="15">
        <v>11.01</v>
      </c>
      <c r="H104" s="165" t="s">
        <v>63</v>
      </c>
    </row>
    <row r="105" spans="1:16">
      <c r="A105" s="449" t="s">
        <v>104</v>
      </c>
      <c r="B105" s="15">
        <v>9152789</v>
      </c>
      <c r="C105" s="15">
        <v>26131</v>
      </c>
      <c r="D105" s="15">
        <v>30725</v>
      </c>
      <c r="E105" s="15">
        <v>2226</v>
      </c>
      <c r="F105" s="15">
        <v>195.6</v>
      </c>
      <c r="G105" s="15">
        <v>11</v>
      </c>
      <c r="H105" s="165" t="s">
        <v>63</v>
      </c>
    </row>
    <row r="106" spans="1:16">
      <c r="A106" s="449" t="s">
        <v>283</v>
      </c>
      <c r="B106" s="15">
        <v>9261889</v>
      </c>
      <c r="C106" s="15">
        <v>26342</v>
      </c>
      <c r="D106" s="15">
        <v>30804</v>
      </c>
      <c r="E106" s="15">
        <v>2226</v>
      </c>
      <c r="F106" s="15">
        <v>197.2</v>
      </c>
      <c r="G106" s="15">
        <v>11.01</v>
      </c>
      <c r="H106" s="165" t="s">
        <v>63</v>
      </c>
    </row>
    <row r="107" spans="1:16">
      <c r="A107" s="449" t="s">
        <v>1311</v>
      </c>
      <c r="B107" s="15">
        <v>9220897</v>
      </c>
      <c r="C107" s="15">
        <v>27733</v>
      </c>
      <c r="D107" s="15">
        <v>30194</v>
      </c>
      <c r="E107" s="15">
        <v>2226</v>
      </c>
      <c r="F107" s="15">
        <v>198.6</v>
      </c>
      <c r="G107" s="15">
        <v>11</v>
      </c>
      <c r="H107" s="165" t="s">
        <v>63</v>
      </c>
    </row>
    <row r="108" spans="1:16">
      <c r="A108" s="449" t="s">
        <v>1261</v>
      </c>
      <c r="B108" s="15">
        <v>9192478</v>
      </c>
      <c r="C108" s="15">
        <v>27733</v>
      </c>
      <c r="D108" s="15">
        <v>30194</v>
      </c>
      <c r="E108" s="15">
        <v>2240</v>
      </c>
      <c r="F108" s="15">
        <v>198.6</v>
      </c>
      <c r="G108" s="15">
        <v>11</v>
      </c>
      <c r="H108" s="165" t="s">
        <v>63</v>
      </c>
    </row>
    <row r="109" spans="1:16">
      <c r="A109" s="449" t="s">
        <v>975</v>
      </c>
      <c r="B109" s="15">
        <v>8413291</v>
      </c>
      <c r="C109" s="15">
        <v>34285</v>
      </c>
      <c r="D109" s="15">
        <v>36377</v>
      </c>
      <c r="E109" s="15">
        <v>2245</v>
      </c>
      <c r="F109" s="15">
        <v>225.16</v>
      </c>
      <c r="G109" s="15">
        <v>11.52</v>
      </c>
      <c r="H109" s="165" t="s">
        <v>63</v>
      </c>
    </row>
    <row r="110" spans="1:16">
      <c r="A110" s="449" t="s">
        <v>282</v>
      </c>
      <c r="B110" s="15">
        <v>9261918</v>
      </c>
      <c r="C110" s="15">
        <v>26342</v>
      </c>
      <c r="D110" s="15">
        <v>30450</v>
      </c>
      <c r="E110" s="15">
        <v>2260</v>
      </c>
      <c r="F110" s="15">
        <v>197.7</v>
      </c>
      <c r="G110" s="15">
        <v>11.01</v>
      </c>
      <c r="H110" s="165" t="s">
        <v>63</v>
      </c>
    </row>
    <row r="111" spans="1:16">
      <c r="A111" s="449" t="s">
        <v>284</v>
      </c>
      <c r="B111" s="15">
        <v>9261906</v>
      </c>
      <c r="C111" s="15">
        <v>26342</v>
      </c>
      <c r="D111" s="15">
        <v>30804</v>
      </c>
      <c r="E111" s="15">
        <v>2260</v>
      </c>
      <c r="F111" s="15">
        <v>197.7</v>
      </c>
      <c r="G111" s="15">
        <v>11.01</v>
      </c>
      <c r="H111" s="165" t="s">
        <v>63</v>
      </c>
    </row>
    <row r="112" spans="1:16">
      <c r="A112" s="449" t="s">
        <v>285</v>
      </c>
      <c r="B112" s="15">
        <v>9261891</v>
      </c>
      <c r="C112" s="15">
        <v>26342</v>
      </c>
      <c r="D112" s="15">
        <v>30804</v>
      </c>
      <c r="E112" s="15">
        <v>2260</v>
      </c>
      <c r="F112" s="15">
        <v>197.7</v>
      </c>
      <c r="G112" s="15">
        <v>11.01</v>
      </c>
      <c r="H112" s="165" t="s">
        <v>63</v>
      </c>
    </row>
    <row r="113" spans="1:8">
      <c r="A113" s="449" t="s">
        <v>1081</v>
      </c>
      <c r="B113" s="15">
        <v>9000742</v>
      </c>
      <c r="C113" s="15">
        <v>28397</v>
      </c>
      <c r="D113" s="15">
        <v>32984</v>
      </c>
      <c r="E113" s="15">
        <v>2303</v>
      </c>
      <c r="F113" s="15">
        <v>200.05</v>
      </c>
      <c r="G113" s="15">
        <v>12</v>
      </c>
      <c r="H113" s="165" t="s">
        <v>63</v>
      </c>
    </row>
    <row r="114" spans="1:8">
      <c r="A114" s="449" t="s">
        <v>889</v>
      </c>
      <c r="B114" s="15">
        <v>9112296</v>
      </c>
      <c r="C114" s="15">
        <v>33662</v>
      </c>
      <c r="D114" s="15">
        <v>33659</v>
      </c>
      <c r="E114" s="15">
        <v>2330</v>
      </c>
      <c r="F114" s="15">
        <v>216.21</v>
      </c>
      <c r="G114" s="15">
        <v>10.8</v>
      </c>
      <c r="H114" s="165" t="s">
        <v>63</v>
      </c>
    </row>
    <row r="115" spans="1:8">
      <c r="A115" s="449" t="s">
        <v>892</v>
      </c>
      <c r="B115" s="15">
        <v>9694426</v>
      </c>
      <c r="C115" s="15">
        <v>27279</v>
      </c>
      <c r="D115" s="15">
        <v>30079</v>
      </c>
      <c r="E115" s="15">
        <v>2339</v>
      </c>
      <c r="F115" s="15">
        <v>189</v>
      </c>
      <c r="G115" s="15">
        <v>10.5</v>
      </c>
      <c r="H115" s="165" t="s">
        <v>63</v>
      </c>
    </row>
    <row r="116" spans="1:8">
      <c r="A116" s="449" t="s">
        <v>1565</v>
      </c>
      <c r="B116" s="15">
        <v>9108130</v>
      </c>
      <c r="C116" s="15">
        <v>33735</v>
      </c>
      <c r="D116" s="15">
        <v>34330</v>
      </c>
      <c r="E116" s="15">
        <v>2400</v>
      </c>
      <c r="F116" s="15">
        <v>216.13</v>
      </c>
      <c r="G116" s="15">
        <v>10.78</v>
      </c>
      <c r="H116" s="165" t="s">
        <v>63</v>
      </c>
    </row>
    <row r="117" spans="1:8">
      <c r="A117" s="449" t="s">
        <v>1050</v>
      </c>
      <c r="B117" s="15">
        <v>8917778</v>
      </c>
      <c r="C117" s="15">
        <v>37902</v>
      </c>
      <c r="D117" s="15">
        <v>44541</v>
      </c>
      <c r="E117" s="15">
        <v>2440</v>
      </c>
      <c r="F117" s="15">
        <v>240.7</v>
      </c>
      <c r="G117" s="15">
        <v>12.03</v>
      </c>
      <c r="H117" s="165" t="s">
        <v>63</v>
      </c>
    </row>
    <row r="118" spans="1:8">
      <c r="A118" s="449" t="s">
        <v>1030</v>
      </c>
      <c r="B118" s="15">
        <v>7820394</v>
      </c>
      <c r="C118" s="15">
        <v>32238</v>
      </c>
      <c r="D118" s="15">
        <v>30714</v>
      </c>
      <c r="E118" s="15">
        <v>2450</v>
      </c>
      <c r="F118" s="15">
        <v>221.72</v>
      </c>
      <c r="G118" s="15">
        <v>11.52</v>
      </c>
      <c r="H118" s="165" t="s">
        <v>63</v>
      </c>
    </row>
    <row r="119" spans="1:8">
      <c r="A119" s="449" t="s">
        <v>252</v>
      </c>
      <c r="B119" s="15">
        <v>9226516</v>
      </c>
      <c r="C119" s="15">
        <v>25535</v>
      </c>
      <c r="D119" s="15">
        <v>33894</v>
      </c>
      <c r="E119" s="15">
        <v>2452</v>
      </c>
      <c r="F119" s="15">
        <v>199.95</v>
      </c>
      <c r="G119" s="15">
        <v>11.55</v>
      </c>
      <c r="H119" s="165" t="s">
        <v>63</v>
      </c>
    </row>
    <row r="120" spans="1:8">
      <c r="A120" s="449" t="s">
        <v>1376</v>
      </c>
      <c r="B120" s="15">
        <v>9187875</v>
      </c>
      <c r="C120" s="15">
        <v>25535</v>
      </c>
      <c r="D120" s="15">
        <v>12454</v>
      </c>
      <c r="E120" s="15">
        <v>2452</v>
      </c>
      <c r="F120" s="15">
        <v>200.02</v>
      </c>
      <c r="G120" s="15">
        <v>11.55</v>
      </c>
      <c r="H120" s="165" t="s">
        <v>63</v>
      </c>
    </row>
    <row r="121" spans="1:8">
      <c r="A121" s="449" t="s">
        <v>264</v>
      </c>
      <c r="B121" s="15">
        <v>9220316</v>
      </c>
      <c r="C121" s="15">
        <v>25375</v>
      </c>
      <c r="D121" s="15">
        <v>33900</v>
      </c>
      <c r="E121" s="15">
        <v>2470</v>
      </c>
      <c r="F121" s="15">
        <v>207.4</v>
      </c>
      <c r="G121" s="15">
        <v>11.4</v>
      </c>
      <c r="H121" s="165" t="s">
        <v>63</v>
      </c>
    </row>
    <row r="122" spans="1:8">
      <c r="A122" s="449" t="s">
        <v>463</v>
      </c>
      <c r="B122" s="15">
        <v>9217022</v>
      </c>
      <c r="C122" s="15">
        <v>25369</v>
      </c>
      <c r="D122" s="15">
        <v>33899</v>
      </c>
      <c r="E122" s="15">
        <v>2470</v>
      </c>
      <c r="F122" s="15">
        <v>207.3</v>
      </c>
      <c r="G122" s="15">
        <v>11.4</v>
      </c>
      <c r="H122" s="165" t="s">
        <v>63</v>
      </c>
    </row>
    <row r="123" spans="1:8">
      <c r="A123" s="449" t="s">
        <v>726</v>
      </c>
      <c r="B123" s="15">
        <v>9305879</v>
      </c>
      <c r="C123" s="15">
        <v>25674</v>
      </c>
      <c r="D123" s="15">
        <v>33594</v>
      </c>
      <c r="E123" s="15">
        <v>2474</v>
      </c>
      <c r="F123" s="15">
        <v>207.39</v>
      </c>
      <c r="G123" s="15">
        <v>11.4</v>
      </c>
      <c r="H123" s="165" t="s">
        <v>63</v>
      </c>
    </row>
    <row r="124" spans="1:8">
      <c r="A124" s="449" t="s">
        <v>874</v>
      </c>
      <c r="B124" s="15">
        <v>9299484</v>
      </c>
      <c r="C124" s="15">
        <v>25414</v>
      </c>
      <c r="D124" s="15">
        <v>33796</v>
      </c>
      <c r="E124" s="15">
        <v>2474</v>
      </c>
      <c r="F124" s="15">
        <v>207.4</v>
      </c>
      <c r="G124" s="15">
        <v>11.4</v>
      </c>
      <c r="H124" s="165" t="s">
        <v>63</v>
      </c>
    </row>
    <row r="125" spans="1:8">
      <c r="A125" s="449" t="s">
        <v>151</v>
      </c>
      <c r="B125" s="15">
        <v>9283007</v>
      </c>
      <c r="C125" s="15">
        <v>25391</v>
      </c>
      <c r="D125" s="15">
        <v>33853</v>
      </c>
      <c r="E125" s="15">
        <v>2478</v>
      </c>
      <c r="F125" s="15">
        <v>207.4</v>
      </c>
      <c r="G125" s="15">
        <v>11.4</v>
      </c>
      <c r="H125" s="165" t="s">
        <v>63</v>
      </c>
    </row>
    <row r="126" spans="1:8">
      <c r="A126" s="449" t="s">
        <v>153</v>
      </c>
      <c r="B126" s="15">
        <v>9283021</v>
      </c>
      <c r="C126" s="15">
        <v>25391</v>
      </c>
      <c r="D126" s="15">
        <v>33850</v>
      </c>
      <c r="E126" s="15">
        <v>2478</v>
      </c>
      <c r="F126" s="15">
        <v>207.4</v>
      </c>
      <c r="G126" s="15">
        <v>11.4</v>
      </c>
      <c r="H126" s="165" t="s">
        <v>63</v>
      </c>
    </row>
    <row r="127" spans="1:8">
      <c r="A127" s="449" t="s">
        <v>155</v>
      </c>
      <c r="B127" s="15">
        <v>9284142</v>
      </c>
      <c r="C127" s="15">
        <v>25391</v>
      </c>
      <c r="D127" s="15">
        <v>33812</v>
      </c>
      <c r="E127" s="15">
        <v>2478</v>
      </c>
      <c r="F127" s="15">
        <v>207.4</v>
      </c>
      <c r="G127" s="15">
        <v>11.4</v>
      </c>
      <c r="H127" s="165" t="s">
        <v>63</v>
      </c>
    </row>
    <row r="128" spans="1:8">
      <c r="A128" s="449" t="s">
        <v>162</v>
      </c>
      <c r="B128" s="15">
        <v>9158501</v>
      </c>
      <c r="C128" s="15">
        <v>25624</v>
      </c>
      <c r="D128" s="15">
        <v>33914</v>
      </c>
      <c r="E128" s="15">
        <v>2478</v>
      </c>
      <c r="F128" s="15">
        <v>207.4</v>
      </c>
      <c r="G128" s="15">
        <v>11.4</v>
      </c>
      <c r="H128" s="165" t="s">
        <v>63</v>
      </c>
    </row>
    <row r="129" spans="1:8">
      <c r="A129" s="449" t="s">
        <v>169</v>
      </c>
      <c r="B129" s="15">
        <v>9283019</v>
      </c>
      <c r="C129" s="15">
        <v>25391</v>
      </c>
      <c r="D129" s="15">
        <v>33850</v>
      </c>
      <c r="E129" s="15">
        <v>2478</v>
      </c>
      <c r="F129" s="15">
        <v>207.4</v>
      </c>
      <c r="G129" s="15">
        <v>11.4</v>
      </c>
      <c r="H129" s="165" t="s">
        <v>63</v>
      </c>
    </row>
    <row r="130" spans="1:8">
      <c r="A130" s="449" t="s">
        <v>578</v>
      </c>
      <c r="B130" s="15">
        <v>9320013</v>
      </c>
      <c r="C130" s="15">
        <v>25406</v>
      </c>
      <c r="D130" s="15">
        <v>33742</v>
      </c>
      <c r="E130" s="15">
        <v>2478</v>
      </c>
      <c r="F130" s="15">
        <v>207.53</v>
      </c>
      <c r="G130" s="15">
        <v>11.4</v>
      </c>
      <c r="H130" s="165" t="s">
        <v>63</v>
      </c>
    </row>
    <row r="131" spans="1:8">
      <c r="A131" s="449" t="s">
        <v>579</v>
      </c>
      <c r="B131" s="15">
        <v>9299044</v>
      </c>
      <c r="C131" s="15">
        <v>25406</v>
      </c>
      <c r="D131" s="15">
        <v>33750</v>
      </c>
      <c r="E131" s="15">
        <v>2478</v>
      </c>
      <c r="F131" s="15">
        <v>207.4</v>
      </c>
      <c r="G131" s="15">
        <v>11.4</v>
      </c>
      <c r="H131" s="165" t="s">
        <v>63</v>
      </c>
    </row>
    <row r="132" spans="1:8">
      <c r="A132" s="449" t="s">
        <v>580</v>
      </c>
      <c r="B132" s="15">
        <v>9302449</v>
      </c>
      <c r="C132" s="15">
        <v>25406</v>
      </c>
      <c r="D132" s="15">
        <v>33781</v>
      </c>
      <c r="E132" s="15">
        <v>2478</v>
      </c>
      <c r="F132" s="15">
        <v>207.4</v>
      </c>
      <c r="G132" s="15">
        <v>11.4</v>
      </c>
      <c r="H132" s="165" t="s">
        <v>63</v>
      </c>
    </row>
    <row r="133" spans="1:8">
      <c r="A133" s="449" t="s">
        <v>723</v>
      </c>
      <c r="B133" s="15">
        <v>9294018</v>
      </c>
      <c r="C133" s="15">
        <v>25672</v>
      </c>
      <c r="D133" s="15">
        <v>33390</v>
      </c>
      <c r="E133" s="15">
        <v>2478</v>
      </c>
      <c r="F133" s="15">
        <v>207.4</v>
      </c>
      <c r="G133" s="15">
        <v>11.4</v>
      </c>
      <c r="H133" s="165" t="s">
        <v>63</v>
      </c>
    </row>
    <row r="134" spans="1:8">
      <c r="A134" s="449" t="s">
        <v>1576</v>
      </c>
      <c r="B134" s="15">
        <v>9491848</v>
      </c>
      <c r="C134" s="15">
        <v>26195</v>
      </c>
      <c r="D134" s="15">
        <v>34973</v>
      </c>
      <c r="E134" s="15">
        <v>2478</v>
      </c>
      <c r="F134" s="15">
        <v>210.45</v>
      </c>
      <c r="G134" s="15">
        <v>11.4</v>
      </c>
      <c r="H134" s="165" t="s">
        <v>63</v>
      </c>
    </row>
    <row r="135" spans="1:8">
      <c r="A135" s="449" t="s">
        <v>249</v>
      </c>
      <c r="B135" s="15">
        <v>9359715</v>
      </c>
      <c r="C135" s="15">
        <v>27104</v>
      </c>
      <c r="D135" s="15">
        <v>33662</v>
      </c>
      <c r="E135" s="15">
        <v>2483</v>
      </c>
      <c r="F135" s="15">
        <v>199.93</v>
      </c>
      <c r="G135" s="15">
        <v>11.86</v>
      </c>
      <c r="H135" s="165" t="s">
        <v>63</v>
      </c>
    </row>
    <row r="136" spans="1:8">
      <c r="A136" s="449" t="s">
        <v>319</v>
      </c>
      <c r="B136" s="15">
        <v>9745548</v>
      </c>
      <c r="C136" s="15">
        <v>29316</v>
      </c>
      <c r="D136" s="15">
        <v>34350</v>
      </c>
      <c r="E136" s="15">
        <v>2487</v>
      </c>
      <c r="F136" s="15">
        <v>195</v>
      </c>
      <c r="G136" s="15">
        <v>11.5</v>
      </c>
      <c r="H136" s="165" t="s">
        <v>63</v>
      </c>
    </row>
    <row r="137" spans="1:8">
      <c r="A137" s="449" t="s">
        <v>110</v>
      </c>
      <c r="B137" s="15">
        <v>9304746</v>
      </c>
      <c r="C137" s="15">
        <v>27059</v>
      </c>
      <c r="D137" s="15">
        <v>34444</v>
      </c>
      <c r="E137" s="15">
        <v>2490</v>
      </c>
      <c r="F137" s="15">
        <v>211.85</v>
      </c>
      <c r="G137" s="15">
        <v>11.4</v>
      </c>
      <c r="H137" s="165" t="s">
        <v>63</v>
      </c>
    </row>
    <row r="138" spans="1:8">
      <c r="A138" s="449" t="s">
        <v>1370</v>
      </c>
      <c r="B138" s="15">
        <v>9344564</v>
      </c>
      <c r="C138" s="15">
        <v>27059</v>
      </c>
      <c r="D138" s="15">
        <v>34409</v>
      </c>
      <c r="E138" s="15">
        <v>2490</v>
      </c>
      <c r="F138" s="15">
        <v>211.85</v>
      </c>
      <c r="G138" s="15">
        <v>11.4</v>
      </c>
      <c r="H138" s="165" t="s">
        <v>63</v>
      </c>
    </row>
    <row r="139" spans="1:8">
      <c r="A139" s="449" t="s">
        <v>1562</v>
      </c>
      <c r="B139" s="15">
        <v>9364203</v>
      </c>
      <c r="C139" s="15">
        <v>27061</v>
      </c>
      <c r="D139" s="15">
        <v>34393</v>
      </c>
      <c r="E139" s="15">
        <v>2490</v>
      </c>
      <c r="F139" s="15">
        <v>212.2</v>
      </c>
      <c r="G139" s="15">
        <v>11.4</v>
      </c>
      <c r="H139" s="165" t="s">
        <v>63</v>
      </c>
    </row>
    <row r="140" spans="1:8">
      <c r="A140" s="449" t="s">
        <v>1264</v>
      </c>
      <c r="B140" s="15">
        <v>9697014</v>
      </c>
      <c r="C140" s="15">
        <v>28316</v>
      </c>
      <c r="D140" s="15">
        <v>35586</v>
      </c>
      <c r="E140" s="15">
        <v>2500</v>
      </c>
      <c r="F140" s="15">
        <v>190</v>
      </c>
      <c r="G140" s="15">
        <v>11.5</v>
      </c>
      <c r="H140" s="165" t="s">
        <v>63</v>
      </c>
    </row>
    <row r="141" spans="1:8">
      <c r="A141" s="449" t="s">
        <v>1461</v>
      </c>
      <c r="B141" s="15">
        <v>9383259</v>
      </c>
      <c r="C141" s="15">
        <v>26435</v>
      </c>
      <c r="D141" s="15">
        <v>34220</v>
      </c>
      <c r="E141" s="15">
        <v>2500</v>
      </c>
      <c r="F141" s="15">
        <v>208.97</v>
      </c>
      <c r="G141" s="15">
        <v>11.6</v>
      </c>
      <c r="H141" s="165" t="s">
        <v>63</v>
      </c>
    </row>
    <row r="142" spans="1:8">
      <c r="A142" s="449" t="s">
        <v>1394</v>
      </c>
      <c r="B142" s="15">
        <v>9339583</v>
      </c>
      <c r="C142" s="15">
        <v>26435</v>
      </c>
      <c r="D142" s="15">
        <v>34191</v>
      </c>
      <c r="E142" s="15">
        <v>2504</v>
      </c>
      <c r="F142" s="15">
        <v>208.93</v>
      </c>
      <c r="G142" s="15">
        <v>11.6</v>
      </c>
      <c r="H142" s="165" t="s">
        <v>63</v>
      </c>
    </row>
    <row r="143" spans="1:8">
      <c r="A143" s="449" t="s">
        <v>497</v>
      </c>
      <c r="B143" s="15">
        <v>9203514</v>
      </c>
      <c r="C143" s="15">
        <v>25294</v>
      </c>
      <c r="D143" s="15">
        <v>32321</v>
      </c>
      <c r="E143" s="15">
        <v>2506</v>
      </c>
      <c r="F143" s="15">
        <v>207.2</v>
      </c>
      <c r="G143" s="15">
        <v>11.4</v>
      </c>
      <c r="H143" s="165" t="s">
        <v>63</v>
      </c>
    </row>
    <row r="144" spans="1:8">
      <c r="A144" s="449" t="s">
        <v>1257</v>
      </c>
      <c r="B144" s="15">
        <v>9209104</v>
      </c>
      <c r="C144" s="15">
        <v>25294</v>
      </c>
      <c r="D144" s="15">
        <v>32299</v>
      </c>
      <c r="E144" s="15">
        <v>2506</v>
      </c>
      <c r="F144" s="15">
        <v>207</v>
      </c>
      <c r="G144" s="15">
        <v>11.4</v>
      </c>
      <c r="H144" s="165" t="s">
        <v>63</v>
      </c>
    </row>
    <row r="145" spans="1:8">
      <c r="A145" s="449" t="s">
        <v>1045</v>
      </c>
      <c r="B145" s="15">
        <v>9236688</v>
      </c>
      <c r="C145" s="15">
        <v>25703</v>
      </c>
      <c r="D145" s="15">
        <v>33657</v>
      </c>
      <c r="E145" s="15">
        <v>2524</v>
      </c>
      <c r="F145" s="15">
        <v>208.31</v>
      </c>
      <c r="G145" s="15">
        <v>11.4</v>
      </c>
      <c r="H145" s="165" t="s">
        <v>63</v>
      </c>
    </row>
    <row r="146" spans="1:8">
      <c r="A146" s="449" t="s">
        <v>566</v>
      </c>
      <c r="B146" s="15">
        <v>9231482</v>
      </c>
      <c r="C146" s="15">
        <v>26582</v>
      </c>
      <c r="D146" s="15">
        <v>34654</v>
      </c>
      <c r="E146" s="15">
        <v>2530</v>
      </c>
      <c r="F146" s="15">
        <v>210.07</v>
      </c>
      <c r="G146" s="15">
        <v>11.5</v>
      </c>
      <c r="H146" s="165" t="s">
        <v>63</v>
      </c>
    </row>
    <row r="147" spans="1:8">
      <c r="A147" s="449" t="s">
        <v>487</v>
      </c>
      <c r="B147" s="15">
        <v>9273947</v>
      </c>
      <c r="C147" s="15">
        <v>25709</v>
      </c>
      <c r="D147" s="15">
        <v>33879</v>
      </c>
      <c r="E147" s="15">
        <v>2532</v>
      </c>
      <c r="F147" s="15">
        <v>208.3</v>
      </c>
      <c r="G147" s="15">
        <v>11.4</v>
      </c>
      <c r="H147" s="165" t="s">
        <v>63</v>
      </c>
    </row>
    <row r="148" spans="1:8">
      <c r="A148" s="449" t="s">
        <v>828</v>
      </c>
      <c r="B148" s="15">
        <v>9222118</v>
      </c>
      <c r="C148" s="15">
        <v>26626</v>
      </c>
      <c r="D148" s="15">
        <v>33771</v>
      </c>
      <c r="E148" s="15">
        <v>2532</v>
      </c>
      <c r="F148" s="15">
        <v>210</v>
      </c>
      <c r="G148" s="15">
        <v>11.5</v>
      </c>
      <c r="H148" s="165" t="s">
        <v>63</v>
      </c>
    </row>
    <row r="149" spans="1:8">
      <c r="A149" s="449" t="s">
        <v>1313</v>
      </c>
      <c r="B149" s="15">
        <v>9215892</v>
      </c>
      <c r="C149" s="15">
        <v>26626</v>
      </c>
      <c r="D149" s="15">
        <v>33771</v>
      </c>
      <c r="E149" s="15">
        <v>2532</v>
      </c>
      <c r="F149" s="15">
        <v>210</v>
      </c>
      <c r="G149" s="15">
        <v>11.5</v>
      </c>
      <c r="H149" s="165" t="s">
        <v>63</v>
      </c>
    </row>
    <row r="150" spans="1:8">
      <c r="A150" s="449" t="s">
        <v>166</v>
      </c>
      <c r="B150" s="15">
        <v>9153410</v>
      </c>
      <c r="C150" s="15">
        <v>25637</v>
      </c>
      <c r="D150" s="15">
        <v>33819</v>
      </c>
      <c r="E150" s="15">
        <v>2546</v>
      </c>
      <c r="F150" s="15">
        <v>207.37</v>
      </c>
      <c r="G150" s="15">
        <v>11.4</v>
      </c>
      <c r="H150" s="165" t="s">
        <v>63</v>
      </c>
    </row>
    <row r="151" spans="1:8">
      <c r="A151" s="449" t="s">
        <v>819</v>
      </c>
      <c r="B151" s="15">
        <v>9231470</v>
      </c>
      <c r="C151" s="15">
        <v>26582</v>
      </c>
      <c r="D151" s="15">
        <v>34662</v>
      </c>
      <c r="E151" s="15">
        <v>2550</v>
      </c>
      <c r="F151" s="15">
        <v>210</v>
      </c>
      <c r="G151" s="15">
        <v>11.5</v>
      </c>
      <c r="H151" s="165" t="s">
        <v>63</v>
      </c>
    </row>
    <row r="152" spans="1:8">
      <c r="A152" s="449" t="s">
        <v>821</v>
      </c>
      <c r="B152" s="15">
        <v>9434905</v>
      </c>
      <c r="C152" s="15">
        <v>26836</v>
      </c>
      <c r="D152" s="15">
        <v>33460</v>
      </c>
      <c r="E152" s="15">
        <v>2550</v>
      </c>
      <c r="F152" s="15">
        <v>210</v>
      </c>
      <c r="G152" s="15">
        <v>11.5</v>
      </c>
      <c r="H152" s="165" t="s">
        <v>63</v>
      </c>
    </row>
    <row r="153" spans="1:8">
      <c r="A153" s="449" t="s">
        <v>822</v>
      </c>
      <c r="B153" s="15">
        <v>9434917</v>
      </c>
      <c r="C153" s="15">
        <v>26836</v>
      </c>
      <c r="D153" s="15">
        <v>33413</v>
      </c>
      <c r="E153" s="15">
        <v>2550</v>
      </c>
      <c r="F153" s="15">
        <v>210.09</v>
      </c>
      <c r="G153" s="15">
        <v>11.5</v>
      </c>
      <c r="H153" s="165" t="s">
        <v>63</v>
      </c>
    </row>
    <row r="154" spans="1:8">
      <c r="A154" s="449" t="s">
        <v>823</v>
      </c>
      <c r="B154" s="15">
        <v>9446104</v>
      </c>
      <c r="C154" s="15">
        <v>26836</v>
      </c>
      <c r="D154" s="15">
        <v>33460</v>
      </c>
      <c r="E154" s="15">
        <v>2550</v>
      </c>
      <c r="F154" s="15">
        <v>210.08</v>
      </c>
      <c r="G154" s="15">
        <v>11.5</v>
      </c>
      <c r="H154" s="165" t="s">
        <v>63</v>
      </c>
    </row>
    <row r="155" spans="1:8">
      <c r="A155" s="449" t="s">
        <v>825</v>
      </c>
      <c r="B155" s="15">
        <v>9434931</v>
      </c>
      <c r="C155" s="15">
        <v>26836</v>
      </c>
      <c r="D155" s="15">
        <v>33448</v>
      </c>
      <c r="E155" s="15">
        <v>2550</v>
      </c>
      <c r="F155" s="15">
        <v>210.09</v>
      </c>
      <c r="G155" s="15">
        <v>11.5</v>
      </c>
      <c r="H155" s="165" t="s">
        <v>63</v>
      </c>
    </row>
    <row r="156" spans="1:8">
      <c r="A156" s="449" t="s">
        <v>826</v>
      </c>
      <c r="B156" s="15">
        <v>9434943</v>
      </c>
      <c r="C156" s="15">
        <v>26836</v>
      </c>
      <c r="D156" s="15">
        <v>33460</v>
      </c>
      <c r="E156" s="15">
        <v>2550</v>
      </c>
      <c r="F156" s="15">
        <v>210</v>
      </c>
      <c r="G156" s="15">
        <v>11.5</v>
      </c>
      <c r="H156" s="165" t="s">
        <v>63</v>
      </c>
    </row>
    <row r="157" spans="1:8">
      <c r="A157" s="449" t="s">
        <v>1505</v>
      </c>
      <c r="B157" s="15">
        <v>9222120</v>
      </c>
      <c r="C157" s="15">
        <v>26582</v>
      </c>
      <c r="D157" s="15">
        <v>33871</v>
      </c>
      <c r="E157" s="15">
        <v>2550</v>
      </c>
      <c r="F157" s="15">
        <v>210</v>
      </c>
      <c r="G157" s="15">
        <v>11.5</v>
      </c>
      <c r="H157" s="165" t="s">
        <v>63</v>
      </c>
    </row>
    <row r="158" spans="1:8">
      <c r="A158" s="449" t="s">
        <v>616</v>
      </c>
      <c r="B158" s="15">
        <v>9532276</v>
      </c>
      <c r="C158" s="15">
        <v>27061</v>
      </c>
      <c r="D158" s="15">
        <v>33100</v>
      </c>
      <c r="E158" s="15">
        <v>2553</v>
      </c>
      <c r="F158" s="15">
        <v>199.93</v>
      </c>
      <c r="G158" s="15">
        <v>11.25</v>
      </c>
      <c r="H158" s="165" t="s">
        <v>63</v>
      </c>
    </row>
    <row r="159" spans="1:8">
      <c r="A159" s="449" t="s">
        <v>934</v>
      </c>
      <c r="B159" s="15">
        <v>9472579</v>
      </c>
      <c r="C159" s="15">
        <v>27104</v>
      </c>
      <c r="D159" s="15">
        <v>33508</v>
      </c>
      <c r="E159" s="15">
        <v>2553</v>
      </c>
      <c r="F159" s="15">
        <v>199.93</v>
      </c>
      <c r="G159" s="15">
        <v>11.27</v>
      </c>
      <c r="H159" s="165" t="s">
        <v>63</v>
      </c>
    </row>
    <row r="160" spans="1:8">
      <c r="A160" s="449" t="s">
        <v>159</v>
      </c>
      <c r="B160" s="15">
        <v>9283693</v>
      </c>
      <c r="C160" s="15">
        <v>26833</v>
      </c>
      <c r="D160" s="15">
        <v>34567</v>
      </c>
      <c r="E160" s="15">
        <v>2556</v>
      </c>
      <c r="F160" s="15">
        <v>210.05</v>
      </c>
      <c r="G160" s="15">
        <v>11.5</v>
      </c>
      <c r="H160" s="165" t="s">
        <v>63</v>
      </c>
    </row>
    <row r="161" spans="1:8">
      <c r="A161" s="449" t="s">
        <v>160</v>
      </c>
      <c r="B161" s="15">
        <v>9286774</v>
      </c>
      <c r="C161" s="15">
        <v>26833</v>
      </c>
      <c r="D161" s="15">
        <v>34287</v>
      </c>
      <c r="E161" s="15">
        <v>2556</v>
      </c>
      <c r="F161" s="15">
        <v>210.07</v>
      </c>
      <c r="G161" s="15">
        <v>11.5</v>
      </c>
      <c r="H161" s="165" t="s">
        <v>63</v>
      </c>
    </row>
    <row r="162" spans="1:8">
      <c r="A162" s="449" t="s">
        <v>161</v>
      </c>
      <c r="B162" s="15">
        <v>9286786</v>
      </c>
      <c r="C162" s="15">
        <v>26833</v>
      </c>
      <c r="D162" s="15">
        <v>34282</v>
      </c>
      <c r="E162" s="15">
        <v>2556</v>
      </c>
      <c r="F162" s="15">
        <v>210.08</v>
      </c>
      <c r="G162" s="15">
        <v>11.5</v>
      </c>
      <c r="H162" s="165" t="s">
        <v>63</v>
      </c>
    </row>
    <row r="163" spans="1:8">
      <c r="A163" s="449" t="s">
        <v>187</v>
      </c>
      <c r="B163" s="15">
        <v>9301433</v>
      </c>
      <c r="C163" s="15">
        <v>26836</v>
      </c>
      <c r="D163" s="15">
        <v>34289</v>
      </c>
      <c r="E163" s="15">
        <v>2556</v>
      </c>
      <c r="F163" s="15">
        <v>210.06</v>
      </c>
      <c r="G163" s="15">
        <v>11.5</v>
      </c>
      <c r="H163" s="165" t="s">
        <v>63</v>
      </c>
    </row>
    <row r="164" spans="1:8">
      <c r="A164" s="449" t="s">
        <v>188</v>
      </c>
      <c r="B164" s="15">
        <v>9301445</v>
      </c>
      <c r="C164" s="15">
        <v>26836</v>
      </c>
      <c r="D164" s="15">
        <v>34263</v>
      </c>
      <c r="E164" s="15">
        <v>2556</v>
      </c>
      <c r="F164" s="15">
        <v>210</v>
      </c>
      <c r="G164" s="15">
        <v>11.5</v>
      </c>
      <c r="H164" s="165" t="s">
        <v>63</v>
      </c>
    </row>
    <row r="165" spans="1:8">
      <c r="A165" s="449" t="s">
        <v>189</v>
      </c>
      <c r="B165" s="15">
        <v>9275036</v>
      </c>
      <c r="C165" s="15">
        <v>26833</v>
      </c>
      <c r="D165" s="15">
        <v>34273</v>
      </c>
      <c r="E165" s="15">
        <v>2556</v>
      </c>
      <c r="F165" s="15">
        <v>210.05</v>
      </c>
      <c r="G165" s="15">
        <v>11.5</v>
      </c>
      <c r="H165" s="165" t="s">
        <v>63</v>
      </c>
    </row>
    <row r="166" spans="1:8">
      <c r="A166" s="449" t="s">
        <v>202</v>
      </c>
      <c r="B166" s="15">
        <v>9275048</v>
      </c>
      <c r="C166" s="15">
        <v>26833</v>
      </c>
      <c r="D166" s="15">
        <v>34295</v>
      </c>
      <c r="E166" s="15">
        <v>2556</v>
      </c>
      <c r="F166" s="15">
        <v>210.03</v>
      </c>
      <c r="G166" s="15">
        <v>11.5</v>
      </c>
      <c r="H166" s="165" t="s">
        <v>63</v>
      </c>
    </row>
    <row r="167" spans="1:8">
      <c r="A167" s="449" t="s">
        <v>213</v>
      </c>
      <c r="B167" s="15">
        <v>9275062</v>
      </c>
      <c r="C167" s="15">
        <v>26833</v>
      </c>
      <c r="D167" s="15">
        <v>34315</v>
      </c>
      <c r="E167" s="15">
        <v>2556</v>
      </c>
      <c r="F167" s="15">
        <v>210.07</v>
      </c>
      <c r="G167" s="15">
        <v>11.5</v>
      </c>
      <c r="H167" s="165" t="s">
        <v>63</v>
      </c>
    </row>
    <row r="168" spans="1:8">
      <c r="A168" s="449" t="s">
        <v>302</v>
      </c>
      <c r="B168" s="15">
        <v>9301469</v>
      </c>
      <c r="C168" s="15">
        <v>26836</v>
      </c>
      <c r="D168" s="15">
        <v>34251</v>
      </c>
      <c r="E168" s="15">
        <v>2556</v>
      </c>
      <c r="F168" s="15">
        <v>210.06</v>
      </c>
      <c r="G168" s="15">
        <v>11.5</v>
      </c>
      <c r="H168" s="165" t="s">
        <v>63</v>
      </c>
    </row>
    <row r="169" spans="1:8">
      <c r="A169" s="449" t="s">
        <v>495</v>
      </c>
      <c r="B169" s="15">
        <v>9231494</v>
      </c>
      <c r="C169" s="15">
        <v>26582</v>
      </c>
      <c r="D169" s="15">
        <v>34649</v>
      </c>
      <c r="E169" s="15">
        <v>2556</v>
      </c>
      <c r="F169" s="15">
        <v>210.09</v>
      </c>
      <c r="G169" s="15">
        <v>11.5</v>
      </c>
      <c r="H169" s="165" t="s">
        <v>63</v>
      </c>
    </row>
    <row r="170" spans="1:8">
      <c r="A170" s="449" t="s">
        <v>609</v>
      </c>
      <c r="B170" s="15">
        <v>9326823</v>
      </c>
      <c r="C170" s="15">
        <v>26836</v>
      </c>
      <c r="D170" s="15">
        <v>34248</v>
      </c>
      <c r="E170" s="15">
        <v>2556</v>
      </c>
      <c r="F170" s="15">
        <v>210</v>
      </c>
      <c r="G170" s="15">
        <v>11.5</v>
      </c>
      <c r="H170" s="165" t="s">
        <v>63</v>
      </c>
    </row>
    <row r="171" spans="1:8">
      <c r="A171" s="449" t="s">
        <v>612</v>
      </c>
      <c r="B171" s="15">
        <v>9326835</v>
      </c>
      <c r="C171" s="15">
        <v>26836</v>
      </c>
      <c r="D171" s="15">
        <v>34253</v>
      </c>
      <c r="E171" s="15">
        <v>2556</v>
      </c>
      <c r="F171" s="15">
        <v>210</v>
      </c>
      <c r="G171" s="15">
        <v>11.5</v>
      </c>
      <c r="H171" s="165" t="s">
        <v>63</v>
      </c>
    </row>
    <row r="172" spans="1:8">
      <c r="A172" s="449" t="s">
        <v>818</v>
      </c>
      <c r="B172" s="15">
        <v>9215907</v>
      </c>
      <c r="C172" s="15">
        <v>26718</v>
      </c>
      <c r="D172" s="15">
        <v>34643</v>
      </c>
      <c r="E172" s="15">
        <v>2556</v>
      </c>
      <c r="F172" s="15">
        <v>210</v>
      </c>
      <c r="G172" s="15">
        <v>11.5</v>
      </c>
      <c r="H172" s="165" t="s">
        <v>63</v>
      </c>
    </row>
    <row r="173" spans="1:8">
      <c r="A173" s="449" t="s">
        <v>820</v>
      </c>
      <c r="B173" s="15">
        <v>9215878</v>
      </c>
      <c r="C173" s="15">
        <v>26626</v>
      </c>
      <c r="D173" s="15">
        <v>33800</v>
      </c>
      <c r="E173" s="15">
        <v>2556</v>
      </c>
      <c r="F173" s="15">
        <v>210</v>
      </c>
      <c r="G173" s="15">
        <v>11.51</v>
      </c>
      <c r="H173" s="165" t="s">
        <v>63</v>
      </c>
    </row>
    <row r="174" spans="1:8">
      <c r="A174" s="449" t="s">
        <v>827</v>
      </c>
      <c r="B174" s="15">
        <v>9215919</v>
      </c>
      <c r="C174" s="15">
        <v>26718</v>
      </c>
      <c r="D174" s="15">
        <v>34677</v>
      </c>
      <c r="E174" s="15">
        <v>2556</v>
      </c>
      <c r="F174" s="15">
        <v>210.07</v>
      </c>
      <c r="G174" s="15">
        <v>11.5</v>
      </c>
      <c r="H174" s="165" t="s">
        <v>63</v>
      </c>
    </row>
    <row r="175" spans="1:8">
      <c r="A175" s="449" t="s">
        <v>829</v>
      </c>
      <c r="B175" s="15">
        <v>9275050</v>
      </c>
      <c r="C175" s="15">
        <v>26833</v>
      </c>
      <c r="D175" s="15">
        <v>34300</v>
      </c>
      <c r="E175" s="15">
        <v>2556</v>
      </c>
      <c r="F175" s="15">
        <v>210.06</v>
      </c>
      <c r="G175" s="15">
        <v>11.5</v>
      </c>
      <c r="H175" s="165" t="s">
        <v>63</v>
      </c>
    </row>
    <row r="176" spans="1:8">
      <c r="A176" s="449" t="s">
        <v>1420</v>
      </c>
      <c r="B176" s="15">
        <v>9283708</v>
      </c>
      <c r="C176" s="15">
        <v>26833</v>
      </c>
      <c r="D176" s="15">
        <v>34314</v>
      </c>
      <c r="E176" s="15">
        <v>2556</v>
      </c>
      <c r="F176" s="15">
        <v>210</v>
      </c>
      <c r="G176" s="15">
        <v>11.5</v>
      </c>
      <c r="H176" s="165" t="s">
        <v>63</v>
      </c>
    </row>
    <row r="177" spans="1:8">
      <c r="A177" s="449" t="s">
        <v>1529</v>
      </c>
      <c r="B177" s="15">
        <v>9301457</v>
      </c>
      <c r="C177" s="15">
        <v>26836</v>
      </c>
      <c r="D177" s="15">
        <v>34244</v>
      </c>
      <c r="E177" s="15">
        <v>2556</v>
      </c>
      <c r="F177" s="15">
        <v>210</v>
      </c>
      <c r="G177" s="15">
        <v>11.5</v>
      </c>
      <c r="H177" s="165" t="s">
        <v>63</v>
      </c>
    </row>
    <row r="178" spans="1:8">
      <c r="A178" s="449" t="s">
        <v>239</v>
      </c>
      <c r="B178" s="15">
        <v>9302956</v>
      </c>
      <c r="C178" s="15">
        <v>26671</v>
      </c>
      <c r="D178" s="15">
        <v>34629</v>
      </c>
      <c r="E178" s="15">
        <v>2566</v>
      </c>
      <c r="F178" s="15">
        <v>210</v>
      </c>
      <c r="G178" s="15">
        <v>11.5</v>
      </c>
      <c r="H178" s="165" t="s">
        <v>63</v>
      </c>
    </row>
    <row r="179" spans="1:8">
      <c r="A179" s="449" t="s">
        <v>712</v>
      </c>
      <c r="B179" s="15">
        <v>9367815</v>
      </c>
      <c r="C179" s="15">
        <v>26638</v>
      </c>
      <c r="D179" s="15">
        <v>34325</v>
      </c>
      <c r="E179" s="15">
        <v>2578</v>
      </c>
      <c r="F179" s="15">
        <v>211.85</v>
      </c>
      <c r="G179" s="15">
        <v>11.4</v>
      </c>
      <c r="H179" s="165" t="s">
        <v>63</v>
      </c>
    </row>
    <row r="180" spans="1:8">
      <c r="A180" s="449" t="s">
        <v>824</v>
      </c>
      <c r="B180" s="15">
        <v>9434929</v>
      </c>
      <c r="C180" s="15">
        <v>26836</v>
      </c>
      <c r="D180" s="15">
        <v>33450</v>
      </c>
      <c r="E180" s="15">
        <v>2592</v>
      </c>
      <c r="F180" s="15">
        <v>210</v>
      </c>
      <c r="G180" s="15">
        <v>11.5</v>
      </c>
      <c r="H180" s="165" t="s">
        <v>63</v>
      </c>
    </row>
    <row r="181" spans="1:8">
      <c r="A181" s="449" t="s">
        <v>625</v>
      </c>
      <c r="B181" s="15">
        <v>9301938</v>
      </c>
      <c r="C181" s="15">
        <v>26671</v>
      </c>
      <c r="D181" s="15">
        <v>34704</v>
      </c>
      <c r="E181" s="15">
        <v>2600</v>
      </c>
      <c r="F181" s="15">
        <v>210</v>
      </c>
      <c r="G181" s="15">
        <v>11.5</v>
      </c>
      <c r="H181" s="165" t="s">
        <v>63</v>
      </c>
    </row>
    <row r="182" spans="1:8">
      <c r="A182" s="449" t="s">
        <v>767</v>
      </c>
      <c r="B182" s="15">
        <v>9301926</v>
      </c>
      <c r="C182" s="15">
        <v>26671</v>
      </c>
      <c r="D182" s="15">
        <v>34396</v>
      </c>
      <c r="E182" s="15">
        <v>2600</v>
      </c>
      <c r="F182" s="15">
        <v>210</v>
      </c>
      <c r="G182" s="15">
        <v>11.5</v>
      </c>
      <c r="H182" s="165" t="s">
        <v>63</v>
      </c>
    </row>
    <row r="183" spans="1:8">
      <c r="A183" s="449" t="s">
        <v>867</v>
      </c>
      <c r="B183" s="15">
        <v>9302944</v>
      </c>
      <c r="C183" s="15">
        <v>27093</v>
      </c>
      <c r="D183" s="15">
        <v>34457</v>
      </c>
      <c r="E183" s="15">
        <v>2600</v>
      </c>
      <c r="F183" s="15">
        <v>210</v>
      </c>
      <c r="G183" s="15">
        <v>11.5</v>
      </c>
      <c r="H183" s="165" t="s">
        <v>63</v>
      </c>
    </row>
    <row r="184" spans="1:8">
      <c r="A184" s="449" t="s">
        <v>190</v>
      </c>
      <c r="B184" s="15">
        <v>9240873</v>
      </c>
      <c r="C184" s="15">
        <v>27093</v>
      </c>
      <c r="D184" s="15">
        <v>34638</v>
      </c>
      <c r="E184" s="15">
        <v>2602</v>
      </c>
      <c r="F184" s="15">
        <v>210</v>
      </c>
      <c r="G184" s="15">
        <v>11.5</v>
      </c>
      <c r="H184" s="165" t="s">
        <v>63</v>
      </c>
    </row>
    <row r="185" spans="1:8">
      <c r="A185" s="449" t="s">
        <v>1136</v>
      </c>
      <c r="B185" s="15">
        <v>9102710</v>
      </c>
      <c r="C185" s="15">
        <v>29181</v>
      </c>
      <c r="D185" s="15">
        <v>41583</v>
      </c>
      <c r="E185" s="15">
        <v>2604</v>
      </c>
      <c r="F185" s="15">
        <v>202.8</v>
      </c>
      <c r="G185" s="15">
        <v>11.95</v>
      </c>
      <c r="H185" s="165" t="s">
        <v>63</v>
      </c>
    </row>
    <row r="186" spans="1:8">
      <c r="A186" s="449" t="s">
        <v>183</v>
      </c>
      <c r="B186" s="15">
        <v>9236638</v>
      </c>
      <c r="C186" s="15">
        <v>27093</v>
      </c>
      <c r="D186" s="15">
        <v>34622</v>
      </c>
      <c r="E186" s="15">
        <v>2622</v>
      </c>
      <c r="F186" s="15">
        <v>210</v>
      </c>
      <c r="G186" s="15">
        <v>11.5</v>
      </c>
      <c r="H186" s="165" t="s">
        <v>63</v>
      </c>
    </row>
    <row r="187" spans="1:8">
      <c r="A187" s="449" t="s">
        <v>886</v>
      </c>
      <c r="B187" s="15">
        <v>9232747</v>
      </c>
      <c r="C187" s="15">
        <v>32322</v>
      </c>
      <c r="D187" s="15">
        <v>39128</v>
      </c>
      <c r="E187" s="15">
        <v>2660</v>
      </c>
      <c r="F187" s="15">
        <v>211</v>
      </c>
      <c r="G187" s="15">
        <v>12.2</v>
      </c>
      <c r="H187" s="165" t="s">
        <v>63</v>
      </c>
    </row>
    <row r="188" spans="1:8">
      <c r="A188" s="449" t="s">
        <v>1287</v>
      </c>
      <c r="B188" s="15">
        <v>9355408</v>
      </c>
      <c r="C188" s="15">
        <v>27051</v>
      </c>
      <c r="D188" s="15">
        <v>34578</v>
      </c>
      <c r="E188" s="15">
        <v>2664</v>
      </c>
      <c r="F188" s="15">
        <v>210</v>
      </c>
      <c r="G188" s="15">
        <v>11.5</v>
      </c>
      <c r="H188" s="165" t="s">
        <v>63</v>
      </c>
    </row>
    <row r="189" spans="1:8">
      <c r="A189" s="449" t="s">
        <v>973</v>
      </c>
      <c r="B189" s="15">
        <v>9008603</v>
      </c>
      <c r="C189" s="15">
        <v>34231</v>
      </c>
      <c r="D189" s="15">
        <v>45668</v>
      </c>
      <c r="E189" s="15">
        <v>2680</v>
      </c>
      <c r="F189" s="15">
        <v>216</v>
      </c>
      <c r="G189" s="15">
        <v>12.5</v>
      </c>
      <c r="H189" s="165" t="s">
        <v>63</v>
      </c>
    </row>
    <row r="190" spans="1:8">
      <c r="A190" s="449" t="s">
        <v>192</v>
      </c>
      <c r="B190" s="15">
        <v>9228540</v>
      </c>
      <c r="C190" s="15">
        <v>30024</v>
      </c>
      <c r="D190" s="15">
        <v>35977</v>
      </c>
      <c r="E190" s="15">
        <v>2681</v>
      </c>
      <c r="F190" s="15">
        <v>207.92</v>
      </c>
      <c r="G190" s="15">
        <v>11.5</v>
      </c>
      <c r="H190" s="165" t="s">
        <v>63</v>
      </c>
    </row>
    <row r="191" spans="1:8">
      <c r="A191" s="449" t="s">
        <v>363</v>
      </c>
      <c r="B191" s="15">
        <v>9313242</v>
      </c>
      <c r="C191" s="15">
        <v>27915</v>
      </c>
      <c r="D191" s="15">
        <v>38122</v>
      </c>
      <c r="E191" s="15">
        <v>2700</v>
      </c>
      <c r="F191" s="15">
        <v>215.29</v>
      </c>
      <c r="G191" s="15">
        <v>11.55</v>
      </c>
      <c r="H191" s="165" t="s">
        <v>63</v>
      </c>
    </row>
    <row r="192" spans="1:8">
      <c r="A192" s="449" t="s">
        <v>744</v>
      </c>
      <c r="B192" s="15">
        <v>9377559</v>
      </c>
      <c r="C192" s="15">
        <v>28048</v>
      </c>
      <c r="D192" s="15">
        <v>38080</v>
      </c>
      <c r="E192" s="15">
        <v>2702</v>
      </c>
      <c r="F192" s="15">
        <v>215.47</v>
      </c>
      <c r="G192" s="15">
        <v>11.55</v>
      </c>
      <c r="H192" s="165" t="s">
        <v>63</v>
      </c>
    </row>
    <row r="193" spans="1:8">
      <c r="A193" s="449" t="s">
        <v>765</v>
      </c>
      <c r="B193" s="15">
        <v>9305013</v>
      </c>
      <c r="C193" s="15">
        <v>27915</v>
      </c>
      <c r="D193" s="15">
        <v>38104</v>
      </c>
      <c r="E193" s="15">
        <v>2702</v>
      </c>
      <c r="F193" s="15">
        <v>215.13</v>
      </c>
      <c r="G193" s="15">
        <v>11.55</v>
      </c>
      <c r="H193" s="165" t="s">
        <v>63</v>
      </c>
    </row>
    <row r="194" spans="1:8">
      <c r="A194" s="449" t="s">
        <v>892</v>
      </c>
      <c r="B194" s="15">
        <v>9320142</v>
      </c>
      <c r="C194" s="15">
        <v>27915</v>
      </c>
      <c r="D194" s="15">
        <v>38117</v>
      </c>
      <c r="E194" s="15">
        <v>2702</v>
      </c>
      <c r="F194" s="15">
        <v>215.32</v>
      </c>
      <c r="G194" s="15">
        <v>11.55</v>
      </c>
      <c r="H194" s="165" t="s">
        <v>63</v>
      </c>
    </row>
    <row r="195" spans="1:8">
      <c r="A195" s="449" t="s">
        <v>248</v>
      </c>
      <c r="B195" s="15">
        <v>9357119</v>
      </c>
      <c r="C195" s="15">
        <v>22801</v>
      </c>
      <c r="D195" s="15">
        <v>30562</v>
      </c>
      <c r="E195" s="15">
        <v>2710</v>
      </c>
      <c r="F195" s="15">
        <v>204</v>
      </c>
      <c r="G195" s="15">
        <v>11</v>
      </c>
      <c r="H195" s="165" t="s">
        <v>63</v>
      </c>
    </row>
    <row r="196" spans="1:8">
      <c r="A196" s="449" t="s">
        <v>150</v>
      </c>
      <c r="B196" s="15">
        <v>9327669</v>
      </c>
      <c r="C196" s="15">
        <v>32161</v>
      </c>
      <c r="D196" s="15">
        <v>38700</v>
      </c>
      <c r="E196" s="15">
        <v>2714</v>
      </c>
      <c r="F196" s="15">
        <v>210.96</v>
      </c>
      <c r="G196" s="15">
        <v>12</v>
      </c>
      <c r="H196" s="165" t="s">
        <v>63</v>
      </c>
    </row>
    <row r="197" spans="1:8">
      <c r="A197" s="449" t="s">
        <v>152</v>
      </c>
      <c r="B197" s="15">
        <v>9284154</v>
      </c>
      <c r="C197" s="15">
        <v>27681</v>
      </c>
      <c r="D197" s="15">
        <v>37875</v>
      </c>
      <c r="E197" s="15">
        <v>2724</v>
      </c>
      <c r="F197" s="15">
        <v>221.6</v>
      </c>
      <c r="G197" s="15">
        <v>11.4</v>
      </c>
      <c r="H197" s="165" t="s">
        <v>63</v>
      </c>
    </row>
    <row r="198" spans="1:8">
      <c r="A198" s="449" t="s">
        <v>592</v>
      </c>
      <c r="B198" s="15">
        <v>9283033</v>
      </c>
      <c r="C198" s="15">
        <v>27681</v>
      </c>
      <c r="D198" s="15">
        <v>37894</v>
      </c>
      <c r="E198" s="15">
        <v>2724</v>
      </c>
      <c r="F198" s="15">
        <v>221.62</v>
      </c>
      <c r="G198" s="15">
        <v>11.4</v>
      </c>
      <c r="H198" s="165" t="s">
        <v>63</v>
      </c>
    </row>
    <row r="199" spans="1:8">
      <c r="A199" s="449" t="s">
        <v>356</v>
      </c>
      <c r="B199" s="15">
        <v>9232761</v>
      </c>
      <c r="C199" s="15">
        <v>32284</v>
      </c>
      <c r="D199" s="15">
        <v>39216</v>
      </c>
      <c r="E199" s="15">
        <v>2732</v>
      </c>
      <c r="F199" s="15">
        <v>210.9</v>
      </c>
      <c r="G199" s="15">
        <v>12</v>
      </c>
      <c r="H199" s="165" t="s">
        <v>63</v>
      </c>
    </row>
    <row r="200" spans="1:8">
      <c r="A200" s="449" t="s">
        <v>505</v>
      </c>
      <c r="B200" s="15">
        <v>9232773</v>
      </c>
      <c r="C200" s="15">
        <v>32284</v>
      </c>
      <c r="D200" s="15">
        <v>39350</v>
      </c>
      <c r="E200" s="15">
        <v>2732</v>
      </c>
      <c r="F200" s="15">
        <v>210.88</v>
      </c>
      <c r="G200" s="15">
        <v>12</v>
      </c>
      <c r="H200" s="165" t="s">
        <v>63</v>
      </c>
    </row>
    <row r="201" spans="1:8">
      <c r="A201" s="449" t="s">
        <v>639</v>
      </c>
      <c r="B201" s="15">
        <v>9316373</v>
      </c>
      <c r="C201" s="15">
        <v>32322</v>
      </c>
      <c r="D201" s="15">
        <v>38975</v>
      </c>
      <c r="E201" s="15">
        <v>2732</v>
      </c>
      <c r="F201" s="15">
        <v>210.97</v>
      </c>
      <c r="G201" s="15">
        <v>12</v>
      </c>
      <c r="H201" s="165" t="s">
        <v>63</v>
      </c>
    </row>
    <row r="202" spans="1:8">
      <c r="A202" s="449" t="s">
        <v>1380</v>
      </c>
      <c r="B202" s="15">
        <v>9415296</v>
      </c>
      <c r="C202" s="15">
        <v>32269</v>
      </c>
      <c r="D202" s="15">
        <v>38636</v>
      </c>
      <c r="E202" s="15">
        <v>2732</v>
      </c>
      <c r="F202" s="15">
        <v>210.85</v>
      </c>
      <c r="G202" s="15">
        <v>12</v>
      </c>
      <c r="H202" s="165" t="s">
        <v>63</v>
      </c>
    </row>
    <row r="203" spans="1:8">
      <c r="A203" s="449" t="s">
        <v>1593</v>
      </c>
      <c r="B203" s="15">
        <v>9185413</v>
      </c>
      <c r="C203" s="15">
        <v>32322</v>
      </c>
      <c r="D203" s="15">
        <v>38975</v>
      </c>
      <c r="E203" s="15">
        <v>2732</v>
      </c>
      <c r="F203" s="15">
        <v>210.97</v>
      </c>
      <c r="G203" s="15">
        <v>12</v>
      </c>
      <c r="H203" s="165" t="s">
        <v>63</v>
      </c>
    </row>
    <row r="204" spans="1:8">
      <c r="A204" s="449" t="s">
        <v>1591</v>
      </c>
      <c r="B204" s="15">
        <v>9327683</v>
      </c>
      <c r="C204" s="15">
        <v>32161</v>
      </c>
      <c r="D204" s="15">
        <v>39000</v>
      </c>
      <c r="E204" s="15">
        <v>2732</v>
      </c>
      <c r="F204" s="15">
        <v>210.91</v>
      </c>
      <c r="G204" s="15">
        <v>12</v>
      </c>
      <c r="H204" s="165" t="s">
        <v>63</v>
      </c>
    </row>
    <row r="205" spans="1:8">
      <c r="A205" s="449" t="s">
        <v>233</v>
      </c>
      <c r="B205" s="15">
        <v>9360271</v>
      </c>
      <c r="C205" s="15">
        <v>28007</v>
      </c>
      <c r="D205" s="15">
        <v>37909</v>
      </c>
      <c r="E205" s="15">
        <v>2741</v>
      </c>
      <c r="F205" s="15">
        <v>221.62</v>
      </c>
      <c r="G205" s="15">
        <v>11.4</v>
      </c>
      <c r="H205" s="165" t="s">
        <v>63</v>
      </c>
    </row>
    <row r="206" spans="1:8">
      <c r="A206" s="449" t="s">
        <v>234</v>
      </c>
      <c r="B206" s="15">
        <v>9308390</v>
      </c>
      <c r="C206" s="15">
        <v>27786</v>
      </c>
      <c r="D206" s="15">
        <v>37883</v>
      </c>
      <c r="E206" s="15">
        <v>2742</v>
      </c>
      <c r="F206" s="15">
        <v>221</v>
      </c>
      <c r="G206" s="15">
        <v>11.4</v>
      </c>
      <c r="H206" s="165" t="s">
        <v>63</v>
      </c>
    </row>
    <row r="207" spans="1:8">
      <c r="A207" s="449" t="s">
        <v>576</v>
      </c>
      <c r="B207" s="15">
        <v>9360269</v>
      </c>
      <c r="C207" s="15">
        <v>28007</v>
      </c>
      <c r="D207" s="15">
        <v>37938</v>
      </c>
      <c r="E207" s="15">
        <v>2742</v>
      </c>
      <c r="F207" s="15">
        <v>221.62</v>
      </c>
      <c r="G207" s="15">
        <v>11.4</v>
      </c>
      <c r="H207" s="165" t="s">
        <v>63</v>
      </c>
    </row>
    <row r="208" spans="1:8">
      <c r="A208" s="449" t="s">
        <v>709</v>
      </c>
      <c r="B208" s="15">
        <v>9320051</v>
      </c>
      <c r="C208" s="15">
        <v>27971</v>
      </c>
      <c r="D208" s="15">
        <v>37934</v>
      </c>
      <c r="E208" s="15">
        <v>2742</v>
      </c>
      <c r="F208" s="15">
        <v>221.62</v>
      </c>
      <c r="G208" s="15">
        <v>11.43</v>
      </c>
      <c r="H208" s="165" t="s">
        <v>63</v>
      </c>
    </row>
    <row r="209" spans="1:8">
      <c r="A209" s="449" t="s">
        <v>764</v>
      </c>
      <c r="B209" s="15">
        <v>9311763</v>
      </c>
      <c r="C209" s="15">
        <v>27786</v>
      </c>
      <c r="D209" s="15">
        <v>37800</v>
      </c>
      <c r="E209" s="15">
        <v>2742</v>
      </c>
      <c r="F209" s="15">
        <v>221.6</v>
      </c>
      <c r="G209" s="15">
        <v>11.4</v>
      </c>
      <c r="H209" s="165" t="s">
        <v>63</v>
      </c>
    </row>
    <row r="210" spans="1:8">
      <c r="A210" s="449" t="s">
        <v>1575</v>
      </c>
      <c r="B210" s="15">
        <v>9311787</v>
      </c>
      <c r="C210" s="15">
        <v>28372</v>
      </c>
      <c r="D210" s="15">
        <v>37800</v>
      </c>
      <c r="E210" s="15">
        <v>2742</v>
      </c>
      <c r="F210" s="15">
        <v>221.62</v>
      </c>
      <c r="G210" s="15">
        <v>11.4</v>
      </c>
      <c r="H210" s="165" t="s">
        <v>63</v>
      </c>
    </row>
    <row r="211" spans="1:8">
      <c r="A211" s="449" t="s">
        <v>663</v>
      </c>
      <c r="B211" s="15">
        <v>9243590</v>
      </c>
      <c r="C211" s="15">
        <v>30024</v>
      </c>
      <c r="D211" s="15">
        <v>35925</v>
      </c>
      <c r="E211" s="15">
        <v>2747</v>
      </c>
      <c r="F211" s="15">
        <v>207.96</v>
      </c>
      <c r="G211" s="15">
        <v>11.5</v>
      </c>
      <c r="H211" s="165" t="s">
        <v>63</v>
      </c>
    </row>
    <row r="212" spans="1:8">
      <c r="A212" s="449" t="s">
        <v>167</v>
      </c>
      <c r="B212" s="15">
        <v>9399777</v>
      </c>
      <c r="C212" s="15">
        <v>32984</v>
      </c>
      <c r="D212" s="15">
        <v>35555</v>
      </c>
      <c r="E212" s="15">
        <v>2750</v>
      </c>
      <c r="F212" s="15">
        <v>225.73</v>
      </c>
      <c r="G212" s="15">
        <v>12.2</v>
      </c>
      <c r="H212" s="165" t="s">
        <v>63</v>
      </c>
    </row>
    <row r="213" spans="1:8">
      <c r="A213" s="449" t="s">
        <v>217</v>
      </c>
      <c r="B213" s="15">
        <v>9399739</v>
      </c>
      <c r="C213" s="15">
        <v>32901</v>
      </c>
      <c r="D213" s="15">
        <v>35471</v>
      </c>
      <c r="E213" s="15">
        <v>2750</v>
      </c>
      <c r="F213" s="15">
        <v>224.5</v>
      </c>
      <c r="G213" s="15">
        <v>12.2</v>
      </c>
      <c r="H213" s="165" t="s">
        <v>63</v>
      </c>
    </row>
    <row r="214" spans="1:8">
      <c r="A214" s="449" t="s">
        <v>1126</v>
      </c>
      <c r="B214" s="15">
        <v>8616520</v>
      </c>
      <c r="C214" s="15">
        <v>36389</v>
      </c>
      <c r="D214" s="15">
        <v>42513</v>
      </c>
      <c r="E214" s="15">
        <v>2750</v>
      </c>
      <c r="F214" s="15">
        <v>228.85</v>
      </c>
      <c r="G214" s="15">
        <v>12.4</v>
      </c>
      <c r="H214" s="165" t="s">
        <v>63</v>
      </c>
    </row>
    <row r="215" spans="1:8">
      <c r="A215" s="449" t="s">
        <v>1421</v>
      </c>
      <c r="B215" s="15">
        <v>9399789</v>
      </c>
      <c r="C215" s="15">
        <v>32901</v>
      </c>
      <c r="D215" s="15">
        <v>34700</v>
      </c>
      <c r="E215" s="15">
        <v>2750</v>
      </c>
      <c r="F215" s="15">
        <v>225.09</v>
      </c>
      <c r="G215" s="15">
        <v>12.2</v>
      </c>
      <c r="H215" s="165" t="s">
        <v>63</v>
      </c>
    </row>
    <row r="216" spans="1:8">
      <c r="A216" s="449" t="s">
        <v>232</v>
      </c>
      <c r="B216" s="15">
        <v>9571313</v>
      </c>
      <c r="C216" s="15">
        <v>35800</v>
      </c>
      <c r="D216" s="15">
        <v>41411</v>
      </c>
      <c r="E216" s="15">
        <v>2758</v>
      </c>
      <c r="F216" s="15">
        <v>212.6</v>
      </c>
      <c r="G216" s="15">
        <v>12.5</v>
      </c>
      <c r="H216" s="165" t="s">
        <v>63</v>
      </c>
    </row>
    <row r="217" spans="1:8">
      <c r="A217" s="449" t="s">
        <v>1509</v>
      </c>
      <c r="B217" s="15">
        <v>9440306</v>
      </c>
      <c r="C217" s="15">
        <v>35878</v>
      </c>
      <c r="D217" s="15">
        <v>41253</v>
      </c>
      <c r="E217" s="15">
        <v>2758</v>
      </c>
      <c r="F217" s="15">
        <v>212.59</v>
      </c>
      <c r="G217" s="15">
        <v>12.5</v>
      </c>
      <c r="H217" s="165" t="s">
        <v>63</v>
      </c>
    </row>
    <row r="218" spans="1:8">
      <c r="A218" s="449" t="s">
        <v>589</v>
      </c>
      <c r="B218" s="15">
        <v>9241918</v>
      </c>
      <c r="C218" s="15">
        <v>30051</v>
      </c>
      <c r="D218" s="15">
        <v>35814</v>
      </c>
      <c r="E218" s="15">
        <v>2764</v>
      </c>
      <c r="F218" s="15">
        <v>207.87</v>
      </c>
      <c r="G218" s="15">
        <v>11.5</v>
      </c>
      <c r="H218" s="165" t="s">
        <v>63</v>
      </c>
    </row>
    <row r="219" spans="1:8">
      <c r="A219" s="449" t="s">
        <v>1586</v>
      </c>
      <c r="B219" s="15">
        <v>9240328</v>
      </c>
      <c r="C219" s="15">
        <v>30047</v>
      </c>
      <c r="D219" s="15">
        <v>35768</v>
      </c>
      <c r="E219" s="15">
        <v>2764</v>
      </c>
      <c r="F219" s="15">
        <v>207</v>
      </c>
      <c r="G219" s="15">
        <v>11.5</v>
      </c>
      <c r="H219" s="165" t="s">
        <v>63</v>
      </c>
    </row>
    <row r="220" spans="1:8">
      <c r="A220" s="449" t="s">
        <v>1587</v>
      </c>
      <c r="B220" s="15">
        <v>9222106</v>
      </c>
      <c r="C220" s="15">
        <v>30047</v>
      </c>
      <c r="D220" s="15">
        <v>35653</v>
      </c>
      <c r="E220" s="15">
        <v>2764</v>
      </c>
      <c r="F220" s="15">
        <v>207</v>
      </c>
      <c r="G220" s="15">
        <v>11.5</v>
      </c>
      <c r="H220" s="165" t="s">
        <v>63</v>
      </c>
    </row>
    <row r="221" spans="1:8">
      <c r="A221" s="449" t="s">
        <v>96</v>
      </c>
      <c r="B221" s="15">
        <v>9301990</v>
      </c>
      <c r="C221" s="15">
        <v>32903</v>
      </c>
      <c r="D221" s="15">
        <v>37274</v>
      </c>
      <c r="E221" s="15">
        <v>2785</v>
      </c>
      <c r="F221" s="15">
        <v>207</v>
      </c>
      <c r="G221" s="15">
        <v>12.15</v>
      </c>
      <c r="H221" s="165" t="s">
        <v>63</v>
      </c>
    </row>
    <row r="222" spans="1:8">
      <c r="A222" s="449" t="s">
        <v>99</v>
      </c>
      <c r="B222" s="15">
        <v>9301988</v>
      </c>
      <c r="C222" s="15">
        <v>32903</v>
      </c>
      <c r="D222" s="15">
        <v>37125</v>
      </c>
      <c r="E222" s="15">
        <v>2785</v>
      </c>
      <c r="F222" s="15">
        <v>206.26</v>
      </c>
      <c r="G222" s="15">
        <v>12</v>
      </c>
      <c r="H222" s="165" t="s">
        <v>63</v>
      </c>
    </row>
    <row r="223" spans="1:8">
      <c r="A223" s="449" t="s">
        <v>608</v>
      </c>
      <c r="B223" s="15">
        <v>9481532</v>
      </c>
      <c r="C223" s="15">
        <v>28561</v>
      </c>
      <c r="D223" s="15">
        <v>39164</v>
      </c>
      <c r="E223" s="15">
        <v>2790</v>
      </c>
      <c r="F223" s="15">
        <v>225.32</v>
      </c>
      <c r="G223" s="15">
        <v>11.4</v>
      </c>
      <c r="H223" s="165" t="s">
        <v>63</v>
      </c>
    </row>
    <row r="224" spans="1:8">
      <c r="A224" s="449" t="s">
        <v>1396</v>
      </c>
      <c r="B224" s="15">
        <v>9481520</v>
      </c>
      <c r="C224" s="15">
        <v>28561</v>
      </c>
      <c r="D224" s="15">
        <v>39267</v>
      </c>
      <c r="E224" s="15">
        <v>2790</v>
      </c>
      <c r="F224" s="15">
        <v>225.26</v>
      </c>
      <c r="G224" s="15">
        <v>11.36</v>
      </c>
      <c r="H224" s="165" t="s">
        <v>63</v>
      </c>
    </row>
    <row r="225" spans="1:8">
      <c r="A225" s="449" t="s">
        <v>607</v>
      </c>
      <c r="B225" s="15">
        <v>9399753</v>
      </c>
      <c r="C225" s="15">
        <v>32901</v>
      </c>
      <c r="D225" s="15">
        <v>35534</v>
      </c>
      <c r="E225" s="15">
        <v>2797</v>
      </c>
      <c r="F225" s="15">
        <v>224</v>
      </c>
      <c r="G225" s="15">
        <v>12</v>
      </c>
      <c r="H225" s="165" t="s">
        <v>63</v>
      </c>
    </row>
    <row r="226" spans="1:8">
      <c r="A226" s="449" t="s">
        <v>894</v>
      </c>
      <c r="B226" s="15">
        <v>9165358</v>
      </c>
      <c r="C226" s="15">
        <v>39174</v>
      </c>
      <c r="D226" s="15">
        <v>40881</v>
      </c>
      <c r="E226" s="15">
        <v>2808</v>
      </c>
      <c r="F226" s="15">
        <v>244.97</v>
      </c>
      <c r="G226" s="15">
        <v>10.78</v>
      </c>
      <c r="H226" s="165" t="s">
        <v>63</v>
      </c>
    </row>
    <row r="227" spans="1:8">
      <c r="A227" s="449" t="s">
        <v>1374</v>
      </c>
      <c r="B227" s="15">
        <v>9165360</v>
      </c>
      <c r="C227" s="15">
        <v>39174</v>
      </c>
      <c r="D227" s="15">
        <v>40879</v>
      </c>
      <c r="E227" s="15">
        <v>2808</v>
      </c>
      <c r="F227" s="15">
        <v>245</v>
      </c>
      <c r="G227" s="15">
        <v>10.78</v>
      </c>
      <c r="H227" s="165" t="s">
        <v>63</v>
      </c>
    </row>
    <row r="228" spans="1:8">
      <c r="A228" s="449" t="s">
        <v>704</v>
      </c>
      <c r="B228" s="15">
        <v>8913693</v>
      </c>
      <c r="C228" s="15">
        <v>37410</v>
      </c>
      <c r="D228" s="15">
        <v>47272</v>
      </c>
      <c r="E228" s="15">
        <v>2809</v>
      </c>
      <c r="F228" s="15">
        <v>232</v>
      </c>
      <c r="G228" s="15">
        <v>12.01</v>
      </c>
      <c r="H228" s="165" t="s">
        <v>63</v>
      </c>
    </row>
    <row r="229" spans="1:8">
      <c r="A229" s="449" t="s">
        <v>64</v>
      </c>
      <c r="B229" s="15">
        <v>9303807</v>
      </c>
      <c r="C229" s="15">
        <v>28592</v>
      </c>
      <c r="D229" s="15">
        <v>39266</v>
      </c>
      <c r="E229" s="15">
        <v>2824</v>
      </c>
      <c r="F229" s="15">
        <v>222.2</v>
      </c>
      <c r="G229" s="15">
        <v>12.8</v>
      </c>
      <c r="H229" s="165" t="s">
        <v>63</v>
      </c>
    </row>
    <row r="230" spans="1:8">
      <c r="A230" s="449" t="s">
        <v>156</v>
      </c>
      <c r="B230" s="15">
        <v>9309409</v>
      </c>
      <c r="C230" s="15">
        <v>28592</v>
      </c>
      <c r="D230" s="15">
        <v>39374</v>
      </c>
      <c r="E230" s="15">
        <v>2824</v>
      </c>
      <c r="F230" s="15">
        <v>222.14</v>
      </c>
      <c r="G230" s="15">
        <v>12</v>
      </c>
      <c r="H230" s="165" t="s">
        <v>63</v>
      </c>
    </row>
    <row r="231" spans="1:8">
      <c r="A231" s="449" t="s">
        <v>157</v>
      </c>
      <c r="B231" s="15">
        <v>9315812</v>
      </c>
      <c r="C231" s="15">
        <v>28592</v>
      </c>
      <c r="D231" s="15">
        <v>39426</v>
      </c>
      <c r="E231" s="15">
        <v>2824</v>
      </c>
      <c r="F231" s="15">
        <v>222.16</v>
      </c>
      <c r="G231" s="15">
        <v>12</v>
      </c>
      <c r="H231" s="165" t="s">
        <v>63</v>
      </c>
    </row>
    <row r="232" spans="1:8">
      <c r="A232" s="449" t="s">
        <v>247</v>
      </c>
      <c r="B232" s="15">
        <v>9311749</v>
      </c>
      <c r="C232" s="15">
        <v>28911</v>
      </c>
      <c r="D232" s="15">
        <v>39316</v>
      </c>
      <c r="E232" s="15">
        <v>2824</v>
      </c>
      <c r="F232" s="15">
        <v>222.14</v>
      </c>
      <c r="G232" s="15">
        <v>12</v>
      </c>
      <c r="H232" s="165" t="s">
        <v>63</v>
      </c>
    </row>
    <row r="233" spans="1:8">
      <c r="A233" s="449" t="s">
        <v>260</v>
      </c>
      <c r="B233" s="15">
        <v>9314985</v>
      </c>
      <c r="C233" s="15">
        <v>28927</v>
      </c>
      <c r="D233" s="15">
        <v>39200</v>
      </c>
      <c r="E233" s="15">
        <v>2824</v>
      </c>
      <c r="F233" s="15">
        <v>222.17</v>
      </c>
      <c r="G233" s="15">
        <v>12</v>
      </c>
      <c r="H233" s="165" t="s">
        <v>63</v>
      </c>
    </row>
    <row r="234" spans="1:8">
      <c r="A234" s="449" t="s">
        <v>330</v>
      </c>
      <c r="B234" s="15">
        <v>9314947</v>
      </c>
      <c r="C234" s="15">
        <v>28927</v>
      </c>
      <c r="D234" s="15">
        <v>39200</v>
      </c>
      <c r="E234" s="15">
        <v>2824</v>
      </c>
      <c r="F234" s="15">
        <v>222.15</v>
      </c>
      <c r="G234" s="15">
        <v>12</v>
      </c>
      <c r="H234" s="165" t="s">
        <v>63</v>
      </c>
    </row>
    <row r="235" spans="1:8">
      <c r="A235" s="449" t="s">
        <v>331</v>
      </c>
      <c r="B235" s="15">
        <v>9314935</v>
      </c>
      <c r="C235" s="15">
        <v>28927</v>
      </c>
      <c r="D235" s="15">
        <v>39200</v>
      </c>
      <c r="E235" s="15">
        <v>2824</v>
      </c>
      <c r="F235" s="15">
        <v>222.17</v>
      </c>
      <c r="G235" s="15">
        <v>12</v>
      </c>
      <c r="H235" s="165" t="s">
        <v>63</v>
      </c>
    </row>
    <row r="236" spans="1:8">
      <c r="A236" s="449" t="s">
        <v>337</v>
      </c>
      <c r="B236" s="15">
        <v>9315886</v>
      </c>
      <c r="C236" s="15">
        <v>28927</v>
      </c>
      <c r="D236" s="15">
        <v>39200</v>
      </c>
      <c r="E236" s="15">
        <v>2824</v>
      </c>
      <c r="F236" s="15">
        <v>222.17</v>
      </c>
      <c r="G236" s="15">
        <v>12</v>
      </c>
      <c r="H236" s="165" t="s">
        <v>63</v>
      </c>
    </row>
    <row r="237" spans="1:8">
      <c r="A237" s="449" t="s">
        <v>455</v>
      </c>
      <c r="B237" s="15">
        <v>9314959</v>
      </c>
      <c r="C237" s="15">
        <v>28927</v>
      </c>
      <c r="D237" s="15">
        <v>39262</v>
      </c>
      <c r="E237" s="15">
        <v>2824</v>
      </c>
      <c r="F237" s="15">
        <v>222.16</v>
      </c>
      <c r="G237" s="15">
        <v>12</v>
      </c>
      <c r="H237" s="165" t="s">
        <v>63</v>
      </c>
    </row>
    <row r="238" spans="1:8">
      <c r="A238" s="449" t="s">
        <v>461</v>
      </c>
      <c r="B238" s="15">
        <v>9341110</v>
      </c>
      <c r="C238" s="15">
        <v>28616</v>
      </c>
      <c r="D238" s="15">
        <v>39356</v>
      </c>
      <c r="E238" s="15">
        <v>2824</v>
      </c>
      <c r="F238" s="15">
        <v>222.14</v>
      </c>
      <c r="G238" s="15">
        <v>12</v>
      </c>
      <c r="H238" s="165" t="s">
        <v>63</v>
      </c>
    </row>
    <row r="239" spans="1:8">
      <c r="A239" s="449" t="s">
        <v>479</v>
      </c>
      <c r="B239" s="15">
        <v>9314973</v>
      </c>
      <c r="C239" s="15">
        <v>28927</v>
      </c>
      <c r="D239" s="15">
        <v>39418</v>
      </c>
      <c r="E239" s="15">
        <v>2824</v>
      </c>
      <c r="F239" s="15">
        <v>222.17</v>
      </c>
      <c r="G239" s="15">
        <v>12</v>
      </c>
      <c r="H239" s="165" t="s">
        <v>63</v>
      </c>
    </row>
    <row r="240" spans="1:8">
      <c r="A240" s="449" t="s">
        <v>577</v>
      </c>
      <c r="B240" s="15">
        <v>9337250</v>
      </c>
      <c r="C240" s="15">
        <v>27779</v>
      </c>
      <c r="D240" s="15">
        <v>39345</v>
      </c>
      <c r="E240" s="15">
        <v>2824</v>
      </c>
      <c r="F240" s="15">
        <v>222.15</v>
      </c>
      <c r="G240" s="15">
        <v>12</v>
      </c>
      <c r="H240" s="165" t="s">
        <v>63</v>
      </c>
    </row>
    <row r="241" spans="1:8">
      <c r="A241" s="449" t="s">
        <v>581</v>
      </c>
      <c r="B241" s="15">
        <v>9338058</v>
      </c>
      <c r="C241" s="15">
        <v>27779</v>
      </c>
      <c r="D241" s="15">
        <v>39269</v>
      </c>
      <c r="E241" s="15">
        <v>2824</v>
      </c>
      <c r="F241" s="15">
        <v>222</v>
      </c>
      <c r="G241" s="15">
        <v>12</v>
      </c>
      <c r="H241" s="165" t="s">
        <v>63</v>
      </c>
    </row>
    <row r="242" spans="1:8">
      <c r="A242" s="449" t="s">
        <v>632</v>
      </c>
      <c r="B242" s="15">
        <v>9309411</v>
      </c>
      <c r="C242" s="15">
        <v>28592</v>
      </c>
      <c r="D242" s="15">
        <v>39420</v>
      </c>
      <c r="E242" s="15">
        <v>2824</v>
      </c>
      <c r="F242" s="15">
        <v>222.14</v>
      </c>
      <c r="G242" s="15">
        <v>12</v>
      </c>
      <c r="H242" s="165" t="s">
        <v>63</v>
      </c>
    </row>
    <row r="243" spans="1:8">
      <c r="A243" s="449" t="s">
        <v>705</v>
      </c>
      <c r="B243" s="15">
        <v>9315850</v>
      </c>
      <c r="C243" s="15">
        <v>28592</v>
      </c>
      <c r="D243" s="15">
        <v>39382</v>
      </c>
      <c r="E243" s="15">
        <v>2824</v>
      </c>
      <c r="F243" s="15">
        <v>222.17</v>
      </c>
      <c r="G243" s="15">
        <v>12.01</v>
      </c>
      <c r="H243" s="165" t="s">
        <v>63</v>
      </c>
    </row>
    <row r="244" spans="1:8">
      <c r="A244" s="449" t="s">
        <v>706</v>
      </c>
      <c r="B244" s="15">
        <v>9294185</v>
      </c>
      <c r="C244" s="15">
        <v>28592</v>
      </c>
      <c r="D244" s="15">
        <v>39418</v>
      </c>
      <c r="E244" s="15">
        <v>2824</v>
      </c>
      <c r="F244" s="15">
        <v>222.2</v>
      </c>
      <c r="G244" s="15">
        <v>12</v>
      </c>
      <c r="H244" s="165" t="s">
        <v>63</v>
      </c>
    </row>
    <row r="245" spans="1:8">
      <c r="A245" s="449" t="s">
        <v>732</v>
      </c>
      <c r="B245" s="15">
        <v>9314923</v>
      </c>
      <c r="C245" s="15">
        <v>28927</v>
      </c>
      <c r="D245" s="15">
        <v>39295</v>
      </c>
      <c r="E245" s="15">
        <v>2824</v>
      </c>
      <c r="F245" s="15">
        <v>222.17</v>
      </c>
      <c r="G245" s="15">
        <v>12</v>
      </c>
      <c r="H245" s="165" t="s">
        <v>63</v>
      </c>
    </row>
    <row r="246" spans="1:8">
      <c r="A246" s="449" t="s">
        <v>808</v>
      </c>
      <c r="B246" s="15">
        <v>9349045</v>
      </c>
      <c r="C246" s="15">
        <v>28340</v>
      </c>
      <c r="D246" s="15">
        <v>39446</v>
      </c>
      <c r="E246" s="15">
        <v>2824</v>
      </c>
      <c r="F246" s="15">
        <v>222.2</v>
      </c>
      <c r="G246" s="15">
        <v>12</v>
      </c>
      <c r="H246" s="165" t="s">
        <v>63</v>
      </c>
    </row>
    <row r="247" spans="1:8">
      <c r="A247" s="449" t="s">
        <v>895</v>
      </c>
      <c r="B247" s="15">
        <v>9294173</v>
      </c>
      <c r="C247" s="15">
        <v>28592</v>
      </c>
      <c r="D247" s="15">
        <v>39333</v>
      </c>
      <c r="E247" s="15">
        <v>2824</v>
      </c>
      <c r="F247" s="15">
        <v>222.14</v>
      </c>
      <c r="G247" s="15">
        <v>12</v>
      </c>
      <c r="H247" s="165" t="s">
        <v>63</v>
      </c>
    </row>
    <row r="248" spans="1:8">
      <c r="A248" s="449" t="s">
        <v>942</v>
      </c>
      <c r="B248" s="15">
        <v>9314961</v>
      </c>
      <c r="C248" s="15">
        <v>28927</v>
      </c>
      <c r="D248" s="15">
        <v>39200</v>
      </c>
      <c r="E248" s="15">
        <v>2824</v>
      </c>
      <c r="F248" s="15">
        <v>222.17</v>
      </c>
      <c r="G248" s="15">
        <v>12</v>
      </c>
      <c r="H248" s="165" t="s">
        <v>63</v>
      </c>
    </row>
    <row r="249" spans="1:8">
      <c r="A249" s="449" t="s">
        <v>955</v>
      </c>
      <c r="B249" s="15">
        <v>9337274</v>
      </c>
      <c r="C249" s="15">
        <v>28616</v>
      </c>
      <c r="D249" s="15">
        <v>39339</v>
      </c>
      <c r="E249" s="15">
        <v>2824</v>
      </c>
      <c r="F249" s="15">
        <v>222.14</v>
      </c>
      <c r="G249" s="15">
        <v>12</v>
      </c>
      <c r="H249" s="165" t="s">
        <v>63</v>
      </c>
    </row>
    <row r="250" spans="1:8">
      <c r="A250" s="449" t="s">
        <v>959</v>
      </c>
      <c r="B250" s="15">
        <v>9235581</v>
      </c>
      <c r="C250" s="15">
        <v>27779</v>
      </c>
      <c r="D250" s="15">
        <v>39418</v>
      </c>
      <c r="E250" s="15">
        <v>2824</v>
      </c>
      <c r="F250" s="15">
        <v>222.17</v>
      </c>
      <c r="G250" s="15">
        <v>12.02</v>
      </c>
      <c r="H250" s="165" t="s">
        <v>63</v>
      </c>
    </row>
    <row r="251" spans="1:8">
      <c r="A251" s="449" t="s">
        <v>1439</v>
      </c>
      <c r="B251" s="15">
        <v>9338084</v>
      </c>
      <c r="C251" s="15">
        <v>28616</v>
      </c>
      <c r="D251" s="15">
        <v>39277</v>
      </c>
      <c r="E251" s="15">
        <v>2824</v>
      </c>
      <c r="F251" s="15">
        <v>222.14</v>
      </c>
      <c r="G251" s="15">
        <v>12</v>
      </c>
      <c r="H251" s="165" t="s">
        <v>63</v>
      </c>
    </row>
    <row r="252" spans="1:8">
      <c r="A252" s="449" t="s">
        <v>1452</v>
      </c>
      <c r="B252" s="15">
        <v>9294159</v>
      </c>
      <c r="C252" s="15">
        <v>28592</v>
      </c>
      <c r="D252" s="15">
        <v>39383</v>
      </c>
      <c r="E252" s="15">
        <v>2824</v>
      </c>
      <c r="F252" s="15">
        <v>222.17</v>
      </c>
      <c r="G252" s="15">
        <v>12.02</v>
      </c>
      <c r="H252" s="165" t="s">
        <v>63</v>
      </c>
    </row>
    <row r="253" spans="1:8">
      <c r="A253" s="449" t="s">
        <v>1453</v>
      </c>
      <c r="B253" s="15">
        <v>9330513</v>
      </c>
      <c r="C253" s="15">
        <v>28616</v>
      </c>
      <c r="D253" s="15">
        <v>39360</v>
      </c>
      <c r="E253" s="15">
        <v>2824</v>
      </c>
      <c r="F253" s="15">
        <v>222.11</v>
      </c>
      <c r="G253" s="15">
        <v>12</v>
      </c>
      <c r="H253" s="165" t="s">
        <v>63</v>
      </c>
    </row>
    <row r="254" spans="1:8">
      <c r="A254" s="449" t="s">
        <v>1566</v>
      </c>
      <c r="B254" s="15">
        <v>9315874</v>
      </c>
      <c r="C254" s="15">
        <v>28927</v>
      </c>
      <c r="D254" s="15">
        <v>39200</v>
      </c>
      <c r="E254" s="15">
        <v>2824</v>
      </c>
      <c r="F254" s="15">
        <v>222.17</v>
      </c>
      <c r="G254" s="15">
        <v>12</v>
      </c>
      <c r="H254" s="165" t="s">
        <v>63</v>
      </c>
    </row>
    <row r="255" spans="1:8">
      <c r="A255" s="449" t="s">
        <v>1198</v>
      </c>
      <c r="B255" s="15">
        <v>9116369</v>
      </c>
      <c r="C255" s="15">
        <v>30280</v>
      </c>
      <c r="D255" s="15">
        <v>35966</v>
      </c>
      <c r="E255" s="15">
        <v>2825</v>
      </c>
      <c r="F255" s="15">
        <v>201.5</v>
      </c>
      <c r="G255" s="15">
        <v>12.2</v>
      </c>
      <c r="H255" s="165" t="s">
        <v>63</v>
      </c>
    </row>
    <row r="256" spans="1:8">
      <c r="A256" s="449" t="s">
        <v>716</v>
      </c>
      <c r="B256" s="15">
        <v>9215189</v>
      </c>
      <c r="C256" s="15">
        <v>30166</v>
      </c>
      <c r="D256" s="15">
        <v>35097</v>
      </c>
      <c r="E256" s="15">
        <v>2840</v>
      </c>
      <c r="F256" s="15">
        <v>216.3</v>
      </c>
      <c r="G256" s="15">
        <v>12.25</v>
      </c>
      <c r="H256" s="165" t="s">
        <v>63</v>
      </c>
    </row>
    <row r="257" spans="1:8">
      <c r="A257" s="449" t="s">
        <v>105</v>
      </c>
      <c r="B257" s="15">
        <v>9399806</v>
      </c>
      <c r="C257" s="15">
        <v>32901</v>
      </c>
      <c r="D257" s="15">
        <v>34700</v>
      </c>
      <c r="E257" s="15">
        <v>2872</v>
      </c>
      <c r="F257" s="15">
        <v>224.2</v>
      </c>
      <c r="G257" s="15">
        <v>12</v>
      </c>
      <c r="H257" s="165" t="s">
        <v>63</v>
      </c>
    </row>
    <row r="258" spans="1:8">
      <c r="A258" s="449" t="s">
        <v>216</v>
      </c>
      <c r="B258" s="15">
        <v>9399765</v>
      </c>
      <c r="C258" s="15">
        <v>32901</v>
      </c>
      <c r="D258" s="15">
        <v>35391</v>
      </c>
      <c r="E258" s="15">
        <v>2872</v>
      </c>
      <c r="F258" s="15">
        <v>225.04</v>
      </c>
      <c r="G258" s="15">
        <v>12.2</v>
      </c>
      <c r="H258" s="165" t="s">
        <v>63</v>
      </c>
    </row>
    <row r="259" spans="1:8">
      <c r="A259" s="449" t="s">
        <v>1523</v>
      </c>
      <c r="B259" s="15">
        <v>9122215</v>
      </c>
      <c r="C259" s="15">
        <v>31207</v>
      </c>
      <c r="D259" s="15">
        <v>38380</v>
      </c>
      <c r="E259" s="15">
        <v>2890</v>
      </c>
      <c r="F259" s="15">
        <v>209.53</v>
      </c>
      <c r="G259" s="15">
        <v>12.5</v>
      </c>
      <c r="H259" s="165" t="s">
        <v>63</v>
      </c>
    </row>
    <row r="260" spans="1:8">
      <c r="A260" s="449" t="s">
        <v>715</v>
      </c>
      <c r="B260" s="15">
        <v>9215177</v>
      </c>
      <c r="C260" s="15">
        <v>30166</v>
      </c>
      <c r="D260" s="15">
        <v>35097</v>
      </c>
      <c r="E260" s="15">
        <v>2900</v>
      </c>
      <c r="F260" s="15">
        <v>216.83</v>
      </c>
      <c r="G260" s="15">
        <v>12.27</v>
      </c>
      <c r="H260" s="165" t="s">
        <v>63</v>
      </c>
    </row>
    <row r="261" spans="1:8">
      <c r="A261" s="449" t="s">
        <v>1080</v>
      </c>
      <c r="B261" s="15">
        <v>9135638</v>
      </c>
      <c r="C261" s="15">
        <v>29022</v>
      </c>
      <c r="D261" s="15">
        <v>35021</v>
      </c>
      <c r="E261" s="15">
        <v>2908</v>
      </c>
      <c r="F261" s="15">
        <v>195.68</v>
      </c>
      <c r="G261" s="15">
        <v>11.5</v>
      </c>
      <c r="H261" s="165" t="s">
        <v>63</v>
      </c>
    </row>
    <row r="262" spans="1:8">
      <c r="A262" s="449" t="s">
        <v>1127</v>
      </c>
      <c r="B262" s="15">
        <v>9155107</v>
      </c>
      <c r="C262" s="15">
        <v>29115</v>
      </c>
      <c r="D262" s="15">
        <v>40117</v>
      </c>
      <c r="E262" s="15">
        <v>2908</v>
      </c>
      <c r="F262" s="15">
        <v>196</v>
      </c>
      <c r="G262" s="15">
        <v>12.5</v>
      </c>
      <c r="H262" s="165" t="s">
        <v>63</v>
      </c>
    </row>
    <row r="263" spans="1:8">
      <c r="A263" s="449" t="s">
        <v>969</v>
      </c>
      <c r="B263" s="15">
        <v>8714190</v>
      </c>
      <c r="C263" s="15">
        <v>35598</v>
      </c>
      <c r="D263" s="15">
        <v>43170</v>
      </c>
      <c r="E263" s="15">
        <v>2932</v>
      </c>
      <c r="F263" s="15">
        <v>242.13</v>
      </c>
      <c r="G263" s="15">
        <v>11.73</v>
      </c>
      <c r="H263" s="165" t="s">
        <v>63</v>
      </c>
    </row>
    <row r="264" spans="1:8">
      <c r="A264" s="449" t="s">
        <v>606</v>
      </c>
      <c r="B264" s="15">
        <v>9141314</v>
      </c>
      <c r="C264" s="15">
        <v>29383</v>
      </c>
      <c r="D264" s="15">
        <v>34670</v>
      </c>
      <c r="E264" s="15">
        <v>2959</v>
      </c>
      <c r="F264" s="15">
        <v>195.73</v>
      </c>
      <c r="G264" s="15">
        <v>11.5</v>
      </c>
      <c r="H264" s="165" t="s">
        <v>63</v>
      </c>
    </row>
    <row r="265" spans="1:8">
      <c r="A265" s="449" t="s">
        <v>593</v>
      </c>
      <c r="B265" s="15">
        <v>9005247</v>
      </c>
      <c r="C265" s="15">
        <v>36627</v>
      </c>
      <c r="D265" s="15">
        <v>44013</v>
      </c>
      <c r="E265" s="15">
        <v>2986</v>
      </c>
      <c r="F265" s="15">
        <v>241.5</v>
      </c>
      <c r="G265" s="15">
        <v>11.71</v>
      </c>
      <c r="H265" s="165" t="s">
        <v>63</v>
      </c>
    </row>
    <row r="266" spans="1:8">
      <c r="A266" s="449" t="s">
        <v>996</v>
      </c>
      <c r="B266" s="15">
        <v>8913447</v>
      </c>
      <c r="C266" s="15">
        <v>37071</v>
      </c>
      <c r="D266" s="15">
        <v>46975</v>
      </c>
      <c r="E266" s="15">
        <v>3005</v>
      </c>
      <c r="F266" s="15">
        <v>237</v>
      </c>
      <c r="G266" s="15">
        <v>12</v>
      </c>
      <c r="H266" s="165" t="s">
        <v>63</v>
      </c>
    </row>
    <row r="267" spans="1:8">
      <c r="A267" s="449" t="s">
        <v>1121</v>
      </c>
      <c r="B267" s="15">
        <v>8918966</v>
      </c>
      <c r="C267" s="15">
        <v>37071</v>
      </c>
      <c r="D267" s="15">
        <v>46852</v>
      </c>
      <c r="E267" s="15">
        <v>3005</v>
      </c>
      <c r="F267" s="15">
        <v>237</v>
      </c>
      <c r="G267" s="15">
        <v>11.98</v>
      </c>
      <c r="H267" s="165" t="s">
        <v>63</v>
      </c>
    </row>
    <row r="268" spans="1:8">
      <c r="A268" s="449" t="s">
        <v>1188</v>
      </c>
      <c r="B268" s="15">
        <v>8913411</v>
      </c>
      <c r="C268" s="15">
        <v>37071</v>
      </c>
      <c r="D268" s="15">
        <v>46600</v>
      </c>
      <c r="E268" s="15">
        <v>3005</v>
      </c>
      <c r="F268" s="15">
        <v>237</v>
      </c>
      <c r="G268" s="15">
        <v>11.98</v>
      </c>
      <c r="H268" s="165" t="s">
        <v>63</v>
      </c>
    </row>
    <row r="269" spans="1:8">
      <c r="A269" s="449" t="s">
        <v>1196</v>
      </c>
      <c r="B269" s="15">
        <v>8913461</v>
      </c>
      <c r="C269" s="15">
        <v>37071</v>
      </c>
      <c r="D269" s="15">
        <v>47120</v>
      </c>
      <c r="E269" s="15">
        <v>3005</v>
      </c>
      <c r="F269" s="15">
        <v>237</v>
      </c>
      <c r="G269" s="15">
        <v>11.98</v>
      </c>
      <c r="H269" s="165" t="s">
        <v>63</v>
      </c>
    </row>
    <row r="270" spans="1:8">
      <c r="A270" s="449" t="s">
        <v>1213</v>
      </c>
      <c r="B270" s="15">
        <v>8918978</v>
      </c>
      <c r="C270" s="15">
        <v>37071</v>
      </c>
      <c r="D270" s="15">
        <v>47120</v>
      </c>
      <c r="E270" s="15">
        <v>3005</v>
      </c>
      <c r="F270" s="15">
        <v>237</v>
      </c>
      <c r="G270" s="15">
        <v>11.98</v>
      </c>
      <c r="H270" s="165" t="s">
        <v>63</v>
      </c>
    </row>
    <row r="271" spans="1:8">
      <c r="A271" s="449" t="s">
        <v>1018</v>
      </c>
      <c r="B271" s="15">
        <v>8512401</v>
      </c>
      <c r="C271" s="15">
        <v>42260</v>
      </c>
      <c r="D271" s="15">
        <v>45725</v>
      </c>
      <c r="E271" s="15">
        <v>3029</v>
      </c>
      <c r="F271" s="15">
        <v>236</v>
      </c>
      <c r="G271" s="15">
        <v>12.53</v>
      </c>
      <c r="H271" s="165" t="s">
        <v>63</v>
      </c>
    </row>
    <row r="272" spans="1:8">
      <c r="A272" s="449" t="s">
        <v>1255</v>
      </c>
      <c r="B272" s="15">
        <v>8714229</v>
      </c>
      <c r="C272" s="15">
        <v>35958</v>
      </c>
      <c r="D272" s="15">
        <v>42976</v>
      </c>
      <c r="E272" s="15">
        <v>3032</v>
      </c>
      <c r="F272" s="15">
        <v>239.99</v>
      </c>
      <c r="G272" s="15">
        <v>11.7</v>
      </c>
      <c r="H272" s="165" t="s">
        <v>63</v>
      </c>
    </row>
    <row r="273" spans="1:8">
      <c r="A273" s="449" t="s">
        <v>462</v>
      </c>
      <c r="B273" s="15">
        <v>9298636</v>
      </c>
      <c r="C273" s="15">
        <v>35881</v>
      </c>
      <c r="D273" s="15">
        <v>41647</v>
      </c>
      <c r="E273" s="15">
        <v>3091</v>
      </c>
      <c r="F273" s="15">
        <v>220.43</v>
      </c>
      <c r="G273" s="15">
        <v>12.15</v>
      </c>
      <c r="H273" s="165" t="s">
        <v>63</v>
      </c>
    </row>
    <row r="274" spans="1:8">
      <c r="A274" s="449" t="s">
        <v>728</v>
      </c>
      <c r="B274" s="15">
        <v>9219343</v>
      </c>
      <c r="C274" s="15">
        <v>35824</v>
      </c>
      <c r="D274" s="15">
        <v>42211</v>
      </c>
      <c r="E274" s="15">
        <v>3091</v>
      </c>
      <c r="F274" s="15">
        <v>221</v>
      </c>
      <c r="G274" s="15">
        <v>12.15</v>
      </c>
      <c r="H274" s="165" t="s">
        <v>63</v>
      </c>
    </row>
    <row r="275" spans="1:8">
      <c r="A275" s="449" t="s">
        <v>752</v>
      </c>
      <c r="B275" s="15">
        <v>9311880</v>
      </c>
      <c r="C275" s="15">
        <v>35881</v>
      </c>
      <c r="D275" s="15">
        <v>42200</v>
      </c>
      <c r="E275" s="15">
        <v>3091</v>
      </c>
      <c r="F275" s="15">
        <v>220.3</v>
      </c>
      <c r="G275" s="15">
        <v>12.15</v>
      </c>
      <c r="H275" s="165" t="s">
        <v>63</v>
      </c>
    </row>
    <row r="276" spans="1:8">
      <c r="A276" s="449" t="s">
        <v>770</v>
      </c>
      <c r="B276" s="15">
        <v>9246695</v>
      </c>
      <c r="C276" s="15">
        <v>35881</v>
      </c>
      <c r="D276" s="15">
        <v>41802</v>
      </c>
      <c r="E276" s="15">
        <v>3091</v>
      </c>
      <c r="F276" s="15">
        <v>220.31</v>
      </c>
      <c r="G276" s="15">
        <v>12.15</v>
      </c>
      <c r="H276" s="165" t="s">
        <v>63</v>
      </c>
    </row>
    <row r="277" spans="1:8">
      <c r="A277" s="449" t="s">
        <v>1262</v>
      </c>
      <c r="B277" s="15">
        <v>9237486</v>
      </c>
      <c r="C277" s="15">
        <v>35881</v>
      </c>
      <c r="D277" s="15">
        <v>41748</v>
      </c>
      <c r="E277" s="15">
        <v>3091</v>
      </c>
      <c r="F277" s="15">
        <v>220</v>
      </c>
      <c r="G277" s="15">
        <v>12</v>
      </c>
      <c r="H277" s="165" t="s">
        <v>63</v>
      </c>
    </row>
    <row r="278" spans="1:8">
      <c r="A278" s="449" t="s">
        <v>781</v>
      </c>
      <c r="B278" s="15">
        <v>9394882</v>
      </c>
      <c r="C278" s="15">
        <v>35835</v>
      </c>
      <c r="D278" s="15">
        <v>35886</v>
      </c>
      <c r="E278" s="15">
        <v>3100</v>
      </c>
      <c r="F278" s="15">
        <v>223.3</v>
      </c>
      <c r="G278" s="15">
        <v>12</v>
      </c>
      <c r="H278" s="165" t="s">
        <v>63</v>
      </c>
    </row>
    <row r="279" spans="1:8">
      <c r="A279" s="449" t="s">
        <v>782</v>
      </c>
      <c r="B279" s="15">
        <v>9409352</v>
      </c>
      <c r="C279" s="15">
        <v>35835</v>
      </c>
      <c r="D279" s="15">
        <v>43239</v>
      </c>
      <c r="E279" s="15">
        <v>3100</v>
      </c>
      <c r="F279" s="15">
        <v>223.3</v>
      </c>
      <c r="G279" s="15">
        <v>12</v>
      </c>
      <c r="H279" s="165" t="s">
        <v>63</v>
      </c>
    </row>
    <row r="280" spans="1:8">
      <c r="A280" s="449" t="s">
        <v>783</v>
      </c>
      <c r="B280" s="15">
        <v>9355343</v>
      </c>
      <c r="C280" s="15">
        <v>35835</v>
      </c>
      <c r="D280" s="15">
        <v>43177</v>
      </c>
      <c r="E280" s="15">
        <v>3100</v>
      </c>
      <c r="F280" s="15">
        <v>223.5</v>
      </c>
      <c r="G280" s="15">
        <v>12</v>
      </c>
      <c r="H280" s="165" t="s">
        <v>63</v>
      </c>
    </row>
    <row r="281" spans="1:8">
      <c r="A281" s="449" t="s">
        <v>1589</v>
      </c>
      <c r="B281" s="15">
        <v>9252735</v>
      </c>
      <c r="C281" s="15">
        <v>35881</v>
      </c>
      <c r="D281" s="15">
        <v>42200</v>
      </c>
      <c r="E281" s="15">
        <v>3100</v>
      </c>
      <c r="F281" s="15">
        <v>220.31</v>
      </c>
      <c r="G281" s="15">
        <v>12.15</v>
      </c>
      <c r="H281" s="165" t="s">
        <v>63</v>
      </c>
    </row>
    <row r="282" spans="1:8">
      <c r="A282" s="449" t="s">
        <v>636</v>
      </c>
      <c r="B282" s="15">
        <v>9334375</v>
      </c>
      <c r="C282" s="15">
        <v>35824</v>
      </c>
      <c r="D282" s="15">
        <v>42213</v>
      </c>
      <c r="E282" s="15">
        <v>3108</v>
      </c>
      <c r="F282" s="15">
        <v>220.44</v>
      </c>
      <c r="G282" s="15">
        <v>12.15</v>
      </c>
      <c r="H282" s="165" t="s">
        <v>63</v>
      </c>
    </row>
    <row r="283" spans="1:8">
      <c r="A283" s="449" t="s">
        <v>245</v>
      </c>
      <c r="B283" s="15">
        <v>9243162</v>
      </c>
      <c r="C283" s="15">
        <v>40146</v>
      </c>
      <c r="D283" s="15">
        <v>40478</v>
      </c>
      <c r="E283" s="15">
        <v>3237</v>
      </c>
      <c r="F283" s="15">
        <v>243.35</v>
      </c>
      <c r="G283" s="15">
        <v>11.02</v>
      </c>
      <c r="H283" s="165" t="s">
        <v>63</v>
      </c>
    </row>
    <row r="284" spans="1:8">
      <c r="A284" s="449" t="s">
        <v>1382</v>
      </c>
      <c r="B284" s="15">
        <v>9243203</v>
      </c>
      <c r="C284" s="15">
        <v>40146</v>
      </c>
      <c r="D284" s="15">
        <v>40478</v>
      </c>
      <c r="E284" s="15">
        <v>3237</v>
      </c>
      <c r="F284" s="15">
        <v>243.35</v>
      </c>
      <c r="G284" s="15">
        <v>11.02</v>
      </c>
      <c r="H284" s="165" t="s">
        <v>63</v>
      </c>
    </row>
    <row r="285" spans="1:8">
      <c r="A285" s="449" t="s">
        <v>1507</v>
      </c>
      <c r="B285" s="15">
        <v>9243186</v>
      </c>
      <c r="C285" s="15">
        <v>40146</v>
      </c>
      <c r="D285" s="15">
        <v>40478</v>
      </c>
      <c r="E285" s="15">
        <v>3237</v>
      </c>
      <c r="F285" s="15">
        <v>243.4</v>
      </c>
      <c r="G285" s="15">
        <v>11.02</v>
      </c>
      <c r="H285" s="165" t="s">
        <v>63</v>
      </c>
    </row>
    <row r="286" spans="1:8">
      <c r="A286" s="449" t="s">
        <v>1584</v>
      </c>
      <c r="B286" s="15">
        <v>9243198</v>
      </c>
      <c r="C286" s="15">
        <v>40146</v>
      </c>
      <c r="D286" s="15">
        <v>40478</v>
      </c>
      <c r="E286" s="15">
        <v>3237</v>
      </c>
      <c r="F286" s="15">
        <v>243.35</v>
      </c>
      <c r="G286" s="15">
        <v>11.02</v>
      </c>
      <c r="H286" s="165" t="s">
        <v>63</v>
      </c>
    </row>
    <row r="287" spans="1:8">
      <c r="A287" s="449" t="s">
        <v>1654</v>
      </c>
      <c r="B287" s="15">
        <v>9243174</v>
      </c>
      <c r="C287" s="15">
        <v>40146</v>
      </c>
      <c r="D287" s="15">
        <v>40478</v>
      </c>
      <c r="E287" s="15">
        <v>3237</v>
      </c>
      <c r="F287" s="15">
        <v>243.4</v>
      </c>
      <c r="G287" s="15">
        <v>10.5</v>
      </c>
      <c r="H287" s="165" t="s">
        <v>63</v>
      </c>
    </row>
    <row r="288" spans="1:8">
      <c r="A288" s="449" t="s">
        <v>965</v>
      </c>
      <c r="B288" s="15">
        <v>9129873</v>
      </c>
      <c r="C288" s="15">
        <v>42307</v>
      </c>
      <c r="D288" s="15">
        <v>50855</v>
      </c>
      <c r="E288" s="15">
        <v>3300</v>
      </c>
      <c r="F288" s="15">
        <v>244.2</v>
      </c>
      <c r="G288" s="15">
        <v>13.22</v>
      </c>
      <c r="H288" s="165" t="s">
        <v>63</v>
      </c>
    </row>
    <row r="289" spans="1:8">
      <c r="A289" s="449" t="s">
        <v>1168</v>
      </c>
      <c r="B289" s="15">
        <v>9129885</v>
      </c>
      <c r="C289" s="15">
        <v>42307</v>
      </c>
      <c r="D289" s="15">
        <v>51210</v>
      </c>
      <c r="E289" s="15">
        <v>3300</v>
      </c>
      <c r="F289" s="15">
        <v>244.15</v>
      </c>
      <c r="G289" s="15">
        <v>13.22</v>
      </c>
      <c r="H289" s="165" t="s">
        <v>63</v>
      </c>
    </row>
    <row r="290" spans="1:8">
      <c r="A290" s="449" t="s">
        <v>1372</v>
      </c>
      <c r="B290" s="15">
        <v>9333046</v>
      </c>
      <c r="C290" s="15">
        <v>35573</v>
      </c>
      <c r="D290" s="15">
        <v>44239</v>
      </c>
      <c r="E290" s="15">
        <v>3388</v>
      </c>
      <c r="F290" s="15">
        <v>222.5</v>
      </c>
      <c r="G290" s="15">
        <v>12</v>
      </c>
      <c r="H290" s="165" t="s">
        <v>63</v>
      </c>
    </row>
    <row r="291" spans="1:8">
      <c r="A291" s="449" t="s">
        <v>615</v>
      </c>
      <c r="B291" s="15">
        <v>9443011</v>
      </c>
      <c r="C291" s="15">
        <v>35574</v>
      </c>
      <c r="D291" s="15">
        <v>44174</v>
      </c>
      <c r="E291" s="15">
        <v>3398</v>
      </c>
      <c r="F291" s="15">
        <v>222.5</v>
      </c>
      <c r="G291" s="15">
        <v>12</v>
      </c>
      <c r="H291" s="165" t="s">
        <v>63</v>
      </c>
    </row>
    <row r="292" spans="1:8">
      <c r="A292" s="449" t="s">
        <v>963</v>
      </c>
      <c r="B292" s="15">
        <v>9123166</v>
      </c>
      <c r="C292" s="15">
        <v>37518</v>
      </c>
      <c r="D292" s="15">
        <v>42966</v>
      </c>
      <c r="E292" s="15">
        <v>3398</v>
      </c>
      <c r="F292" s="15">
        <v>242.81</v>
      </c>
      <c r="G292" s="15">
        <v>11.72</v>
      </c>
      <c r="H292" s="165" t="s">
        <v>63</v>
      </c>
    </row>
    <row r="293" spans="1:8">
      <c r="A293" s="449" t="s">
        <v>1498</v>
      </c>
      <c r="B293" s="15">
        <v>9303778</v>
      </c>
      <c r="C293" s="15">
        <v>35581</v>
      </c>
      <c r="D293" s="15">
        <v>44022</v>
      </c>
      <c r="E293" s="15">
        <v>3398</v>
      </c>
      <c r="F293" s="15">
        <v>222.53</v>
      </c>
      <c r="G293" s="15">
        <v>12</v>
      </c>
      <c r="H293" s="165" t="s">
        <v>63</v>
      </c>
    </row>
    <row r="294" spans="1:8">
      <c r="A294" s="449" t="s">
        <v>66</v>
      </c>
      <c r="B294" s="15">
        <v>9303766</v>
      </c>
      <c r="C294" s="15">
        <v>35581</v>
      </c>
      <c r="D294" s="15">
        <v>44052</v>
      </c>
      <c r="E294" s="15">
        <v>3400</v>
      </c>
      <c r="F294" s="15">
        <v>222.5</v>
      </c>
      <c r="G294" s="15">
        <v>12</v>
      </c>
      <c r="H294" s="165" t="s">
        <v>63</v>
      </c>
    </row>
    <row r="295" spans="1:8">
      <c r="A295" s="449" t="s">
        <v>587</v>
      </c>
      <c r="B295" s="15">
        <v>9328481</v>
      </c>
      <c r="C295" s="15">
        <v>35991</v>
      </c>
      <c r="D295" s="15">
        <v>42082</v>
      </c>
      <c r="E295" s="15">
        <v>3400</v>
      </c>
      <c r="F295" s="15">
        <v>230.98</v>
      </c>
      <c r="G295" s="15">
        <v>10.8</v>
      </c>
      <c r="H295" s="165" t="s">
        <v>63</v>
      </c>
    </row>
    <row r="296" spans="1:8">
      <c r="A296" s="449" t="s">
        <v>1403</v>
      </c>
      <c r="B296" s="15">
        <v>9372872</v>
      </c>
      <c r="C296" s="15">
        <v>36087</v>
      </c>
      <c r="D296" s="15">
        <v>42566</v>
      </c>
      <c r="E296" s="15">
        <v>3400</v>
      </c>
      <c r="F296" s="15">
        <v>228.62</v>
      </c>
      <c r="G296" s="15">
        <v>12</v>
      </c>
      <c r="H296" s="165" t="s">
        <v>63</v>
      </c>
    </row>
    <row r="297" spans="1:8">
      <c r="A297" s="449" t="s">
        <v>1546</v>
      </c>
      <c r="B297" s="15">
        <v>9303742</v>
      </c>
      <c r="C297" s="15">
        <v>35581</v>
      </c>
      <c r="D297" s="15">
        <v>44135</v>
      </c>
      <c r="E297" s="15">
        <v>3400</v>
      </c>
      <c r="F297" s="15">
        <v>222.52</v>
      </c>
      <c r="G297" s="15">
        <v>12</v>
      </c>
      <c r="H297" s="165" t="s">
        <v>63</v>
      </c>
    </row>
    <row r="298" spans="1:8">
      <c r="A298" s="449" t="s">
        <v>1429</v>
      </c>
      <c r="B298" s="15">
        <v>9401166</v>
      </c>
      <c r="C298" s="15">
        <v>36087</v>
      </c>
      <c r="D298" s="15">
        <v>42614</v>
      </c>
      <c r="E298" s="15">
        <v>3414</v>
      </c>
      <c r="F298" s="15">
        <v>228.5</v>
      </c>
      <c r="G298" s="15">
        <v>12</v>
      </c>
      <c r="H298" s="165" t="s">
        <v>63</v>
      </c>
    </row>
    <row r="299" spans="1:8">
      <c r="A299" s="449" t="s">
        <v>1145</v>
      </c>
      <c r="B299" s="15">
        <v>9060649</v>
      </c>
      <c r="C299" s="15">
        <v>37398</v>
      </c>
      <c r="D299" s="15">
        <v>43618</v>
      </c>
      <c r="E299" s="15">
        <v>3424</v>
      </c>
      <c r="F299" s="15">
        <v>243.3</v>
      </c>
      <c r="G299" s="15">
        <v>12.1</v>
      </c>
      <c r="H299" s="165" t="s">
        <v>63</v>
      </c>
    </row>
    <row r="300" spans="1:8">
      <c r="A300" s="449" t="s">
        <v>1159</v>
      </c>
      <c r="B300" s="15">
        <v>9161297</v>
      </c>
      <c r="C300" s="15">
        <v>37579</v>
      </c>
      <c r="D300" s="15">
        <v>56902</v>
      </c>
      <c r="E300" s="15">
        <v>3424</v>
      </c>
      <c r="F300" s="15">
        <v>242.83</v>
      </c>
      <c r="G300" s="15">
        <v>11.7</v>
      </c>
      <c r="H300" s="165" t="s">
        <v>63</v>
      </c>
    </row>
    <row r="301" spans="1:8">
      <c r="A301" s="449" t="s">
        <v>1172</v>
      </c>
      <c r="B301" s="15">
        <v>9139505</v>
      </c>
      <c r="C301" s="15">
        <v>37579</v>
      </c>
      <c r="D301" s="15">
        <v>42954</v>
      </c>
      <c r="E301" s="15">
        <v>3424</v>
      </c>
      <c r="F301" s="15">
        <v>242.81</v>
      </c>
      <c r="G301" s="15">
        <v>12.11</v>
      </c>
      <c r="H301" s="165" t="s">
        <v>63</v>
      </c>
    </row>
    <row r="302" spans="1:8">
      <c r="A302" s="449" t="s">
        <v>1184</v>
      </c>
      <c r="B302" s="15">
        <v>9065443</v>
      </c>
      <c r="C302" s="15">
        <v>37398</v>
      </c>
      <c r="D302" s="15">
        <v>43604</v>
      </c>
      <c r="E302" s="15">
        <v>3424</v>
      </c>
      <c r="F302" s="15">
        <v>242.81</v>
      </c>
      <c r="G302" s="15">
        <v>11.7</v>
      </c>
      <c r="H302" s="165" t="s">
        <v>63</v>
      </c>
    </row>
    <row r="303" spans="1:8">
      <c r="A303" s="449" t="s">
        <v>196</v>
      </c>
      <c r="B303" s="15">
        <v>9423035</v>
      </c>
      <c r="C303" s="15">
        <v>35000</v>
      </c>
      <c r="D303" s="15">
        <v>46500</v>
      </c>
      <c r="E303" s="15">
        <v>3426</v>
      </c>
      <c r="F303" s="15">
        <v>228.5</v>
      </c>
      <c r="G303" s="15">
        <v>7.7</v>
      </c>
      <c r="H303" s="165" t="s">
        <v>63</v>
      </c>
    </row>
    <row r="304" spans="1:8">
      <c r="A304" s="449" t="s">
        <v>197</v>
      </c>
      <c r="B304" s="15">
        <v>9418377</v>
      </c>
      <c r="C304" s="15">
        <v>36087</v>
      </c>
      <c r="D304" s="15">
        <v>42454</v>
      </c>
      <c r="E304" s="15">
        <v>3426</v>
      </c>
      <c r="F304" s="15">
        <v>229</v>
      </c>
      <c r="G304" s="15">
        <v>12</v>
      </c>
      <c r="H304" s="165" t="s">
        <v>63</v>
      </c>
    </row>
    <row r="305" spans="1:8">
      <c r="A305" s="449" t="s">
        <v>1656</v>
      </c>
      <c r="B305" s="15">
        <v>9139921</v>
      </c>
      <c r="C305" s="15">
        <v>41507</v>
      </c>
      <c r="D305" s="15">
        <v>45850</v>
      </c>
      <c r="E305" s="15">
        <v>3429</v>
      </c>
      <c r="F305" s="15">
        <v>253.7</v>
      </c>
      <c r="G305" s="15">
        <v>11.78</v>
      </c>
      <c r="H305" s="165" t="s">
        <v>63</v>
      </c>
    </row>
    <row r="306" spans="1:8">
      <c r="A306" s="449" t="s">
        <v>1661</v>
      </c>
      <c r="B306" s="15">
        <v>9139919</v>
      </c>
      <c r="C306" s="15">
        <v>41507</v>
      </c>
      <c r="D306" s="15">
        <v>46850</v>
      </c>
      <c r="E306" s="15">
        <v>3429</v>
      </c>
      <c r="F306" s="15">
        <v>253.7</v>
      </c>
      <c r="G306" s="15">
        <v>11.78</v>
      </c>
      <c r="H306" s="165" t="s">
        <v>63</v>
      </c>
    </row>
    <row r="307" spans="1:8">
      <c r="A307" s="449" t="s">
        <v>1663</v>
      </c>
      <c r="B307" s="15">
        <v>9113680</v>
      </c>
      <c r="C307" s="15">
        <v>41507</v>
      </c>
      <c r="D307" s="15">
        <v>45850</v>
      </c>
      <c r="E307" s="15">
        <v>3429</v>
      </c>
      <c r="F307" s="15">
        <v>253</v>
      </c>
      <c r="G307" s="15">
        <v>11.78</v>
      </c>
      <c r="H307" s="165" t="s">
        <v>63</v>
      </c>
    </row>
    <row r="308" spans="1:8">
      <c r="A308" s="449" t="s">
        <v>1671</v>
      </c>
      <c r="B308" s="15">
        <v>9139907</v>
      </c>
      <c r="C308" s="15">
        <v>41507</v>
      </c>
      <c r="D308" s="15">
        <v>46350</v>
      </c>
      <c r="E308" s="15">
        <v>3429</v>
      </c>
      <c r="F308" s="15">
        <v>253.7</v>
      </c>
      <c r="G308" s="15">
        <v>11.78</v>
      </c>
      <c r="H308" s="165" t="s">
        <v>63</v>
      </c>
    </row>
    <row r="309" spans="1:8">
      <c r="A309" s="449" t="s">
        <v>236</v>
      </c>
      <c r="B309" s="15">
        <v>9210050</v>
      </c>
      <c r="C309" s="15">
        <v>37113</v>
      </c>
      <c r="D309" s="15">
        <v>40018</v>
      </c>
      <c r="E309" s="15">
        <v>3430</v>
      </c>
      <c r="F309" s="15">
        <v>243.15</v>
      </c>
      <c r="G309" s="15">
        <v>11.5</v>
      </c>
      <c r="H309" s="165" t="s">
        <v>63</v>
      </c>
    </row>
    <row r="310" spans="1:8">
      <c r="A310" s="449" t="s">
        <v>237</v>
      </c>
      <c r="B310" s="15">
        <v>9210062</v>
      </c>
      <c r="C310" s="15">
        <v>37113</v>
      </c>
      <c r="D310" s="15">
        <v>40125</v>
      </c>
      <c r="E310" s="15">
        <v>3430</v>
      </c>
      <c r="F310" s="15">
        <v>243.15</v>
      </c>
      <c r="G310" s="15">
        <v>11.5</v>
      </c>
      <c r="H310" s="165" t="s">
        <v>63</v>
      </c>
    </row>
    <row r="311" spans="1:8">
      <c r="A311" s="449" t="s">
        <v>243</v>
      </c>
      <c r="B311" s="15">
        <v>9210086</v>
      </c>
      <c r="C311" s="15">
        <v>37113</v>
      </c>
      <c r="D311" s="15">
        <v>40059</v>
      </c>
      <c r="E311" s="15">
        <v>3430</v>
      </c>
      <c r="F311" s="15">
        <v>243</v>
      </c>
      <c r="G311" s="15">
        <v>11.5</v>
      </c>
      <c r="H311" s="165" t="s">
        <v>63</v>
      </c>
    </row>
    <row r="312" spans="1:8">
      <c r="A312" s="449" t="s">
        <v>465</v>
      </c>
      <c r="B312" s="15">
        <v>9210074</v>
      </c>
      <c r="C312" s="15">
        <v>37113</v>
      </c>
      <c r="D312" s="15">
        <v>40102</v>
      </c>
      <c r="E312" s="15">
        <v>3430</v>
      </c>
      <c r="F312" s="15">
        <v>243.12</v>
      </c>
      <c r="G312" s="15">
        <v>11.5</v>
      </c>
      <c r="H312" s="165" t="s">
        <v>63</v>
      </c>
    </row>
    <row r="313" spans="1:8">
      <c r="A313" s="449" t="s">
        <v>370</v>
      </c>
      <c r="B313" s="15">
        <v>9057501</v>
      </c>
      <c r="C313" s="15">
        <v>42323</v>
      </c>
      <c r="D313" s="15">
        <v>44510</v>
      </c>
      <c r="E313" s="15">
        <v>3469</v>
      </c>
      <c r="F313" s="15">
        <v>242</v>
      </c>
      <c r="G313" s="15">
        <v>12.46</v>
      </c>
      <c r="H313" s="165" t="s">
        <v>63</v>
      </c>
    </row>
    <row r="314" spans="1:8">
      <c r="A314" s="449" t="s">
        <v>371</v>
      </c>
      <c r="B314" s="15">
        <v>9113642</v>
      </c>
      <c r="C314" s="15">
        <v>42336</v>
      </c>
      <c r="D314" s="15">
        <v>44510</v>
      </c>
      <c r="E314" s="15">
        <v>3469</v>
      </c>
      <c r="F314" s="15">
        <v>242.06</v>
      </c>
      <c r="G314" s="15">
        <v>12.46</v>
      </c>
      <c r="H314" s="165" t="s">
        <v>63</v>
      </c>
    </row>
    <row r="315" spans="1:8">
      <c r="A315" s="449" t="s">
        <v>106</v>
      </c>
      <c r="B315" s="15">
        <v>9315355</v>
      </c>
      <c r="C315" s="15">
        <v>38320</v>
      </c>
      <c r="D315" s="15">
        <v>46311</v>
      </c>
      <c r="E315" s="15">
        <v>3500</v>
      </c>
      <c r="F315" s="15">
        <v>246</v>
      </c>
      <c r="G315" s="15">
        <v>12.3</v>
      </c>
      <c r="H315" s="165" t="s">
        <v>63</v>
      </c>
    </row>
    <row r="316" spans="1:8">
      <c r="A316" s="449" t="s">
        <v>1263</v>
      </c>
      <c r="B316" s="15">
        <v>9323039</v>
      </c>
      <c r="C316" s="15">
        <v>38332</v>
      </c>
      <c r="D316" s="15">
        <v>46309</v>
      </c>
      <c r="E316" s="15">
        <v>3500</v>
      </c>
      <c r="F316" s="15">
        <v>246.83</v>
      </c>
      <c r="G316" s="15">
        <v>12.3</v>
      </c>
      <c r="H316" s="165" t="s">
        <v>63</v>
      </c>
    </row>
    <row r="317" spans="1:8">
      <c r="A317" s="449" t="s">
        <v>1092</v>
      </c>
      <c r="B317" s="15">
        <v>9062960</v>
      </c>
      <c r="C317" s="15">
        <v>37323</v>
      </c>
      <c r="D317" s="15">
        <v>45530</v>
      </c>
      <c r="E317" s="15">
        <v>3510</v>
      </c>
      <c r="F317" s="15">
        <v>239.8</v>
      </c>
      <c r="G317" s="15">
        <v>12.4</v>
      </c>
      <c r="H317" s="165" t="s">
        <v>63</v>
      </c>
    </row>
    <row r="318" spans="1:8">
      <c r="A318" s="449" t="s">
        <v>191</v>
      </c>
      <c r="B318" s="15">
        <v>9408774</v>
      </c>
      <c r="C318" s="15">
        <v>35991</v>
      </c>
      <c r="D318" s="15">
        <v>42074</v>
      </c>
      <c r="E318" s="15">
        <v>3534</v>
      </c>
      <c r="F318" s="15">
        <v>230.99</v>
      </c>
      <c r="G318" s="15">
        <v>12</v>
      </c>
      <c r="H318" s="165" t="s">
        <v>63</v>
      </c>
    </row>
    <row r="319" spans="1:8">
      <c r="A319" s="449" t="s">
        <v>662</v>
      </c>
      <c r="B319" s="15">
        <v>9436484</v>
      </c>
      <c r="C319" s="15">
        <v>36007</v>
      </c>
      <c r="D319" s="15">
        <v>41973</v>
      </c>
      <c r="E319" s="15">
        <v>3534</v>
      </c>
      <c r="F319" s="15">
        <v>290.89999999999998</v>
      </c>
      <c r="G319" s="15">
        <v>12</v>
      </c>
      <c r="H319" s="165" t="s">
        <v>63</v>
      </c>
    </row>
    <row r="320" spans="1:8">
      <c r="A320" s="449" t="s">
        <v>941</v>
      </c>
      <c r="B320" s="15">
        <v>9309277</v>
      </c>
      <c r="C320" s="15">
        <v>35975</v>
      </c>
      <c r="D320" s="15">
        <v>42102</v>
      </c>
      <c r="E320" s="15">
        <v>3534</v>
      </c>
      <c r="F320" s="15">
        <v>230.9</v>
      </c>
      <c r="G320" s="15">
        <v>12</v>
      </c>
      <c r="H320" s="165" t="s">
        <v>63</v>
      </c>
    </row>
    <row r="321" spans="1:8">
      <c r="A321" s="449" t="s">
        <v>992</v>
      </c>
      <c r="B321" s="15">
        <v>9263344</v>
      </c>
      <c r="C321" s="15">
        <v>35954</v>
      </c>
      <c r="D321" s="15">
        <v>42186</v>
      </c>
      <c r="E321" s="15">
        <v>3534</v>
      </c>
      <c r="F321" s="15">
        <v>230.9</v>
      </c>
      <c r="G321" s="15">
        <v>12</v>
      </c>
      <c r="H321" s="165" t="s">
        <v>63</v>
      </c>
    </row>
    <row r="322" spans="1:8">
      <c r="A322" s="449" t="s">
        <v>1267</v>
      </c>
      <c r="B322" s="15">
        <v>9353228</v>
      </c>
      <c r="C322" s="15">
        <v>35975</v>
      </c>
      <c r="D322" s="15">
        <v>42183</v>
      </c>
      <c r="E322" s="15">
        <v>3534</v>
      </c>
      <c r="F322" s="15">
        <v>230.9</v>
      </c>
      <c r="G322" s="15">
        <v>12</v>
      </c>
      <c r="H322" s="165" t="s">
        <v>63</v>
      </c>
    </row>
    <row r="323" spans="1:8">
      <c r="A323" s="449" t="s">
        <v>1269</v>
      </c>
      <c r="B323" s="15">
        <v>9346017</v>
      </c>
      <c r="C323" s="15">
        <v>35975</v>
      </c>
      <c r="D323" s="15">
        <v>42183</v>
      </c>
      <c r="E323" s="15">
        <v>3534</v>
      </c>
      <c r="F323" s="15">
        <v>231</v>
      </c>
      <c r="G323" s="15">
        <v>12</v>
      </c>
      <c r="H323" s="165" t="s">
        <v>63</v>
      </c>
    </row>
    <row r="324" spans="1:8">
      <c r="A324" s="449" t="s">
        <v>1270</v>
      </c>
      <c r="B324" s="15">
        <v>9329643</v>
      </c>
      <c r="C324" s="15">
        <v>35975</v>
      </c>
      <c r="D324" s="15">
        <v>42121</v>
      </c>
      <c r="E324" s="15">
        <v>3534</v>
      </c>
      <c r="F324" s="15">
        <v>230.9</v>
      </c>
      <c r="G324" s="15">
        <v>12</v>
      </c>
      <c r="H324" s="165" t="s">
        <v>63</v>
      </c>
    </row>
    <row r="325" spans="1:8">
      <c r="A325" s="449" t="s">
        <v>1271</v>
      </c>
      <c r="B325" s="15">
        <v>9346005</v>
      </c>
      <c r="C325" s="15">
        <v>36007</v>
      </c>
      <c r="D325" s="15">
        <v>42002</v>
      </c>
      <c r="E325" s="15">
        <v>3534</v>
      </c>
      <c r="F325" s="15">
        <v>231</v>
      </c>
      <c r="G325" s="15">
        <v>12</v>
      </c>
      <c r="H325" s="165" t="s">
        <v>63</v>
      </c>
    </row>
    <row r="326" spans="1:8">
      <c r="A326" s="449" t="s">
        <v>1273</v>
      </c>
      <c r="B326" s="15">
        <v>9345996</v>
      </c>
      <c r="C326" s="15">
        <v>36007</v>
      </c>
      <c r="D326" s="15">
        <v>41964</v>
      </c>
      <c r="E326" s="15">
        <v>3534</v>
      </c>
      <c r="F326" s="15">
        <v>231</v>
      </c>
      <c r="G326" s="15">
        <v>12</v>
      </c>
      <c r="H326" s="165" t="s">
        <v>63</v>
      </c>
    </row>
    <row r="327" spans="1:8">
      <c r="A327" s="449" t="s">
        <v>1555</v>
      </c>
      <c r="B327" s="15">
        <v>9419785</v>
      </c>
      <c r="C327" s="15">
        <v>35998</v>
      </c>
      <c r="D327" s="15">
        <v>41974</v>
      </c>
      <c r="E327" s="15">
        <v>3534</v>
      </c>
      <c r="F327" s="15">
        <v>230.94</v>
      </c>
      <c r="G327" s="15">
        <v>12</v>
      </c>
      <c r="H327" s="165" t="s">
        <v>63</v>
      </c>
    </row>
    <row r="328" spans="1:8">
      <c r="A328" s="449" t="s">
        <v>657</v>
      </c>
      <c r="B328" s="15">
        <v>9323015</v>
      </c>
      <c r="C328" s="15">
        <v>38320</v>
      </c>
      <c r="D328" s="15">
        <v>45000</v>
      </c>
      <c r="E328" s="15">
        <v>3586</v>
      </c>
      <c r="F328" s="15">
        <v>246.8</v>
      </c>
      <c r="G328" s="15">
        <v>12.3</v>
      </c>
      <c r="H328" s="165" t="s">
        <v>63</v>
      </c>
    </row>
    <row r="329" spans="1:8">
      <c r="A329" s="449" t="s">
        <v>660</v>
      </c>
      <c r="B329" s="15">
        <v>9323027</v>
      </c>
      <c r="C329" s="15">
        <v>38320</v>
      </c>
      <c r="D329" s="15">
        <v>46345</v>
      </c>
      <c r="E329" s="15">
        <v>3586</v>
      </c>
      <c r="F329" s="15">
        <v>246.8</v>
      </c>
      <c r="G329" s="15">
        <v>12.3</v>
      </c>
      <c r="H329" s="165" t="s">
        <v>63</v>
      </c>
    </row>
    <row r="330" spans="1:8">
      <c r="A330" s="449" t="s">
        <v>1265</v>
      </c>
      <c r="B330" s="15">
        <v>9321902</v>
      </c>
      <c r="C330" s="15">
        <v>38332</v>
      </c>
      <c r="D330" s="15">
        <v>46321</v>
      </c>
      <c r="E330" s="15">
        <v>3586</v>
      </c>
      <c r="F330" s="15">
        <v>246.8</v>
      </c>
      <c r="G330" s="15">
        <v>12.3</v>
      </c>
      <c r="H330" s="165" t="s">
        <v>63</v>
      </c>
    </row>
    <row r="331" spans="1:8">
      <c r="A331" s="449" t="s">
        <v>1573</v>
      </c>
      <c r="B331" s="15">
        <v>9775763</v>
      </c>
      <c r="C331" s="15">
        <v>34882</v>
      </c>
      <c r="D331" s="15">
        <v>42000</v>
      </c>
      <c r="E331" s="15">
        <v>3600</v>
      </c>
      <c r="F331" s="15">
        <v>200</v>
      </c>
      <c r="G331" s="15">
        <v>10</v>
      </c>
      <c r="H331" s="165" t="s">
        <v>63</v>
      </c>
    </row>
    <row r="332" spans="1:8">
      <c r="A332" s="449" t="s">
        <v>1314</v>
      </c>
      <c r="B332" s="15">
        <v>9104902</v>
      </c>
      <c r="C332" s="15">
        <v>36606</v>
      </c>
      <c r="D332" s="15">
        <v>45240</v>
      </c>
      <c r="E332" s="15">
        <v>3606</v>
      </c>
      <c r="F332" s="15">
        <v>244.9</v>
      </c>
      <c r="G332" s="15">
        <v>12</v>
      </c>
      <c r="H332" s="165" t="s">
        <v>63</v>
      </c>
    </row>
    <row r="333" spans="1:8">
      <c r="A333" s="449" t="s">
        <v>1274</v>
      </c>
      <c r="B333" s="15">
        <v>9104897</v>
      </c>
      <c r="C333" s="15">
        <v>36606</v>
      </c>
      <c r="D333" s="15">
        <v>45217</v>
      </c>
      <c r="E333" s="15">
        <v>3607</v>
      </c>
      <c r="F333" s="15">
        <v>244.91</v>
      </c>
      <c r="G333" s="15">
        <v>12.02</v>
      </c>
      <c r="H333" s="165" t="s">
        <v>63</v>
      </c>
    </row>
    <row r="334" spans="1:8">
      <c r="A334" s="449" t="s">
        <v>1501</v>
      </c>
      <c r="B334" s="15">
        <v>9391660</v>
      </c>
      <c r="C334" s="15">
        <v>41483</v>
      </c>
      <c r="D334" s="15">
        <v>53139</v>
      </c>
      <c r="E334" s="15">
        <v>3630</v>
      </c>
      <c r="F334" s="15">
        <v>254</v>
      </c>
      <c r="G334" s="15">
        <v>12.4</v>
      </c>
      <c r="H334" s="165" t="s">
        <v>63</v>
      </c>
    </row>
    <row r="335" spans="1:8">
      <c r="A335" s="449" t="s">
        <v>1504</v>
      </c>
      <c r="B335" s="15">
        <v>9362396</v>
      </c>
      <c r="C335" s="15">
        <v>41483</v>
      </c>
      <c r="D335" s="15">
        <v>53483</v>
      </c>
      <c r="E335" s="15">
        <v>3630</v>
      </c>
      <c r="F335" s="15">
        <v>254.06</v>
      </c>
      <c r="G335" s="15">
        <v>12.4</v>
      </c>
      <c r="H335" s="165" t="s">
        <v>63</v>
      </c>
    </row>
    <row r="336" spans="1:8">
      <c r="A336" s="449" t="s">
        <v>250</v>
      </c>
      <c r="B336" s="15">
        <v>9449120</v>
      </c>
      <c r="C336" s="15">
        <v>38364</v>
      </c>
      <c r="D336" s="15">
        <v>47000</v>
      </c>
      <c r="E336" s="15">
        <v>3635</v>
      </c>
      <c r="F336" s="15">
        <v>240</v>
      </c>
      <c r="G336" s="15">
        <v>12.5</v>
      </c>
      <c r="H336" s="165" t="s">
        <v>63</v>
      </c>
    </row>
    <row r="337" spans="1:8">
      <c r="A337" s="449" t="s">
        <v>875</v>
      </c>
      <c r="B337" s="15">
        <v>9449118</v>
      </c>
      <c r="C337" s="15">
        <v>38364</v>
      </c>
      <c r="D337" s="15">
        <v>46925</v>
      </c>
      <c r="E337" s="15">
        <v>3635</v>
      </c>
      <c r="F337" s="15">
        <v>240</v>
      </c>
      <c r="G337" s="15">
        <v>12.5</v>
      </c>
      <c r="H337" s="165" t="s">
        <v>63</v>
      </c>
    </row>
    <row r="338" spans="1:8">
      <c r="A338" s="449" t="s">
        <v>491</v>
      </c>
      <c r="B338" s="15">
        <v>9449106</v>
      </c>
      <c r="C338" s="15">
        <v>38364</v>
      </c>
      <c r="D338" s="15">
        <v>46956</v>
      </c>
      <c r="E338" s="15">
        <v>3646</v>
      </c>
      <c r="F338" s="15">
        <v>240</v>
      </c>
      <c r="G338" s="15">
        <v>12.5</v>
      </c>
      <c r="H338" s="165" t="s">
        <v>63</v>
      </c>
    </row>
    <row r="339" spans="1:8">
      <c r="A339" s="449" t="s">
        <v>628</v>
      </c>
      <c r="B339" s="15">
        <v>9459400</v>
      </c>
      <c r="C339" s="15">
        <v>36388</v>
      </c>
      <c r="D339" s="15">
        <v>47000</v>
      </c>
      <c r="E339" s="15">
        <v>3646</v>
      </c>
      <c r="F339" s="15">
        <v>239.96</v>
      </c>
      <c r="G339" s="15">
        <v>10.5</v>
      </c>
      <c r="H339" s="165" t="s">
        <v>63</v>
      </c>
    </row>
    <row r="340" spans="1:8">
      <c r="A340" s="449" t="s">
        <v>630</v>
      </c>
      <c r="B340" s="15">
        <v>9459412</v>
      </c>
      <c r="C340" s="15">
        <v>38388</v>
      </c>
      <c r="D340" s="15">
        <v>47267</v>
      </c>
      <c r="E340" s="15">
        <v>3649</v>
      </c>
      <c r="F340" s="15">
        <v>240</v>
      </c>
      <c r="G340" s="15">
        <v>10.5</v>
      </c>
      <c r="H340" s="165" t="s">
        <v>63</v>
      </c>
    </row>
    <row r="341" spans="1:8">
      <c r="A341" s="449" t="s">
        <v>1503</v>
      </c>
      <c r="B341" s="15">
        <v>9362401</v>
      </c>
      <c r="C341" s="15">
        <v>41483</v>
      </c>
      <c r="D341" s="15">
        <v>53124</v>
      </c>
      <c r="E341" s="15">
        <v>3660</v>
      </c>
      <c r="F341" s="15">
        <v>254.07</v>
      </c>
      <c r="G341" s="15">
        <v>12.4</v>
      </c>
      <c r="H341" s="165" t="s">
        <v>63</v>
      </c>
    </row>
    <row r="342" spans="1:8">
      <c r="A342" s="449" t="s">
        <v>754</v>
      </c>
      <c r="B342" s="15">
        <v>9190767</v>
      </c>
      <c r="C342" s="15">
        <v>50688</v>
      </c>
      <c r="D342" s="15">
        <v>63400</v>
      </c>
      <c r="E342" s="15">
        <v>3700</v>
      </c>
      <c r="F342" s="15">
        <v>266.3</v>
      </c>
      <c r="G342" s="15">
        <v>14</v>
      </c>
      <c r="H342" s="165" t="s">
        <v>63</v>
      </c>
    </row>
    <row r="343" spans="1:8">
      <c r="A343" s="449" t="s">
        <v>755</v>
      </c>
      <c r="B343" s="15">
        <v>9190779</v>
      </c>
      <c r="C343" s="15">
        <v>50688</v>
      </c>
      <c r="D343" s="15">
        <v>63400</v>
      </c>
      <c r="E343" s="15">
        <v>3700</v>
      </c>
      <c r="F343" s="15">
        <v>266</v>
      </c>
      <c r="G343" s="15">
        <v>14</v>
      </c>
      <c r="H343" s="165" t="s">
        <v>63</v>
      </c>
    </row>
    <row r="344" spans="1:8">
      <c r="A344" s="449" t="s">
        <v>1577</v>
      </c>
      <c r="B344" s="15">
        <v>9775775</v>
      </c>
      <c r="C344" s="15">
        <v>34882</v>
      </c>
      <c r="D344" s="15">
        <v>42000</v>
      </c>
      <c r="E344" s="15">
        <v>3700</v>
      </c>
      <c r="F344" s="15">
        <v>200.02</v>
      </c>
      <c r="G344" s="15">
        <v>11</v>
      </c>
      <c r="H344" s="165" t="s">
        <v>63</v>
      </c>
    </row>
    <row r="345" spans="1:8">
      <c r="A345" s="449" t="s">
        <v>230</v>
      </c>
      <c r="B345" s="15">
        <v>9227273</v>
      </c>
      <c r="C345" s="15">
        <v>40085</v>
      </c>
      <c r="D345" s="15">
        <v>51060</v>
      </c>
      <c r="E345" s="15">
        <v>3739</v>
      </c>
      <c r="F345" s="15">
        <v>257.38</v>
      </c>
      <c r="G345" s="15">
        <v>12.5</v>
      </c>
      <c r="H345" s="165" t="s">
        <v>63</v>
      </c>
    </row>
    <row r="346" spans="1:8">
      <c r="A346" s="449" t="s">
        <v>468</v>
      </c>
      <c r="B346" s="15">
        <v>9215672</v>
      </c>
      <c r="C346" s="15">
        <v>40085</v>
      </c>
      <c r="D346" s="15">
        <v>51087</v>
      </c>
      <c r="E346" s="15">
        <v>3739</v>
      </c>
      <c r="F346" s="15">
        <v>257.33</v>
      </c>
      <c r="G346" s="15">
        <v>12.5</v>
      </c>
      <c r="H346" s="165" t="s">
        <v>63</v>
      </c>
    </row>
    <row r="347" spans="1:8">
      <c r="A347" s="449" t="s">
        <v>717</v>
      </c>
      <c r="B347" s="15">
        <v>9215660</v>
      </c>
      <c r="C347" s="15">
        <v>40085</v>
      </c>
      <c r="D347" s="15">
        <v>51101</v>
      </c>
      <c r="E347" s="15">
        <v>3739</v>
      </c>
      <c r="F347" s="15">
        <v>257.33999999999997</v>
      </c>
      <c r="G347" s="15">
        <v>12.5</v>
      </c>
      <c r="H347" s="165" t="s">
        <v>63</v>
      </c>
    </row>
    <row r="348" spans="1:8">
      <c r="A348" s="449" t="s">
        <v>1506</v>
      </c>
      <c r="B348" s="15">
        <v>9215696</v>
      </c>
      <c r="C348" s="15">
        <v>40085</v>
      </c>
      <c r="D348" s="15">
        <v>51087</v>
      </c>
      <c r="E348" s="15">
        <v>3739</v>
      </c>
      <c r="F348" s="15">
        <v>257.37</v>
      </c>
      <c r="G348" s="15">
        <v>12.5</v>
      </c>
      <c r="H348" s="165" t="s">
        <v>63</v>
      </c>
    </row>
    <row r="349" spans="1:8">
      <c r="A349" s="449" t="s">
        <v>73</v>
      </c>
      <c r="B349" s="15">
        <v>8706129</v>
      </c>
      <c r="C349" s="15">
        <v>46551</v>
      </c>
      <c r="D349" s="15">
        <v>53274</v>
      </c>
      <c r="E349" s="15">
        <v>3753</v>
      </c>
      <c r="F349" s="15">
        <v>269.67</v>
      </c>
      <c r="G349" s="15">
        <v>11.62</v>
      </c>
      <c r="H349" s="165" t="s">
        <v>63</v>
      </c>
    </row>
    <row r="350" spans="1:8">
      <c r="A350" s="449" t="s">
        <v>214</v>
      </c>
      <c r="B350" s="15">
        <v>9227285</v>
      </c>
      <c r="C350" s="15">
        <v>40085</v>
      </c>
      <c r="D350" s="15">
        <v>51059</v>
      </c>
      <c r="E350" s="15">
        <v>3800</v>
      </c>
      <c r="F350" s="15">
        <v>257.35000000000002</v>
      </c>
      <c r="G350" s="15">
        <v>12.5</v>
      </c>
      <c r="H350" s="165" t="s">
        <v>63</v>
      </c>
    </row>
    <row r="351" spans="1:8">
      <c r="A351" s="449" t="s">
        <v>1386</v>
      </c>
      <c r="B351" s="15">
        <v>9797204</v>
      </c>
      <c r="C351" s="15">
        <v>43628</v>
      </c>
      <c r="D351" s="15">
        <v>52156</v>
      </c>
      <c r="E351" s="15">
        <v>3800</v>
      </c>
      <c r="F351" s="15">
        <v>230</v>
      </c>
      <c r="G351" s="15">
        <v>12.5</v>
      </c>
      <c r="H351" s="165" t="s">
        <v>63</v>
      </c>
    </row>
    <row r="352" spans="1:8">
      <c r="A352" s="449" t="s">
        <v>1387</v>
      </c>
      <c r="B352" s="15">
        <v>9797216</v>
      </c>
      <c r="C352" s="15">
        <v>43628</v>
      </c>
      <c r="D352" s="15">
        <v>52023</v>
      </c>
      <c r="E352" s="15">
        <v>3800</v>
      </c>
      <c r="F352" s="15">
        <v>230</v>
      </c>
      <c r="G352" s="15">
        <v>12.5</v>
      </c>
      <c r="H352" s="165" t="s">
        <v>63</v>
      </c>
    </row>
    <row r="353" spans="1:8">
      <c r="A353" s="449" t="s">
        <v>65</v>
      </c>
      <c r="B353" s="15">
        <v>9152258</v>
      </c>
      <c r="C353" s="15">
        <v>48154</v>
      </c>
      <c r="D353" s="15">
        <v>49844</v>
      </c>
      <c r="E353" s="15">
        <v>3802</v>
      </c>
      <c r="F353" s="15">
        <v>276.5</v>
      </c>
      <c r="G353" s="15">
        <v>12.5</v>
      </c>
      <c r="H353" s="165" t="s">
        <v>63</v>
      </c>
    </row>
    <row r="354" spans="1:8">
      <c r="A354" s="449" t="s">
        <v>79</v>
      </c>
      <c r="B354" s="15">
        <v>9149756</v>
      </c>
      <c r="C354" s="15">
        <v>48154</v>
      </c>
      <c r="D354" s="15">
        <v>50004</v>
      </c>
      <c r="E354" s="15">
        <v>3802</v>
      </c>
      <c r="F354" s="15">
        <v>276.5</v>
      </c>
      <c r="G354" s="15">
        <v>12.52</v>
      </c>
      <c r="H354" s="165" t="s">
        <v>63</v>
      </c>
    </row>
    <row r="355" spans="1:8">
      <c r="A355" s="449" t="s">
        <v>460</v>
      </c>
      <c r="B355" s="15">
        <v>9149768</v>
      </c>
      <c r="C355" s="15">
        <v>48154</v>
      </c>
      <c r="D355" s="15">
        <v>49993</v>
      </c>
      <c r="E355" s="15">
        <v>3802</v>
      </c>
      <c r="F355" s="15">
        <v>276.5</v>
      </c>
      <c r="G355" s="15">
        <v>12.52</v>
      </c>
      <c r="H355" s="165" t="s">
        <v>63</v>
      </c>
    </row>
    <row r="356" spans="1:8">
      <c r="A356" s="449" t="s">
        <v>574</v>
      </c>
      <c r="B356" s="15">
        <v>9152260</v>
      </c>
      <c r="C356" s="15">
        <v>48154</v>
      </c>
      <c r="D356" s="15">
        <v>49844</v>
      </c>
      <c r="E356" s="15">
        <v>3802</v>
      </c>
      <c r="F356" s="15">
        <v>276.5</v>
      </c>
      <c r="G356" s="15">
        <v>12.5</v>
      </c>
      <c r="H356" s="165" t="s">
        <v>63</v>
      </c>
    </row>
    <row r="357" spans="1:8">
      <c r="A357" s="449" t="s">
        <v>985</v>
      </c>
      <c r="B357" s="15">
        <v>9030723</v>
      </c>
      <c r="C357" s="15">
        <v>50501</v>
      </c>
      <c r="D357" s="15">
        <v>59567</v>
      </c>
      <c r="E357" s="15">
        <v>3808</v>
      </c>
      <c r="F357" s="15">
        <v>288.31</v>
      </c>
      <c r="G357" s="15">
        <v>13</v>
      </c>
      <c r="H357" s="165" t="s">
        <v>63</v>
      </c>
    </row>
    <row r="358" spans="1:8">
      <c r="A358" s="449" t="s">
        <v>710</v>
      </c>
      <c r="B358" s="15">
        <v>9157698</v>
      </c>
      <c r="C358" s="15">
        <v>39582</v>
      </c>
      <c r="D358" s="15">
        <v>48304</v>
      </c>
      <c r="E358" s="15">
        <v>3842</v>
      </c>
      <c r="F358" s="15">
        <v>258</v>
      </c>
      <c r="G358" s="15">
        <v>12.02</v>
      </c>
      <c r="H358" s="165" t="s">
        <v>63</v>
      </c>
    </row>
    <row r="359" spans="1:8">
      <c r="A359" s="449" t="s">
        <v>739</v>
      </c>
      <c r="B359" s="15">
        <v>9439709</v>
      </c>
      <c r="C359" s="15">
        <v>39906</v>
      </c>
      <c r="D359" s="15">
        <v>50638</v>
      </c>
      <c r="E359" s="15">
        <v>3853</v>
      </c>
      <c r="F359" s="15">
        <v>260.66000000000003</v>
      </c>
      <c r="G359" s="15">
        <v>12.8</v>
      </c>
      <c r="H359" s="165" t="s">
        <v>63</v>
      </c>
    </row>
    <row r="360" spans="1:8">
      <c r="A360" s="449" t="s">
        <v>1660</v>
      </c>
      <c r="B360" s="15">
        <v>9318187</v>
      </c>
      <c r="C360" s="15">
        <v>39906</v>
      </c>
      <c r="D360" s="15">
        <v>50532</v>
      </c>
      <c r="E360" s="15">
        <v>3853</v>
      </c>
      <c r="F360" s="15">
        <v>260.56</v>
      </c>
      <c r="G360" s="15">
        <v>12.6</v>
      </c>
      <c r="H360" s="165" t="s">
        <v>63</v>
      </c>
    </row>
    <row r="361" spans="1:8">
      <c r="A361" s="449" t="s">
        <v>1666</v>
      </c>
      <c r="B361" s="15">
        <v>9318163</v>
      </c>
      <c r="C361" s="15">
        <v>39906</v>
      </c>
      <c r="D361" s="15">
        <v>50689</v>
      </c>
      <c r="E361" s="15">
        <v>3853</v>
      </c>
      <c r="F361" s="15">
        <v>260.62</v>
      </c>
      <c r="G361" s="15">
        <v>12.63</v>
      </c>
      <c r="H361" s="165" t="s">
        <v>63</v>
      </c>
    </row>
    <row r="362" spans="1:8">
      <c r="A362" s="449" t="s">
        <v>1389</v>
      </c>
      <c r="B362" s="15">
        <v>9786762</v>
      </c>
      <c r="C362" s="15">
        <v>43628</v>
      </c>
      <c r="D362" s="15">
        <v>52161</v>
      </c>
      <c r="E362" s="15">
        <v>3868</v>
      </c>
      <c r="F362" s="15">
        <v>230</v>
      </c>
      <c r="G362" s="15">
        <v>12.5</v>
      </c>
      <c r="H362" s="165" t="s">
        <v>63</v>
      </c>
    </row>
    <row r="363" spans="1:8">
      <c r="A363" s="449" t="s">
        <v>1392</v>
      </c>
      <c r="B363" s="15">
        <v>9786750</v>
      </c>
      <c r="C363" s="15">
        <v>43628</v>
      </c>
      <c r="D363" s="15">
        <v>52103</v>
      </c>
      <c r="E363" s="15">
        <v>3868</v>
      </c>
      <c r="F363" s="15">
        <v>230</v>
      </c>
      <c r="G363" s="15">
        <v>12.5</v>
      </c>
      <c r="H363" s="165" t="s">
        <v>63</v>
      </c>
    </row>
    <row r="364" spans="1:8">
      <c r="A364" s="449" t="s">
        <v>1388</v>
      </c>
      <c r="B364" s="15">
        <v>9797187</v>
      </c>
      <c r="C364" s="15">
        <v>43628</v>
      </c>
      <c r="D364" s="15">
        <v>52101</v>
      </c>
      <c r="E364" s="15">
        <v>3884</v>
      </c>
      <c r="F364" s="15">
        <v>230</v>
      </c>
      <c r="G364" s="15">
        <v>12.5</v>
      </c>
      <c r="H364" s="165" t="s">
        <v>63</v>
      </c>
    </row>
    <row r="365" spans="1:8">
      <c r="A365" s="449" t="s">
        <v>1390</v>
      </c>
      <c r="B365" s="15">
        <v>9786786</v>
      </c>
      <c r="C365" s="15">
        <v>43628</v>
      </c>
      <c r="D365" s="15">
        <v>52120</v>
      </c>
      <c r="E365" s="15">
        <v>3884</v>
      </c>
      <c r="F365" s="15">
        <v>230</v>
      </c>
      <c r="G365" s="15">
        <v>12.5</v>
      </c>
      <c r="H365" s="165" t="s">
        <v>63</v>
      </c>
    </row>
    <row r="366" spans="1:8">
      <c r="A366" s="449" t="s">
        <v>1391</v>
      </c>
      <c r="B366" s="15">
        <v>9786774</v>
      </c>
      <c r="C366" s="15">
        <v>43628</v>
      </c>
      <c r="D366" s="15">
        <v>52056</v>
      </c>
      <c r="E366" s="15">
        <v>3884</v>
      </c>
      <c r="F366" s="15">
        <v>230</v>
      </c>
      <c r="G366" s="15">
        <v>12.5</v>
      </c>
      <c r="H366" s="165" t="s">
        <v>63</v>
      </c>
    </row>
    <row r="367" spans="1:8">
      <c r="A367" s="449" t="s">
        <v>1393</v>
      </c>
      <c r="B367" s="15">
        <v>9797199</v>
      </c>
      <c r="C367" s="15">
        <v>43628</v>
      </c>
      <c r="D367" s="15">
        <v>55000</v>
      </c>
      <c r="E367" s="15">
        <v>3884</v>
      </c>
      <c r="F367" s="15">
        <v>230</v>
      </c>
      <c r="G367" s="15">
        <v>12.5</v>
      </c>
      <c r="H367" s="165" t="s">
        <v>63</v>
      </c>
    </row>
    <row r="368" spans="1:8">
      <c r="A368" s="449" t="s">
        <v>1021</v>
      </c>
      <c r="B368" s="15">
        <v>8618308</v>
      </c>
      <c r="C368" s="15">
        <v>52191</v>
      </c>
      <c r="D368" s="15">
        <v>60640</v>
      </c>
      <c r="E368" s="15">
        <v>3937</v>
      </c>
      <c r="F368" s="15">
        <v>294.11</v>
      </c>
      <c r="G368" s="15">
        <v>14.34</v>
      </c>
      <c r="H368" s="165" t="s">
        <v>63</v>
      </c>
    </row>
    <row r="369" spans="1:8">
      <c r="A369" s="449" t="s">
        <v>1233</v>
      </c>
      <c r="B369" s="15">
        <v>8618293</v>
      </c>
      <c r="C369" s="15">
        <v>52191</v>
      </c>
      <c r="D369" s="15">
        <v>67639</v>
      </c>
      <c r="E369" s="15">
        <v>3937</v>
      </c>
      <c r="F369" s="15">
        <v>294.11</v>
      </c>
      <c r="G369" s="15">
        <v>14.35</v>
      </c>
      <c r="H369" s="165" t="s">
        <v>63</v>
      </c>
    </row>
    <row r="370" spans="1:8">
      <c r="A370" s="449" t="s">
        <v>210</v>
      </c>
      <c r="B370" s="15">
        <v>9150183</v>
      </c>
      <c r="C370" s="15">
        <v>40465</v>
      </c>
      <c r="D370" s="15">
        <v>49238</v>
      </c>
      <c r="E370" s="15">
        <v>3961</v>
      </c>
      <c r="F370" s="15">
        <v>259.33999999999997</v>
      </c>
      <c r="G370" s="15">
        <v>12.5</v>
      </c>
      <c r="H370" s="165" t="s">
        <v>63</v>
      </c>
    </row>
    <row r="371" spans="1:8">
      <c r="A371" s="449" t="s">
        <v>1268</v>
      </c>
      <c r="B371" s="15">
        <v>9253296</v>
      </c>
      <c r="C371" s="15">
        <v>41078</v>
      </c>
      <c r="D371" s="15">
        <v>48847</v>
      </c>
      <c r="E371" s="15">
        <v>3963</v>
      </c>
      <c r="F371" s="15">
        <v>260.14999999999998</v>
      </c>
      <c r="G371" s="15">
        <v>12</v>
      </c>
      <c r="H371" s="165" t="s">
        <v>63</v>
      </c>
    </row>
    <row r="372" spans="1:8">
      <c r="A372" s="449" t="s">
        <v>1272</v>
      </c>
      <c r="B372" s="15">
        <v>9253301</v>
      </c>
      <c r="C372" s="15">
        <v>41078</v>
      </c>
      <c r="D372" s="15">
        <v>48874</v>
      </c>
      <c r="E372" s="15">
        <v>3963</v>
      </c>
      <c r="F372" s="15">
        <v>260.14999999999998</v>
      </c>
      <c r="G372" s="15">
        <v>12</v>
      </c>
      <c r="H372" s="165" t="s">
        <v>63</v>
      </c>
    </row>
    <row r="373" spans="1:8">
      <c r="A373" s="449" t="s">
        <v>741</v>
      </c>
      <c r="B373" s="15">
        <v>9439761</v>
      </c>
      <c r="C373" s="15">
        <v>39906</v>
      </c>
      <c r="D373" s="15">
        <v>50604</v>
      </c>
      <c r="E373" s="15">
        <v>4000</v>
      </c>
      <c r="F373" s="15">
        <v>260.52</v>
      </c>
      <c r="G373" s="15">
        <v>12.6</v>
      </c>
      <c r="H373" s="165" t="s">
        <v>63</v>
      </c>
    </row>
    <row r="374" spans="1:8">
      <c r="A374" s="449" t="s">
        <v>1058</v>
      </c>
      <c r="B374" s="15">
        <v>8715869</v>
      </c>
      <c r="C374" s="15">
        <v>52181</v>
      </c>
      <c r="D374" s="15">
        <v>60350</v>
      </c>
      <c r="E374" s="15">
        <v>4000</v>
      </c>
      <c r="F374" s="15">
        <v>294.12</v>
      </c>
      <c r="G374" s="15">
        <v>13.5</v>
      </c>
      <c r="H374" s="165" t="s">
        <v>63</v>
      </c>
    </row>
    <row r="375" spans="1:8">
      <c r="A375" s="449" t="s">
        <v>617</v>
      </c>
      <c r="B375" s="15">
        <v>9082960</v>
      </c>
      <c r="C375" s="15">
        <v>51754</v>
      </c>
      <c r="D375" s="15">
        <v>62742</v>
      </c>
      <c r="E375" s="15">
        <v>4024</v>
      </c>
      <c r="F375" s="15">
        <v>289.5</v>
      </c>
      <c r="G375" s="15">
        <v>13.01</v>
      </c>
      <c r="H375" s="165" t="s">
        <v>63</v>
      </c>
    </row>
    <row r="376" spans="1:8">
      <c r="A376" s="449" t="s">
        <v>865</v>
      </c>
      <c r="B376" s="15">
        <v>9213272</v>
      </c>
      <c r="C376" s="15">
        <v>40306</v>
      </c>
      <c r="D376" s="15">
        <v>52248</v>
      </c>
      <c r="E376" s="15">
        <v>4038</v>
      </c>
      <c r="F376" s="15">
        <v>260.69</v>
      </c>
      <c r="G376" s="15">
        <v>12.5</v>
      </c>
      <c r="H376" s="165" t="s">
        <v>63</v>
      </c>
    </row>
    <row r="377" spans="1:8">
      <c r="A377" s="449" t="s">
        <v>980</v>
      </c>
      <c r="B377" s="15">
        <v>9169122</v>
      </c>
      <c r="C377" s="15">
        <v>40306</v>
      </c>
      <c r="D377" s="15">
        <v>52329</v>
      </c>
      <c r="E377" s="15">
        <v>4038</v>
      </c>
      <c r="F377" s="15">
        <v>260.66000000000003</v>
      </c>
      <c r="G377" s="15">
        <v>12.52</v>
      </c>
      <c r="H377" s="165" t="s">
        <v>63</v>
      </c>
    </row>
    <row r="378" spans="1:8">
      <c r="A378" s="449" t="s">
        <v>257</v>
      </c>
      <c r="B378" s="15">
        <v>9295971</v>
      </c>
      <c r="C378" s="15">
        <v>42382</v>
      </c>
      <c r="D378" s="15">
        <v>52683</v>
      </c>
      <c r="E378" s="15">
        <v>4043</v>
      </c>
      <c r="F378" s="15">
        <v>267.7</v>
      </c>
      <c r="G378" s="15">
        <v>12.52</v>
      </c>
      <c r="H378" s="165" t="s">
        <v>63</v>
      </c>
    </row>
    <row r="379" spans="1:8">
      <c r="A379" s="449" t="s">
        <v>762</v>
      </c>
      <c r="B379" s="15">
        <v>9290804</v>
      </c>
      <c r="C379" s="15">
        <v>42382</v>
      </c>
      <c r="D379" s="15">
        <v>51845</v>
      </c>
      <c r="E379" s="15">
        <v>4043</v>
      </c>
      <c r="F379" s="15">
        <v>267.7</v>
      </c>
      <c r="G379" s="15">
        <v>12.5</v>
      </c>
      <c r="H379" s="165" t="s">
        <v>63</v>
      </c>
    </row>
    <row r="380" spans="1:8">
      <c r="A380" s="449" t="s">
        <v>747</v>
      </c>
      <c r="B380" s="15">
        <v>9190731</v>
      </c>
      <c r="C380" s="15">
        <v>50688</v>
      </c>
      <c r="D380" s="15">
        <v>63200</v>
      </c>
      <c r="E380" s="15">
        <v>4045</v>
      </c>
      <c r="F380" s="15">
        <v>266.3</v>
      </c>
      <c r="G380" s="15">
        <v>14.02</v>
      </c>
      <c r="H380" s="165" t="s">
        <v>63</v>
      </c>
    </row>
    <row r="381" spans="1:8">
      <c r="A381" s="449" t="s">
        <v>748</v>
      </c>
      <c r="B381" s="15">
        <v>9190743</v>
      </c>
      <c r="C381" s="15">
        <v>50688</v>
      </c>
      <c r="D381" s="15">
        <v>63000</v>
      </c>
      <c r="E381" s="15">
        <v>4045</v>
      </c>
      <c r="F381" s="15">
        <v>266.3</v>
      </c>
      <c r="G381" s="15">
        <v>14</v>
      </c>
      <c r="H381" s="165" t="s">
        <v>63</v>
      </c>
    </row>
    <row r="382" spans="1:8">
      <c r="A382" s="449" t="s">
        <v>1427</v>
      </c>
      <c r="B382" s="15">
        <v>9294393</v>
      </c>
      <c r="C382" s="15">
        <v>50657</v>
      </c>
      <c r="D382" s="15">
        <v>63150</v>
      </c>
      <c r="E382" s="15">
        <v>4045</v>
      </c>
      <c r="F382" s="15">
        <v>265.83999999999997</v>
      </c>
      <c r="G382" s="15">
        <v>14.03</v>
      </c>
      <c r="H382" s="165" t="s">
        <v>63</v>
      </c>
    </row>
    <row r="383" spans="1:8">
      <c r="A383" s="449" t="s">
        <v>1428</v>
      </c>
      <c r="B383" s="15">
        <v>9294381</v>
      </c>
      <c r="C383" s="15">
        <v>50657</v>
      </c>
      <c r="D383" s="15">
        <v>62994</v>
      </c>
      <c r="E383" s="15">
        <v>4045</v>
      </c>
      <c r="F383" s="15">
        <v>265.83999999999997</v>
      </c>
      <c r="G383" s="15">
        <v>14.03</v>
      </c>
      <c r="H383" s="165" t="s">
        <v>63</v>
      </c>
    </row>
    <row r="384" spans="1:8">
      <c r="A384" s="449" t="s">
        <v>339</v>
      </c>
      <c r="B384" s="15">
        <v>9295969</v>
      </c>
      <c r="C384" s="15">
        <v>42382</v>
      </c>
      <c r="D384" s="15">
        <v>51870</v>
      </c>
      <c r="E384" s="15">
        <v>4050</v>
      </c>
      <c r="F384" s="15">
        <v>267.7</v>
      </c>
      <c r="G384" s="15">
        <v>12.51</v>
      </c>
      <c r="H384" s="165" t="s">
        <v>63</v>
      </c>
    </row>
    <row r="385" spans="1:8">
      <c r="A385" s="449" t="s">
        <v>1040</v>
      </c>
      <c r="B385" s="15">
        <v>9202649</v>
      </c>
      <c r="C385" s="15">
        <v>40631</v>
      </c>
      <c r="D385" s="15">
        <v>56889</v>
      </c>
      <c r="E385" s="15">
        <v>4056</v>
      </c>
      <c r="F385" s="15">
        <v>259.60000000000002</v>
      </c>
      <c r="G385" s="15">
        <v>13</v>
      </c>
      <c r="H385" s="165" t="s">
        <v>63</v>
      </c>
    </row>
    <row r="386" spans="1:8">
      <c r="A386" s="449" t="s">
        <v>978</v>
      </c>
      <c r="B386" s="15">
        <v>9227297</v>
      </c>
      <c r="C386" s="15">
        <v>45803</v>
      </c>
      <c r="D386" s="15">
        <v>53328</v>
      </c>
      <c r="E386" s="15">
        <v>4112</v>
      </c>
      <c r="F386" s="15">
        <v>281.02999999999997</v>
      </c>
      <c r="G386" s="15">
        <v>12.5</v>
      </c>
      <c r="H386" s="165" t="s">
        <v>63</v>
      </c>
    </row>
    <row r="387" spans="1:8">
      <c r="A387" s="449" t="s">
        <v>1084</v>
      </c>
      <c r="B387" s="15">
        <v>9227338</v>
      </c>
      <c r="C387" s="15">
        <v>45803</v>
      </c>
      <c r="D387" s="15">
        <v>53081</v>
      </c>
      <c r="E387" s="15">
        <v>4112</v>
      </c>
      <c r="F387" s="15">
        <v>281</v>
      </c>
      <c r="G387" s="15">
        <v>12.5</v>
      </c>
      <c r="H387" s="165" t="s">
        <v>63</v>
      </c>
    </row>
    <row r="388" spans="1:8">
      <c r="A388" s="449" t="s">
        <v>1090</v>
      </c>
      <c r="B388" s="15">
        <v>9227302</v>
      </c>
      <c r="C388" s="15">
        <v>45803</v>
      </c>
      <c r="D388" s="15">
        <v>53410</v>
      </c>
      <c r="E388" s="15">
        <v>4112</v>
      </c>
      <c r="F388" s="15">
        <v>281</v>
      </c>
      <c r="G388" s="15">
        <v>12.5</v>
      </c>
      <c r="H388" s="165" t="s">
        <v>63</v>
      </c>
    </row>
    <row r="389" spans="1:8">
      <c r="A389" s="449" t="s">
        <v>1226</v>
      </c>
      <c r="B389" s="15">
        <v>9227340</v>
      </c>
      <c r="C389" s="15">
        <v>45803</v>
      </c>
      <c r="D389" s="15">
        <v>53171</v>
      </c>
      <c r="E389" s="15">
        <v>4112</v>
      </c>
      <c r="F389" s="15">
        <v>281.08</v>
      </c>
      <c r="G389" s="15">
        <v>12.5</v>
      </c>
      <c r="H389" s="165" t="s">
        <v>63</v>
      </c>
    </row>
    <row r="390" spans="1:8">
      <c r="A390" s="449" t="s">
        <v>1235</v>
      </c>
      <c r="B390" s="15">
        <v>9227326</v>
      </c>
      <c r="C390" s="15">
        <v>45803</v>
      </c>
      <c r="D390" s="15">
        <v>53462</v>
      </c>
      <c r="E390" s="15">
        <v>4112</v>
      </c>
      <c r="F390" s="15">
        <v>281</v>
      </c>
      <c r="G390" s="15">
        <v>12.5</v>
      </c>
      <c r="H390" s="165" t="s">
        <v>63</v>
      </c>
    </row>
    <row r="391" spans="1:8">
      <c r="A391" s="449" t="s">
        <v>469</v>
      </c>
      <c r="B391" s="15">
        <v>9232577</v>
      </c>
      <c r="C391" s="15">
        <v>46009</v>
      </c>
      <c r="D391" s="15">
        <v>54157</v>
      </c>
      <c r="E391" s="15">
        <v>4115</v>
      </c>
      <c r="F391" s="15">
        <v>281</v>
      </c>
      <c r="G391" s="15">
        <v>12.5</v>
      </c>
      <c r="H391" s="165" t="s">
        <v>63</v>
      </c>
    </row>
    <row r="392" spans="1:8">
      <c r="A392" s="449" t="s">
        <v>591</v>
      </c>
      <c r="B392" s="15">
        <v>9232589</v>
      </c>
      <c r="C392" s="15">
        <v>46009</v>
      </c>
      <c r="D392" s="15">
        <v>54157</v>
      </c>
      <c r="E392" s="15">
        <v>4115</v>
      </c>
      <c r="F392" s="15">
        <v>281</v>
      </c>
      <c r="G392" s="15">
        <v>12.5</v>
      </c>
      <c r="H392" s="165" t="s">
        <v>63</v>
      </c>
    </row>
    <row r="393" spans="1:8">
      <c r="A393" s="449" t="s">
        <v>758</v>
      </c>
      <c r="B393" s="15">
        <v>9232565</v>
      </c>
      <c r="C393" s="15">
        <v>46009</v>
      </c>
      <c r="D393" s="15">
        <v>54155</v>
      </c>
      <c r="E393" s="15">
        <v>4115</v>
      </c>
      <c r="F393" s="15">
        <v>281</v>
      </c>
      <c r="G393" s="15">
        <v>12.5</v>
      </c>
      <c r="H393" s="165" t="s">
        <v>63</v>
      </c>
    </row>
    <row r="394" spans="1:8">
      <c r="A394" s="449" t="s">
        <v>718</v>
      </c>
      <c r="B394" s="15">
        <v>9295402</v>
      </c>
      <c r="C394" s="15">
        <v>41359</v>
      </c>
      <c r="D394" s="15">
        <v>52786</v>
      </c>
      <c r="E394" s="15">
        <v>4132</v>
      </c>
      <c r="F394" s="15">
        <v>264.05</v>
      </c>
      <c r="G394" s="15">
        <v>12.5</v>
      </c>
      <c r="H394" s="165" t="s">
        <v>63</v>
      </c>
    </row>
    <row r="395" spans="1:8">
      <c r="A395" s="449" t="s">
        <v>719</v>
      </c>
      <c r="B395" s="15">
        <v>9297852</v>
      </c>
      <c r="C395" s="15">
        <v>41359</v>
      </c>
      <c r="D395" s="15">
        <v>52828</v>
      </c>
      <c r="E395" s="15">
        <v>4132</v>
      </c>
      <c r="F395" s="15">
        <v>264.04000000000002</v>
      </c>
      <c r="G395" s="15">
        <v>12.5</v>
      </c>
      <c r="H395" s="165" t="s">
        <v>63</v>
      </c>
    </row>
    <row r="396" spans="1:8">
      <c r="A396" s="449" t="s">
        <v>1043</v>
      </c>
      <c r="B396" s="15">
        <v>9237151</v>
      </c>
      <c r="C396" s="15">
        <v>40108</v>
      </c>
      <c r="D396" s="15">
        <v>52806</v>
      </c>
      <c r="E396" s="15">
        <v>4132</v>
      </c>
      <c r="F396" s="15">
        <v>258</v>
      </c>
      <c r="G396" s="15">
        <v>12.6</v>
      </c>
      <c r="H396" s="165" t="s">
        <v>63</v>
      </c>
    </row>
    <row r="397" spans="1:8">
      <c r="A397" s="449" t="s">
        <v>1225</v>
      </c>
      <c r="B397" s="15">
        <v>9243306</v>
      </c>
      <c r="C397" s="15">
        <v>40108</v>
      </c>
      <c r="D397" s="15">
        <v>52785</v>
      </c>
      <c r="E397" s="15">
        <v>4132</v>
      </c>
      <c r="F397" s="15">
        <v>257.87</v>
      </c>
      <c r="G397" s="15">
        <v>12.65</v>
      </c>
      <c r="H397" s="165" t="s">
        <v>63</v>
      </c>
    </row>
    <row r="398" spans="1:8">
      <c r="A398" s="449" t="s">
        <v>854</v>
      </c>
      <c r="B398" s="15">
        <v>9305300</v>
      </c>
      <c r="C398" s="15">
        <v>50686</v>
      </c>
      <c r="D398" s="15">
        <v>61454</v>
      </c>
      <c r="E398" s="15">
        <v>4154</v>
      </c>
      <c r="F398" s="15">
        <v>292.10000000000002</v>
      </c>
      <c r="G398" s="15">
        <v>13.52</v>
      </c>
      <c r="H398" s="165" t="s">
        <v>63</v>
      </c>
    </row>
    <row r="399" spans="1:8">
      <c r="A399" s="449" t="s">
        <v>1014</v>
      </c>
      <c r="B399" s="15">
        <v>9103685</v>
      </c>
      <c r="C399" s="15">
        <v>51931</v>
      </c>
      <c r="D399" s="15">
        <v>60200</v>
      </c>
      <c r="E399" s="15">
        <v>4158</v>
      </c>
      <c r="F399" s="15">
        <v>293</v>
      </c>
      <c r="G399" s="15">
        <v>12</v>
      </c>
      <c r="H399" s="165" t="s">
        <v>63</v>
      </c>
    </row>
    <row r="400" spans="1:8">
      <c r="A400" s="449" t="s">
        <v>1569</v>
      </c>
      <c r="B400" s="15">
        <v>9400203</v>
      </c>
      <c r="C400" s="15">
        <v>42609</v>
      </c>
      <c r="D400" s="15">
        <v>52788</v>
      </c>
      <c r="E400" s="15">
        <v>4173</v>
      </c>
      <c r="F400" s="15">
        <v>268.8</v>
      </c>
      <c r="G400" s="15">
        <v>12.5</v>
      </c>
      <c r="H400" s="165" t="s">
        <v>63</v>
      </c>
    </row>
    <row r="401" spans="1:8">
      <c r="A401" s="449" t="s">
        <v>611</v>
      </c>
      <c r="B401" s="15">
        <v>9400186</v>
      </c>
      <c r="C401" s="15">
        <v>42609</v>
      </c>
      <c r="D401" s="15">
        <v>52788</v>
      </c>
      <c r="E401" s="15">
        <v>4178</v>
      </c>
      <c r="F401" s="15">
        <v>269</v>
      </c>
      <c r="G401" s="15">
        <v>11</v>
      </c>
      <c r="H401" s="165" t="s">
        <v>63</v>
      </c>
    </row>
    <row r="402" spans="1:8">
      <c r="A402" s="449" t="s">
        <v>1458</v>
      </c>
      <c r="B402" s="15">
        <v>9313967</v>
      </c>
      <c r="C402" s="15">
        <v>48788</v>
      </c>
      <c r="D402" s="15">
        <v>53890</v>
      </c>
      <c r="E402" s="15">
        <v>4196</v>
      </c>
      <c r="F402" s="15">
        <v>294.10000000000002</v>
      </c>
      <c r="G402" s="15">
        <v>12.2</v>
      </c>
      <c r="H402" s="165" t="s">
        <v>63</v>
      </c>
    </row>
    <row r="403" spans="1:8">
      <c r="A403" s="449" t="s">
        <v>862</v>
      </c>
      <c r="B403" s="15">
        <v>9301859</v>
      </c>
      <c r="C403" s="15">
        <v>39941</v>
      </c>
      <c r="D403" s="15">
        <v>50869</v>
      </c>
      <c r="E403" s="15">
        <v>4248</v>
      </c>
      <c r="F403" s="15">
        <v>260.5</v>
      </c>
      <c r="G403" s="15">
        <v>12.73</v>
      </c>
      <c r="H403" s="165" t="s">
        <v>63</v>
      </c>
    </row>
    <row r="404" spans="1:8">
      <c r="A404" s="449" t="s">
        <v>1415</v>
      </c>
      <c r="B404" s="15">
        <v>9301847</v>
      </c>
      <c r="C404" s="15">
        <v>39941</v>
      </c>
      <c r="D404" s="15">
        <v>50500</v>
      </c>
      <c r="E404" s="15">
        <v>4248</v>
      </c>
      <c r="F404" s="15">
        <v>260</v>
      </c>
      <c r="G404" s="15">
        <v>12.78</v>
      </c>
      <c r="H404" s="165" t="s">
        <v>63</v>
      </c>
    </row>
    <row r="405" spans="1:8">
      <c r="A405" s="449" t="s">
        <v>1417</v>
      </c>
      <c r="B405" s="15">
        <v>9301823</v>
      </c>
      <c r="C405" s="15">
        <v>39941</v>
      </c>
      <c r="D405" s="15">
        <v>50500</v>
      </c>
      <c r="E405" s="15">
        <v>4248</v>
      </c>
      <c r="F405" s="15">
        <v>259.8</v>
      </c>
      <c r="G405" s="15">
        <v>12.6</v>
      </c>
      <c r="H405" s="165" t="s">
        <v>63</v>
      </c>
    </row>
    <row r="406" spans="1:8">
      <c r="A406" s="449" t="s">
        <v>101</v>
      </c>
      <c r="B406" s="15">
        <v>9431719</v>
      </c>
      <c r="C406" s="15">
        <v>40541</v>
      </c>
      <c r="D406" s="15">
        <v>50300</v>
      </c>
      <c r="E406" s="15">
        <v>4250</v>
      </c>
      <c r="F406" s="15">
        <v>261</v>
      </c>
      <c r="G406" s="15">
        <v>12.6</v>
      </c>
      <c r="H406" s="165" t="s">
        <v>63</v>
      </c>
    </row>
    <row r="407" spans="1:8">
      <c r="A407" s="449" t="s">
        <v>126</v>
      </c>
      <c r="B407" s="15">
        <v>9345958</v>
      </c>
      <c r="C407" s="15">
        <v>43071</v>
      </c>
      <c r="D407" s="15">
        <v>55387</v>
      </c>
      <c r="E407" s="15">
        <v>4250</v>
      </c>
      <c r="F407" s="15">
        <v>267.17</v>
      </c>
      <c r="G407" s="15">
        <v>13</v>
      </c>
      <c r="H407" s="165" t="s">
        <v>63</v>
      </c>
    </row>
    <row r="408" spans="1:8">
      <c r="A408" s="449" t="s">
        <v>171</v>
      </c>
      <c r="B408" s="15">
        <v>9477610</v>
      </c>
      <c r="C408" s="15">
        <v>40542</v>
      </c>
      <c r="D408" s="15">
        <v>49857</v>
      </c>
      <c r="E408" s="15">
        <v>4250</v>
      </c>
      <c r="F408" s="15">
        <v>261</v>
      </c>
      <c r="G408" s="15">
        <v>11.4</v>
      </c>
      <c r="H408" s="165" t="s">
        <v>63</v>
      </c>
    </row>
    <row r="409" spans="1:8">
      <c r="A409" s="449" t="s">
        <v>180</v>
      </c>
      <c r="B409" s="15">
        <v>9453365</v>
      </c>
      <c r="C409" s="15">
        <v>39394</v>
      </c>
      <c r="D409" s="15">
        <v>50000</v>
      </c>
      <c r="E409" s="15">
        <v>4250</v>
      </c>
      <c r="F409" s="15">
        <v>261</v>
      </c>
      <c r="G409" s="15">
        <v>12.6</v>
      </c>
      <c r="H409" s="165" t="s">
        <v>63</v>
      </c>
    </row>
    <row r="410" spans="1:8">
      <c r="A410" s="449" t="s">
        <v>186</v>
      </c>
      <c r="B410" s="15">
        <v>9461623</v>
      </c>
      <c r="C410" s="15">
        <v>39394</v>
      </c>
      <c r="D410" s="15">
        <v>50000</v>
      </c>
      <c r="E410" s="15">
        <v>4250</v>
      </c>
      <c r="F410" s="15">
        <v>261</v>
      </c>
      <c r="G410" s="15">
        <v>12.6</v>
      </c>
      <c r="H410" s="165" t="s">
        <v>63</v>
      </c>
    </row>
    <row r="411" spans="1:8">
      <c r="A411" s="449" t="s">
        <v>493</v>
      </c>
      <c r="B411" s="15">
        <v>9418652</v>
      </c>
      <c r="C411" s="15">
        <v>40541</v>
      </c>
      <c r="D411" s="15">
        <v>50269</v>
      </c>
      <c r="E411" s="15">
        <v>4250</v>
      </c>
      <c r="F411" s="15">
        <v>261.01</v>
      </c>
      <c r="G411" s="15">
        <v>12.6</v>
      </c>
      <c r="H411" s="165" t="s">
        <v>63</v>
      </c>
    </row>
    <row r="412" spans="1:8">
      <c r="A412" s="449" t="s">
        <v>711</v>
      </c>
      <c r="B412" s="15">
        <v>9431812</v>
      </c>
      <c r="C412" s="15">
        <v>40541</v>
      </c>
      <c r="D412" s="15">
        <v>50278</v>
      </c>
      <c r="E412" s="15">
        <v>4250</v>
      </c>
      <c r="F412" s="15">
        <v>261.04000000000002</v>
      </c>
      <c r="G412" s="15">
        <v>12.6</v>
      </c>
      <c r="H412" s="165" t="s">
        <v>63</v>
      </c>
    </row>
    <row r="413" spans="1:8">
      <c r="A413" s="449" t="s">
        <v>722</v>
      </c>
      <c r="B413" s="15">
        <v>9404209</v>
      </c>
      <c r="C413" s="15">
        <v>40541</v>
      </c>
      <c r="D413" s="15">
        <v>50466</v>
      </c>
      <c r="E413" s="15">
        <v>4250</v>
      </c>
      <c r="F413" s="15">
        <v>261.02999999999997</v>
      </c>
      <c r="G413" s="15">
        <v>12.6</v>
      </c>
      <c r="H413" s="165" t="s">
        <v>63</v>
      </c>
    </row>
    <row r="414" spans="1:8">
      <c r="A414" s="449" t="s">
        <v>736</v>
      </c>
      <c r="B414" s="15">
        <v>9322310</v>
      </c>
      <c r="C414" s="15">
        <v>39906</v>
      </c>
      <c r="D414" s="15">
        <v>50525</v>
      </c>
      <c r="E414" s="15">
        <v>4250</v>
      </c>
      <c r="F414" s="15">
        <v>260.64999999999998</v>
      </c>
      <c r="G414" s="15">
        <v>12.98</v>
      </c>
      <c r="H414" s="165" t="s">
        <v>63</v>
      </c>
    </row>
    <row r="415" spans="1:8">
      <c r="A415" s="449" t="s">
        <v>737</v>
      </c>
      <c r="B415" s="15">
        <v>9351024</v>
      </c>
      <c r="C415" s="15">
        <v>39906</v>
      </c>
      <c r="D415" s="15">
        <v>50596</v>
      </c>
      <c r="E415" s="15">
        <v>4250</v>
      </c>
      <c r="F415" s="15">
        <v>260.70999999999998</v>
      </c>
      <c r="G415" s="15">
        <v>12.6</v>
      </c>
      <c r="H415" s="165" t="s">
        <v>63</v>
      </c>
    </row>
    <row r="416" spans="1:8">
      <c r="A416" s="449" t="s">
        <v>738</v>
      </c>
      <c r="B416" s="15">
        <v>9340764</v>
      </c>
      <c r="C416" s="15">
        <v>39906</v>
      </c>
      <c r="D416" s="15">
        <v>50629</v>
      </c>
      <c r="E416" s="15">
        <v>4250</v>
      </c>
      <c r="F416" s="15">
        <v>260.01</v>
      </c>
      <c r="G416" s="15">
        <v>12.98</v>
      </c>
      <c r="H416" s="165" t="s">
        <v>63</v>
      </c>
    </row>
    <row r="417" spans="1:8">
      <c r="A417" s="449" t="s">
        <v>740</v>
      </c>
      <c r="B417" s="15">
        <v>9439747</v>
      </c>
      <c r="C417" s="15">
        <v>39906</v>
      </c>
      <c r="D417" s="15">
        <v>50700</v>
      </c>
      <c r="E417" s="15">
        <v>4250</v>
      </c>
      <c r="F417" s="15">
        <v>260</v>
      </c>
      <c r="G417" s="15">
        <v>12.96</v>
      </c>
      <c r="H417" s="165" t="s">
        <v>63</v>
      </c>
    </row>
    <row r="418" spans="1:8">
      <c r="A418" s="449" t="s">
        <v>913</v>
      </c>
      <c r="B418" s="15">
        <v>9352418</v>
      </c>
      <c r="C418" s="15">
        <v>39906</v>
      </c>
      <c r="D418" s="15">
        <v>50638</v>
      </c>
      <c r="E418" s="15">
        <v>4250</v>
      </c>
      <c r="F418" s="15">
        <v>260.7</v>
      </c>
      <c r="G418" s="15">
        <v>12.6</v>
      </c>
      <c r="H418" s="165" t="s">
        <v>63</v>
      </c>
    </row>
    <row r="419" spans="1:8">
      <c r="A419" s="449" t="s">
        <v>1249</v>
      </c>
      <c r="B419" s="15">
        <v>9324837</v>
      </c>
      <c r="C419" s="15">
        <v>39906</v>
      </c>
      <c r="D419" s="15">
        <v>50629</v>
      </c>
      <c r="E419" s="15">
        <v>4250</v>
      </c>
      <c r="F419" s="15">
        <v>260</v>
      </c>
      <c r="G419" s="15">
        <v>12.6</v>
      </c>
      <c r="H419" s="165" t="s">
        <v>63</v>
      </c>
    </row>
    <row r="420" spans="1:8">
      <c r="A420" s="449" t="s">
        <v>1250</v>
      </c>
      <c r="B420" s="15">
        <v>9334143</v>
      </c>
      <c r="C420" s="15">
        <v>39906</v>
      </c>
      <c r="D420" s="15">
        <v>50739</v>
      </c>
      <c r="E420" s="15">
        <v>4250</v>
      </c>
      <c r="F420" s="15">
        <v>260.66000000000003</v>
      </c>
      <c r="G420" s="15">
        <v>12.61</v>
      </c>
      <c r="H420" s="165" t="s">
        <v>63</v>
      </c>
    </row>
    <row r="421" spans="1:8">
      <c r="A421" s="449" t="s">
        <v>1251</v>
      </c>
      <c r="B421" s="15">
        <v>9324849</v>
      </c>
      <c r="C421" s="15">
        <v>39906</v>
      </c>
      <c r="D421" s="15">
        <v>50769</v>
      </c>
      <c r="E421" s="15">
        <v>4250</v>
      </c>
      <c r="F421" s="15">
        <v>260.02</v>
      </c>
      <c r="G421" s="15">
        <v>12.6</v>
      </c>
      <c r="H421" s="165" t="s">
        <v>63</v>
      </c>
    </row>
    <row r="422" spans="1:8">
      <c r="A422" s="449" t="s">
        <v>1252</v>
      </c>
      <c r="B422" s="15">
        <v>9324851</v>
      </c>
      <c r="C422" s="15">
        <v>39906</v>
      </c>
      <c r="D422" s="15">
        <v>50629</v>
      </c>
      <c r="E422" s="15">
        <v>4250</v>
      </c>
      <c r="F422" s="15">
        <v>260.05</v>
      </c>
      <c r="G422" s="15">
        <v>12.6</v>
      </c>
      <c r="H422" s="165" t="s">
        <v>63</v>
      </c>
    </row>
    <row r="423" spans="1:8">
      <c r="A423" s="449" t="s">
        <v>1253</v>
      </c>
      <c r="B423" s="15">
        <v>9324875</v>
      </c>
      <c r="C423" s="15">
        <v>39906</v>
      </c>
      <c r="D423" s="15">
        <v>50769</v>
      </c>
      <c r="E423" s="15">
        <v>4250</v>
      </c>
      <c r="F423" s="15">
        <v>260.66000000000003</v>
      </c>
      <c r="G423" s="15">
        <v>12.6</v>
      </c>
      <c r="H423" s="165" t="s">
        <v>63</v>
      </c>
    </row>
    <row r="424" spans="1:8">
      <c r="A424" s="449" t="s">
        <v>1259</v>
      </c>
      <c r="B424" s="15">
        <v>9431707</v>
      </c>
      <c r="C424" s="15">
        <v>40542</v>
      </c>
      <c r="D424" s="15">
        <v>50497</v>
      </c>
      <c r="E424" s="15">
        <v>4250</v>
      </c>
      <c r="F424" s="15">
        <v>260.93</v>
      </c>
      <c r="G424" s="15">
        <v>12.6</v>
      </c>
      <c r="H424" s="165" t="s">
        <v>63</v>
      </c>
    </row>
    <row r="425" spans="1:8">
      <c r="A425" s="449" t="s">
        <v>1473</v>
      </c>
      <c r="B425" s="15">
        <v>9443463</v>
      </c>
      <c r="C425" s="15">
        <v>40541</v>
      </c>
      <c r="D425" s="15">
        <v>50276</v>
      </c>
      <c r="E425" s="15">
        <v>4250</v>
      </c>
      <c r="F425" s="15">
        <v>261.04000000000002</v>
      </c>
      <c r="G425" s="15">
        <v>12.6</v>
      </c>
      <c r="H425" s="165" t="s">
        <v>63</v>
      </c>
    </row>
    <row r="426" spans="1:8">
      <c r="A426" s="449" t="s">
        <v>1520</v>
      </c>
      <c r="B426" s="15">
        <v>9431692</v>
      </c>
      <c r="C426" s="15">
        <v>40542</v>
      </c>
      <c r="D426" s="15">
        <v>50591</v>
      </c>
      <c r="E426" s="15">
        <v>4250</v>
      </c>
      <c r="F426" s="15">
        <v>261.08999999999997</v>
      </c>
      <c r="G426" s="15">
        <v>12.6</v>
      </c>
      <c r="H426" s="165" t="s">
        <v>63</v>
      </c>
    </row>
    <row r="427" spans="1:8">
      <c r="A427" s="449" t="s">
        <v>1581</v>
      </c>
      <c r="B427" s="15">
        <v>9326433</v>
      </c>
      <c r="C427" s="15">
        <v>42894</v>
      </c>
      <c r="D427" s="15">
        <v>52146</v>
      </c>
      <c r="E427" s="15">
        <v>4250</v>
      </c>
      <c r="F427" s="15">
        <v>268.8</v>
      </c>
      <c r="G427" s="15">
        <v>12.54</v>
      </c>
      <c r="H427" s="165" t="s">
        <v>63</v>
      </c>
    </row>
    <row r="428" spans="1:8">
      <c r="A428" s="449" t="s">
        <v>1594</v>
      </c>
      <c r="B428" s="15">
        <v>9312559</v>
      </c>
      <c r="C428" s="15">
        <v>41482</v>
      </c>
      <c r="D428" s="15">
        <v>52214</v>
      </c>
      <c r="E428" s="15">
        <v>4250</v>
      </c>
      <c r="F428" s="15">
        <v>263.2</v>
      </c>
      <c r="G428" s="15">
        <v>12.8</v>
      </c>
      <c r="H428" s="165" t="s">
        <v>63</v>
      </c>
    </row>
    <row r="429" spans="1:8">
      <c r="A429" s="449" t="s">
        <v>1597</v>
      </c>
      <c r="B429" s="15">
        <v>9312597</v>
      </c>
      <c r="C429" s="15">
        <v>41482</v>
      </c>
      <c r="D429" s="15">
        <v>52210</v>
      </c>
      <c r="E429" s="15">
        <v>4250</v>
      </c>
      <c r="F429" s="15">
        <v>263.23</v>
      </c>
      <c r="G429" s="15">
        <v>11</v>
      </c>
      <c r="H429" s="165" t="s">
        <v>63</v>
      </c>
    </row>
    <row r="430" spans="1:8">
      <c r="A430" s="449" t="s">
        <v>1600</v>
      </c>
      <c r="B430" s="15">
        <v>9310044</v>
      </c>
      <c r="C430" s="15">
        <v>41482</v>
      </c>
      <c r="D430" s="15">
        <v>52216</v>
      </c>
      <c r="E430" s="15">
        <v>4250</v>
      </c>
      <c r="F430" s="15">
        <v>263.23</v>
      </c>
      <c r="G430" s="15">
        <v>12.82</v>
      </c>
      <c r="H430" s="165" t="s">
        <v>63</v>
      </c>
    </row>
    <row r="431" spans="1:8">
      <c r="A431" s="449" t="s">
        <v>1609</v>
      </c>
      <c r="B431" s="15">
        <v>9320477</v>
      </c>
      <c r="C431" s="15">
        <v>41482</v>
      </c>
      <c r="D431" s="15">
        <v>52200</v>
      </c>
      <c r="E431" s="15">
        <v>4250</v>
      </c>
      <c r="F431" s="15">
        <v>263.23</v>
      </c>
      <c r="G431" s="15">
        <v>11</v>
      </c>
      <c r="H431" s="165" t="s">
        <v>63</v>
      </c>
    </row>
    <row r="432" spans="1:8">
      <c r="A432" s="449" t="s">
        <v>1610</v>
      </c>
      <c r="B432" s="15">
        <v>9378814</v>
      </c>
      <c r="C432" s="15">
        <v>41482</v>
      </c>
      <c r="D432" s="15">
        <v>52279</v>
      </c>
      <c r="E432" s="15">
        <v>4250</v>
      </c>
      <c r="F432" s="15">
        <v>263.23</v>
      </c>
      <c r="G432" s="15">
        <v>12.8</v>
      </c>
      <c r="H432" s="165" t="s">
        <v>63</v>
      </c>
    </row>
    <row r="433" spans="1:8">
      <c r="A433" s="449" t="s">
        <v>1658</v>
      </c>
      <c r="B433" s="15">
        <v>9471202</v>
      </c>
      <c r="C433" s="15">
        <v>39906</v>
      </c>
      <c r="D433" s="15">
        <v>52000</v>
      </c>
      <c r="E433" s="15">
        <v>4250</v>
      </c>
      <c r="F433" s="15">
        <v>261.10000000000002</v>
      </c>
      <c r="G433" s="15">
        <v>12.8</v>
      </c>
      <c r="H433" s="165" t="s">
        <v>63</v>
      </c>
    </row>
    <row r="434" spans="1:8">
      <c r="A434" s="449" t="s">
        <v>1662</v>
      </c>
      <c r="B434" s="15">
        <v>9322358</v>
      </c>
      <c r="C434" s="15">
        <v>39912</v>
      </c>
      <c r="D434" s="15">
        <v>50608</v>
      </c>
      <c r="E434" s="15">
        <v>4250</v>
      </c>
      <c r="F434" s="15">
        <v>260.64</v>
      </c>
      <c r="G434" s="15">
        <v>11</v>
      </c>
      <c r="H434" s="165" t="s">
        <v>63</v>
      </c>
    </row>
    <row r="435" spans="1:8">
      <c r="A435" s="449" t="s">
        <v>1670</v>
      </c>
      <c r="B435" s="15">
        <v>9322322</v>
      </c>
      <c r="C435" s="15">
        <v>39906</v>
      </c>
      <c r="D435" s="15">
        <v>50629</v>
      </c>
      <c r="E435" s="15">
        <v>4250</v>
      </c>
      <c r="F435" s="15">
        <v>260</v>
      </c>
      <c r="G435" s="15">
        <v>12.6</v>
      </c>
      <c r="H435" s="165" t="s">
        <v>63</v>
      </c>
    </row>
    <row r="436" spans="1:8">
      <c r="A436" s="449" t="s">
        <v>1672</v>
      </c>
      <c r="B436" s="15">
        <v>9322334</v>
      </c>
      <c r="C436" s="15">
        <v>39906</v>
      </c>
      <c r="D436" s="15">
        <v>50532</v>
      </c>
      <c r="E436" s="15">
        <v>4250</v>
      </c>
      <c r="F436" s="15">
        <v>260.62</v>
      </c>
      <c r="G436" s="15">
        <v>12.62</v>
      </c>
      <c r="H436" s="165" t="s">
        <v>63</v>
      </c>
    </row>
    <row r="437" spans="1:8">
      <c r="A437" s="449" t="s">
        <v>454</v>
      </c>
      <c r="B437" s="15">
        <v>9238789</v>
      </c>
      <c r="C437" s="15">
        <v>39941</v>
      </c>
      <c r="D437" s="15">
        <v>50790</v>
      </c>
      <c r="E437" s="15">
        <v>4252</v>
      </c>
      <c r="F437" s="15">
        <v>259.8</v>
      </c>
      <c r="G437" s="15">
        <v>12.6</v>
      </c>
      <c r="H437" s="165" t="s">
        <v>63</v>
      </c>
    </row>
    <row r="438" spans="1:8">
      <c r="A438" s="449" t="s">
        <v>1578</v>
      </c>
      <c r="B438" s="15">
        <v>9294848</v>
      </c>
      <c r="C438" s="15">
        <v>42579</v>
      </c>
      <c r="D438" s="15">
        <v>52249</v>
      </c>
      <c r="E438" s="15">
        <v>4252</v>
      </c>
      <c r="F438" s="15">
        <v>268.8</v>
      </c>
      <c r="G438" s="15">
        <v>12.5</v>
      </c>
      <c r="H438" s="165" t="s">
        <v>63</v>
      </c>
    </row>
    <row r="439" spans="1:8">
      <c r="A439" s="449" t="s">
        <v>1579</v>
      </c>
      <c r="B439" s="15">
        <v>9294862</v>
      </c>
      <c r="C439" s="15">
        <v>42579</v>
      </c>
      <c r="D439" s="15">
        <v>51300</v>
      </c>
      <c r="E439" s="15">
        <v>4252</v>
      </c>
      <c r="F439" s="15">
        <v>268.8</v>
      </c>
      <c r="G439" s="15">
        <v>12.5</v>
      </c>
      <c r="H439" s="165" t="s">
        <v>63</v>
      </c>
    </row>
    <row r="440" spans="1:8">
      <c r="A440" s="449" t="s">
        <v>1580</v>
      </c>
      <c r="B440" s="15">
        <v>9326421</v>
      </c>
      <c r="C440" s="15">
        <v>42894</v>
      </c>
      <c r="D440" s="15">
        <v>52146</v>
      </c>
      <c r="E440" s="15">
        <v>4252</v>
      </c>
      <c r="F440" s="15">
        <v>268.8</v>
      </c>
      <c r="G440" s="15">
        <v>12.54</v>
      </c>
      <c r="H440" s="165" t="s">
        <v>63</v>
      </c>
    </row>
    <row r="441" spans="1:8">
      <c r="A441" s="449" t="s">
        <v>177</v>
      </c>
      <c r="B441" s="15">
        <v>9238753</v>
      </c>
      <c r="C441" s="15">
        <v>39941</v>
      </c>
      <c r="D441" s="15">
        <v>50800</v>
      </c>
      <c r="E441" s="15">
        <v>4253</v>
      </c>
      <c r="F441" s="15">
        <v>260.10000000000002</v>
      </c>
      <c r="G441" s="15">
        <v>12.6</v>
      </c>
      <c r="H441" s="165" t="s">
        <v>63</v>
      </c>
    </row>
    <row r="442" spans="1:8">
      <c r="A442" s="449" t="s">
        <v>178</v>
      </c>
      <c r="B442" s="15">
        <v>9397585</v>
      </c>
      <c r="C442" s="15">
        <v>40030</v>
      </c>
      <c r="D442" s="15">
        <v>50700</v>
      </c>
      <c r="E442" s="15">
        <v>4253</v>
      </c>
      <c r="F442" s="15">
        <v>260.05</v>
      </c>
      <c r="G442" s="15">
        <v>12.6</v>
      </c>
      <c r="H442" s="165" t="s">
        <v>63</v>
      </c>
    </row>
    <row r="443" spans="1:8">
      <c r="A443" s="449" t="s">
        <v>1423</v>
      </c>
      <c r="B443" s="15">
        <v>9224324</v>
      </c>
      <c r="C443" s="15">
        <v>39941</v>
      </c>
      <c r="D443" s="15">
        <v>50953</v>
      </c>
      <c r="E443" s="15">
        <v>4253</v>
      </c>
      <c r="F443" s="15">
        <v>259</v>
      </c>
      <c r="G443" s="15">
        <v>12.6</v>
      </c>
      <c r="H443" s="165" t="s">
        <v>63</v>
      </c>
    </row>
    <row r="444" spans="1:8">
      <c r="A444" s="449" t="s">
        <v>1467</v>
      </c>
      <c r="B444" s="15">
        <v>9227027</v>
      </c>
      <c r="C444" s="15">
        <v>39941</v>
      </c>
      <c r="D444" s="15">
        <v>50789</v>
      </c>
      <c r="E444" s="15">
        <v>4253</v>
      </c>
      <c r="F444" s="15">
        <v>259.8</v>
      </c>
      <c r="G444" s="15">
        <v>12.6</v>
      </c>
      <c r="H444" s="165" t="s">
        <v>63</v>
      </c>
    </row>
    <row r="445" spans="1:8">
      <c r="A445" s="449" t="s">
        <v>1468</v>
      </c>
      <c r="B445" s="15">
        <v>9227039</v>
      </c>
      <c r="C445" s="15">
        <v>39941</v>
      </c>
      <c r="D445" s="15">
        <v>50790</v>
      </c>
      <c r="E445" s="15">
        <v>4253</v>
      </c>
      <c r="F445" s="15">
        <v>259.8</v>
      </c>
      <c r="G445" s="15">
        <v>12.6</v>
      </c>
      <c r="H445" s="165" t="s">
        <v>63</v>
      </c>
    </row>
    <row r="446" spans="1:8">
      <c r="A446" s="449" t="s">
        <v>1471</v>
      </c>
      <c r="B446" s="15">
        <v>9301794</v>
      </c>
      <c r="C446" s="15">
        <v>39941</v>
      </c>
      <c r="D446" s="15">
        <v>50869</v>
      </c>
      <c r="E446" s="15">
        <v>4253</v>
      </c>
      <c r="F446" s="15">
        <v>260.05</v>
      </c>
      <c r="G446" s="15">
        <v>12.73</v>
      </c>
      <c r="H446" s="165" t="s">
        <v>63</v>
      </c>
    </row>
    <row r="447" spans="1:8">
      <c r="A447" s="449" t="s">
        <v>1472</v>
      </c>
      <c r="B447" s="15">
        <v>9301811</v>
      </c>
      <c r="C447" s="15">
        <v>39941</v>
      </c>
      <c r="D447" s="15">
        <v>50500</v>
      </c>
      <c r="E447" s="15">
        <v>4253</v>
      </c>
      <c r="F447" s="15">
        <v>259.8</v>
      </c>
      <c r="G447" s="15">
        <v>11</v>
      </c>
      <c r="H447" s="165" t="s">
        <v>63</v>
      </c>
    </row>
    <row r="448" spans="1:8">
      <c r="A448" s="449" t="s">
        <v>1474</v>
      </c>
      <c r="B448" s="15">
        <v>9227015</v>
      </c>
      <c r="C448" s="15">
        <v>39941</v>
      </c>
      <c r="D448" s="15">
        <v>50790</v>
      </c>
      <c r="E448" s="15">
        <v>4253</v>
      </c>
      <c r="F448" s="15">
        <v>259.8</v>
      </c>
      <c r="G448" s="15">
        <v>12.6</v>
      </c>
      <c r="H448" s="165" t="s">
        <v>63</v>
      </c>
    </row>
    <row r="449" spans="1:8">
      <c r="A449" s="449" t="s">
        <v>1476</v>
      </c>
      <c r="B449" s="15">
        <v>9301809</v>
      </c>
      <c r="C449" s="15">
        <v>39941</v>
      </c>
      <c r="D449" s="15">
        <v>50869</v>
      </c>
      <c r="E449" s="15">
        <v>4253</v>
      </c>
      <c r="F449" s="15">
        <v>260.10000000000002</v>
      </c>
      <c r="G449" s="15">
        <v>12.73</v>
      </c>
      <c r="H449" s="165" t="s">
        <v>63</v>
      </c>
    </row>
    <row r="450" spans="1:8">
      <c r="A450" s="449" t="s">
        <v>1477</v>
      </c>
      <c r="B450" s="15">
        <v>9301835</v>
      </c>
      <c r="C450" s="15">
        <v>39941</v>
      </c>
      <c r="D450" s="15">
        <v>50869</v>
      </c>
      <c r="E450" s="15">
        <v>4253</v>
      </c>
      <c r="F450" s="15">
        <v>260.10000000000002</v>
      </c>
      <c r="G450" s="15">
        <v>12.6</v>
      </c>
      <c r="H450" s="165" t="s">
        <v>63</v>
      </c>
    </row>
    <row r="451" spans="1:8">
      <c r="A451" s="449" t="s">
        <v>1513</v>
      </c>
      <c r="B451" s="15">
        <v>9450571</v>
      </c>
      <c r="C451" s="15">
        <v>40030</v>
      </c>
      <c r="D451" s="15">
        <v>50500</v>
      </c>
      <c r="E451" s="15">
        <v>4253</v>
      </c>
      <c r="F451" s="15">
        <v>257</v>
      </c>
      <c r="G451" s="15">
        <v>12.6</v>
      </c>
      <c r="H451" s="165" t="s">
        <v>63</v>
      </c>
    </row>
    <row r="452" spans="1:8">
      <c r="A452" s="449" t="s">
        <v>1542</v>
      </c>
      <c r="B452" s="15">
        <v>9238765</v>
      </c>
      <c r="C452" s="15">
        <v>39941</v>
      </c>
      <c r="D452" s="15">
        <v>50790</v>
      </c>
      <c r="E452" s="15">
        <v>4253</v>
      </c>
      <c r="F452" s="15">
        <v>260.05</v>
      </c>
      <c r="G452" s="15">
        <v>12.6</v>
      </c>
      <c r="H452" s="165" t="s">
        <v>63</v>
      </c>
    </row>
    <row r="453" spans="1:8">
      <c r="A453" s="449" t="s">
        <v>1612</v>
      </c>
      <c r="B453" s="15">
        <v>9443580</v>
      </c>
      <c r="C453" s="15">
        <v>40030</v>
      </c>
      <c r="D453" s="15">
        <v>50500</v>
      </c>
      <c r="E453" s="15">
        <v>4253</v>
      </c>
      <c r="F453" s="15">
        <v>260</v>
      </c>
      <c r="G453" s="15">
        <v>12.6</v>
      </c>
      <c r="H453" s="165" t="s">
        <v>63</v>
      </c>
    </row>
    <row r="454" spans="1:8">
      <c r="A454" s="449" t="s">
        <v>1622</v>
      </c>
      <c r="B454" s="15">
        <v>9360910</v>
      </c>
      <c r="C454" s="15">
        <v>40030</v>
      </c>
      <c r="D454" s="15">
        <v>50813</v>
      </c>
      <c r="E454" s="15">
        <v>4253</v>
      </c>
      <c r="F454" s="15">
        <v>260.05</v>
      </c>
      <c r="G454" s="15">
        <v>12.6</v>
      </c>
      <c r="H454" s="165" t="s">
        <v>63</v>
      </c>
    </row>
    <row r="455" spans="1:8">
      <c r="A455" s="449" t="s">
        <v>1667</v>
      </c>
      <c r="B455" s="15">
        <v>9363376</v>
      </c>
      <c r="C455" s="15">
        <v>40030</v>
      </c>
      <c r="D455" s="15">
        <v>50842</v>
      </c>
      <c r="E455" s="15">
        <v>4253</v>
      </c>
      <c r="F455" s="15">
        <v>260.07</v>
      </c>
      <c r="G455" s="15">
        <v>12.6</v>
      </c>
      <c r="H455" s="165" t="s">
        <v>63</v>
      </c>
    </row>
    <row r="456" spans="1:8">
      <c r="A456" s="449" t="s">
        <v>1673</v>
      </c>
      <c r="B456" s="15">
        <v>9318151</v>
      </c>
      <c r="C456" s="15">
        <v>39906</v>
      </c>
      <c r="D456" s="15">
        <v>50689</v>
      </c>
      <c r="E456" s="15">
        <v>4253</v>
      </c>
      <c r="F456" s="15">
        <v>259.8</v>
      </c>
      <c r="G456" s="15">
        <v>12.5</v>
      </c>
      <c r="H456" s="165" t="s">
        <v>63</v>
      </c>
    </row>
    <row r="457" spans="1:8">
      <c r="A457" s="449" t="s">
        <v>720</v>
      </c>
      <c r="B457" s="15">
        <v>9406180</v>
      </c>
      <c r="C457" s="15">
        <v>41225</v>
      </c>
      <c r="D457" s="15">
        <v>50420</v>
      </c>
      <c r="E457" s="15">
        <v>4254</v>
      </c>
      <c r="F457" s="15">
        <v>265.02999999999997</v>
      </c>
      <c r="G457" s="15">
        <v>12.6</v>
      </c>
      <c r="H457" s="165" t="s">
        <v>63</v>
      </c>
    </row>
    <row r="458" spans="1:8">
      <c r="A458" s="449" t="s">
        <v>721</v>
      </c>
      <c r="B458" s="15">
        <v>9430789</v>
      </c>
      <c r="C458" s="15">
        <v>41225</v>
      </c>
      <c r="D458" s="15">
        <v>50244</v>
      </c>
      <c r="E458" s="15">
        <v>4254</v>
      </c>
      <c r="F458" s="15">
        <v>265</v>
      </c>
      <c r="G458" s="15">
        <v>12.6</v>
      </c>
      <c r="H458" s="165" t="s">
        <v>63</v>
      </c>
    </row>
    <row r="459" spans="1:8">
      <c r="A459" s="449" t="s">
        <v>977</v>
      </c>
      <c r="B459" s="15">
        <v>9351593</v>
      </c>
      <c r="C459" s="15">
        <v>41225</v>
      </c>
      <c r="D459" s="15">
        <v>50568</v>
      </c>
      <c r="E459" s="15">
        <v>4254</v>
      </c>
      <c r="F459" s="15">
        <v>265.06</v>
      </c>
      <c r="G459" s="15">
        <v>13</v>
      </c>
      <c r="H459" s="165" t="s">
        <v>63</v>
      </c>
    </row>
    <row r="460" spans="1:8">
      <c r="A460" s="449" t="s">
        <v>1093</v>
      </c>
      <c r="B460" s="15">
        <v>9351581</v>
      </c>
      <c r="C460" s="15">
        <v>41225</v>
      </c>
      <c r="D460" s="15">
        <v>50547</v>
      </c>
      <c r="E460" s="15">
        <v>4254</v>
      </c>
      <c r="F460" s="15">
        <v>265.14999999999998</v>
      </c>
      <c r="G460" s="15">
        <v>13</v>
      </c>
      <c r="H460" s="165" t="s">
        <v>63</v>
      </c>
    </row>
    <row r="461" spans="1:8">
      <c r="A461" s="449" t="s">
        <v>1216</v>
      </c>
      <c r="B461" s="15">
        <v>9351579</v>
      </c>
      <c r="C461" s="15">
        <v>41225</v>
      </c>
      <c r="D461" s="15">
        <v>50446</v>
      </c>
      <c r="E461" s="15">
        <v>4254</v>
      </c>
      <c r="F461" s="15">
        <v>264.95999999999998</v>
      </c>
      <c r="G461" s="15">
        <v>12.6</v>
      </c>
      <c r="H461" s="165" t="s">
        <v>63</v>
      </c>
    </row>
    <row r="462" spans="1:8">
      <c r="A462" s="449" t="s">
        <v>430</v>
      </c>
      <c r="B462" s="15">
        <v>9440796</v>
      </c>
      <c r="C462" s="15">
        <v>41358</v>
      </c>
      <c r="D462" s="15">
        <v>51699</v>
      </c>
      <c r="E462" s="15">
        <v>4255</v>
      </c>
      <c r="F462" s="15">
        <v>262.07</v>
      </c>
      <c r="G462" s="15">
        <v>12.5</v>
      </c>
      <c r="H462" s="165" t="s">
        <v>63</v>
      </c>
    </row>
    <row r="463" spans="1:8">
      <c r="A463" s="449" t="s">
        <v>633</v>
      </c>
      <c r="B463" s="15">
        <v>9440784</v>
      </c>
      <c r="C463" s="15">
        <v>41358</v>
      </c>
      <c r="D463" s="15">
        <v>51779</v>
      </c>
      <c r="E463" s="15">
        <v>4255</v>
      </c>
      <c r="F463" s="15">
        <v>262.07</v>
      </c>
      <c r="G463" s="15">
        <v>12.5</v>
      </c>
      <c r="H463" s="165" t="s">
        <v>63</v>
      </c>
    </row>
    <row r="464" spans="1:8">
      <c r="A464" s="449" t="s">
        <v>635</v>
      </c>
      <c r="B464" s="15">
        <v>9439498</v>
      </c>
      <c r="C464" s="15">
        <v>41358</v>
      </c>
      <c r="D464" s="15">
        <v>51745</v>
      </c>
      <c r="E464" s="15">
        <v>4255</v>
      </c>
      <c r="F464" s="15">
        <v>262.05</v>
      </c>
      <c r="G464" s="15">
        <v>12.5</v>
      </c>
      <c r="H464" s="165" t="s">
        <v>63</v>
      </c>
    </row>
    <row r="465" spans="1:8">
      <c r="A465" s="449" t="s">
        <v>640</v>
      </c>
      <c r="B465" s="15">
        <v>9440801</v>
      </c>
      <c r="C465" s="15">
        <v>41358</v>
      </c>
      <c r="D465" s="15">
        <v>51744</v>
      </c>
      <c r="E465" s="15">
        <v>4255</v>
      </c>
      <c r="F465" s="15">
        <v>262.06</v>
      </c>
      <c r="G465" s="15">
        <v>12.5</v>
      </c>
      <c r="H465" s="165" t="s">
        <v>63</v>
      </c>
    </row>
    <row r="466" spans="1:8">
      <c r="A466" s="449" t="s">
        <v>1499</v>
      </c>
      <c r="B466" s="15">
        <v>9477309</v>
      </c>
      <c r="C466" s="15">
        <v>40351</v>
      </c>
      <c r="D466" s="15">
        <v>50353</v>
      </c>
      <c r="E466" s="15">
        <v>4256</v>
      </c>
      <c r="F466" s="15">
        <v>261.10000000000002</v>
      </c>
      <c r="G466" s="15">
        <v>12.6</v>
      </c>
      <c r="H466" s="165" t="s">
        <v>63</v>
      </c>
    </row>
    <row r="467" spans="1:8">
      <c r="A467" s="449" t="s">
        <v>1457</v>
      </c>
      <c r="B467" s="15">
        <v>9106209</v>
      </c>
      <c r="C467" s="15">
        <v>49985</v>
      </c>
      <c r="D467" s="15">
        <v>59940</v>
      </c>
      <c r="E467" s="15">
        <v>4292</v>
      </c>
      <c r="F467" s="15">
        <v>292.14999999999998</v>
      </c>
      <c r="G467" s="15">
        <v>11.5</v>
      </c>
      <c r="H467" s="165" t="s">
        <v>63</v>
      </c>
    </row>
    <row r="468" spans="1:8">
      <c r="A468" s="449" t="s">
        <v>1460</v>
      </c>
      <c r="B468" s="15">
        <v>9143013</v>
      </c>
      <c r="C468" s="15">
        <v>49985</v>
      </c>
      <c r="D468" s="15">
        <v>59840</v>
      </c>
      <c r="E468" s="15">
        <v>4292</v>
      </c>
      <c r="F468" s="15">
        <v>292.14999999999998</v>
      </c>
      <c r="G468" s="15">
        <v>13</v>
      </c>
      <c r="H468" s="165" t="s">
        <v>63</v>
      </c>
    </row>
    <row r="469" spans="1:8">
      <c r="A469" s="449" t="s">
        <v>1277</v>
      </c>
      <c r="B469" s="15">
        <v>9348455</v>
      </c>
      <c r="C469" s="15">
        <v>41835</v>
      </c>
      <c r="D469" s="15">
        <v>53870</v>
      </c>
      <c r="E469" s="15">
        <v>4294</v>
      </c>
      <c r="F469" s="15">
        <v>264.12</v>
      </c>
      <c r="G469" s="15">
        <v>12.75</v>
      </c>
      <c r="H469" s="165" t="s">
        <v>63</v>
      </c>
    </row>
    <row r="470" spans="1:8">
      <c r="A470" s="449" t="s">
        <v>291</v>
      </c>
      <c r="B470" s="15">
        <v>9326770</v>
      </c>
      <c r="C470" s="15">
        <v>41899</v>
      </c>
      <c r="D470" s="15">
        <v>53663</v>
      </c>
      <c r="E470" s="15">
        <v>4298</v>
      </c>
      <c r="F470" s="15">
        <v>264.01</v>
      </c>
      <c r="G470" s="15">
        <v>12.75</v>
      </c>
      <c r="H470" s="165" t="s">
        <v>63</v>
      </c>
    </row>
    <row r="471" spans="1:8">
      <c r="A471" s="449" t="s">
        <v>1266</v>
      </c>
      <c r="B471" s="15">
        <v>9326768</v>
      </c>
      <c r="C471" s="15">
        <v>41899</v>
      </c>
      <c r="D471" s="15">
        <v>53682</v>
      </c>
      <c r="E471" s="15">
        <v>4298</v>
      </c>
      <c r="F471" s="15">
        <v>264.11</v>
      </c>
      <c r="G471" s="15">
        <v>12.75</v>
      </c>
      <c r="H471" s="165" t="s">
        <v>63</v>
      </c>
    </row>
    <row r="472" spans="1:8">
      <c r="A472" s="449" t="s">
        <v>1408</v>
      </c>
      <c r="B472" s="15">
        <v>9326744</v>
      </c>
      <c r="C472" s="15">
        <v>53658</v>
      </c>
      <c r="D472" s="15">
        <v>41899</v>
      </c>
      <c r="E472" s="15">
        <v>4298</v>
      </c>
      <c r="F472" s="15">
        <v>264</v>
      </c>
      <c r="G472" s="15">
        <v>12.8</v>
      </c>
      <c r="H472" s="165" t="s">
        <v>63</v>
      </c>
    </row>
    <row r="473" spans="1:8">
      <c r="A473" s="449" t="s">
        <v>300</v>
      </c>
      <c r="B473" s="15">
        <v>9386495</v>
      </c>
      <c r="C473" s="15">
        <v>40560</v>
      </c>
      <c r="D473" s="15">
        <v>52513</v>
      </c>
      <c r="E473" s="15">
        <v>4300</v>
      </c>
      <c r="F473" s="15">
        <v>259.8</v>
      </c>
      <c r="G473" s="15">
        <v>12.62</v>
      </c>
      <c r="H473" s="165" t="s">
        <v>63</v>
      </c>
    </row>
    <row r="474" spans="1:8">
      <c r="A474" s="449" t="s">
        <v>323</v>
      </c>
      <c r="B474" s="15">
        <v>9386483</v>
      </c>
      <c r="C474" s="15">
        <v>40560</v>
      </c>
      <c r="D474" s="15">
        <v>52408</v>
      </c>
      <c r="E474" s="15">
        <v>4300</v>
      </c>
      <c r="F474" s="15">
        <v>259.8</v>
      </c>
      <c r="G474" s="15">
        <v>12.62</v>
      </c>
      <c r="H474" s="165" t="s">
        <v>63</v>
      </c>
    </row>
    <row r="475" spans="1:8">
      <c r="A475" s="449" t="s">
        <v>653</v>
      </c>
      <c r="B475" s="15">
        <v>9440825</v>
      </c>
      <c r="C475" s="15">
        <v>41358</v>
      </c>
      <c r="D475" s="15">
        <v>51671</v>
      </c>
      <c r="E475" s="15">
        <v>4300</v>
      </c>
      <c r="F475" s="15">
        <v>262.08999999999997</v>
      </c>
      <c r="G475" s="15">
        <v>12.5</v>
      </c>
      <c r="H475" s="165" t="s">
        <v>63</v>
      </c>
    </row>
    <row r="476" spans="1:8">
      <c r="A476" s="449" t="s">
        <v>746</v>
      </c>
      <c r="B476" s="15">
        <v>9294379</v>
      </c>
      <c r="C476" s="15">
        <v>50657</v>
      </c>
      <c r="D476" s="15">
        <v>62994</v>
      </c>
      <c r="E476" s="15">
        <v>4300</v>
      </c>
      <c r="F476" s="15">
        <v>266.83999999999997</v>
      </c>
      <c r="G476" s="15">
        <v>12.2</v>
      </c>
      <c r="H476" s="165" t="s">
        <v>63</v>
      </c>
    </row>
    <row r="477" spans="1:8">
      <c r="A477" s="449" t="s">
        <v>1315</v>
      </c>
      <c r="B477" s="15">
        <v>9251638</v>
      </c>
      <c r="C477" s="15">
        <v>40560</v>
      </c>
      <c r="D477" s="15">
        <v>52427</v>
      </c>
      <c r="E477" s="15">
        <v>4300</v>
      </c>
      <c r="F477" s="15">
        <v>259.8</v>
      </c>
      <c r="G477" s="15">
        <v>12.62</v>
      </c>
      <c r="H477" s="165" t="s">
        <v>63</v>
      </c>
    </row>
    <row r="478" spans="1:8">
      <c r="A478" s="449" t="s">
        <v>1413</v>
      </c>
      <c r="B478" s="15">
        <v>9360764</v>
      </c>
      <c r="C478" s="15">
        <v>40807</v>
      </c>
      <c r="D478" s="15">
        <v>55301</v>
      </c>
      <c r="E478" s="15">
        <v>4300</v>
      </c>
      <c r="F478" s="15">
        <v>260.89</v>
      </c>
      <c r="G478" s="15">
        <v>13</v>
      </c>
      <c r="H478" s="165" t="s">
        <v>63</v>
      </c>
    </row>
    <row r="479" spans="1:8">
      <c r="A479" s="449" t="s">
        <v>1454</v>
      </c>
      <c r="B479" s="15">
        <v>9456965</v>
      </c>
      <c r="C479" s="15">
        <v>41331</v>
      </c>
      <c r="D479" s="15">
        <v>51687</v>
      </c>
      <c r="E479" s="15">
        <v>4300</v>
      </c>
      <c r="F479" s="15">
        <v>262.06</v>
      </c>
      <c r="G479" s="15">
        <v>12.5</v>
      </c>
      <c r="H479" s="165" t="s">
        <v>63</v>
      </c>
    </row>
    <row r="480" spans="1:8">
      <c r="A480" s="449" t="s">
        <v>292</v>
      </c>
      <c r="B480" s="15">
        <v>9397614</v>
      </c>
      <c r="C480" s="15">
        <v>40560</v>
      </c>
      <c r="D480" s="15">
        <v>52427</v>
      </c>
      <c r="E480" s="15">
        <v>4308</v>
      </c>
      <c r="F480" s="15">
        <v>259.8</v>
      </c>
      <c r="G480" s="15">
        <v>12.6</v>
      </c>
      <c r="H480" s="165" t="s">
        <v>63</v>
      </c>
    </row>
    <row r="481" spans="1:8">
      <c r="A481" s="449" t="s">
        <v>347</v>
      </c>
      <c r="B481" s="15">
        <v>9397602</v>
      </c>
      <c r="C481" s="15">
        <v>40560</v>
      </c>
      <c r="D481" s="15">
        <v>52366</v>
      </c>
      <c r="E481" s="15">
        <v>4308</v>
      </c>
      <c r="F481" s="15">
        <v>259.8</v>
      </c>
      <c r="G481" s="15">
        <v>12.62</v>
      </c>
      <c r="H481" s="165" t="s">
        <v>63</v>
      </c>
    </row>
    <row r="482" spans="1:8">
      <c r="A482" s="449" t="s">
        <v>1187</v>
      </c>
      <c r="B482" s="15">
        <v>9203954</v>
      </c>
      <c r="C482" s="15">
        <v>43575</v>
      </c>
      <c r="D482" s="15">
        <v>61468</v>
      </c>
      <c r="E482" s="15">
        <v>4315</v>
      </c>
      <c r="F482" s="15">
        <v>273.7</v>
      </c>
      <c r="G482" s="15">
        <v>13</v>
      </c>
      <c r="H482" s="165" t="s">
        <v>63</v>
      </c>
    </row>
    <row r="483" spans="1:8">
      <c r="A483" s="449" t="s">
        <v>1275</v>
      </c>
      <c r="B483" s="15">
        <v>9344708</v>
      </c>
      <c r="C483" s="15">
        <v>41835</v>
      </c>
      <c r="D483" s="15">
        <v>53870</v>
      </c>
      <c r="E483" s="15">
        <v>4319</v>
      </c>
      <c r="F483" s="15">
        <v>264.20999999999998</v>
      </c>
      <c r="G483" s="15">
        <v>12.75</v>
      </c>
      <c r="H483" s="165" t="s">
        <v>63</v>
      </c>
    </row>
    <row r="484" spans="1:8">
      <c r="A484" s="449" t="s">
        <v>1276</v>
      </c>
      <c r="B484" s="15">
        <v>9348431</v>
      </c>
      <c r="C484" s="15">
        <v>41835</v>
      </c>
      <c r="D484" s="15">
        <v>53874</v>
      </c>
      <c r="E484" s="15">
        <v>4319</v>
      </c>
      <c r="F484" s="15">
        <v>264.20999999999998</v>
      </c>
      <c r="G484" s="15">
        <v>12.75</v>
      </c>
      <c r="H484" s="165" t="s">
        <v>63</v>
      </c>
    </row>
    <row r="485" spans="1:8">
      <c r="A485" s="449" t="s">
        <v>629</v>
      </c>
      <c r="B485" s="15">
        <v>9112571</v>
      </c>
      <c r="C485" s="15">
        <v>50644</v>
      </c>
      <c r="D485" s="15">
        <v>62422</v>
      </c>
      <c r="E485" s="15">
        <v>4322</v>
      </c>
      <c r="F485" s="15">
        <v>292.06</v>
      </c>
      <c r="G485" s="15">
        <v>13.5</v>
      </c>
      <c r="H485" s="165" t="s">
        <v>63</v>
      </c>
    </row>
    <row r="486" spans="1:8">
      <c r="A486" s="449" t="s">
        <v>1665</v>
      </c>
      <c r="B486" s="15">
        <v>9401776</v>
      </c>
      <c r="C486" s="15">
        <v>39900</v>
      </c>
      <c r="D486" s="15">
        <v>51400</v>
      </c>
      <c r="E486" s="15">
        <v>4330</v>
      </c>
      <c r="F486" s="15">
        <v>258.91000000000003</v>
      </c>
      <c r="G486" s="15">
        <v>12.6</v>
      </c>
      <c r="H486" s="165" t="s">
        <v>63</v>
      </c>
    </row>
    <row r="487" spans="1:8">
      <c r="A487" s="449" t="s">
        <v>664</v>
      </c>
      <c r="B487" s="15">
        <v>9252254</v>
      </c>
      <c r="C487" s="15">
        <v>50243</v>
      </c>
      <c r="D487" s="15">
        <v>58486</v>
      </c>
      <c r="E487" s="15">
        <v>4350</v>
      </c>
      <c r="F487" s="15">
        <v>280</v>
      </c>
      <c r="G487" s="15">
        <v>13</v>
      </c>
      <c r="H487" s="165" t="s">
        <v>63</v>
      </c>
    </row>
    <row r="488" spans="1:8">
      <c r="A488" s="449" t="s">
        <v>74</v>
      </c>
      <c r="B488" s="15">
        <v>9385611</v>
      </c>
      <c r="C488" s="15">
        <v>40560</v>
      </c>
      <c r="D488" s="15">
        <v>52513</v>
      </c>
      <c r="E488" s="15">
        <v>4360</v>
      </c>
      <c r="F488" s="15">
        <v>259.8</v>
      </c>
      <c r="G488" s="15">
        <v>12.62</v>
      </c>
      <c r="H488" s="165" t="s">
        <v>63</v>
      </c>
    </row>
    <row r="489" spans="1:8">
      <c r="A489" s="449" t="s">
        <v>349</v>
      </c>
      <c r="B489" s="15">
        <v>9386471</v>
      </c>
      <c r="C489" s="15">
        <v>40560</v>
      </c>
      <c r="D489" s="15">
        <v>52513</v>
      </c>
      <c r="E489" s="15">
        <v>4360</v>
      </c>
      <c r="F489" s="15">
        <v>259.8</v>
      </c>
      <c r="G489" s="15">
        <v>12.62</v>
      </c>
      <c r="H489" s="165" t="s">
        <v>63</v>
      </c>
    </row>
    <row r="490" spans="1:8">
      <c r="A490" s="449" t="s">
        <v>1383</v>
      </c>
      <c r="B490" s="15">
        <v>9232084</v>
      </c>
      <c r="C490" s="15">
        <v>50242</v>
      </c>
      <c r="D490" s="15">
        <v>58724</v>
      </c>
      <c r="E490" s="15">
        <v>4367</v>
      </c>
      <c r="F490" s="15">
        <v>282.08999999999997</v>
      </c>
      <c r="G490" s="15">
        <v>13</v>
      </c>
      <c r="H490" s="165" t="s">
        <v>63</v>
      </c>
    </row>
    <row r="491" spans="1:8">
      <c r="A491" s="449" t="s">
        <v>745</v>
      </c>
      <c r="B491" s="15">
        <v>9484522</v>
      </c>
      <c r="C491" s="15">
        <v>42112</v>
      </c>
      <c r="D491" s="15">
        <v>54344</v>
      </c>
      <c r="E491" s="15">
        <v>4380</v>
      </c>
      <c r="F491" s="15">
        <v>260</v>
      </c>
      <c r="G491" s="15">
        <v>12.6</v>
      </c>
      <c r="H491" s="165" t="s">
        <v>63</v>
      </c>
    </row>
    <row r="492" spans="1:8">
      <c r="A492" s="449" t="s">
        <v>658</v>
      </c>
      <c r="B492" s="15">
        <v>9252266</v>
      </c>
      <c r="C492" s="15">
        <v>50243</v>
      </c>
      <c r="D492" s="15">
        <v>58213</v>
      </c>
      <c r="E492" s="15">
        <v>4389</v>
      </c>
      <c r="F492" s="15">
        <v>282.10000000000002</v>
      </c>
      <c r="G492" s="15">
        <v>13</v>
      </c>
      <c r="H492" s="165" t="s">
        <v>63</v>
      </c>
    </row>
    <row r="493" spans="1:8">
      <c r="A493" s="449" t="s">
        <v>659</v>
      </c>
      <c r="B493" s="15">
        <v>9248095</v>
      </c>
      <c r="C493" s="15">
        <v>50242</v>
      </c>
      <c r="D493" s="15">
        <v>58512</v>
      </c>
      <c r="E493" s="15">
        <v>4389</v>
      </c>
      <c r="F493" s="15">
        <v>282.14</v>
      </c>
      <c r="G493" s="15">
        <v>13</v>
      </c>
      <c r="H493" s="165" t="s">
        <v>63</v>
      </c>
    </row>
    <row r="494" spans="1:8">
      <c r="A494" s="449" t="s">
        <v>158</v>
      </c>
      <c r="B494" s="15">
        <v>9450935</v>
      </c>
      <c r="C494" s="15">
        <v>42112</v>
      </c>
      <c r="D494" s="15">
        <v>54384</v>
      </c>
      <c r="E494" s="15">
        <v>4400</v>
      </c>
      <c r="F494" s="15">
        <v>260.32</v>
      </c>
      <c r="G494" s="15">
        <v>12.6</v>
      </c>
      <c r="H494" s="165" t="s">
        <v>63</v>
      </c>
    </row>
    <row r="495" spans="1:8">
      <c r="A495" s="449" t="s">
        <v>277</v>
      </c>
      <c r="B495" s="15">
        <v>9350393</v>
      </c>
      <c r="C495" s="15">
        <v>49810</v>
      </c>
      <c r="D495" s="15">
        <v>50200</v>
      </c>
      <c r="E495" s="15">
        <v>4400</v>
      </c>
      <c r="F495" s="15">
        <v>282.05</v>
      </c>
      <c r="G495" s="15">
        <v>13.5</v>
      </c>
      <c r="H495" s="165" t="s">
        <v>63</v>
      </c>
    </row>
    <row r="496" spans="1:8">
      <c r="A496" s="449" t="s">
        <v>1133</v>
      </c>
      <c r="B496" s="15">
        <v>9181663</v>
      </c>
      <c r="C496" s="15">
        <v>53208</v>
      </c>
      <c r="D496" s="15">
        <v>67615</v>
      </c>
      <c r="E496" s="15">
        <v>4400</v>
      </c>
      <c r="F496" s="15">
        <v>294.07</v>
      </c>
      <c r="G496" s="15">
        <v>13.5</v>
      </c>
      <c r="H496" s="165" t="s">
        <v>63</v>
      </c>
    </row>
    <row r="497" spans="1:8">
      <c r="A497" s="449" t="s">
        <v>1190</v>
      </c>
      <c r="B497" s="15">
        <v>9181675</v>
      </c>
      <c r="C497" s="15">
        <v>53208</v>
      </c>
      <c r="D497" s="15">
        <v>67795</v>
      </c>
      <c r="E497" s="15">
        <v>4400</v>
      </c>
      <c r="F497" s="15">
        <v>294</v>
      </c>
      <c r="G497" s="15">
        <v>13.52</v>
      </c>
      <c r="H497" s="165" t="s">
        <v>63</v>
      </c>
    </row>
    <row r="498" spans="1:8">
      <c r="A498" s="449" t="s">
        <v>1455</v>
      </c>
      <c r="B498" s="15">
        <v>9418298</v>
      </c>
      <c r="C498" s="15">
        <v>43679</v>
      </c>
      <c r="D498" s="15">
        <v>57790</v>
      </c>
      <c r="E498" s="15">
        <v>4400</v>
      </c>
      <c r="F498" s="15">
        <v>264</v>
      </c>
      <c r="G498" s="15">
        <v>13.2</v>
      </c>
      <c r="H498" s="165" t="s">
        <v>63</v>
      </c>
    </row>
    <row r="499" spans="1:8">
      <c r="A499" s="449" t="s">
        <v>1456</v>
      </c>
      <c r="B499" s="15">
        <v>9419539</v>
      </c>
      <c r="C499" s="15">
        <v>43679</v>
      </c>
      <c r="D499" s="15">
        <v>57790</v>
      </c>
      <c r="E499" s="15">
        <v>4400</v>
      </c>
      <c r="F499" s="15">
        <v>264</v>
      </c>
      <c r="G499" s="15">
        <v>13.2</v>
      </c>
      <c r="H499" s="165" t="s">
        <v>63</v>
      </c>
    </row>
    <row r="500" spans="1:8">
      <c r="A500" s="449" t="s">
        <v>1508</v>
      </c>
      <c r="B500" s="15">
        <v>9459278</v>
      </c>
      <c r="C500" s="15">
        <v>42112</v>
      </c>
      <c r="D500" s="15">
        <v>54325</v>
      </c>
      <c r="E500" s="15">
        <v>4400</v>
      </c>
      <c r="F500" s="15">
        <v>259.98</v>
      </c>
      <c r="G500" s="15">
        <v>12.6</v>
      </c>
      <c r="H500" s="165" t="s">
        <v>63</v>
      </c>
    </row>
    <row r="501" spans="1:8">
      <c r="A501" s="449" t="s">
        <v>952</v>
      </c>
      <c r="B501" s="15">
        <v>9253741</v>
      </c>
      <c r="C501" s="15">
        <v>55994</v>
      </c>
      <c r="D501" s="15">
        <v>47828</v>
      </c>
      <c r="E501" s="15">
        <v>4402</v>
      </c>
      <c r="F501" s="15">
        <v>294</v>
      </c>
      <c r="G501" s="15">
        <v>10.78</v>
      </c>
      <c r="H501" s="165" t="s">
        <v>63</v>
      </c>
    </row>
    <row r="502" spans="1:8">
      <c r="A502" s="449" t="s">
        <v>1356</v>
      </c>
      <c r="B502" s="15">
        <v>9253739</v>
      </c>
      <c r="C502" s="15">
        <v>55994</v>
      </c>
      <c r="D502" s="15">
        <v>47840</v>
      </c>
      <c r="E502" s="15">
        <v>4402</v>
      </c>
      <c r="F502" s="15">
        <v>294</v>
      </c>
      <c r="G502" s="15">
        <v>10.78</v>
      </c>
      <c r="H502" s="165" t="s">
        <v>63</v>
      </c>
    </row>
    <row r="503" spans="1:8">
      <c r="A503" s="449" t="s">
        <v>1553</v>
      </c>
      <c r="B503" s="15">
        <v>9253727</v>
      </c>
      <c r="C503" s="15">
        <v>55994</v>
      </c>
      <c r="D503" s="15">
        <v>47840</v>
      </c>
      <c r="E503" s="15">
        <v>4402</v>
      </c>
      <c r="F503" s="15">
        <v>294</v>
      </c>
      <c r="G503" s="15">
        <v>10.78</v>
      </c>
      <c r="H503" s="165" t="s">
        <v>63</v>
      </c>
    </row>
    <row r="504" spans="1:8">
      <c r="A504" s="449" t="s">
        <v>1395</v>
      </c>
      <c r="B504" s="15">
        <v>8902541</v>
      </c>
      <c r="C504" s="15">
        <v>53783</v>
      </c>
      <c r="D504" s="15">
        <v>67727</v>
      </c>
      <c r="E504" s="15">
        <v>4409</v>
      </c>
      <c r="F504" s="15">
        <v>294</v>
      </c>
      <c r="G504" s="15">
        <v>13</v>
      </c>
      <c r="H504" s="165" t="s">
        <v>63</v>
      </c>
    </row>
    <row r="505" spans="1:8">
      <c r="A505" s="449" t="s">
        <v>885</v>
      </c>
      <c r="B505" s="15">
        <v>8819964</v>
      </c>
      <c r="C505" s="15">
        <v>52181</v>
      </c>
      <c r="D505" s="15">
        <v>60350</v>
      </c>
      <c r="E505" s="15">
        <v>4437</v>
      </c>
      <c r="F505" s="15">
        <v>294.12</v>
      </c>
      <c r="G505" s="15">
        <v>13.52</v>
      </c>
      <c r="H505" s="165" t="s">
        <v>63</v>
      </c>
    </row>
    <row r="506" spans="1:8">
      <c r="A506" s="449" t="s">
        <v>1120</v>
      </c>
      <c r="B506" s="15">
        <v>8613310</v>
      </c>
      <c r="C506" s="15">
        <v>52191</v>
      </c>
      <c r="D506" s="15">
        <v>60639</v>
      </c>
      <c r="E506" s="15">
        <v>4437</v>
      </c>
      <c r="F506" s="15">
        <v>294</v>
      </c>
      <c r="G506" s="15">
        <v>13.5</v>
      </c>
      <c r="H506" s="165" t="s">
        <v>63</v>
      </c>
    </row>
    <row r="507" spans="1:8">
      <c r="A507" s="449" t="s">
        <v>1122</v>
      </c>
      <c r="B507" s="15">
        <v>8613322</v>
      </c>
      <c r="C507" s="15">
        <v>52191</v>
      </c>
      <c r="D507" s="15">
        <v>60639</v>
      </c>
      <c r="E507" s="15">
        <v>4437</v>
      </c>
      <c r="F507" s="15">
        <v>294.11</v>
      </c>
      <c r="G507" s="15">
        <v>13.52</v>
      </c>
      <c r="H507" s="165" t="s">
        <v>63</v>
      </c>
    </row>
    <row r="508" spans="1:8">
      <c r="A508" s="449" t="s">
        <v>1147</v>
      </c>
      <c r="B508" s="15">
        <v>8613308</v>
      </c>
      <c r="C508" s="15">
        <v>52191</v>
      </c>
      <c r="D508" s="15">
        <v>60639</v>
      </c>
      <c r="E508" s="15">
        <v>4437</v>
      </c>
      <c r="F508" s="15">
        <v>294.11</v>
      </c>
      <c r="G508" s="15">
        <v>13.52</v>
      </c>
      <c r="H508" s="165" t="s">
        <v>63</v>
      </c>
    </row>
    <row r="509" spans="1:8">
      <c r="A509" s="449" t="s">
        <v>1191</v>
      </c>
      <c r="B509" s="15">
        <v>8715857</v>
      </c>
      <c r="C509" s="15">
        <v>52181</v>
      </c>
      <c r="D509" s="15">
        <v>60639</v>
      </c>
      <c r="E509" s="15">
        <v>4437</v>
      </c>
      <c r="F509" s="15">
        <v>294.12</v>
      </c>
      <c r="G509" s="15">
        <v>13.52</v>
      </c>
      <c r="H509" s="165" t="s">
        <v>63</v>
      </c>
    </row>
    <row r="510" spans="1:8">
      <c r="A510" s="449" t="s">
        <v>1063</v>
      </c>
      <c r="B510" s="15">
        <v>9236547</v>
      </c>
      <c r="C510" s="15">
        <v>51364</v>
      </c>
      <c r="D510" s="15">
        <v>58287</v>
      </c>
      <c r="E510" s="15">
        <v>4444</v>
      </c>
      <c r="F510" s="15">
        <v>286.26</v>
      </c>
      <c r="G510" s="15">
        <v>13.2</v>
      </c>
      <c r="H510" s="165" t="s">
        <v>63</v>
      </c>
    </row>
    <row r="511" spans="1:8">
      <c r="A511" s="449" t="s">
        <v>1055</v>
      </c>
      <c r="B511" s="15">
        <v>9000493</v>
      </c>
      <c r="C511" s="15">
        <v>53521</v>
      </c>
      <c r="D511" s="15">
        <v>61777</v>
      </c>
      <c r="E511" s="15">
        <v>4469</v>
      </c>
      <c r="F511" s="15">
        <v>275</v>
      </c>
      <c r="G511" s="15">
        <v>13.6</v>
      </c>
      <c r="H511" s="165" t="s">
        <v>63</v>
      </c>
    </row>
    <row r="512" spans="1:8">
      <c r="A512" s="449" t="s">
        <v>1655</v>
      </c>
      <c r="B512" s="15">
        <v>9261451</v>
      </c>
      <c r="C512" s="15">
        <v>66332</v>
      </c>
      <c r="D512" s="15">
        <v>67164</v>
      </c>
      <c r="E512" s="15">
        <v>4492</v>
      </c>
      <c r="F512" s="15">
        <v>278.94</v>
      </c>
      <c r="G512" s="15">
        <v>14.02</v>
      </c>
      <c r="H512" s="165" t="s">
        <v>63</v>
      </c>
    </row>
    <row r="513" spans="1:8">
      <c r="A513" s="449" t="s">
        <v>769</v>
      </c>
      <c r="B513" s="15">
        <v>9190781</v>
      </c>
      <c r="C513" s="15">
        <v>50688</v>
      </c>
      <c r="D513" s="15">
        <v>63395</v>
      </c>
      <c r="E513" s="15">
        <v>4500</v>
      </c>
      <c r="F513" s="15">
        <v>266</v>
      </c>
      <c r="G513" s="15">
        <v>14</v>
      </c>
      <c r="H513" s="165" t="s">
        <v>63</v>
      </c>
    </row>
    <row r="514" spans="1:8">
      <c r="A514" s="449" t="s">
        <v>1074</v>
      </c>
      <c r="B514" s="15">
        <v>9181651</v>
      </c>
      <c r="C514" s="15">
        <v>53208</v>
      </c>
      <c r="D514" s="15">
        <v>67678</v>
      </c>
      <c r="E514" s="15">
        <v>4500</v>
      </c>
      <c r="F514" s="15">
        <v>294.06</v>
      </c>
      <c r="G514" s="15">
        <v>13.5</v>
      </c>
      <c r="H514" s="165" t="s">
        <v>63</v>
      </c>
    </row>
    <row r="515" spans="1:8">
      <c r="A515" s="449" t="s">
        <v>1459</v>
      </c>
      <c r="B515" s="15">
        <v>9313917</v>
      </c>
      <c r="C515" s="15">
        <v>48853</v>
      </c>
      <c r="D515" s="15">
        <v>53634</v>
      </c>
      <c r="E515" s="15">
        <v>4504</v>
      </c>
      <c r="F515" s="15">
        <v>294.10000000000002</v>
      </c>
      <c r="G515" s="15">
        <v>12.2</v>
      </c>
      <c r="H515" s="165" t="s">
        <v>63</v>
      </c>
    </row>
    <row r="516" spans="1:8">
      <c r="A516" s="449" t="s">
        <v>459</v>
      </c>
      <c r="B516" s="15">
        <v>9103702</v>
      </c>
      <c r="C516" s="15">
        <v>51931</v>
      </c>
      <c r="D516" s="15">
        <v>60348</v>
      </c>
      <c r="E516" s="15">
        <v>4507</v>
      </c>
      <c r="F516" s="15">
        <v>293</v>
      </c>
      <c r="G516" s="15">
        <v>13.02</v>
      </c>
      <c r="H516" s="165" t="s">
        <v>63</v>
      </c>
    </row>
    <row r="517" spans="1:8">
      <c r="A517" s="449" t="s">
        <v>1231</v>
      </c>
      <c r="B517" s="15">
        <v>9103697</v>
      </c>
      <c r="C517" s="15">
        <v>51931</v>
      </c>
      <c r="D517" s="15">
        <v>60348</v>
      </c>
      <c r="E517" s="15">
        <v>4507</v>
      </c>
      <c r="F517" s="15">
        <v>293.5</v>
      </c>
      <c r="G517" s="15">
        <v>13.02</v>
      </c>
      <c r="H517" s="165" t="s">
        <v>63</v>
      </c>
    </row>
    <row r="518" spans="1:8">
      <c r="A518" s="449" t="s">
        <v>181</v>
      </c>
      <c r="B518" s="15">
        <v>9492713</v>
      </c>
      <c r="C518" s="15">
        <v>46444</v>
      </c>
      <c r="D518" s="15">
        <v>58200</v>
      </c>
      <c r="E518" s="15">
        <v>4520</v>
      </c>
      <c r="F518" s="15">
        <v>269.8</v>
      </c>
      <c r="G518" s="15">
        <v>13.02</v>
      </c>
      <c r="H518" s="165" t="s">
        <v>63</v>
      </c>
    </row>
    <row r="519" spans="1:8">
      <c r="A519" s="449" t="s">
        <v>184</v>
      </c>
      <c r="B519" s="15">
        <v>9492701</v>
      </c>
      <c r="C519" s="15">
        <v>46444</v>
      </c>
      <c r="D519" s="15">
        <v>58200</v>
      </c>
      <c r="E519" s="15">
        <v>4520</v>
      </c>
      <c r="F519" s="15">
        <v>269.8</v>
      </c>
      <c r="G519" s="15">
        <v>13.02</v>
      </c>
      <c r="H519" s="165" t="s">
        <v>63</v>
      </c>
    </row>
    <row r="520" spans="1:8">
      <c r="A520" s="449" t="s">
        <v>200</v>
      </c>
      <c r="B520" s="15">
        <v>9492696</v>
      </c>
      <c r="C520" s="15">
        <v>46444</v>
      </c>
      <c r="D520" s="15">
        <v>58200</v>
      </c>
      <c r="E520" s="15">
        <v>4520</v>
      </c>
      <c r="F520" s="15">
        <v>269.8</v>
      </c>
      <c r="G520" s="15">
        <v>13.02</v>
      </c>
      <c r="H520" s="165" t="s">
        <v>63</v>
      </c>
    </row>
    <row r="521" spans="1:8">
      <c r="A521" s="449" t="s">
        <v>203</v>
      </c>
      <c r="B521" s="15">
        <v>9494280</v>
      </c>
      <c r="C521" s="15">
        <v>46444</v>
      </c>
      <c r="D521" s="15">
        <v>58200</v>
      </c>
      <c r="E521" s="15">
        <v>4520</v>
      </c>
      <c r="F521" s="15">
        <v>269.8</v>
      </c>
      <c r="G521" s="15">
        <v>13.02</v>
      </c>
      <c r="H521" s="165" t="s">
        <v>63</v>
      </c>
    </row>
    <row r="522" spans="1:8">
      <c r="A522" s="449" t="s">
        <v>801</v>
      </c>
      <c r="B522" s="15">
        <v>9235543</v>
      </c>
      <c r="C522" s="15">
        <v>50686</v>
      </c>
      <c r="D522" s="15">
        <v>62007</v>
      </c>
      <c r="E522" s="15">
        <v>4544</v>
      </c>
      <c r="F522" s="15">
        <v>292.07</v>
      </c>
      <c r="G522" s="15">
        <v>13.5</v>
      </c>
      <c r="H522" s="165" t="s">
        <v>63</v>
      </c>
    </row>
    <row r="523" spans="1:8">
      <c r="A523" s="449" t="s">
        <v>1178</v>
      </c>
      <c r="B523" s="15">
        <v>9141297</v>
      </c>
      <c r="C523" s="15">
        <v>53324</v>
      </c>
      <c r="D523" s="15">
        <v>63645</v>
      </c>
      <c r="E523" s="15">
        <v>4545</v>
      </c>
      <c r="F523" s="15">
        <v>294.13</v>
      </c>
      <c r="G523" s="15">
        <v>13.02</v>
      </c>
      <c r="H523" s="165" t="s">
        <v>63</v>
      </c>
    </row>
    <row r="524" spans="1:8">
      <c r="A524" s="449" t="s">
        <v>1189</v>
      </c>
      <c r="B524" s="15">
        <v>9147071</v>
      </c>
      <c r="C524" s="15">
        <v>53324</v>
      </c>
      <c r="D524" s="15">
        <v>63537</v>
      </c>
      <c r="E524" s="15">
        <v>4545</v>
      </c>
      <c r="F524" s="15">
        <v>294.12</v>
      </c>
      <c r="G524" s="15">
        <v>13.02</v>
      </c>
      <c r="H524" s="165" t="s">
        <v>63</v>
      </c>
    </row>
    <row r="525" spans="1:8">
      <c r="A525" s="449" t="s">
        <v>195</v>
      </c>
      <c r="B525" s="15">
        <v>9252096</v>
      </c>
      <c r="C525" s="15">
        <v>52701</v>
      </c>
      <c r="D525" s="15">
        <v>58281</v>
      </c>
      <c r="E525" s="15">
        <v>4546</v>
      </c>
      <c r="F525" s="15">
        <v>291.68</v>
      </c>
      <c r="G525" s="15">
        <v>13.2</v>
      </c>
      <c r="H525" s="165" t="s">
        <v>63</v>
      </c>
    </row>
    <row r="526" spans="1:8">
      <c r="A526" s="449" t="s">
        <v>679</v>
      </c>
      <c r="B526" s="15">
        <v>9330707</v>
      </c>
      <c r="C526" s="15">
        <v>52581</v>
      </c>
      <c r="D526" s="15">
        <v>63439</v>
      </c>
      <c r="E526" s="15">
        <v>4571</v>
      </c>
      <c r="F526" s="15">
        <v>295</v>
      </c>
      <c r="G526" s="15">
        <v>13.5</v>
      </c>
      <c r="H526" s="165" t="s">
        <v>63</v>
      </c>
    </row>
    <row r="527" spans="1:8">
      <c r="A527" s="449" t="s">
        <v>698</v>
      </c>
      <c r="B527" s="15">
        <v>9330719</v>
      </c>
      <c r="C527" s="15">
        <v>52581</v>
      </c>
      <c r="D527" s="15">
        <v>63439</v>
      </c>
      <c r="E527" s="15">
        <v>4571</v>
      </c>
      <c r="F527" s="15">
        <v>294.10000000000002</v>
      </c>
      <c r="G527" s="15">
        <v>13.51</v>
      </c>
      <c r="H527" s="165" t="s">
        <v>63</v>
      </c>
    </row>
    <row r="528" spans="1:8">
      <c r="A528" s="449" t="s">
        <v>1350</v>
      </c>
      <c r="B528" s="15">
        <v>9329526</v>
      </c>
      <c r="C528" s="15">
        <v>40168</v>
      </c>
      <c r="D528" s="15">
        <v>50554</v>
      </c>
      <c r="E528" s="15">
        <v>4578</v>
      </c>
      <c r="F528" s="15">
        <v>259.8</v>
      </c>
      <c r="G528" s="15">
        <v>12.62</v>
      </c>
      <c r="H528" s="165" t="s">
        <v>63</v>
      </c>
    </row>
    <row r="529" spans="1:8">
      <c r="A529" s="449" t="s">
        <v>1357</v>
      </c>
      <c r="B529" s="15">
        <v>9445538</v>
      </c>
      <c r="C529" s="15">
        <v>40168</v>
      </c>
      <c r="D529" s="15">
        <v>50501</v>
      </c>
      <c r="E529" s="15">
        <v>4578</v>
      </c>
      <c r="F529" s="15">
        <v>260.05</v>
      </c>
      <c r="G529" s="15">
        <v>12.62</v>
      </c>
      <c r="H529" s="165" t="s">
        <v>63</v>
      </c>
    </row>
    <row r="530" spans="1:8">
      <c r="A530" s="449" t="s">
        <v>1358</v>
      </c>
      <c r="B530" s="15">
        <v>9440045</v>
      </c>
      <c r="C530" s="15">
        <v>40168</v>
      </c>
      <c r="D530" s="15">
        <v>50489</v>
      </c>
      <c r="E530" s="15">
        <v>4578</v>
      </c>
      <c r="F530" s="15">
        <v>260.10000000000002</v>
      </c>
      <c r="G530" s="15">
        <v>12.62</v>
      </c>
      <c r="H530" s="165" t="s">
        <v>63</v>
      </c>
    </row>
    <row r="531" spans="1:8">
      <c r="A531" s="449" t="s">
        <v>215</v>
      </c>
      <c r="B531" s="15">
        <v>9484572</v>
      </c>
      <c r="C531" s="15">
        <v>47877</v>
      </c>
      <c r="D531" s="15">
        <v>59266</v>
      </c>
      <c r="E531" s="15">
        <v>4600</v>
      </c>
      <c r="F531" s="15">
        <v>264.32</v>
      </c>
      <c r="G531" s="15">
        <v>13.5</v>
      </c>
      <c r="H531" s="165" t="s">
        <v>63</v>
      </c>
    </row>
    <row r="532" spans="1:8">
      <c r="A532" s="449" t="s">
        <v>1283</v>
      </c>
      <c r="B532" s="15">
        <v>9467055</v>
      </c>
      <c r="C532" s="15">
        <v>47855</v>
      </c>
      <c r="D532" s="15">
        <v>59346</v>
      </c>
      <c r="E532" s="15">
        <v>4600</v>
      </c>
      <c r="F532" s="15">
        <v>264</v>
      </c>
      <c r="G532" s="15">
        <v>13.5</v>
      </c>
      <c r="H532" s="165" t="s">
        <v>63</v>
      </c>
    </row>
    <row r="533" spans="1:8">
      <c r="A533" s="449" t="s">
        <v>733</v>
      </c>
      <c r="B533" s="15">
        <v>9143544</v>
      </c>
      <c r="C533" s="15">
        <v>53523</v>
      </c>
      <c r="D533" s="15">
        <v>66771</v>
      </c>
      <c r="E533" s="15">
        <v>4612</v>
      </c>
      <c r="F533" s="15">
        <v>293.94</v>
      </c>
      <c r="G533" s="15">
        <v>13.62</v>
      </c>
      <c r="H533" s="165" t="s">
        <v>63</v>
      </c>
    </row>
    <row r="534" spans="1:8">
      <c r="A534" s="449" t="s">
        <v>763</v>
      </c>
      <c r="B534" s="15">
        <v>9143568</v>
      </c>
      <c r="C534" s="15">
        <v>53523</v>
      </c>
      <c r="D534" s="15">
        <v>66577</v>
      </c>
      <c r="E534" s="15">
        <v>4612</v>
      </c>
      <c r="F534" s="15">
        <v>294.04000000000002</v>
      </c>
      <c r="G534" s="15">
        <v>13.63</v>
      </c>
      <c r="H534" s="165" t="s">
        <v>63</v>
      </c>
    </row>
    <row r="535" spans="1:8">
      <c r="A535" s="449" t="s">
        <v>470</v>
      </c>
      <c r="B535" s="15">
        <v>9143556</v>
      </c>
      <c r="C535" s="15">
        <v>53523</v>
      </c>
      <c r="D535" s="15">
        <v>66525</v>
      </c>
      <c r="E535" s="15">
        <v>4616</v>
      </c>
      <c r="F535" s="15">
        <v>294</v>
      </c>
      <c r="G535" s="15">
        <v>13.6</v>
      </c>
      <c r="H535" s="165" t="s">
        <v>63</v>
      </c>
    </row>
    <row r="536" spans="1:8">
      <c r="A536" s="449" t="s">
        <v>731</v>
      </c>
      <c r="B536" s="15">
        <v>8902539</v>
      </c>
      <c r="C536" s="15">
        <v>53783</v>
      </c>
      <c r="D536" s="15">
        <v>67686</v>
      </c>
      <c r="E536" s="15">
        <v>4639</v>
      </c>
      <c r="F536" s="15">
        <v>294</v>
      </c>
      <c r="G536" s="15">
        <v>13.5</v>
      </c>
      <c r="H536" s="165" t="s">
        <v>63</v>
      </c>
    </row>
    <row r="537" spans="1:8">
      <c r="A537" s="449" t="s">
        <v>1177</v>
      </c>
      <c r="B537" s="15">
        <v>9038907</v>
      </c>
      <c r="C537" s="15">
        <v>53815</v>
      </c>
      <c r="D537" s="15">
        <v>53815</v>
      </c>
      <c r="E537" s="15">
        <v>4639</v>
      </c>
      <c r="F537" s="15">
        <v>294</v>
      </c>
      <c r="G537" s="15">
        <v>13.5</v>
      </c>
      <c r="H537" s="165" t="s">
        <v>63</v>
      </c>
    </row>
    <row r="538" spans="1:8">
      <c r="A538" s="449" t="s">
        <v>1378</v>
      </c>
      <c r="B538" s="15">
        <v>9038919</v>
      </c>
      <c r="C538" s="15">
        <v>53815</v>
      </c>
      <c r="D538" s="15">
        <v>65815</v>
      </c>
      <c r="E538" s="15">
        <v>4639</v>
      </c>
      <c r="F538" s="15">
        <v>294</v>
      </c>
      <c r="G538" s="15">
        <v>13.5</v>
      </c>
      <c r="H538" s="165" t="s">
        <v>63</v>
      </c>
    </row>
    <row r="539" spans="1:8">
      <c r="A539" s="449" t="s">
        <v>1200</v>
      </c>
      <c r="B539" s="15">
        <v>9036002</v>
      </c>
      <c r="C539" s="15">
        <v>51836</v>
      </c>
      <c r="D539" s="15">
        <v>61153</v>
      </c>
      <c r="E539" s="15">
        <v>4651</v>
      </c>
      <c r="F539" s="15">
        <v>275.04000000000002</v>
      </c>
      <c r="G539" s="15">
        <v>13.62</v>
      </c>
      <c r="H539" s="165" t="s">
        <v>63</v>
      </c>
    </row>
    <row r="540" spans="1:8">
      <c r="A540" s="449" t="s">
        <v>807</v>
      </c>
      <c r="B540" s="15">
        <v>9193264</v>
      </c>
      <c r="C540" s="15">
        <v>50698</v>
      </c>
      <c r="D540" s="15">
        <v>61986</v>
      </c>
      <c r="E540" s="15">
        <v>4658</v>
      </c>
      <c r="F540" s="15">
        <v>292.07</v>
      </c>
      <c r="G540" s="15">
        <v>13.52</v>
      </c>
      <c r="H540" s="165" t="s">
        <v>63</v>
      </c>
    </row>
    <row r="541" spans="1:8">
      <c r="A541" s="449" t="s">
        <v>1613</v>
      </c>
      <c r="B541" s="15">
        <v>9496604</v>
      </c>
      <c r="C541" s="15">
        <v>47952</v>
      </c>
      <c r="D541" s="15">
        <v>57320</v>
      </c>
      <c r="E541" s="15">
        <v>4662</v>
      </c>
      <c r="F541" s="15">
        <v>259</v>
      </c>
      <c r="G541" s="15">
        <v>11.8</v>
      </c>
      <c r="H541" s="165" t="s">
        <v>63</v>
      </c>
    </row>
    <row r="542" spans="1:8">
      <c r="A542" s="449" t="s">
        <v>1614</v>
      </c>
      <c r="B542" s="15">
        <v>9496599</v>
      </c>
      <c r="C542" s="15">
        <v>47952</v>
      </c>
      <c r="D542" s="15">
        <v>57320</v>
      </c>
      <c r="E542" s="15">
        <v>4662</v>
      </c>
      <c r="F542" s="15">
        <v>259</v>
      </c>
      <c r="G542" s="15">
        <v>12.8</v>
      </c>
      <c r="H542" s="165" t="s">
        <v>63</v>
      </c>
    </row>
    <row r="543" spans="1:8">
      <c r="A543" s="449" t="s">
        <v>1615</v>
      </c>
      <c r="B543" s="15">
        <v>9496460</v>
      </c>
      <c r="C543" s="15">
        <v>47952</v>
      </c>
      <c r="D543" s="15">
        <v>57320</v>
      </c>
      <c r="E543" s="15">
        <v>4662</v>
      </c>
      <c r="F543" s="15">
        <v>259</v>
      </c>
      <c r="G543" s="15">
        <v>11.8</v>
      </c>
      <c r="H543" s="165" t="s">
        <v>63</v>
      </c>
    </row>
    <row r="544" spans="1:8">
      <c r="A544" s="449" t="s">
        <v>1616</v>
      </c>
      <c r="B544" s="15">
        <v>9496628</v>
      </c>
      <c r="C544" s="15">
        <v>47952</v>
      </c>
      <c r="D544" s="15">
        <v>57320</v>
      </c>
      <c r="E544" s="15">
        <v>4662</v>
      </c>
      <c r="F544" s="15">
        <v>259</v>
      </c>
      <c r="G544" s="15">
        <v>12.84</v>
      </c>
      <c r="H544" s="165" t="s">
        <v>63</v>
      </c>
    </row>
    <row r="545" spans="1:8">
      <c r="A545" s="449" t="s">
        <v>676</v>
      </c>
      <c r="B545" s="15">
        <v>9347578</v>
      </c>
      <c r="C545" s="15">
        <v>52581</v>
      </c>
      <c r="D545" s="15">
        <v>63254</v>
      </c>
      <c r="E545" s="15">
        <v>4700</v>
      </c>
      <c r="F545" s="15">
        <v>294.10000000000002</v>
      </c>
      <c r="G545" s="15">
        <v>13.51</v>
      </c>
      <c r="H545" s="165" t="s">
        <v>63</v>
      </c>
    </row>
    <row r="546" spans="1:8">
      <c r="A546" s="449" t="s">
        <v>681</v>
      </c>
      <c r="B546" s="15">
        <v>9347607</v>
      </c>
      <c r="C546" s="15">
        <v>52581</v>
      </c>
      <c r="D546" s="15">
        <v>63439</v>
      </c>
      <c r="E546" s="15">
        <v>4700</v>
      </c>
      <c r="F546" s="15">
        <v>294.10000000000002</v>
      </c>
      <c r="G546" s="15">
        <v>13.51</v>
      </c>
      <c r="H546" s="165" t="s">
        <v>63</v>
      </c>
    </row>
    <row r="547" spans="1:8">
      <c r="A547" s="449" t="s">
        <v>682</v>
      </c>
      <c r="B547" s="15">
        <v>9330721</v>
      </c>
      <c r="C547" s="15">
        <v>52581</v>
      </c>
      <c r="D547" s="15">
        <v>63439</v>
      </c>
      <c r="E547" s="15">
        <v>4700</v>
      </c>
      <c r="F547" s="15">
        <v>294.10000000000002</v>
      </c>
      <c r="G547" s="15">
        <v>13.51</v>
      </c>
      <c r="H547" s="165" t="s">
        <v>63</v>
      </c>
    </row>
    <row r="548" spans="1:8">
      <c r="A548" s="449" t="s">
        <v>883</v>
      </c>
      <c r="B548" s="15">
        <v>9122605</v>
      </c>
      <c r="C548" s="15">
        <v>58923</v>
      </c>
      <c r="D548" s="15">
        <v>61489</v>
      </c>
      <c r="E548" s="15">
        <v>4706</v>
      </c>
      <c r="F548" s="15">
        <v>299.83999999999997</v>
      </c>
      <c r="G548" s="15">
        <v>13.02</v>
      </c>
      <c r="H548" s="165" t="s">
        <v>63</v>
      </c>
    </row>
    <row r="549" spans="1:8">
      <c r="A549" s="449" t="s">
        <v>686</v>
      </c>
      <c r="B549" s="15">
        <v>9347592</v>
      </c>
      <c r="C549" s="15">
        <v>52581</v>
      </c>
      <c r="D549" s="15">
        <v>63157</v>
      </c>
      <c r="E549" s="15">
        <v>4728</v>
      </c>
      <c r="F549" s="15">
        <v>294.10000000000002</v>
      </c>
      <c r="G549" s="15">
        <v>13.51</v>
      </c>
      <c r="H549" s="165" t="s">
        <v>63</v>
      </c>
    </row>
    <row r="550" spans="1:8">
      <c r="A550" s="449" t="s">
        <v>701</v>
      </c>
      <c r="B550" s="15">
        <v>9347580</v>
      </c>
      <c r="C550" s="15">
        <v>52581</v>
      </c>
      <c r="D550" s="15">
        <v>64220</v>
      </c>
      <c r="E550" s="15">
        <v>4728</v>
      </c>
      <c r="F550" s="15">
        <v>294</v>
      </c>
      <c r="G550" s="15">
        <v>15.5</v>
      </c>
      <c r="H550" s="165" t="s">
        <v>63</v>
      </c>
    </row>
    <row r="551" spans="1:8">
      <c r="A551" s="449" t="s">
        <v>179</v>
      </c>
      <c r="B551" s="15">
        <v>9292230</v>
      </c>
      <c r="C551" s="15">
        <v>54519</v>
      </c>
      <c r="D551" s="15">
        <v>65002</v>
      </c>
      <c r="E551" s="15">
        <v>4738</v>
      </c>
      <c r="F551" s="15">
        <v>294.12</v>
      </c>
      <c r="G551" s="15">
        <v>13.52</v>
      </c>
      <c r="H551" s="165" t="s">
        <v>63</v>
      </c>
    </row>
    <row r="552" spans="1:8">
      <c r="A552" s="449" t="s">
        <v>756</v>
      </c>
      <c r="B552" s="15">
        <v>9293454</v>
      </c>
      <c r="C552" s="15">
        <v>54519</v>
      </c>
      <c r="D552" s="15">
        <v>64983</v>
      </c>
      <c r="E552" s="15">
        <v>4738</v>
      </c>
      <c r="F552" s="15">
        <v>293</v>
      </c>
      <c r="G552" s="15">
        <v>13.5</v>
      </c>
      <c r="H552" s="165" t="s">
        <v>63</v>
      </c>
    </row>
    <row r="553" spans="1:8">
      <c r="A553" s="449" t="s">
        <v>1491</v>
      </c>
      <c r="B553" s="15">
        <v>9292175</v>
      </c>
      <c r="C553" s="15">
        <v>54519</v>
      </c>
      <c r="D553" s="15">
        <v>65038</v>
      </c>
      <c r="E553" s="15">
        <v>4738</v>
      </c>
      <c r="F553" s="15">
        <v>294.12</v>
      </c>
      <c r="G553" s="15">
        <v>13.52</v>
      </c>
      <c r="H553" s="165" t="s">
        <v>63</v>
      </c>
    </row>
    <row r="554" spans="1:8">
      <c r="A554" s="449" t="s">
        <v>1572</v>
      </c>
      <c r="B554" s="15">
        <v>9293442</v>
      </c>
      <c r="C554" s="15">
        <v>54519</v>
      </c>
      <c r="D554" s="15">
        <v>64989</v>
      </c>
      <c r="E554" s="15">
        <v>4738</v>
      </c>
      <c r="F554" s="15">
        <v>294.12</v>
      </c>
      <c r="G554" s="15">
        <v>13.52</v>
      </c>
      <c r="H554" s="165" t="s">
        <v>63</v>
      </c>
    </row>
    <row r="555" spans="1:8">
      <c r="A555" s="449" t="s">
        <v>1206</v>
      </c>
      <c r="B555" s="15">
        <v>9074004</v>
      </c>
      <c r="C555" s="15">
        <v>60117</v>
      </c>
      <c r="D555" s="15">
        <v>63179</v>
      </c>
      <c r="E555" s="15">
        <v>4743</v>
      </c>
      <c r="F555" s="15">
        <v>299.95</v>
      </c>
      <c r="G555" s="15">
        <v>13</v>
      </c>
      <c r="H555" s="165" t="s">
        <v>63</v>
      </c>
    </row>
    <row r="556" spans="1:8">
      <c r="A556" s="449" t="s">
        <v>916</v>
      </c>
      <c r="B556" s="15">
        <v>9333838</v>
      </c>
      <c r="C556" s="15">
        <v>54098</v>
      </c>
      <c r="D556" s="15">
        <v>62953</v>
      </c>
      <c r="E556" s="15">
        <v>4803</v>
      </c>
      <c r="F556" s="15">
        <v>293</v>
      </c>
      <c r="G556" s="15">
        <v>12</v>
      </c>
      <c r="H556" s="165" t="s">
        <v>63</v>
      </c>
    </row>
    <row r="557" spans="1:8">
      <c r="A557" s="449" t="s">
        <v>1164</v>
      </c>
      <c r="B557" s="15">
        <v>8715871</v>
      </c>
      <c r="C557" s="15">
        <v>52181</v>
      </c>
      <c r="D557" s="15">
        <v>60189</v>
      </c>
      <c r="E557" s="15">
        <v>4814</v>
      </c>
      <c r="F557" s="15">
        <v>294.12</v>
      </c>
      <c r="G557" s="15">
        <v>13.52</v>
      </c>
      <c r="H557" s="165" t="s">
        <v>63</v>
      </c>
    </row>
    <row r="558" spans="1:8">
      <c r="A558" s="449" t="s">
        <v>570</v>
      </c>
      <c r="B558" s="15">
        <v>9290402</v>
      </c>
      <c r="C558" s="15">
        <v>54809</v>
      </c>
      <c r="D558" s="15">
        <v>67310</v>
      </c>
      <c r="E558" s="15">
        <v>4839</v>
      </c>
      <c r="F558" s="15">
        <v>294.10000000000002</v>
      </c>
      <c r="G558" s="15">
        <v>13</v>
      </c>
      <c r="H558" s="165" t="s">
        <v>63</v>
      </c>
    </row>
    <row r="559" spans="1:8">
      <c r="A559" s="449" t="s">
        <v>1512</v>
      </c>
      <c r="B559" s="15">
        <v>9297474</v>
      </c>
      <c r="C559" s="15">
        <v>54809</v>
      </c>
      <c r="D559" s="15">
        <v>67222</v>
      </c>
      <c r="E559" s="15">
        <v>4839</v>
      </c>
      <c r="F559" s="15">
        <v>294.10000000000002</v>
      </c>
      <c r="G559" s="15">
        <v>13.65</v>
      </c>
      <c r="H559" s="165" t="s">
        <v>63</v>
      </c>
    </row>
    <row r="560" spans="1:8">
      <c r="A560" s="449" t="s">
        <v>603</v>
      </c>
      <c r="B560" s="15">
        <v>9200823</v>
      </c>
      <c r="C560" s="15">
        <v>54437</v>
      </c>
      <c r="D560" s="15">
        <v>66818</v>
      </c>
      <c r="E560" s="15">
        <v>4843</v>
      </c>
      <c r="F560" s="15">
        <v>294.06</v>
      </c>
      <c r="G560" s="15">
        <v>13.55</v>
      </c>
      <c r="H560" s="165" t="s">
        <v>63</v>
      </c>
    </row>
    <row r="561" spans="1:8">
      <c r="A561" s="449" t="s">
        <v>1490</v>
      </c>
      <c r="B561" s="15">
        <v>9200809</v>
      </c>
      <c r="C561" s="15">
        <v>54437</v>
      </c>
      <c r="D561" s="15">
        <v>66818</v>
      </c>
      <c r="E561" s="15">
        <v>4846</v>
      </c>
      <c r="F561" s="15">
        <v>294</v>
      </c>
      <c r="G561" s="15">
        <v>13.55</v>
      </c>
      <c r="H561" s="165" t="s">
        <v>63</v>
      </c>
    </row>
    <row r="562" spans="1:8">
      <c r="A562" s="449" t="s">
        <v>1023</v>
      </c>
      <c r="B562" s="15">
        <v>9320441</v>
      </c>
      <c r="C562" s="15">
        <v>50963</v>
      </c>
      <c r="D562" s="15">
        <v>63428</v>
      </c>
      <c r="E562" s="15">
        <v>4860</v>
      </c>
      <c r="F562" s="15">
        <v>274.98</v>
      </c>
      <c r="G562" s="15">
        <v>13.5</v>
      </c>
      <c r="H562" s="165" t="s">
        <v>63</v>
      </c>
    </row>
    <row r="563" spans="1:8">
      <c r="A563" s="449" t="s">
        <v>1031</v>
      </c>
      <c r="B563" s="15">
        <v>9349801</v>
      </c>
      <c r="C563" s="15">
        <v>50963</v>
      </c>
      <c r="D563" s="15">
        <v>63352</v>
      </c>
      <c r="E563" s="15">
        <v>4860</v>
      </c>
      <c r="F563" s="15">
        <v>275</v>
      </c>
      <c r="G563" s="15">
        <v>13.5</v>
      </c>
      <c r="H563" s="165" t="s">
        <v>63</v>
      </c>
    </row>
    <row r="564" spans="1:8">
      <c r="A564" s="449" t="s">
        <v>1067</v>
      </c>
      <c r="B564" s="15">
        <v>9320427</v>
      </c>
      <c r="C564" s="15">
        <v>50963</v>
      </c>
      <c r="D564" s="15">
        <v>63505</v>
      </c>
      <c r="E564" s="15">
        <v>4860</v>
      </c>
      <c r="F564" s="15">
        <v>274.97000000000003</v>
      </c>
      <c r="G564" s="15">
        <v>13.5</v>
      </c>
      <c r="H564" s="165" t="s">
        <v>63</v>
      </c>
    </row>
    <row r="565" spans="1:8">
      <c r="A565" s="449" t="s">
        <v>1103</v>
      </c>
      <c r="B565" s="15">
        <v>9320439</v>
      </c>
      <c r="C565" s="15">
        <v>50963</v>
      </c>
      <c r="D565" s="15">
        <v>63411</v>
      </c>
      <c r="E565" s="15">
        <v>4860</v>
      </c>
      <c r="F565" s="15">
        <v>274.98</v>
      </c>
      <c r="G565" s="15">
        <v>13.5</v>
      </c>
      <c r="H565" s="165" t="s">
        <v>63</v>
      </c>
    </row>
    <row r="566" spans="1:8">
      <c r="A566" s="449" t="s">
        <v>1152</v>
      </c>
      <c r="B566" s="15">
        <v>9349825</v>
      </c>
      <c r="C566" s="15">
        <v>50963</v>
      </c>
      <c r="D566" s="15">
        <v>63377</v>
      </c>
      <c r="E566" s="15">
        <v>4860</v>
      </c>
      <c r="F566" s="15">
        <v>274.95</v>
      </c>
      <c r="G566" s="15">
        <v>13.5</v>
      </c>
      <c r="H566" s="165" t="s">
        <v>63</v>
      </c>
    </row>
    <row r="567" spans="1:8">
      <c r="A567" s="449" t="s">
        <v>1183</v>
      </c>
      <c r="B567" s="15">
        <v>9320453</v>
      </c>
      <c r="C567" s="15">
        <v>50963</v>
      </c>
      <c r="D567" s="15">
        <v>63427</v>
      </c>
      <c r="E567" s="15">
        <v>4860</v>
      </c>
      <c r="F567" s="15">
        <v>274.97000000000003</v>
      </c>
      <c r="G567" s="15">
        <v>13.5</v>
      </c>
      <c r="H567" s="165" t="s">
        <v>63</v>
      </c>
    </row>
    <row r="568" spans="1:8">
      <c r="A568" s="449" t="s">
        <v>1101</v>
      </c>
      <c r="B568" s="15">
        <v>9320398</v>
      </c>
      <c r="C568" s="15">
        <v>50963</v>
      </c>
      <c r="D568" s="15">
        <v>63638</v>
      </c>
      <c r="E568" s="15">
        <v>4870</v>
      </c>
      <c r="F568" s="15">
        <v>275.41000000000003</v>
      </c>
      <c r="G568" s="15">
        <v>13.5</v>
      </c>
      <c r="H568" s="165" t="s">
        <v>63</v>
      </c>
    </row>
    <row r="569" spans="1:8">
      <c r="A569" s="449" t="s">
        <v>1020</v>
      </c>
      <c r="B569" s="15">
        <v>9349813</v>
      </c>
      <c r="C569" s="15">
        <v>50963</v>
      </c>
      <c r="D569" s="15">
        <v>63400</v>
      </c>
      <c r="E569" s="15">
        <v>4872</v>
      </c>
      <c r="F569" s="15">
        <v>275</v>
      </c>
      <c r="G569" s="15">
        <v>13</v>
      </c>
      <c r="H569" s="165" t="s">
        <v>63</v>
      </c>
    </row>
    <row r="570" spans="1:8">
      <c r="A570" s="449" t="s">
        <v>1146</v>
      </c>
      <c r="B570" s="15">
        <v>9349796</v>
      </c>
      <c r="C570" s="15">
        <v>50963</v>
      </c>
      <c r="D570" s="15">
        <v>63300</v>
      </c>
      <c r="E570" s="15">
        <v>4872</v>
      </c>
      <c r="F570" s="15">
        <v>275</v>
      </c>
      <c r="G570" s="15">
        <v>13.5</v>
      </c>
      <c r="H570" s="165" t="s">
        <v>63</v>
      </c>
    </row>
    <row r="571" spans="1:8">
      <c r="A571" s="449" t="s">
        <v>1483</v>
      </c>
      <c r="B571" s="15">
        <v>9193305</v>
      </c>
      <c r="C571" s="15">
        <v>54465</v>
      </c>
      <c r="D571" s="15">
        <v>67150</v>
      </c>
      <c r="E571" s="15">
        <v>4884</v>
      </c>
      <c r="F571" s="15">
        <v>294</v>
      </c>
      <c r="G571" s="15">
        <v>13.55</v>
      </c>
      <c r="H571" s="165" t="s">
        <v>63</v>
      </c>
    </row>
    <row r="572" spans="1:8">
      <c r="A572" s="449" t="s">
        <v>1288</v>
      </c>
      <c r="B572" s="15">
        <v>9337626</v>
      </c>
      <c r="C572" s="15">
        <v>55534</v>
      </c>
      <c r="D572" s="15">
        <v>65919</v>
      </c>
      <c r="E572" s="15">
        <v>4888</v>
      </c>
      <c r="F572" s="15">
        <v>294.12</v>
      </c>
      <c r="G572" s="15">
        <v>13.52</v>
      </c>
      <c r="H572" s="165" t="s">
        <v>63</v>
      </c>
    </row>
    <row r="573" spans="1:8">
      <c r="A573" s="449" t="s">
        <v>1289</v>
      </c>
      <c r="B573" s="15">
        <v>9337614</v>
      </c>
      <c r="C573" s="15">
        <v>55487</v>
      </c>
      <c r="D573" s="15">
        <v>65867</v>
      </c>
      <c r="E573" s="15">
        <v>4888</v>
      </c>
      <c r="F573" s="15">
        <v>294</v>
      </c>
      <c r="G573" s="15">
        <v>13.5</v>
      </c>
      <c r="H573" s="165" t="s">
        <v>63</v>
      </c>
    </row>
    <row r="574" spans="1:8">
      <c r="A574" s="449" t="s">
        <v>1290</v>
      </c>
      <c r="B574" s="15">
        <v>9337652</v>
      </c>
      <c r="C574" s="15">
        <v>55487</v>
      </c>
      <c r="D574" s="15">
        <v>65950</v>
      </c>
      <c r="E574" s="15">
        <v>4888</v>
      </c>
      <c r="F574" s="15">
        <v>294.12</v>
      </c>
      <c r="G574" s="15">
        <v>13.52</v>
      </c>
      <c r="H574" s="165" t="s">
        <v>63</v>
      </c>
    </row>
    <row r="575" spans="1:8">
      <c r="A575" s="449" t="s">
        <v>1291</v>
      </c>
      <c r="B575" s="15">
        <v>9337676</v>
      </c>
      <c r="C575" s="15">
        <v>55487</v>
      </c>
      <c r="D575" s="15">
        <v>65600</v>
      </c>
      <c r="E575" s="15">
        <v>4888</v>
      </c>
      <c r="F575" s="15">
        <v>294</v>
      </c>
      <c r="G575" s="15">
        <v>13</v>
      </c>
      <c r="H575" s="165" t="s">
        <v>63</v>
      </c>
    </row>
    <row r="576" spans="1:8">
      <c r="A576" s="449" t="s">
        <v>1294</v>
      </c>
      <c r="B576" s="15">
        <v>9337638</v>
      </c>
      <c r="C576" s="15">
        <v>55534</v>
      </c>
      <c r="D576" s="15">
        <v>65935</v>
      </c>
      <c r="E576" s="15">
        <v>4888</v>
      </c>
      <c r="F576" s="15">
        <v>294</v>
      </c>
      <c r="G576" s="15">
        <v>13.52</v>
      </c>
      <c r="H576" s="165" t="s">
        <v>63</v>
      </c>
    </row>
    <row r="577" spans="1:8">
      <c r="A577" s="449" t="s">
        <v>1295</v>
      </c>
      <c r="B577" s="15">
        <v>9337640</v>
      </c>
      <c r="C577" s="15">
        <v>55534</v>
      </c>
      <c r="D577" s="15">
        <v>65600</v>
      </c>
      <c r="E577" s="15">
        <v>4888</v>
      </c>
      <c r="F577" s="15">
        <v>294</v>
      </c>
      <c r="G577" s="15">
        <v>13.5</v>
      </c>
      <c r="H577" s="165" t="s">
        <v>63</v>
      </c>
    </row>
    <row r="578" spans="1:8">
      <c r="A578" s="449" t="s">
        <v>1300</v>
      </c>
      <c r="B578" s="15">
        <v>9416965</v>
      </c>
      <c r="C578" s="15">
        <v>55534</v>
      </c>
      <c r="D578" s="15">
        <v>65981</v>
      </c>
      <c r="E578" s="15">
        <v>4888</v>
      </c>
      <c r="F578" s="15">
        <v>293</v>
      </c>
      <c r="G578" s="15">
        <v>13.5</v>
      </c>
      <c r="H578" s="165" t="s">
        <v>63</v>
      </c>
    </row>
    <row r="579" spans="1:8">
      <c r="A579" s="449" t="s">
        <v>1301</v>
      </c>
      <c r="B579" s="15">
        <v>9416977</v>
      </c>
      <c r="C579" s="15">
        <v>55487</v>
      </c>
      <c r="D579" s="15">
        <v>66051</v>
      </c>
      <c r="E579" s="15">
        <v>4888</v>
      </c>
      <c r="F579" s="15">
        <v>294.10000000000002</v>
      </c>
      <c r="G579" s="15">
        <v>13.52</v>
      </c>
      <c r="H579" s="165" t="s">
        <v>63</v>
      </c>
    </row>
    <row r="580" spans="1:8">
      <c r="A580" s="449" t="s">
        <v>1302</v>
      </c>
      <c r="B580" s="15">
        <v>9416989</v>
      </c>
      <c r="C580" s="15">
        <v>55487</v>
      </c>
      <c r="D580" s="15">
        <v>65883</v>
      </c>
      <c r="E580" s="15">
        <v>4888</v>
      </c>
      <c r="F580" s="15">
        <v>294.12</v>
      </c>
      <c r="G580" s="15">
        <v>13.52</v>
      </c>
      <c r="H580" s="165" t="s">
        <v>63</v>
      </c>
    </row>
    <row r="581" spans="1:8">
      <c r="A581" s="449" t="s">
        <v>1303</v>
      </c>
      <c r="B581" s="15">
        <v>9416991</v>
      </c>
      <c r="C581" s="15">
        <v>55487</v>
      </c>
      <c r="D581" s="15">
        <v>66171</v>
      </c>
      <c r="E581" s="15">
        <v>4888</v>
      </c>
      <c r="F581" s="15">
        <v>294.12</v>
      </c>
      <c r="G581" s="15">
        <v>13.52</v>
      </c>
      <c r="H581" s="165" t="s">
        <v>63</v>
      </c>
    </row>
    <row r="582" spans="1:8">
      <c r="A582" s="449" t="s">
        <v>458</v>
      </c>
      <c r="B582" s="15">
        <v>9193288</v>
      </c>
      <c r="C582" s="15">
        <v>54437</v>
      </c>
      <c r="D582" s="15">
        <v>67145</v>
      </c>
      <c r="E582" s="15">
        <v>4890</v>
      </c>
      <c r="F582" s="15">
        <v>293.99</v>
      </c>
      <c r="G582" s="15">
        <v>13.55</v>
      </c>
      <c r="H582" s="165" t="s">
        <v>63</v>
      </c>
    </row>
    <row r="583" spans="1:8">
      <c r="A583" s="449" t="s">
        <v>1109</v>
      </c>
      <c r="B583" s="15">
        <v>9320403</v>
      </c>
      <c r="C583" s="15">
        <v>50963</v>
      </c>
      <c r="D583" s="15">
        <v>59587</v>
      </c>
      <c r="E583" s="15">
        <v>4890</v>
      </c>
      <c r="F583" s="15">
        <v>275</v>
      </c>
      <c r="G583" s="15">
        <v>13.5</v>
      </c>
      <c r="H583" s="165" t="s">
        <v>63</v>
      </c>
    </row>
    <row r="584" spans="1:8">
      <c r="A584" s="449" t="s">
        <v>1312</v>
      </c>
      <c r="B584" s="15">
        <v>9200811</v>
      </c>
      <c r="C584" s="15">
        <v>66781</v>
      </c>
      <c r="D584" s="15">
        <v>54437</v>
      </c>
      <c r="E584" s="15">
        <v>4890</v>
      </c>
      <c r="F584" s="15">
        <v>294.04000000000002</v>
      </c>
      <c r="G584" s="15">
        <v>13.55</v>
      </c>
      <c r="H584" s="165" t="s">
        <v>63</v>
      </c>
    </row>
    <row r="585" spans="1:8">
      <c r="A585" s="449" t="s">
        <v>1424</v>
      </c>
      <c r="B585" s="15">
        <v>9193317</v>
      </c>
      <c r="C585" s="15">
        <v>54465</v>
      </c>
      <c r="D585" s="15">
        <v>66975</v>
      </c>
      <c r="E585" s="15">
        <v>4890</v>
      </c>
      <c r="F585" s="15">
        <v>293.99</v>
      </c>
      <c r="G585" s="15">
        <v>13.57</v>
      </c>
      <c r="H585" s="165" t="s">
        <v>63</v>
      </c>
    </row>
    <row r="586" spans="1:8">
      <c r="A586" s="449" t="s">
        <v>1549</v>
      </c>
      <c r="B586" s="15">
        <v>9193290</v>
      </c>
      <c r="C586" s="15">
        <v>54465</v>
      </c>
      <c r="D586" s="15">
        <v>67145</v>
      </c>
      <c r="E586" s="15">
        <v>4890</v>
      </c>
      <c r="F586" s="15">
        <v>294.17</v>
      </c>
      <c r="G586" s="15">
        <v>13.57</v>
      </c>
      <c r="H586" s="165" t="s">
        <v>63</v>
      </c>
    </row>
    <row r="587" spans="1:8">
      <c r="A587" s="449" t="s">
        <v>500</v>
      </c>
      <c r="B587" s="15">
        <v>9295177</v>
      </c>
      <c r="C587" s="15">
        <v>54271</v>
      </c>
      <c r="D587" s="15">
        <v>67529</v>
      </c>
      <c r="E587" s="15">
        <v>4900</v>
      </c>
      <c r="F587" s="15">
        <v>294.10000000000002</v>
      </c>
      <c r="G587" s="15">
        <v>13.5</v>
      </c>
      <c r="H587" s="165" t="s">
        <v>63</v>
      </c>
    </row>
    <row r="588" spans="1:8">
      <c r="A588" s="449" t="s">
        <v>695</v>
      </c>
      <c r="B588" s="15">
        <v>9347619</v>
      </c>
      <c r="C588" s="15">
        <v>52581</v>
      </c>
      <c r="D588" s="15">
        <v>63384</v>
      </c>
      <c r="E588" s="15">
        <v>4922</v>
      </c>
      <c r="F588" s="15">
        <v>295</v>
      </c>
      <c r="G588" s="15">
        <v>13.5</v>
      </c>
      <c r="H588" s="165" t="s">
        <v>63</v>
      </c>
    </row>
    <row r="589" spans="1:8">
      <c r="A589" s="449" t="s">
        <v>1447</v>
      </c>
      <c r="B589" s="15">
        <v>9293179</v>
      </c>
      <c r="C589" s="15">
        <v>58289</v>
      </c>
      <c r="D589" s="15">
        <v>64513</v>
      </c>
      <c r="E589" s="15">
        <v>4922</v>
      </c>
      <c r="F589" s="15">
        <v>294.10000000000002</v>
      </c>
      <c r="G589" s="15">
        <v>13.5</v>
      </c>
      <c r="H589" s="165" t="s">
        <v>63</v>
      </c>
    </row>
    <row r="590" spans="1:8">
      <c r="A590" s="449" t="s">
        <v>1527</v>
      </c>
      <c r="B590" s="15">
        <v>9295165</v>
      </c>
      <c r="C590" s="15">
        <v>54271</v>
      </c>
      <c r="D590" s="15">
        <v>67601</v>
      </c>
      <c r="E590" s="15">
        <v>4943</v>
      </c>
      <c r="F590" s="15">
        <v>295</v>
      </c>
      <c r="G590" s="15">
        <v>13.5</v>
      </c>
      <c r="H590" s="165" t="s">
        <v>63</v>
      </c>
    </row>
    <row r="591" spans="1:8">
      <c r="A591" s="449" t="s">
        <v>855</v>
      </c>
      <c r="B591" s="15">
        <v>9292151</v>
      </c>
      <c r="C591" s="15">
        <v>54271</v>
      </c>
      <c r="D591" s="15">
        <v>67679</v>
      </c>
      <c r="E591" s="15">
        <v>4944</v>
      </c>
      <c r="F591" s="15">
        <v>294.08999999999997</v>
      </c>
      <c r="G591" s="15">
        <v>13.5</v>
      </c>
      <c r="H591" s="165" t="s">
        <v>63</v>
      </c>
    </row>
    <row r="592" spans="1:8">
      <c r="A592" s="449" t="s">
        <v>1024</v>
      </c>
      <c r="B592" s="15">
        <v>9073995</v>
      </c>
      <c r="C592" s="15">
        <v>60117</v>
      </c>
      <c r="D592" s="15">
        <v>63163</v>
      </c>
      <c r="E592" s="15">
        <v>4953</v>
      </c>
      <c r="F592" s="15">
        <v>299.95</v>
      </c>
      <c r="G592" s="15">
        <v>13.03</v>
      </c>
      <c r="H592" s="165" t="s">
        <v>63</v>
      </c>
    </row>
    <row r="593" spans="1:8">
      <c r="A593" s="449" t="s">
        <v>1139</v>
      </c>
      <c r="B593" s="15">
        <v>9074042</v>
      </c>
      <c r="C593" s="15">
        <v>60117</v>
      </c>
      <c r="D593" s="15">
        <v>63014</v>
      </c>
      <c r="E593" s="15">
        <v>4953</v>
      </c>
      <c r="F593" s="15">
        <v>299.95</v>
      </c>
      <c r="G593" s="15">
        <v>13.03</v>
      </c>
      <c r="H593" s="165" t="s">
        <v>63</v>
      </c>
    </row>
    <row r="594" spans="1:8">
      <c r="A594" s="449" t="s">
        <v>1407</v>
      </c>
      <c r="B594" s="15">
        <v>9623673</v>
      </c>
      <c r="C594" s="15">
        <v>52646</v>
      </c>
      <c r="D594" s="15">
        <v>63007</v>
      </c>
      <c r="E594" s="15">
        <v>4975</v>
      </c>
      <c r="F594" s="15">
        <v>256</v>
      </c>
      <c r="G594" s="15">
        <v>13.5</v>
      </c>
      <c r="H594" s="165" t="s">
        <v>63</v>
      </c>
    </row>
    <row r="595" spans="1:8">
      <c r="A595" s="449" t="s">
        <v>453</v>
      </c>
      <c r="B595" s="15">
        <v>9289556</v>
      </c>
      <c r="C595" s="15">
        <v>54592</v>
      </c>
      <c r="D595" s="15">
        <v>66633</v>
      </c>
      <c r="E595" s="15">
        <v>5015</v>
      </c>
      <c r="F595" s="15">
        <v>294</v>
      </c>
      <c r="G595" s="15">
        <v>13.65</v>
      </c>
      <c r="H595" s="165" t="s">
        <v>63</v>
      </c>
    </row>
    <row r="596" spans="1:8">
      <c r="A596" s="449" t="s">
        <v>986</v>
      </c>
      <c r="B596" s="15">
        <v>9297864</v>
      </c>
      <c r="C596" s="15">
        <v>54771</v>
      </c>
      <c r="D596" s="15">
        <v>66821</v>
      </c>
      <c r="E596" s="15">
        <v>5018</v>
      </c>
      <c r="F596" s="15">
        <v>294.12</v>
      </c>
      <c r="G596" s="15">
        <v>13.65</v>
      </c>
      <c r="H596" s="165" t="s">
        <v>63</v>
      </c>
    </row>
    <row r="597" spans="1:8">
      <c r="A597" s="449" t="s">
        <v>1008</v>
      </c>
      <c r="B597" s="15">
        <v>9297876</v>
      </c>
      <c r="C597" s="15">
        <v>54771</v>
      </c>
      <c r="D597" s="15">
        <v>66799</v>
      </c>
      <c r="E597" s="15">
        <v>5018</v>
      </c>
      <c r="F597" s="15">
        <v>294</v>
      </c>
      <c r="G597" s="15">
        <v>13.6</v>
      </c>
      <c r="H597" s="165" t="s">
        <v>63</v>
      </c>
    </row>
    <row r="598" spans="1:8">
      <c r="A598" s="449" t="s">
        <v>689</v>
      </c>
      <c r="B598" s="15">
        <v>9625528</v>
      </c>
      <c r="C598" s="15">
        <v>52467</v>
      </c>
      <c r="D598" s="15">
        <v>63010</v>
      </c>
      <c r="E598" s="15">
        <v>5023</v>
      </c>
      <c r="F598" s="15">
        <v>255.4</v>
      </c>
      <c r="G598" s="15">
        <v>13.5</v>
      </c>
      <c r="H598" s="165" t="s">
        <v>63</v>
      </c>
    </row>
    <row r="599" spans="1:8">
      <c r="A599" s="449" t="s">
        <v>1013</v>
      </c>
      <c r="B599" s="15">
        <v>9369734</v>
      </c>
      <c r="C599" s="15">
        <v>54605</v>
      </c>
      <c r="D599" s="15">
        <v>67033</v>
      </c>
      <c r="E599" s="15">
        <v>5029</v>
      </c>
      <c r="F599" s="15">
        <v>294.10000000000002</v>
      </c>
      <c r="G599" s="15">
        <v>13.65</v>
      </c>
      <c r="H599" s="165" t="s">
        <v>63</v>
      </c>
    </row>
    <row r="600" spans="1:8">
      <c r="A600" s="449" t="s">
        <v>1057</v>
      </c>
      <c r="B600" s="15">
        <v>9279965</v>
      </c>
      <c r="C600" s="15">
        <v>54774</v>
      </c>
      <c r="D600" s="15">
        <v>66694</v>
      </c>
      <c r="E600" s="15">
        <v>5040</v>
      </c>
      <c r="F600" s="15">
        <v>294</v>
      </c>
      <c r="G600" s="15">
        <v>13.7</v>
      </c>
      <c r="H600" s="165" t="s">
        <v>63</v>
      </c>
    </row>
    <row r="601" spans="1:8">
      <c r="A601" s="449" t="s">
        <v>467</v>
      </c>
      <c r="B601" s="15">
        <v>9318125</v>
      </c>
      <c r="C601" s="15">
        <v>54309</v>
      </c>
      <c r="D601" s="15">
        <v>65890</v>
      </c>
      <c r="E601" s="15">
        <v>5041</v>
      </c>
      <c r="F601" s="15">
        <v>294.12</v>
      </c>
      <c r="G601" s="15">
        <v>13.5</v>
      </c>
      <c r="H601" s="165" t="s">
        <v>63</v>
      </c>
    </row>
    <row r="602" spans="1:8">
      <c r="A602" s="449" t="s">
        <v>725</v>
      </c>
      <c r="B602" s="15">
        <v>9317937</v>
      </c>
      <c r="C602" s="15">
        <v>53481</v>
      </c>
      <c r="D602" s="15">
        <v>53911</v>
      </c>
      <c r="E602" s="15">
        <v>5041</v>
      </c>
      <c r="F602" s="15">
        <v>294.10000000000002</v>
      </c>
      <c r="G602" s="15">
        <v>12</v>
      </c>
      <c r="H602" s="165" t="s">
        <v>63</v>
      </c>
    </row>
    <row r="603" spans="1:8">
      <c r="A603" s="449" t="s">
        <v>914</v>
      </c>
      <c r="B603" s="15">
        <v>9407158</v>
      </c>
      <c r="C603" s="15">
        <v>54940</v>
      </c>
      <c r="D603" s="15">
        <v>67170</v>
      </c>
      <c r="E603" s="15">
        <v>5041</v>
      </c>
      <c r="F603" s="15">
        <v>294.13</v>
      </c>
      <c r="G603" s="15">
        <v>13.67</v>
      </c>
      <c r="H603" s="165" t="s">
        <v>63</v>
      </c>
    </row>
    <row r="604" spans="1:8">
      <c r="A604" s="449" t="s">
        <v>915</v>
      </c>
      <c r="B604" s="15">
        <v>9407160</v>
      </c>
      <c r="C604" s="15">
        <v>54940</v>
      </c>
      <c r="D604" s="15">
        <v>67170</v>
      </c>
      <c r="E604" s="15">
        <v>5041</v>
      </c>
      <c r="F604" s="15">
        <v>294.13</v>
      </c>
      <c r="G604" s="15">
        <v>13.67</v>
      </c>
      <c r="H604" s="165" t="s">
        <v>63</v>
      </c>
    </row>
    <row r="605" spans="1:8">
      <c r="A605" s="449" t="s">
        <v>1247</v>
      </c>
      <c r="B605" s="15">
        <v>9290426</v>
      </c>
      <c r="C605" s="15">
        <v>54809</v>
      </c>
      <c r="D605" s="15">
        <v>67273</v>
      </c>
      <c r="E605" s="15">
        <v>5042</v>
      </c>
      <c r="F605" s="15">
        <v>294</v>
      </c>
      <c r="G605" s="15">
        <v>13.65</v>
      </c>
      <c r="H605" s="165" t="s">
        <v>63</v>
      </c>
    </row>
    <row r="606" spans="1:8">
      <c r="A606" s="449" t="s">
        <v>1377</v>
      </c>
      <c r="B606" s="15">
        <v>9326782</v>
      </c>
      <c r="C606" s="15">
        <v>54809</v>
      </c>
      <c r="D606" s="15">
        <v>67247</v>
      </c>
      <c r="E606" s="15">
        <v>5042</v>
      </c>
      <c r="F606" s="15">
        <v>294.51</v>
      </c>
      <c r="G606" s="15">
        <v>13.65</v>
      </c>
      <c r="H606" s="165" t="s">
        <v>63</v>
      </c>
    </row>
    <row r="607" spans="1:8">
      <c r="A607" s="449" t="s">
        <v>1488</v>
      </c>
      <c r="B607" s="15">
        <v>9290414</v>
      </c>
      <c r="C607" s="15">
        <v>54809</v>
      </c>
      <c r="D607" s="15">
        <v>67255</v>
      </c>
      <c r="E607" s="15">
        <v>5042</v>
      </c>
      <c r="F607" s="15">
        <v>294.51</v>
      </c>
      <c r="G607" s="15">
        <v>13.65</v>
      </c>
      <c r="H607" s="165" t="s">
        <v>63</v>
      </c>
    </row>
    <row r="608" spans="1:8">
      <c r="A608" s="449" t="s">
        <v>194</v>
      </c>
      <c r="B608" s="15">
        <v>9275646</v>
      </c>
      <c r="C608" s="15">
        <v>54881</v>
      </c>
      <c r="D608" s="15">
        <v>68120</v>
      </c>
      <c r="E608" s="15">
        <v>5050</v>
      </c>
      <c r="F608" s="15">
        <v>294.08999999999997</v>
      </c>
      <c r="G608" s="15">
        <v>13.5</v>
      </c>
      <c r="H608" s="165" t="s">
        <v>63</v>
      </c>
    </row>
    <row r="609" spans="1:8">
      <c r="A609" s="449" t="s">
        <v>1046</v>
      </c>
      <c r="B609" s="15">
        <v>9278143</v>
      </c>
      <c r="C609" s="15">
        <v>5488</v>
      </c>
      <c r="D609" s="15">
        <v>68254</v>
      </c>
      <c r="E609" s="15">
        <v>5050</v>
      </c>
      <c r="F609" s="15">
        <v>294.08999999999997</v>
      </c>
      <c r="G609" s="15">
        <v>13.5</v>
      </c>
      <c r="H609" s="165" t="s">
        <v>63</v>
      </c>
    </row>
    <row r="610" spans="1:8">
      <c r="A610" s="449" t="s">
        <v>1155</v>
      </c>
      <c r="B610" s="15">
        <v>9281267</v>
      </c>
      <c r="C610" s="15">
        <v>54881</v>
      </c>
      <c r="D610" s="15">
        <v>68209</v>
      </c>
      <c r="E610" s="15">
        <v>5050</v>
      </c>
      <c r="F610" s="15">
        <v>294</v>
      </c>
      <c r="G610" s="15">
        <v>13.5</v>
      </c>
      <c r="H610" s="165" t="s">
        <v>63</v>
      </c>
    </row>
    <row r="611" spans="1:8">
      <c r="A611" s="449" t="s">
        <v>1426</v>
      </c>
      <c r="B611" s="15">
        <v>9302566</v>
      </c>
      <c r="C611" s="15">
        <v>54214</v>
      </c>
      <c r="D611" s="15">
        <v>68126</v>
      </c>
      <c r="E611" s="15">
        <v>5050</v>
      </c>
      <c r="F611" s="15">
        <v>294.08999999999997</v>
      </c>
      <c r="G611" s="15">
        <v>13.5</v>
      </c>
      <c r="H611" s="165" t="s">
        <v>63</v>
      </c>
    </row>
    <row r="612" spans="1:8">
      <c r="A612" s="449" t="s">
        <v>981</v>
      </c>
      <c r="B612" s="15">
        <v>9282261</v>
      </c>
      <c r="C612" s="15">
        <v>54304</v>
      </c>
      <c r="D612" s="15">
        <v>68599</v>
      </c>
      <c r="E612" s="15">
        <v>5059</v>
      </c>
      <c r="F612" s="15">
        <v>294.05</v>
      </c>
      <c r="G612" s="15">
        <v>13.5</v>
      </c>
      <c r="H612" s="165" t="s">
        <v>63</v>
      </c>
    </row>
    <row r="613" spans="1:8">
      <c r="A613" s="449" t="s">
        <v>1105</v>
      </c>
      <c r="B613" s="15">
        <v>9281279</v>
      </c>
      <c r="C613" s="15">
        <v>54304</v>
      </c>
      <c r="D613" s="15">
        <v>68577</v>
      </c>
      <c r="E613" s="15">
        <v>5059</v>
      </c>
      <c r="F613" s="15">
        <v>294.10000000000002</v>
      </c>
      <c r="G613" s="15">
        <v>13.5</v>
      </c>
      <c r="H613" s="165" t="s">
        <v>63</v>
      </c>
    </row>
    <row r="614" spans="1:8">
      <c r="A614" s="449" t="s">
        <v>1148</v>
      </c>
      <c r="B614" s="15">
        <v>9278155</v>
      </c>
      <c r="C614" s="15">
        <v>54881</v>
      </c>
      <c r="D614" s="15">
        <v>68178</v>
      </c>
      <c r="E614" s="15">
        <v>5059</v>
      </c>
      <c r="F614" s="15">
        <v>294.08</v>
      </c>
      <c r="G614" s="15">
        <v>13.5</v>
      </c>
      <c r="H614" s="165" t="s">
        <v>63</v>
      </c>
    </row>
    <row r="615" spans="1:8">
      <c r="A615" s="449" t="s">
        <v>1181</v>
      </c>
      <c r="B615" s="15">
        <v>9275634</v>
      </c>
      <c r="C615" s="15">
        <v>54881</v>
      </c>
      <c r="D615" s="15">
        <v>68209</v>
      </c>
      <c r="E615" s="15">
        <v>5059</v>
      </c>
      <c r="F615" s="15">
        <v>294.05</v>
      </c>
      <c r="G615" s="15">
        <v>13.5</v>
      </c>
      <c r="H615" s="165" t="s">
        <v>63</v>
      </c>
    </row>
    <row r="616" spans="1:8">
      <c r="A616" s="449" t="s">
        <v>107</v>
      </c>
      <c r="B616" s="15">
        <v>9287924</v>
      </c>
      <c r="C616" s="15">
        <v>54214</v>
      </c>
      <c r="D616" s="15">
        <v>68042</v>
      </c>
      <c r="E616" s="15">
        <v>5060</v>
      </c>
      <c r="F616" s="15">
        <v>294.10000000000002</v>
      </c>
      <c r="G616" s="15">
        <v>13.5</v>
      </c>
      <c r="H616" s="165" t="s">
        <v>63</v>
      </c>
    </row>
    <row r="617" spans="1:8">
      <c r="A617" s="449" t="s">
        <v>724</v>
      </c>
      <c r="B617" s="15">
        <v>9287912</v>
      </c>
      <c r="C617" s="15">
        <v>54214</v>
      </c>
      <c r="D617" s="15">
        <v>68282</v>
      </c>
      <c r="E617" s="15">
        <v>5060</v>
      </c>
      <c r="F617" s="15">
        <v>294.10000000000002</v>
      </c>
      <c r="G617" s="15">
        <v>13.5</v>
      </c>
      <c r="H617" s="165" t="s">
        <v>63</v>
      </c>
    </row>
    <row r="618" spans="1:8">
      <c r="A618" s="449" t="s">
        <v>956</v>
      </c>
      <c r="B618" s="15">
        <v>9289960</v>
      </c>
      <c r="C618" s="15">
        <v>54214</v>
      </c>
      <c r="D618" s="15">
        <v>68168</v>
      </c>
      <c r="E618" s="15">
        <v>5060</v>
      </c>
      <c r="F618" s="15">
        <v>294.08</v>
      </c>
      <c r="G618" s="15">
        <v>13.5</v>
      </c>
      <c r="H618" s="165" t="s">
        <v>63</v>
      </c>
    </row>
    <row r="619" spans="1:8">
      <c r="A619" s="449" t="s">
        <v>1384</v>
      </c>
      <c r="B619" s="15">
        <v>9287895</v>
      </c>
      <c r="C619" s="15">
        <v>54214</v>
      </c>
      <c r="D619" s="15">
        <v>68187</v>
      </c>
      <c r="E619" s="15">
        <v>5060</v>
      </c>
      <c r="F619" s="15">
        <v>294.06</v>
      </c>
      <c r="G619" s="15">
        <v>13.5</v>
      </c>
      <c r="H619" s="165" t="s">
        <v>63</v>
      </c>
    </row>
    <row r="620" spans="1:8">
      <c r="A620" s="449" t="s">
        <v>353</v>
      </c>
      <c r="B620" s="15">
        <v>9317975</v>
      </c>
      <c r="C620" s="15">
        <v>54309</v>
      </c>
      <c r="D620" s="15">
        <v>65930</v>
      </c>
      <c r="E620" s="15">
        <v>5078</v>
      </c>
      <c r="F620" s="15">
        <v>294.12</v>
      </c>
      <c r="G620" s="15">
        <v>13.52</v>
      </c>
      <c r="H620" s="165" t="s">
        <v>63</v>
      </c>
    </row>
    <row r="621" spans="1:8">
      <c r="A621" s="449" t="s">
        <v>69</v>
      </c>
      <c r="B621" s="15">
        <v>9426790</v>
      </c>
      <c r="C621" s="15">
        <v>54182</v>
      </c>
      <c r="D621" s="15">
        <v>63059</v>
      </c>
      <c r="E621" s="15">
        <v>5086</v>
      </c>
      <c r="F621" s="15">
        <v>293.83999999999997</v>
      </c>
      <c r="G621" s="15">
        <v>13.5</v>
      </c>
      <c r="H621" s="165" t="s">
        <v>63</v>
      </c>
    </row>
    <row r="622" spans="1:8">
      <c r="A622" s="449" t="s">
        <v>373</v>
      </c>
      <c r="B622" s="15">
        <v>9426817</v>
      </c>
      <c r="C622" s="15">
        <v>54182</v>
      </c>
      <c r="D622" s="15">
        <v>63069</v>
      </c>
      <c r="E622" s="15">
        <v>5086</v>
      </c>
      <c r="F622" s="15">
        <v>293.89</v>
      </c>
      <c r="G622" s="15">
        <v>12</v>
      </c>
      <c r="H622" s="165" t="s">
        <v>63</v>
      </c>
    </row>
    <row r="623" spans="1:8">
      <c r="A623" s="449" t="s">
        <v>254</v>
      </c>
      <c r="B623" s="15">
        <v>9335197</v>
      </c>
      <c r="C623" s="15">
        <v>54778</v>
      </c>
      <c r="D623" s="15">
        <v>68282</v>
      </c>
      <c r="E623" s="15">
        <v>5089</v>
      </c>
      <c r="F623" s="15">
        <v>294.05</v>
      </c>
      <c r="G623" s="15">
        <v>13.5</v>
      </c>
      <c r="H623" s="165" t="s">
        <v>63</v>
      </c>
    </row>
    <row r="624" spans="1:8">
      <c r="A624" s="449" t="s">
        <v>573</v>
      </c>
      <c r="B624" s="15">
        <v>9348699</v>
      </c>
      <c r="C624" s="15">
        <v>54675</v>
      </c>
      <c r="D624" s="15">
        <v>68579</v>
      </c>
      <c r="E624" s="15">
        <v>5100</v>
      </c>
      <c r="F624" s="15">
        <v>294.10000000000002</v>
      </c>
      <c r="G624" s="15">
        <v>13.5</v>
      </c>
      <c r="H624" s="165" t="s">
        <v>63</v>
      </c>
    </row>
    <row r="625" spans="1:8">
      <c r="A625" s="449" t="s">
        <v>1543</v>
      </c>
      <c r="B625" s="15">
        <v>9437567</v>
      </c>
      <c r="C625" s="15">
        <v>53952</v>
      </c>
      <c r="D625" s="15">
        <v>63000</v>
      </c>
      <c r="E625" s="15">
        <v>5100</v>
      </c>
      <c r="F625" s="15">
        <v>294</v>
      </c>
      <c r="G625" s="15">
        <v>13.5</v>
      </c>
      <c r="H625" s="165" t="s">
        <v>63</v>
      </c>
    </row>
    <row r="626" spans="1:8">
      <c r="A626" s="449" t="s">
        <v>174</v>
      </c>
      <c r="B626" s="15">
        <v>9437050</v>
      </c>
      <c r="C626" s="15">
        <v>52726</v>
      </c>
      <c r="D626" s="15">
        <v>65550</v>
      </c>
      <c r="E626" s="15">
        <v>5294</v>
      </c>
      <c r="F626" s="15">
        <v>294</v>
      </c>
      <c r="G626" s="15">
        <v>13.62</v>
      </c>
      <c r="H626" s="165" t="s">
        <v>63</v>
      </c>
    </row>
    <row r="627" spans="1:8">
      <c r="A627" s="449" t="s">
        <v>182</v>
      </c>
      <c r="B627" s="15">
        <v>9407885</v>
      </c>
      <c r="C627" s="15">
        <v>52726</v>
      </c>
      <c r="D627" s="15">
        <v>65550</v>
      </c>
      <c r="E627" s="15">
        <v>5294</v>
      </c>
      <c r="F627" s="15">
        <v>294.10000000000002</v>
      </c>
      <c r="G627" s="15">
        <v>13.61</v>
      </c>
      <c r="H627" s="165" t="s">
        <v>63</v>
      </c>
    </row>
    <row r="628" spans="1:8">
      <c r="A628" s="449" t="s">
        <v>170</v>
      </c>
      <c r="B628" s="15">
        <v>9437062</v>
      </c>
      <c r="C628" s="15">
        <v>52726</v>
      </c>
      <c r="D628" s="15">
        <v>65710</v>
      </c>
      <c r="E628" s="15">
        <v>5303</v>
      </c>
      <c r="F628" s="15">
        <v>294.05</v>
      </c>
      <c r="G628" s="15">
        <v>13.61</v>
      </c>
      <c r="H628" s="165" t="s">
        <v>63</v>
      </c>
    </row>
    <row r="629" spans="1:8">
      <c r="A629" s="449" t="s">
        <v>185</v>
      </c>
      <c r="B629" s="15">
        <v>9437048</v>
      </c>
      <c r="C629" s="15">
        <v>52726</v>
      </c>
      <c r="D629" s="15">
        <v>64500</v>
      </c>
      <c r="E629" s="15">
        <v>5303</v>
      </c>
      <c r="F629" s="15">
        <v>294.08999999999997</v>
      </c>
      <c r="G629" s="15">
        <v>13.6</v>
      </c>
      <c r="H629" s="165" t="s">
        <v>63</v>
      </c>
    </row>
    <row r="630" spans="1:8">
      <c r="A630" s="449" t="s">
        <v>1336</v>
      </c>
      <c r="B630" s="15">
        <v>9102291</v>
      </c>
      <c r="C630" s="15">
        <v>66046</v>
      </c>
      <c r="D630" s="15">
        <v>67741</v>
      </c>
      <c r="E630" s="15">
        <v>5344</v>
      </c>
      <c r="F630" s="15">
        <v>276</v>
      </c>
      <c r="G630" s="15">
        <v>14.03</v>
      </c>
      <c r="H630" s="165" t="s">
        <v>63</v>
      </c>
    </row>
    <row r="631" spans="1:8">
      <c r="A631" s="449" t="s">
        <v>1342</v>
      </c>
      <c r="B631" s="15">
        <v>9102289</v>
      </c>
      <c r="C631" s="15">
        <v>66046</v>
      </c>
      <c r="D631" s="15">
        <v>67765</v>
      </c>
      <c r="E631" s="15">
        <v>5344</v>
      </c>
      <c r="F631" s="15">
        <v>276</v>
      </c>
      <c r="G631" s="15">
        <v>14.03</v>
      </c>
      <c r="H631" s="165" t="s">
        <v>63</v>
      </c>
    </row>
    <row r="632" spans="1:8">
      <c r="A632" s="449" t="s">
        <v>564</v>
      </c>
      <c r="B632" s="15">
        <v>9116589</v>
      </c>
      <c r="C632" s="15">
        <v>69218</v>
      </c>
      <c r="D632" s="15">
        <v>62386</v>
      </c>
      <c r="E632" s="15">
        <v>5364</v>
      </c>
      <c r="F632" s="15">
        <v>285</v>
      </c>
      <c r="G632" s="15">
        <v>12.7</v>
      </c>
      <c r="H632" s="165" t="s">
        <v>63</v>
      </c>
    </row>
    <row r="633" spans="1:8">
      <c r="A633" s="449" t="s">
        <v>1495</v>
      </c>
      <c r="B633" s="15">
        <v>9189366</v>
      </c>
      <c r="C633" s="15">
        <v>66526</v>
      </c>
      <c r="D633" s="15">
        <v>67712</v>
      </c>
      <c r="E633" s="15">
        <v>5418</v>
      </c>
      <c r="F633" s="15">
        <v>278.01</v>
      </c>
      <c r="G633" s="15">
        <v>14</v>
      </c>
      <c r="H633" s="165" t="s">
        <v>63</v>
      </c>
    </row>
    <row r="634" spans="1:8">
      <c r="A634" s="449" t="s">
        <v>1588</v>
      </c>
      <c r="B634" s="15">
        <v>9698252</v>
      </c>
      <c r="C634" s="15">
        <v>51872</v>
      </c>
      <c r="D634" s="15">
        <v>65165</v>
      </c>
      <c r="E634" s="15">
        <v>5466</v>
      </c>
      <c r="F634" s="15">
        <v>255</v>
      </c>
      <c r="G634" s="15">
        <v>13.9</v>
      </c>
      <c r="H634" s="165" t="s">
        <v>63</v>
      </c>
    </row>
    <row r="635" spans="1:8">
      <c r="A635" s="449" t="s">
        <v>466</v>
      </c>
      <c r="B635" s="15">
        <v>9189354</v>
      </c>
      <c r="C635" s="15">
        <v>66526</v>
      </c>
      <c r="D635" s="15">
        <v>67515</v>
      </c>
      <c r="E635" s="15">
        <v>5468</v>
      </c>
      <c r="F635" s="15">
        <v>277.97000000000003</v>
      </c>
      <c r="G635" s="15">
        <v>14</v>
      </c>
      <c r="H635" s="165" t="s">
        <v>63</v>
      </c>
    </row>
    <row r="636" spans="1:8">
      <c r="A636" s="449" t="s">
        <v>119</v>
      </c>
      <c r="B636" s="15">
        <v>9218650</v>
      </c>
      <c r="C636" s="15">
        <v>65792</v>
      </c>
      <c r="D636" s="15">
        <v>67500</v>
      </c>
      <c r="E636" s="15">
        <v>5510</v>
      </c>
      <c r="F636" s="15">
        <v>277</v>
      </c>
      <c r="G636" s="15">
        <v>14.03</v>
      </c>
      <c r="H636" s="165" t="s">
        <v>63</v>
      </c>
    </row>
    <row r="637" spans="1:8">
      <c r="A637" s="449" t="s">
        <v>1385</v>
      </c>
      <c r="B637" s="15">
        <v>9294824</v>
      </c>
      <c r="C637" s="15">
        <v>42382</v>
      </c>
      <c r="D637" s="15">
        <v>52683</v>
      </c>
      <c r="E637" s="15">
        <v>5512</v>
      </c>
      <c r="F637" s="15">
        <v>268.8</v>
      </c>
      <c r="G637" s="15">
        <v>12.52</v>
      </c>
      <c r="H637" s="165" t="s">
        <v>63</v>
      </c>
    </row>
    <row r="638" spans="1:8">
      <c r="A638" s="449" t="s">
        <v>1404</v>
      </c>
      <c r="B638" s="15">
        <v>9294836</v>
      </c>
      <c r="C638" s="15">
        <v>42382</v>
      </c>
      <c r="D638" s="15">
        <v>52600</v>
      </c>
      <c r="E638" s="15">
        <v>5512</v>
      </c>
      <c r="F638" s="15">
        <v>269</v>
      </c>
      <c r="G638" s="15">
        <v>12.5</v>
      </c>
      <c r="H638" s="165" t="s">
        <v>63</v>
      </c>
    </row>
    <row r="639" spans="1:8">
      <c r="A639" s="449" t="s">
        <v>1234</v>
      </c>
      <c r="B639" s="15">
        <v>9238739</v>
      </c>
      <c r="C639" s="15">
        <v>66500</v>
      </c>
      <c r="D639" s="15">
        <v>67796</v>
      </c>
      <c r="E639" s="15">
        <v>5514</v>
      </c>
      <c r="F639" s="15">
        <v>277.3</v>
      </c>
      <c r="G639" s="15">
        <v>14</v>
      </c>
      <c r="H639" s="165" t="s">
        <v>63</v>
      </c>
    </row>
    <row r="640" spans="1:8">
      <c r="A640" s="449" t="s">
        <v>244</v>
      </c>
      <c r="B640" s="15">
        <v>9295957</v>
      </c>
      <c r="C640" s="15">
        <v>66280</v>
      </c>
      <c r="D640" s="15">
        <v>68228</v>
      </c>
      <c r="E640" s="15">
        <v>5527</v>
      </c>
      <c r="F640" s="15">
        <v>275.8</v>
      </c>
      <c r="G640" s="15">
        <v>14</v>
      </c>
      <c r="H640" s="165" t="s">
        <v>63</v>
      </c>
    </row>
    <row r="641" spans="1:8">
      <c r="A641" s="449" t="s">
        <v>707</v>
      </c>
      <c r="B641" s="15">
        <v>9327786</v>
      </c>
      <c r="C641" s="15">
        <v>66199</v>
      </c>
      <c r="D641" s="15">
        <v>67680</v>
      </c>
      <c r="E641" s="15">
        <v>5527</v>
      </c>
      <c r="F641" s="15">
        <v>276.2</v>
      </c>
      <c r="G641" s="15">
        <v>14</v>
      </c>
      <c r="H641" s="165" t="s">
        <v>63</v>
      </c>
    </row>
    <row r="642" spans="1:8">
      <c r="A642" s="449" t="s">
        <v>708</v>
      </c>
      <c r="B642" s="15">
        <v>9331165</v>
      </c>
      <c r="C642" s="15">
        <v>66199</v>
      </c>
      <c r="D642" s="15">
        <v>67797</v>
      </c>
      <c r="E642" s="15">
        <v>5527</v>
      </c>
      <c r="F642" s="15">
        <v>276.2</v>
      </c>
      <c r="G642" s="15">
        <v>14</v>
      </c>
      <c r="H642" s="165" t="s">
        <v>63</v>
      </c>
    </row>
    <row r="643" spans="1:8">
      <c r="A643" s="449" t="s">
        <v>1514</v>
      </c>
      <c r="B643" s="15">
        <v>9294812</v>
      </c>
      <c r="C643" s="15">
        <v>66280</v>
      </c>
      <c r="D643" s="15">
        <v>68228</v>
      </c>
      <c r="E643" s="15">
        <v>5527</v>
      </c>
      <c r="F643" s="15">
        <v>275.8</v>
      </c>
      <c r="G643" s="15">
        <v>14</v>
      </c>
      <c r="H643" s="165" t="s">
        <v>63</v>
      </c>
    </row>
    <row r="644" spans="1:8">
      <c r="A644" s="449" t="s">
        <v>1516</v>
      </c>
      <c r="B644" s="15">
        <v>9290787</v>
      </c>
      <c r="C644" s="15">
        <v>66280</v>
      </c>
      <c r="D644" s="15">
        <v>68228</v>
      </c>
      <c r="E644" s="15">
        <v>5527</v>
      </c>
      <c r="F644" s="15">
        <v>275.8</v>
      </c>
      <c r="G644" s="15">
        <v>14</v>
      </c>
      <c r="H644" s="165" t="s">
        <v>63</v>
      </c>
    </row>
    <row r="645" spans="1:8">
      <c r="A645" s="449" t="s">
        <v>1518</v>
      </c>
      <c r="B645" s="15">
        <v>9290945</v>
      </c>
      <c r="C645" s="15">
        <v>66280</v>
      </c>
      <c r="D645" s="15">
        <v>68228</v>
      </c>
      <c r="E645" s="15">
        <v>5527</v>
      </c>
      <c r="F645" s="15">
        <v>276</v>
      </c>
      <c r="G645" s="15">
        <v>14</v>
      </c>
      <c r="H645" s="165" t="s">
        <v>63</v>
      </c>
    </row>
    <row r="646" spans="1:8">
      <c r="A646" s="449" t="s">
        <v>1526</v>
      </c>
      <c r="B646" s="15">
        <v>9290799</v>
      </c>
      <c r="C646" s="15">
        <v>66280</v>
      </c>
      <c r="D646" s="15">
        <v>68228</v>
      </c>
      <c r="E646" s="15">
        <v>5527</v>
      </c>
      <c r="F646" s="15">
        <v>275.8</v>
      </c>
      <c r="G646" s="15">
        <v>14.02</v>
      </c>
      <c r="H646" s="165" t="s">
        <v>63</v>
      </c>
    </row>
    <row r="647" spans="1:8">
      <c r="A647" s="449" t="s">
        <v>968</v>
      </c>
      <c r="B647" s="15">
        <v>9480174</v>
      </c>
      <c r="C647" s="15">
        <v>61870</v>
      </c>
      <c r="D647" s="15">
        <v>74477</v>
      </c>
      <c r="E647" s="15">
        <v>5550</v>
      </c>
      <c r="F647" s="15">
        <v>270.33</v>
      </c>
      <c r="G647" s="15">
        <v>13.5</v>
      </c>
      <c r="H647" s="165" t="s">
        <v>63</v>
      </c>
    </row>
    <row r="648" spans="1:8">
      <c r="A648" s="449" t="s">
        <v>1001</v>
      </c>
      <c r="B648" s="15">
        <v>9480186</v>
      </c>
      <c r="C648" s="15">
        <v>61870</v>
      </c>
      <c r="D648" s="15">
        <v>74456</v>
      </c>
      <c r="E648" s="15">
        <v>5550</v>
      </c>
      <c r="F648" s="15">
        <v>270.39999999999998</v>
      </c>
      <c r="G648" s="15">
        <v>13.5</v>
      </c>
      <c r="H648" s="165" t="s">
        <v>63</v>
      </c>
    </row>
    <row r="649" spans="1:8">
      <c r="A649" s="449" t="s">
        <v>1032</v>
      </c>
      <c r="B649" s="15">
        <v>9480215</v>
      </c>
      <c r="C649" s="15">
        <v>61870</v>
      </c>
      <c r="D649" s="15">
        <v>74506</v>
      </c>
      <c r="E649" s="15">
        <v>5550</v>
      </c>
      <c r="F649" s="15">
        <v>270.41000000000003</v>
      </c>
      <c r="G649" s="15">
        <v>13.5</v>
      </c>
      <c r="H649" s="165" t="s">
        <v>63</v>
      </c>
    </row>
    <row r="650" spans="1:8">
      <c r="A650" s="449" t="s">
        <v>1118</v>
      </c>
      <c r="B650" s="15">
        <v>9480198</v>
      </c>
      <c r="C650" s="15">
        <v>61870</v>
      </c>
      <c r="D650" s="15">
        <v>74375</v>
      </c>
      <c r="E650" s="15">
        <v>5550</v>
      </c>
      <c r="F650" s="15">
        <v>270.39999999999998</v>
      </c>
      <c r="G650" s="15">
        <v>13.5</v>
      </c>
      <c r="H650" s="165" t="s">
        <v>63</v>
      </c>
    </row>
    <row r="651" spans="1:8">
      <c r="A651" s="449" t="s">
        <v>1236</v>
      </c>
      <c r="B651" s="15">
        <v>9480227</v>
      </c>
      <c r="C651" s="15">
        <v>61870</v>
      </c>
      <c r="D651" s="15">
        <v>73800</v>
      </c>
      <c r="E651" s="15">
        <v>5550</v>
      </c>
      <c r="F651" s="15">
        <v>270.41000000000003</v>
      </c>
      <c r="G651" s="15">
        <v>13.5</v>
      </c>
      <c r="H651" s="165" t="s">
        <v>63</v>
      </c>
    </row>
    <row r="652" spans="1:8">
      <c r="A652" s="449" t="s">
        <v>572</v>
      </c>
      <c r="B652" s="15">
        <v>9112272</v>
      </c>
      <c r="C652" s="15">
        <v>64054</v>
      </c>
      <c r="D652" s="15">
        <v>68363</v>
      </c>
      <c r="E652" s="15">
        <v>5551</v>
      </c>
      <c r="F652" s="15">
        <v>274.66000000000003</v>
      </c>
      <c r="G652" s="15">
        <v>14.02</v>
      </c>
      <c r="H652" s="165" t="s">
        <v>63</v>
      </c>
    </row>
    <row r="653" spans="1:8">
      <c r="A653" s="449" t="s">
        <v>661</v>
      </c>
      <c r="B653" s="15">
        <v>9225079</v>
      </c>
      <c r="C653" s="15">
        <v>65131</v>
      </c>
      <c r="D653" s="15">
        <v>67955</v>
      </c>
      <c r="E653" s="15">
        <v>5551</v>
      </c>
      <c r="F653" s="15">
        <v>274.68</v>
      </c>
      <c r="G653" s="15">
        <v>14</v>
      </c>
      <c r="H653" s="165" t="s">
        <v>63</v>
      </c>
    </row>
    <row r="654" spans="1:8">
      <c r="A654" s="449" t="s">
        <v>683</v>
      </c>
      <c r="B654" s="15">
        <v>9128166</v>
      </c>
      <c r="C654" s="15">
        <v>64054</v>
      </c>
      <c r="D654" s="15">
        <v>68379</v>
      </c>
      <c r="E654" s="15">
        <v>5551</v>
      </c>
      <c r="F654" s="15">
        <v>274.60000000000002</v>
      </c>
      <c r="G654" s="15">
        <v>14.02</v>
      </c>
      <c r="H654" s="165" t="s">
        <v>63</v>
      </c>
    </row>
    <row r="655" spans="1:8">
      <c r="A655" s="449" t="s">
        <v>1409</v>
      </c>
      <c r="B655" s="15">
        <v>9216999</v>
      </c>
      <c r="C655" s="15">
        <v>65059</v>
      </c>
      <c r="D655" s="15">
        <v>68122</v>
      </c>
      <c r="E655" s="15">
        <v>5551</v>
      </c>
      <c r="F655" s="15">
        <v>274.67</v>
      </c>
      <c r="G655" s="15">
        <v>14.02</v>
      </c>
      <c r="H655" s="165" t="s">
        <v>63</v>
      </c>
    </row>
    <row r="656" spans="1:8">
      <c r="A656" s="449" t="s">
        <v>1410</v>
      </c>
      <c r="B656" s="15">
        <v>9216987</v>
      </c>
      <c r="C656" s="15">
        <v>65059</v>
      </c>
      <c r="D656" s="15">
        <v>68122</v>
      </c>
      <c r="E656" s="15">
        <v>5551</v>
      </c>
      <c r="F656" s="15">
        <v>274.67</v>
      </c>
      <c r="G656" s="15">
        <v>14.02</v>
      </c>
      <c r="H656" s="165" t="s">
        <v>63</v>
      </c>
    </row>
    <row r="657" spans="1:8">
      <c r="A657" s="449" t="s">
        <v>1571</v>
      </c>
      <c r="B657" s="15">
        <v>9231743</v>
      </c>
      <c r="C657" s="15">
        <v>65131</v>
      </c>
      <c r="D657" s="15">
        <v>68086</v>
      </c>
      <c r="E657" s="15">
        <v>5551</v>
      </c>
      <c r="F657" s="15">
        <v>275</v>
      </c>
      <c r="G657" s="15">
        <v>14</v>
      </c>
      <c r="H657" s="165" t="s">
        <v>63</v>
      </c>
    </row>
    <row r="658" spans="1:8">
      <c r="A658" s="449" t="s">
        <v>945</v>
      </c>
      <c r="B658" s="15">
        <v>9348065</v>
      </c>
      <c r="C658" s="15">
        <v>69132</v>
      </c>
      <c r="D658" s="15">
        <v>71256</v>
      </c>
      <c r="E658" s="15">
        <v>5552</v>
      </c>
      <c r="F658" s="15">
        <v>272.05</v>
      </c>
      <c r="G658" s="15">
        <v>13.2</v>
      </c>
      <c r="H658" s="165" t="s">
        <v>63</v>
      </c>
    </row>
    <row r="659" spans="1:8">
      <c r="A659" s="449" t="s">
        <v>947</v>
      </c>
      <c r="B659" s="15">
        <v>9283186</v>
      </c>
      <c r="C659" s="15">
        <v>69132</v>
      </c>
      <c r="D659" s="15">
        <v>64963</v>
      </c>
      <c r="E659" s="15">
        <v>5552</v>
      </c>
      <c r="F659" s="15">
        <v>272.08</v>
      </c>
      <c r="G659" s="15">
        <v>12.5</v>
      </c>
      <c r="H659" s="165" t="s">
        <v>63</v>
      </c>
    </row>
    <row r="660" spans="1:8">
      <c r="A660" s="449" t="s">
        <v>948</v>
      </c>
      <c r="B660" s="15">
        <v>9283198</v>
      </c>
      <c r="C660" s="15">
        <v>69132</v>
      </c>
      <c r="D660" s="15">
        <v>64730</v>
      </c>
      <c r="E660" s="15">
        <v>5552</v>
      </c>
      <c r="F660" s="15">
        <v>272.02</v>
      </c>
      <c r="G660" s="15">
        <v>13.2</v>
      </c>
      <c r="H660" s="165" t="s">
        <v>63</v>
      </c>
    </row>
    <row r="661" spans="1:8">
      <c r="A661" s="449" t="s">
        <v>949</v>
      </c>
      <c r="B661" s="15">
        <v>9283203</v>
      </c>
      <c r="C661" s="15">
        <v>69132</v>
      </c>
      <c r="D661" s="15">
        <v>65066</v>
      </c>
      <c r="E661" s="15">
        <v>5552</v>
      </c>
      <c r="F661" s="15">
        <v>272.02</v>
      </c>
      <c r="G661" s="15">
        <v>13.2</v>
      </c>
      <c r="H661" s="165" t="s">
        <v>63</v>
      </c>
    </row>
    <row r="662" spans="1:8">
      <c r="A662" s="449" t="s">
        <v>951</v>
      </c>
      <c r="B662" s="15">
        <v>9283239</v>
      </c>
      <c r="C662" s="15">
        <v>69132</v>
      </c>
      <c r="D662" s="15">
        <v>65005</v>
      </c>
      <c r="E662" s="15">
        <v>5560</v>
      </c>
      <c r="F662" s="15">
        <v>272.02</v>
      </c>
      <c r="G662" s="15">
        <v>13.2</v>
      </c>
      <c r="H662" s="165" t="s">
        <v>63</v>
      </c>
    </row>
    <row r="663" spans="1:8">
      <c r="A663" s="449" t="s">
        <v>946</v>
      </c>
      <c r="B663" s="15">
        <v>9348053</v>
      </c>
      <c r="C663" s="15">
        <v>69132</v>
      </c>
      <c r="D663" s="15">
        <v>71256</v>
      </c>
      <c r="E663" s="15">
        <v>5568</v>
      </c>
      <c r="F663" s="15">
        <v>272</v>
      </c>
      <c r="G663" s="15">
        <v>13.2</v>
      </c>
      <c r="H663" s="165" t="s">
        <v>63</v>
      </c>
    </row>
    <row r="664" spans="1:8">
      <c r="A664" s="449" t="s">
        <v>950</v>
      </c>
      <c r="B664" s="15">
        <v>9283215</v>
      </c>
      <c r="C664" s="15">
        <v>69132</v>
      </c>
      <c r="D664" s="15">
        <v>64887</v>
      </c>
      <c r="E664" s="15">
        <v>5568</v>
      </c>
      <c r="F664" s="15">
        <v>272</v>
      </c>
      <c r="G664" s="15">
        <v>13.2</v>
      </c>
      <c r="H664" s="165" t="s">
        <v>63</v>
      </c>
    </row>
    <row r="665" spans="1:8">
      <c r="A665" s="449" t="s">
        <v>100</v>
      </c>
      <c r="B665" s="15">
        <v>9295945</v>
      </c>
      <c r="C665" s="15">
        <v>66280</v>
      </c>
      <c r="D665" s="15">
        <v>68228</v>
      </c>
      <c r="E665" s="15">
        <v>5572</v>
      </c>
      <c r="F665" s="15">
        <v>275</v>
      </c>
      <c r="G665" s="15">
        <v>11</v>
      </c>
      <c r="H665" s="165" t="s">
        <v>63</v>
      </c>
    </row>
    <row r="666" spans="1:8">
      <c r="A666" s="449" t="s">
        <v>571</v>
      </c>
      <c r="B666" s="15">
        <v>9247560</v>
      </c>
      <c r="C666" s="15">
        <v>66332</v>
      </c>
      <c r="D666" s="15">
        <v>67170</v>
      </c>
      <c r="E666" s="15">
        <v>5576</v>
      </c>
      <c r="F666" s="15">
        <v>278.94</v>
      </c>
      <c r="G666" s="15">
        <v>14.02</v>
      </c>
      <c r="H666" s="165" t="s">
        <v>63</v>
      </c>
    </row>
    <row r="667" spans="1:8">
      <c r="A667" s="449" t="s">
        <v>582</v>
      </c>
      <c r="B667" s="15">
        <v>9267651</v>
      </c>
      <c r="C667" s="15">
        <v>66292</v>
      </c>
      <c r="D667" s="15">
        <v>67197</v>
      </c>
      <c r="E667" s="15">
        <v>5576</v>
      </c>
      <c r="F667" s="15">
        <v>278.94</v>
      </c>
      <c r="G667" s="15">
        <v>14.02</v>
      </c>
      <c r="H667" s="165" t="s">
        <v>63</v>
      </c>
    </row>
    <row r="668" spans="1:8">
      <c r="A668" s="449" t="s">
        <v>702</v>
      </c>
      <c r="B668" s="15">
        <v>9261449</v>
      </c>
      <c r="C668" s="15">
        <v>66332</v>
      </c>
      <c r="D668" s="15">
        <v>67164</v>
      </c>
      <c r="E668" s="15">
        <v>5576</v>
      </c>
      <c r="F668" s="15">
        <v>278.94</v>
      </c>
      <c r="G668" s="15">
        <v>14</v>
      </c>
      <c r="H668" s="165" t="s">
        <v>63</v>
      </c>
    </row>
    <row r="669" spans="1:8">
      <c r="A669" s="449" t="s">
        <v>1245</v>
      </c>
      <c r="B669" s="15">
        <v>9298997</v>
      </c>
      <c r="C669" s="15">
        <v>66332</v>
      </c>
      <c r="D669" s="15">
        <v>67270</v>
      </c>
      <c r="E669" s="15">
        <v>5576</v>
      </c>
      <c r="F669" s="15">
        <v>278.94</v>
      </c>
      <c r="G669" s="15">
        <v>14.02</v>
      </c>
      <c r="H669" s="165" t="s">
        <v>63</v>
      </c>
    </row>
    <row r="670" spans="1:8">
      <c r="A670" s="449" t="s">
        <v>1132</v>
      </c>
      <c r="B670" s="15">
        <v>9295385</v>
      </c>
      <c r="C670" s="15">
        <v>65483</v>
      </c>
      <c r="D670" s="15">
        <v>72044</v>
      </c>
      <c r="E670" s="15">
        <v>5599</v>
      </c>
      <c r="F670" s="15">
        <v>274.68</v>
      </c>
      <c r="G670" s="15">
        <v>14.5</v>
      </c>
      <c r="H670" s="165" t="s">
        <v>63</v>
      </c>
    </row>
    <row r="671" spans="1:8">
      <c r="A671" s="449" t="s">
        <v>917</v>
      </c>
      <c r="B671" s="15">
        <v>9535199</v>
      </c>
      <c r="C671" s="15">
        <v>59307</v>
      </c>
      <c r="D671" s="15">
        <v>71416</v>
      </c>
      <c r="E671" s="15">
        <v>5605</v>
      </c>
      <c r="F671" s="15">
        <v>275.07</v>
      </c>
      <c r="G671" s="15">
        <v>14</v>
      </c>
      <c r="H671" s="165" t="s">
        <v>63</v>
      </c>
    </row>
    <row r="672" spans="1:8">
      <c r="A672" s="449" t="s">
        <v>918</v>
      </c>
      <c r="B672" s="15">
        <v>9535163</v>
      </c>
      <c r="C672" s="15">
        <v>59307</v>
      </c>
      <c r="D672" s="15">
        <v>71339</v>
      </c>
      <c r="E672" s="15">
        <v>5605</v>
      </c>
      <c r="F672" s="15">
        <v>275.07</v>
      </c>
      <c r="G672" s="15">
        <v>14</v>
      </c>
      <c r="H672" s="165" t="s">
        <v>63</v>
      </c>
    </row>
    <row r="673" spans="1:8">
      <c r="A673" s="449" t="s">
        <v>919</v>
      </c>
      <c r="B673" s="15">
        <v>9535187</v>
      </c>
      <c r="C673" s="15">
        <v>59307</v>
      </c>
      <c r="D673" s="15">
        <v>70590</v>
      </c>
      <c r="E673" s="15">
        <v>5605</v>
      </c>
      <c r="F673" s="15">
        <v>275</v>
      </c>
      <c r="G673" s="15">
        <v>14</v>
      </c>
      <c r="H673" s="165" t="s">
        <v>63</v>
      </c>
    </row>
    <row r="674" spans="1:8">
      <c r="A674" s="449" t="s">
        <v>920</v>
      </c>
      <c r="B674" s="15">
        <v>9535175</v>
      </c>
      <c r="C674" s="15">
        <v>59307</v>
      </c>
      <c r="D674" s="15">
        <v>71416</v>
      </c>
      <c r="E674" s="15">
        <v>5605</v>
      </c>
      <c r="F674" s="15">
        <v>275.07</v>
      </c>
      <c r="G674" s="15">
        <v>14</v>
      </c>
      <c r="H674" s="165" t="s">
        <v>63</v>
      </c>
    </row>
    <row r="675" spans="1:8">
      <c r="A675" s="449" t="s">
        <v>1022</v>
      </c>
      <c r="B675" s="15">
        <v>9295397</v>
      </c>
      <c r="C675" s="15">
        <v>65483</v>
      </c>
      <c r="D675" s="15">
        <v>72037</v>
      </c>
      <c r="E675" s="15">
        <v>5606</v>
      </c>
      <c r="F675" s="15">
        <v>274.67</v>
      </c>
      <c r="G675" s="15">
        <v>14.5</v>
      </c>
      <c r="H675" s="165" t="s">
        <v>63</v>
      </c>
    </row>
    <row r="676" spans="1:8">
      <c r="A676" s="449" t="s">
        <v>1199</v>
      </c>
      <c r="B676" s="15">
        <v>9295373</v>
      </c>
      <c r="C676" s="15">
        <v>65483</v>
      </c>
      <c r="D676" s="15">
        <v>72064</v>
      </c>
      <c r="E676" s="15">
        <v>5606</v>
      </c>
      <c r="F676" s="15">
        <v>274.67</v>
      </c>
      <c r="G676" s="15">
        <v>14.5</v>
      </c>
      <c r="H676" s="165" t="s">
        <v>63</v>
      </c>
    </row>
    <row r="677" spans="1:8">
      <c r="A677" s="449" t="s">
        <v>1220</v>
      </c>
      <c r="B677" s="15">
        <v>9295361</v>
      </c>
      <c r="C677" s="15">
        <v>65483</v>
      </c>
      <c r="D677" s="15">
        <v>71949</v>
      </c>
      <c r="E677" s="15">
        <v>5606</v>
      </c>
      <c r="F677" s="15">
        <v>274.67</v>
      </c>
      <c r="G677" s="15">
        <v>14.5</v>
      </c>
      <c r="H677" s="165" t="s">
        <v>63</v>
      </c>
    </row>
    <row r="678" spans="1:8">
      <c r="A678" s="449" t="s">
        <v>1510</v>
      </c>
      <c r="B678" s="15">
        <v>9230311</v>
      </c>
      <c r="C678" s="15">
        <v>68687</v>
      </c>
      <c r="D678" s="15">
        <v>71359</v>
      </c>
      <c r="E678" s="15">
        <v>5610</v>
      </c>
      <c r="F678" s="15">
        <v>284</v>
      </c>
      <c r="G678" s="15">
        <v>14</v>
      </c>
      <c r="H678" s="165" t="s">
        <v>63</v>
      </c>
    </row>
    <row r="679" spans="1:8">
      <c r="A679" s="449" t="s">
        <v>201</v>
      </c>
      <c r="B679" s="15">
        <v>9200691</v>
      </c>
      <c r="C679" s="15">
        <v>66278</v>
      </c>
      <c r="D679" s="15">
        <v>68790</v>
      </c>
      <c r="E679" s="15">
        <v>5618</v>
      </c>
      <c r="F679" s="15">
        <v>278.8</v>
      </c>
      <c r="G679" s="15">
        <v>14</v>
      </c>
      <c r="H679" s="165" t="s">
        <v>63</v>
      </c>
    </row>
    <row r="680" spans="1:8">
      <c r="A680" s="449" t="s">
        <v>360</v>
      </c>
      <c r="B680" s="15">
        <v>9200677</v>
      </c>
      <c r="C680" s="15">
        <v>66278</v>
      </c>
      <c r="D680" s="15">
        <v>68824</v>
      </c>
      <c r="E680" s="15">
        <v>5618</v>
      </c>
      <c r="F680" s="15">
        <v>278.8</v>
      </c>
      <c r="G680" s="15">
        <v>14</v>
      </c>
      <c r="H680" s="165" t="s">
        <v>63</v>
      </c>
    </row>
    <row r="681" spans="1:8">
      <c r="A681" s="449" t="s">
        <v>372</v>
      </c>
      <c r="B681" s="15">
        <v>9200706</v>
      </c>
      <c r="C681" s="15">
        <v>66278</v>
      </c>
      <c r="D681" s="15">
        <v>68819</v>
      </c>
      <c r="E681" s="15">
        <v>5618</v>
      </c>
      <c r="F681" s="15">
        <v>278.8</v>
      </c>
      <c r="G681" s="15">
        <v>14</v>
      </c>
      <c r="H681" s="165" t="s">
        <v>63</v>
      </c>
    </row>
    <row r="682" spans="1:8">
      <c r="A682" s="449" t="s">
        <v>584</v>
      </c>
      <c r="B682" s="15">
        <v>9302073</v>
      </c>
      <c r="C682" s="15">
        <v>68570</v>
      </c>
      <c r="D682" s="15">
        <v>71309</v>
      </c>
      <c r="E682" s="15">
        <v>5624</v>
      </c>
      <c r="F682" s="15">
        <v>284.60000000000002</v>
      </c>
      <c r="G682" s="15">
        <v>13.96</v>
      </c>
      <c r="H682" s="165" t="s">
        <v>63</v>
      </c>
    </row>
    <row r="683" spans="1:8">
      <c r="A683" s="449" t="s">
        <v>837</v>
      </c>
      <c r="B683" s="15">
        <v>9315238</v>
      </c>
      <c r="C683" s="15">
        <v>79702</v>
      </c>
      <c r="D683" s="15">
        <v>85250</v>
      </c>
      <c r="E683" s="15">
        <v>5648</v>
      </c>
      <c r="F683" s="15">
        <v>318.41000000000003</v>
      </c>
      <c r="G683" s="15">
        <v>14</v>
      </c>
      <c r="H683" s="165" t="s">
        <v>63</v>
      </c>
    </row>
    <row r="684" spans="1:8">
      <c r="A684" s="449" t="s">
        <v>562</v>
      </c>
      <c r="B684" s="15">
        <v>9196955</v>
      </c>
      <c r="C684" s="15">
        <v>69246</v>
      </c>
      <c r="D684" s="15">
        <v>63216</v>
      </c>
      <c r="E684" s="15">
        <v>5652</v>
      </c>
      <c r="F684" s="15">
        <v>285</v>
      </c>
      <c r="G684" s="15">
        <v>12.7</v>
      </c>
      <c r="H684" s="165" t="s">
        <v>63</v>
      </c>
    </row>
    <row r="685" spans="1:8">
      <c r="A685" s="449" t="s">
        <v>563</v>
      </c>
      <c r="B685" s="15">
        <v>9168843</v>
      </c>
      <c r="C685" s="15">
        <v>69246</v>
      </c>
      <c r="D685" s="15">
        <v>63216</v>
      </c>
      <c r="E685" s="15">
        <v>5652</v>
      </c>
      <c r="F685" s="15">
        <v>285</v>
      </c>
      <c r="G685" s="15">
        <v>12.7</v>
      </c>
      <c r="H685" s="165" t="s">
        <v>63</v>
      </c>
    </row>
    <row r="686" spans="1:8">
      <c r="A686" s="449" t="s">
        <v>565</v>
      </c>
      <c r="B686" s="15">
        <v>9168867</v>
      </c>
      <c r="C686" s="15">
        <v>69246</v>
      </c>
      <c r="D686" s="15">
        <v>63216</v>
      </c>
      <c r="E686" s="15">
        <v>5652</v>
      </c>
      <c r="F686" s="15">
        <v>285</v>
      </c>
      <c r="G686" s="15">
        <v>12.7</v>
      </c>
      <c r="H686" s="165" t="s">
        <v>63</v>
      </c>
    </row>
    <row r="687" spans="1:8">
      <c r="A687" s="449" t="s">
        <v>1595</v>
      </c>
      <c r="B687" s="15">
        <v>9304813</v>
      </c>
      <c r="C687" s="15">
        <v>69229</v>
      </c>
      <c r="D687" s="15">
        <v>66452</v>
      </c>
      <c r="E687" s="15">
        <v>5668</v>
      </c>
      <c r="F687" s="15">
        <v>279.89999999999998</v>
      </c>
      <c r="G687" s="15">
        <v>14</v>
      </c>
      <c r="H687" s="165" t="s">
        <v>63</v>
      </c>
    </row>
    <row r="688" spans="1:8">
      <c r="A688" s="449" t="s">
        <v>1604</v>
      </c>
      <c r="B688" s="15">
        <v>9304784</v>
      </c>
      <c r="C688" s="15">
        <v>66452</v>
      </c>
      <c r="D688" s="15">
        <v>69303</v>
      </c>
      <c r="E688" s="15">
        <v>5668</v>
      </c>
      <c r="F688" s="15">
        <v>279.89999999999998</v>
      </c>
      <c r="G688" s="15">
        <v>14</v>
      </c>
      <c r="H688" s="165" t="s">
        <v>63</v>
      </c>
    </row>
    <row r="689" spans="1:8">
      <c r="A689" s="449" t="s">
        <v>1605</v>
      </c>
      <c r="B689" s="15">
        <v>9270452</v>
      </c>
      <c r="C689" s="15">
        <v>66433</v>
      </c>
      <c r="D689" s="15">
        <v>69423</v>
      </c>
      <c r="E689" s="15">
        <v>5668</v>
      </c>
      <c r="F689" s="15">
        <v>279.89999999999998</v>
      </c>
      <c r="G689" s="15">
        <v>14</v>
      </c>
      <c r="H689" s="165" t="s">
        <v>63</v>
      </c>
    </row>
    <row r="690" spans="1:8">
      <c r="A690" s="449" t="s">
        <v>1608</v>
      </c>
      <c r="B690" s="15">
        <v>9304801</v>
      </c>
      <c r="C690" s="15">
        <v>66452</v>
      </c>
      <c r="D690" s="15">
        <v>69225</v>
      </c>
      <c r="E690" s="15">
        <v>5668</v>
      </c>
      <c r="F690" s="15">
        <v>279.89999999999998</v>
      </c>
      <c r="G690" s="15">
        <v>14.02</v>
      </c>
      <c r="H690" s="165" t="s">
        <v>63</v>
      </c>
    </row>
    <row r="691" spans="1:8">
      <c r="A691" s="449" t="s">
        <v>672</v>
      </c>
      <c r="B691" s="15">
        <v>9254848</v>
      </c>
      <c r="C691" s="15">
        <v>64845</v>
      </c>
      <c r="D691" s="15">
        <v>68250</v>
      </c>
      <c r="E691" s="15">
        <v>5680</v>
      </c>
      <c r="F691" s="15">
        <v>274.67</v>
      </c>
      <c r="G691" s="15">
        <v>14.02</v>
      </c>
      <c r="H691" s="165" t="s">
        <v>63</v>
      </c>
    </row>
    <row r="692" spans="1:8">
      <c r="A692" s="449" t="s">
        <v>1044</v>
      </c>
      <c r="B692" s="15">
        <v>9110391</v>
      </c>
      <c r="C692" s="15">
        <v>64054</v>
      </c>
      <c r="D692" s="15">
        <v>68363</v>
      </c>
      <c r="E692" s="15">
        <v>5711</v>
      </c>
      <c r="F692" s="15">
        <v>274.67</v>
      </c>
      <c r="G692" s="15">
        <v>14.02</v>
      </c>
      <c r="H692" s="165" t="s">
        <v>63</v>
      </c>
    </row>
    <row r="693" spans="1:8">
      <c r="A693" s="449" t="s">
        <v>1091</v>
      </c>
      <c r="B693" s="15">
        <v>9110389</v>
      </c>
      <c r="C693" s="15">
        <v>64054</v>
      </c>
      <c r="D693" s="15">
        <v>68363</v>
      </c>
      <c r="E693" s="15">
        <v>5711</v>
      </c>
      <c r="F693" s="15">
        <v>274.67</v>
      </c>
      <c r="G693" s="15">
        <v>14.02</v>
      </c>
      <c r="H693" s="165" t="s">
        <v>63</v>
      </c>
    </row>
    <row r="694" spans="1:8">
      <c r="A694" s="449" t="s">
        <v>1186</v>
      </c>
      <c r="B694" s="15">
        <v>9110377</v>
      </c>
      <c r="C694" s="15">
        <v>64054</v>
      </c>
      <c r="D694" s="15">
        <v>68363</v>
      </c>
      <c r="E694" s="15">
        <v>5711</v>
      </c>
      <c r="F694" s="15">
        <v>274.67</v>
      </c>
      <c r="G694" s="15">
        <v>14.02</v>
      </c>
      <c r="H694" s="165" t="s">
        <v>63</v>
      </c>
    </row>
    <row r="695" spans="1:8">
      <c r="A695" s="449" t="s">
        <v>1343</v>
      </c>
      <c r="B695" s="15">
        <v>9199270</v>
      </c>
      <c r="C695" s="15">
        <v>66677</v>
      </c>
      <c r="D695" s="15">
        <v>67278</v>
      </c>
      <c r="E695" s="15">
        <v>5714</v>
      </c>
      <c r="F695" s="15">
        <v>277.35000000000002</v>
      </c>
      <c r="G695" s="15">
        <v>14</v>
      </c>
      <c r="H695" s="165" t="s">
        <v>63</v>
      </c>
    </row>
    <row r="696" spans="1:8">
      <c r="A696" s="449" t="s">
        <v>1362</v>
      </c>
      <c r="B696" s="15">
        <v>9199268</v>
      </c>
      <c r="C696" s="15">
        <v>66677</v>
      </c>
      <c r="D696" s="15">
        <v>67286</v>
      </c>
      <c r="E696" s="15">
        <v>5714</v>
      </c>
      <c r="F696" s="15">
        <v>277.35000000000002</v>
      </c>
      <c r="G696" s="15">
        <v>14</v>
      </c>
      <c r="H696" s="165" t="s">
        <v>63</v>
      </c>
    </row>
    <row r="697" spans="1:8">
      <c r="A697" s="449" t="s">
        <v>623</v>
      </c>
      <c r="B697" s="15">
        <v>9215634</v>
      </c>
      <c r="C697" s="15">
        <v>65918</v>
      </c>
      <c r="D697" s="15">
        <v>68263</v>
      </c>
      <c r="E697" s="15">
        <v>5752</v>
      </c>
      <c r="F697" s="15">
        <v>278.8</v>
      </c>
      <c r="G697" s="15">
        <v>14</v>
      </c>
      <c r="H697" s="165" t="s">
        <v>63</v>
      </c>
    </row>
    <row r="698" spans="1:8">
      <c r="A698" s="449" t="s">
        <v>313</v>
      </c>
      <c r="B698" s="15">
        <v>9280615</v>
      </c>
      <c r="C698" s="15">
        <v>65730</v>
      </c>
      <c r="D698" s="15">
        <v>73235</v>
      </c>
      <c r="E698" s="15">
        <v>5762</v>
      </c>
      <c r="F698" s="15">
        <v>277.27999999999997</v>
      </c>
      <c r="G698" s="15">
        <v>14.5</v>
      </c>
      <c r="H698" s="165" t="s">
        <v>63</v>
      </c>
    </row>
    <row r="699" spans="1:8">
      <c r="A699" s="449" t="s">
        <v>442</v>
      </c>
      <c r="B699" s="15">
        <v>9222974</v>
      </c>
      <c r="C699" s="15">
        <v>66058</v>
      </c>
      <c r="D699" s="15">
        <v>68196</v>
      </c>
      <c r="E699" s="15">
        <v>5762</v>
      </c>
      <c r="F699" s="15">
        <v>277.22000000000003</v>
      </c>
      <c r="G699" s="15">
        <v>14</v>
      </c>
      <c r="H699" s="165" t="s">
        <v>63</v>
      </c>
    </row>
    <row r="700" spans="1:8">
      <c r="A700" s="449" t="s">
        <v>471</v>
      </c>
      <c r="B700" s="15">
        <v>9213571</v>
      </c>
      <c r="C700" s="15">
        <v>66289</v>
      </c>
      <c r="D700" s="15">
        <v>67557</v>
      </c>
      <c r="E700" s="15">
        <v>5762</v>
      </c>
      <c r="F700" s="15">
        <v>277</v>
      </c>
      <c r="G700" s="15">
        <v>14</v>
      </c>
      <c r="H700" s="165" t="s">
        <v>63</v>
      </c>
    </row>
    <row r="701" spans="1:8">
      <c r="A701" s="449" t="s">
        <v>472</v>
      </c>
      <c r="B701" s="15">
        <v>9214214</v>
      </c>
      <c r="C701" s="15">
        <v>66289</v>
      </c>
      <c r="D701" s="15">
        <v>67580</v>
      </c>
      <c r="E701" s="15">
        <v>5762</v>
      </c>
      <c r="F701" s="15">
        <v>277.32</v>
      </c>
      <c r="G701" s="15">
        <v>14</v>
      </c>
      <c r="H701" s="165" t="s">
        <v>63</v>
      </c>
    </row>
    <row r="702" spans="1:8">
      <c r="A702" s="449" t="s">
        <v>473</v>
      </c>
      <c r="B702" s="15">
        <v>9231250</v>
      </c>
      <c r="C702" s="15">
        <v>65792</v>
      </c>
      <c r="D702" s="15">
        <v>67935</v>
      </c>
      <c r="E702" s="15">
        <v>5762</v>
      </c>
      <c r="F702" s="15">
        <v>277</v>
      </c>
      <c r="G702" s="15">
        <v>14</v>
      </c>
      <c r="H702" s="165" t="s">
        <v>63</v>
      </c>
    </row>
    <row r="703" spans="1:8">
      <c r="A703" s="449" t="s">
        <v>474</v>
      </c>
      <c r="B703" s="15">
        <v>9213583</v>
      </c>
      <c r="C703" s="15">
        <v>66289</v>
      </c>
      <c r="D703" s="15">
        <v>67564</v>
      </c>
      <c r="E703" s="15">
        <v>5762</v>
      </c>
      <c r="F703" s="15">
        <v>277</v>
      </c>
      <c r="G703" s="15">
        <v>14</v>
      </c>
      <c r="H703" s="165" t="s">
        <v>63</v>
      </c>
    </row>
    <row r="704" spans="1:8">
      <c r="A704" s="449" t="s">
        <v>475</v>
      </c>
      <c r="B704" s="15">
        <v>9214226</v>
      </c>
      <c r="C704" s="15">
        <v>66289</v>
      </c>
      <c r="D704" s="15">
        <v>67591</v>
      </c>
      <c r="E704" s="15">
        <v>5762</v>
      </c>
      <c r="F704" s="15">
        <v>277.27</v>
      </c>
      <c r="G704" s="15">
        <v>14</v>
      </c>
      <c r="H704" s="165" t="s">
        <v>63</v>
      </c>
    </row>
    <row r="705" spans="1:8">
      <c r="A705" s="449" t="s">
        <v>476</v>
      </c>
      <c r="B705" s="15">
        <v>9214202</v>
      </c>
      <c r="C705" s="15">
        <v>66289</v>
      </c>
      <c r="D705" s="15">
        <v>67566</v>
      </c>
      <c r="E705" s="15">
        <v>5762</v>
      </c>
      <c r="F705" s="15">
        <v>277</v>
      </c>
      <c r="G705" s="15">
        <v>14</v>
      </c>
      <c r="H705" s="165" t="s">
        <v>63</v>
      </c>
    </row>
    <row r="706" spans="1:8">
      <c r="A706" s="449" t="s">
        <v>478</v>
      </c>
      <c r="B706" s="15">
        <v>9222986</v>
      </c>
      <c r="C706" s="15">
        <v>66058</v>
      </c>
      <c r="D706" s="15">
        <v>68196</v>
      </c>
      <c r="E706" s="15">
        <v>5762</v>
      </c>
      <c r="F706" s="15">
        <v>277.3</v>
      </c>
      <c r="G706" s="15">
        <v>14</v>
      </c>
      <c r="H706" s="165" t="s">
        <v>63</v>
      </c>
    </row>
    <row r="707" spans="1:8">
      <c r="A707" s="449" t="s">
        <v>480</v>
      </c>
      <c r="B707" s="15">
        <v>9211169</v>
      </c>
      <c r="C707" s="15">
        <v>66289</v>
      </c>
      <c r="D707" s="15">
        <v>67737</v>
      </c>
      <c r="E707" s="15">
        <v>5762</v>
      </c>
      <c r="F707" s="15">
        <v>277</v>
      </c>
      <c r="G707" s="15">
        <v>14</v>
      </c>
      <c r="H707" s="165" t="s">
        <v>63</v>
      </c>
    </row>
    <row r="708" spans="1:8">
      <c r="A708" s="449" t="s">
        <v>481</v>
      </c>
      <c r="B708" s="15">
        <v>9208021</v>
      </c>
      <c r="C708" s="15">
        <v>66289</v>
      </c>
      <c r="D708" s="15">
        <v>67660</v>
      </c>
      <c r="E708" s="15">
        <v>5762</v>
      </c>
      <c r="F708" s="15">
        <v>277.23</v>
      </c>
      <c r="G708" s="15">
        <v>14</v>
      </c>
      <c r="H708" s="165" t="s">
        <v>63</v>
      </c>
    </row>
    <row r="709" spans="1:8">
      <c r="A709" s="449" t="s">
        <v>1123</v>
      </c>
      <c r="B709" s="15">
        <v>9238741</v>
      </c>
      <c r="C709" s="15">
        <v>66500</v>
      </c>
      <c r="D709" s="15">
        <v>67644</v>
      </c>
      <c r="E709" s="15">
        <v>5762</v>
      </c>
      <c r="F709" s="15">
        <v>277</v>
      </c>
      <c r="G709" s="15">
        <v>14</v>
      </c>
      <c r="H709" s="165" t="s">
        <v>63</v>
      </c>
    </row>
    <row r="710" spans="1:8">
      <c r="A710" s="449" t="s">
        <v>1364</v>
      </c>
      <c r="B710" s="15">
        <v>9198111</v>
      </c>
      <c r="C710" s="15">
        <v>66289</v>
      </c>
      <c r="D710" s="15">
        <v>67584</v>
      </c>
      <c r="E710" s="15">
        <v>5762</v>
      </c>
      <c r="F710" s="15">
        <v>277</v>
      </c>
      <c r="G710" s="15">
        <v>14</v>
      </c>
      <c r="H710" s="165" t="s">
        <v>63</v>
      </c>
    </row>
    <row r="711" spans="1:8">
      <c r="A711" s="449" t="s">
        <v>1059</v>
      </c>
      <c r="B711" s="15">
        <v>9369758</v>
      </c>
      <c r="C711" s="15">
        <v>66399</v>
      </c>
      <c r="D711" s="15">
        <v>73355</v>
      </c>
      <c r="E711" s="15">
        <v>5770</v>
      </c>
      <c r="F711" s="15">
        <v>277.3</v>
      </c>
      <c r="G711" s="15">
        <v>14.52</v>
      </c>
      <c r="H711" s="165" t="s">
        <v>63</v>
      </c>
    </row>
    <row r="712" spans="1:8">
      <c r="A712" s="449" t="s">
        <v>265</v>
      </c>
      <c r="B712" s="15">
        <v>9280598</v>
      </c>
      <c r="C712" s="15">
        <v>65247</v>
      </c>
      <c r="D712" s="15">
        <v>73235</v>
      </c>
      <c r="E712" s="15">
        <v>5782</v>
      </c>
      <c r="F712" s="15">
        <v>277</v>
      </c>
      <c r="G712" s="15">
        <v>14.5</v>
      </c>
      <c r="H712" s="165" t="s">
        <v>63</v>
      </c>
    </row>
    <row r="713" spans="1:8">
      <c r="A713" s="449" t="s">
        <v>274</v>
      </c>
      <c r="B713" s="15">
        <v>9280603</v>
      </c>
      <c r="C713" s="15">
        <v>65730</v>
      </c>
      <c r="D713" s="15">
        <v>73235</v>
      </c>
      <c r="E713" s="15">
        <v>5782</v>
      </c>
      <c r="F713" s="15">
        <v>277</v>
      </c>
      <c r="G713" s="15">
        <v>14.5</v>
      </c>
      <c r="H713" s="165" t="s">
        <v>63</v>
      </c>
    </row>
    <row r="714" spans="1:8">
      <c r="A714" s="449" t="s">
        <v>332</v>
      </c>
      <c r="B714" s="15">
        <v>9280627</v>
      </c>
      <c r="C714" s="15">
        <v>65247</v>
      </c>
      <c r="D714" s="15">
        <v>73235</v>
      </c>
      <c r="E714" s="15">
        <v>5782</v>
      </c>
      <c r="F714" s="15">
        <v>277</v>
      </c>
      <c r="G714" s="15">
        <v>14.5</v>
      </c>
      <c r="H714" s="165" t="s">
        <v>63</v>
      </c>
    </row>
    <row r="715" spans="1:8">
      <c r="A715" s="449" t="s">
        <v>338</v>
      </c>
      <c r="B715" s="15">
        <v>9280639</v>
      </c>
      <c r="C715" s="15">
        <v>65730</v>
      </c>
      <c r="D715" s="15">
        <v>73235</v>
      </c>
      <c r="E715" s="15">
        <v>5782</v>
      </c>
      <c r="F715" s="15">
        <v>277</v>
      </c>
      <c r="G715" s="15">
        <v>14.5</v>
      </c>
      <c r="H715" s="165" t="s">
        <v>63</v>
      </c>
    </row>
    <row r="716" spans="1:8">
      <c r="A716" s="449" t="s">
        <v>341</v>
      </c>
      <c r="B716" s="15">
        <v>9280641</v>
      </c>
      <c r="C716" s="15">
        <v>65247</v>
      </c>
      <c r="D716" s="15">
        <v>73235</v>
      </c>
      <c r="E716" s="15">
        <v>5782</v>
      </c>
      <c r="F716" s="15">
        <v>277</v>
      </c>
      <c r="G716" s="15">
        <v>14.5</v>
      </c>
      <c r="H716" s="165" t="s">
        <v>63</v>
      </c>
    </row>
    <row r="717" spans="1:8">
      <c r="A717" s="449" t="s">
        <v>352</v>
      </c>
      <c r="B717" s="15">
        <v>9280653</v>
      </c>
      <c r="C717" s="15">
        <v>65247</v>
      </c>
      <c r="D717" s="15">
        <v>73235</v>
      </c>
      <c r="E717" s="15">
        <v>5782</v>
      </c>
      <c r="F717" s="15">
        <v>277</v>
      </c>
      <c r="G717" s="15">
        <v>14.5</v>
      </c>
      <c r="H717" s="165" t="s">
        <v>63</v>
      </c>
    </row>
    <row r="718" spans="1:8">
      <c r="A718" s="449" t="s">
        <v>610</v>
      </c>
      <c r="B718" s="15">
        <v>9280665</v>
      </c>
      <c r="C718" s="15">
        <v>65247</v>
      </c>
      <c r="D718" s="15">
        <v>73235</v>
      </c>
      <c r="E718" s="15">
        <v>5782</v>
      </c>
      <c r="F718" s="15">
        <v>277</v>
      </c>
      <c r="G718" s="15">
        <v>14.5</v>
      </c>
      <c r="H718" s="165" t="s">
        <v>63</v>
      </c>
    </row>
    <row r="719" spans="1:8">
      <c r="A719" s="449" t="s">
        <v>1154</v>
      </c>
      <c r="B719" s="15">
        <v>9372482</v>
      </c>
      <c r="C719" s="15">
        <v>66399</v>
      </c>
      <c r="D719" s="15">
        <v>72900</v>
      </c>
      <c r="E719" s="15">
        <v>5782</v>
      </c>
      <c r="F719" s="15">
        <v>277.3</v>
      </c>
      <c r="G719" s="15">
        <v>14.5</v>
      </c>
      <c r="H719" s="165" t="s">
        <v>63</v>
      </c>
    </row>
    <row r="720" spans="1:8">
      <c r="A720" s="449" t="s">
        <v>1095</v>
      </c>
      <c r="B720" s="15">
        <v>9372470</v>
      </c>
      <c r="C720" s="15">
        <v>66399</v>
      </c>
      <c r="D720" s="15">
        <v>72900</v>
      </c>
      <c r="E720" s="15">
        <v>5800</v>
      </c>
      <c r="F720" s="15">
        <v>277.3</v>
      </c>
      <c r="G720" s="15">
        <v>14.5</v>
      </c>
      <c r="H720" s="165" t="s">
        <v>63</v>
      </c>
    </row>
    <row r="721" spans="1:8">
      <c r="A721" s="449" t="s">
        <v>1210</v>
      </c>
      <c r="B721" s="15">
        <v>9372494</v>
      </c>
      <c r="C721" s="15">
        <v>66399</v>
      </c>
      <c r="D721" s="15">
        <v>73262</v>
      </c>
      <c r="E721" s="15">
        <v>5800</v>
      </c>
      <c r="F721" s="15">
        <v>277.3</v>
      </c>
      <c r="G721" s="15">
        <v>14.52</v>
      </c>
      <c r="H721" s="165" t="s">
        <v>63</v>
      </c>
    </row>
    <row r="722" spans="1:8">
      <c r="A722" s="449" t="s">
        <v>198</v>
      </c>
      <c r="B722" s="15">
        <v>9367188</v>
      </c>
      <c r="C722" s="15">
        <v>66462</v>
      </c>
      <c r="D722" s="15">
        <v>66940</v>
      </c>
      <c r="E722" s="15">
        <v>5888</v>
      </c>
      <c r="F722" s="15">
        <v>280.54000000000002</v>
      </c>
      <c r="G722" s="15">
        <v>14.02</v>
      </c>
      <c r="H722" s="165" t="s">
        <v>63</v>
      </c>
    </row>
    <row r="723" spans="1:8">
      <c r="A723" s="449" t="s">
        <v>1337</v>
      </c>
      <c r="B723" s="15">
        <v>9307011</v>
      </c>
      <c r="C723" s="15">
        <v>66462</v>
      </c>
      <c r="D723" s="15">
        <v>66940</v>
      </c>
      <c r="E723" s="15">
        <v>5888</v>
      </c>
      <c r="F723" s="15">
        <v>280.54000000000002</v>
      </c>
      <c r="G723" s="15">
        <v>14.02</v>
      </c>
      <c r="H723" s="165" t="s">
        <v>63</v>
      </c>
    </row>
    <row r="724" spans="1:8">
      <c r="A724" s="449" t="s">
        <v>1348</v>
      </c>
      <c r="B724" s="15">
        <v>9367205</v>
      </c>
      <c r="C724" s="15">
        <v>66462</v>
      </c>
      <c r="D724" s="15">
        <v>66940</v>
      </c>
      <c r="E724" s="15">
        <v>5888</v>
      </c>
      <c r="F724" s="15">
        <v>280</v>
      </c>
      <c r="G724" s="15">
        <v>14</v>
      </c>
      <c r="H724" s="165" t="s">
        <v>63</v>
      </c>
    </row>
    <row r="725" spans="1:8">
      <c r="A725" s="449" t="s">
        <v>1349</v>
      </c>
      <c r="B725" s="15">
        <v>9307009</v>
      </c>
      <c r="C725" s="15">
        <v>66462</v>
      </c>
      <c r="D725" s="15">
        <v>66940</v>
      </c>
      <c r="E725" s="15">
        <v>5888</v>
      </c>
      <c r="F725" s="15">
        <v>280.54000000000002</v>
      </c>
      <c r="G725" s="15">
        <v>14</v>
      </c>
      <c r="H725" s="165" t="s">
        <v>63</v>
      </c>
    </row>
    <row r="726" spans="1:8">
      <c r="A726" s="449" t="s">
        <v>1352</v>
      </c>
      <c r="B726" s="15">
        <v>9367176</v>
      </c>
      <c r="C726" s="15">
        <v>66462</v>
      </c>
      <c r="D726" s="15">
        <v>66940</v>
      </c>
      <c r="E726" s="15">
        <v>5888</v>
      </c>
      <c r="F726" s="15">
        <v>281</v>
      </c>
      <c r="G726" s="15">
        <v>14</v>
      </c>
      <c r="H726" s="165" t="s">
        <v>63</v>
      </c>
    </row>
    <row r="727" spans="1:8">
      <c r="A727" s="449" t="s">
        <v>499</v>
      </c>
      <c r="B727" s="15">
        <v>9247546</v>
      </c>
      <c r="C727" s="15">
        <v>66332</v>
      </c>
      <c r="D727" s="15">
        <v>67170</v>
      </c>
      <c r="E727" s="15">
        <v>5896</v>
      </c>
      <c r="F727" s="15">
        <v>278.94</v>
      </c>
      <c r="G727" s="15">
        <v>14.02</v>
      </c>
      <c r="H727" s="165" t="s">
        <v>63</v>
      </c>
    </row>
    <row r="728" spans="1:8">
      <c r="A728" s="449" t="s">
        <v>1411</v>
      </c>
      <c r="B728" s="15">
        <v>9348089</v>
      </c>
      <c r="C728" s="15">
        <v>73889</v>
      </c>
      <c r="D728" s="15">
        <v>80115</v>
      </c>
      <c r="E728" s="15">
        <v>5905</v>
      </c>
      <c r="F728" s="15">
        <v>286.45</v>
      </c>
      <c r="G728" s="15">
        <v>13.77</v>
      </c>
      <c r="H728" s="165" t="s">
        <v>63</v>
      </c>
    </row>
    <row r="729" spans="1:8">
      <c r="A729" s="449" t="s">
        <v>1412</v>
      </c>
      <c r="B729" s="15">
        <v>9348091</v>
      </c>
      <c r="C729" s="15">
        <v>73899</v>
      </c>
      <c r="D729" s="15">
        <v>80226</v>
      </c>
      <c r="E729" s="15">
        <v>5905</v>
      </c>
      <c r="F729" s="15">
        <v>286.45999999999998</v>
      </c>
      <c r="G729" s="15">
        <v>13.5</v>
      </c>
      <c r="H729" s="165" t="s">
        <v>63</v>
      </c>
    </row>
    <row r="730" spans="1:8">
      <c r="A730" s="449" t="s">
        <v>1414</v>
      </c>
      <c r="B730" s="15">
        <v>9357963</v>
      </c>
      <c r="C730" s="15">
        <v>73899</v>
      </c>
      <c r="D730" s="15">
        <v>80899</v>
      </c>
      <c r="E730" s="15">
        <v>5905</v>
      </c>
      <c r="F730" s="15">
        <v>286.52</v>
      </c>
      <c r="G730" s="15">
        <v>12.5</v>
      </c>
      <c r="H730" s="165" t="s">
        <v>63</v>
      </c>
    </row>
    <row r="731" spans="1:8">
      <c r="A731" s="449" t="s">
        <v>1416</v>
      </c>
      <c r="B731" s="15">
        <v>9357951</v>
      </c>
      <c r="C731" s="15">
        <v>73899</v>
      </c>
      <c r="D731" s="15">
        <v>80455</v>
      </c>
      <c r="E731" s="15">
        <v>5905</v>
      </c>
      <c r="F731" s="15">
        <v>286.52999999999997</v>
      </c>
      <c r="G731" s="15">
        <v>13.5</v>
      </c>
      <c r="H731" s="165" t="s">
        <v>63</v>
      </c>
    </row>
    <row r="732" spans="1:8">
      <c r="A732" s="449" t="s">
        <v>1418</v>
      </c>
      <c r="B732" s="15">
        <v>9348106</v>
      </c>
      <c r="C732" s="15">
        <v>73899</v>
      </c>
      <c r="D732" s="15">
        <v>80293</v>
      </c>
      <c r="E732" s="15">
        <v>5905</v>
      </c>
      <c r="F732" s="15">
        <v>286.45</v>
      </c>
      <c r="G732" s="15">
        <v>13.77</v>
      </c>
      <c r="H732" s="165" t="s">
        <v>63</v>
      </c>
    </row>
    <row r="733" spans="1:8">
      <c r="A733" s="449" t="s">
        <v>1419</v>
      </c>
      <c r="B733" s="15">
        <v>9357975</v>
      </c>
      <c r="C733" s="15">
        <v>73899</v>
      </c>
      <c r="D733" s="15">
        <v>80226</v>
      </c>
      <c r="E733" s="15">
        <v>5905</v>
      </c>
      <c r="F733" s="15">
        <v>286.45999999999998</v>
      </c>
      <c r="G733" s="15">
        <v>13.5</v>
      </c>
      <c r="H733" s="165" t="s">
        <v>63</v>
      </c>
    </row>
    <row r="734" spans="1:8">
      <c r="A734" s="449" t="s">
        <v>68</v>
      </c>
      <c r="B734" s="15">
        <v>9260902</v>
      </c>
      <c r="C734" s="15">
        <v>66573</v>
      </c>
      <c r="D734" s="15">
        <v>67009</v>
      </c>
      <c r="E734" s="15">
        <v>5928</v>
      </c>
      <c r="F734" s="15">
        <v>279.7</v>
      </c>
      <c r="G734" s="15">
        <v>14.02</v>
      </c>
      <c r="H734" s="165" t="s">
        <v>63</v>
      </c>
    </row>
    <row r="735" spans="1:8">
      <c r="A735" s="449" t="s">
        <v>1570</v>
      </c>
      <c r="B735" s="15">
        <v>9260914</v>
      </c>
      <c r="C735" s="15">
        <v>66462</v>
      </c>
      <c r="D735" s="15">
        <v>67009</v>
      </c>
      <c r="E735" s="15">
        <v>5928</v>
      </c>
      <c r="F735" s="15">
        <v>280</v>
      </c>
      <c r="G735" s="15">
        <v>14</v>
      </c>
      <c r="H735" s="165" t="s">
        <v>63</v>
      </c>
    </row>
    <row r="736" spans="1:8">
      <c r="A736" s="449" t="s">
        <v>734</v>
      </c>
      <c r="B736" s="15">
        <v>9085560</v>
      </c>
      <c r="C736" s="15">
        <v>81488</v>
      </c>
      <c r="D736" s="15">
        <v>84900</v>
      </c>
      <c r="E736" s="15">
        <v>6000</v>
      </c>
      <c r="F736" s="15">
        <v>318</v>
      </c>
      <c r="G736" s="15">
        <v>14</v>
      </c>
      <c r="H736" s="165" t="s">
        <v>63</v>
      </c>
    </row>
    <row r="737" spans="1:8">
      <c r="A737" s="449" t="s">
        <v>1087</v>
      </c>
      <c r="B737" s="15">
        <v>9085558</v>
      </c>
      <c r="C737" s="15">
        <v>81488</v>
      </c>
      <c r="D737" s="15">
        <v>84900</v>
      </c>
      <c r="E737" s="15">
        <v>6000</v>
      </c>
      <c r="F737" s="15">
        <v>318.24</v>
      </c>
      <c r="G737" s="15">
        <v>14.5</v>
      </c>
      <c r="H737" s="165" t="s">
        <v>63</v>
      </c>
    </row>
    <row r="738" spans="1:8">
      <c r="A738" s="449" t="s">
        <v>954</v>
      </c>
      <c r="B738" s="15">
        <v>9152296</v>
      </c>
      <c r="C738" s="15">
        <v>82275</v>
      </c>
      <c r="D738" s="15">
        <v>62080</v>
      </c>
      <c r="E738" s="15">
        <v>6148</v>
      </c>
      <c r="F738" s="15">
        <v>299</v>
      </c>
      <c r="G738" s="15">
        <v>14.03</v>
      </c>
      <c r="H738" s="165" t="s">
        <v>63</v>
      </c>
    </row>
    <row r="739" spans="1:8">
      <c r="A739" s="449" t="s">
        <v>750</v>
      </c>
      <c r="B739" s="15">
        <v>9229312</v>
      </c>
      <c r="C739" s="15">
        <v>75201</v>
      </c>
      <c r="D739" s="15">
        <v>77900</v>
      </c>
      <c r="E739" s="15">
        <v>6178</v>
      </c>
      <c r="F739" s="15">
        <v>299.8</v>
      </c>
      <c r="G739" s="15">
        <v>14</v>
      </c>
      <c r="H739" s="165" t="s">
        <v>63</v>
      </c>
    </row>
    <row r="740" spans="1:8">
      <c r="A740" s="449" t="s">
        <v>1292</v>
      </c>
      <c r="B740" s="15">
        <v>9229324</v>
      </c>
      <c r="C740" s="15">
        <v>75201</v>
      </c>
      <c r="D740" s="15">
        <v>77950</v>
      </c>
      <c r="E740" s="15">
        <v>6178</v>
      </c>
      <c r="F740" s="15">
        <v>299.8</v>
      </c>
      <c r="G740" s="15">
        <v>14</v>
      </c>
      <c r="H740" s="165" t="s">
        <v>63</v>
      </c>
    </row>
    <row r="741" spans="1:8">
      <c r="A741" s="449" t="s">
        <v>1293</v>
      </c>
      <c r="B741" s="15">
        <v>9229336</v>
      </c>
      <c r="C741" s="15">
        <v>75201</v>
      </c>
      <c r="D741" s="15">
        <v>77950</v>
      </c>
      <c r="E741" s="15">
        <v>6178</v>
      </c>
      <c r="F741" s="15">
        <v>299.8</v>
      </c>
      <c r="G741" s="15">
        <v>14.02</v>
      </c>
      <c r="H741" s="165" t="s">
        <v>63</v>
      </c>
    </row>
    <row r="742" spans="1:8">
      <c r="A742" s="449" t="s">
        <v>784</v>
      </c>
      <c r="B742" s="15">
        <v>9332987</v>
      </c>
      <c r="C742" s="15">
        <v>74642</v>
      </c>
      <c r="D742" s="15">
        <v>84704</v>
      </c>
      <c r="E742" s="15">
        <v>6188</v>
      </c>
      <c r="F742" s="15">
        <v>299.47000000000003</v>
      </c>
      <c r="G742" s="15">
        <v>14.5</v>
      </c>
      <c r="H742" s="165" t="s">
        <v>63</v>
      </c>
    </row>
    <row r="743" spans="1:8">
      <c r="A743" s="449" t="s">
        <v>240</v>
      </c>
      <c r="B743" s="15">
        <v>9229300</v>
      </c>
      <c r="C743" s="15">
        <v>75201</v>
      </c>
      <c r="D743" s="15">
        <v>78243</v>
      </c>
      <c r="E743" s="15">
        <v>6200</v>
      </c>
      <c r="F743" s="15">
        <v>299</v>
      </c>
      <c r="G743" s="15">
        <v>14</v>
      </c>
      <c r="H743" s="165" t="s">
        <v>63</v>
      </c>
    </row>
    <row r="744" spans="1:8">
      <c r="A744" s="449" t="s">
        <v>193</v>
      </c>
      <c r="B744" s="15">
        <v>9162497</v>
      </c>
      <c r="C744" s="15">
        <v>75637</v>
      </c>
      <c r="D744" s="15">
        <v>81819</v>
      </c>
      <c r="E744" s="15">
        <v>6214</v>
      </c>
      <c r="F744" s="15">
        <v>299.89999999999998</v>
      </c>
      <c r="G744" s="15">
        <v>14.03</v>
      </c>
      <c r="H744" s="165" t="s">
        <v>63</v>
      </c>
    </row>
    <row r="745" spans="1:8">
      <c r="A745" s="449" t="s">
        <v>751</v>
      </c>
      <c r="B745" s="15">
        <v>9162485</v>
      </c>
      <c r="C745" s="15">
        <v>75637</v>
      </c>
      <c r="D745" s="15">
        <v>81819</v>
      </c>
      <c r="E745" s="15">
        <v>6214</v>
      </c>
      <c r="F745" s="15">
        <v>299.89999999999998</v>
      </c>
      <c r="G745" s="15">
        <v>14.03</v>
      </c>
      <c r="H745" s="165" t="s">
        <v>63</v>
      </c>
    </row>
    <row r="746" spans="1:8">
      <c r="A746" s="449" t="s">
        <v>133</v>
      </c>
      <c r="B746" s="15">
        <v>9403621</v>
      </c>
      <c r="C746" s="15">
        <v>71867</v>
      </c>
      <c r="D746" s="15">
        <v>72807</v>
      </c>
      <c r="E746" s="15">
        <v>6310</v>
      </c>
      <c r="F746" s="15">
        <v>295.18</v>
      </c>
      <c r="G746" s="15">
        <v>14.02</v>
      </c>
      <c r="H746" s="165" t="s">
        <v>63</v>
      </c>
    </row>
    <row r="747" spans="1:8">
      <c r="A747" s="449" t="s">
        <v>511</v>
      </c>
      <c r="B747" s="15">
        <v>9241310</v>
      </c>
      <c r="C747" s="15">
        <v>76067</v>
      </c>
      <c r="D747" s="15">
        <v>75873</v>
      </c>
      <c r="E747" s="15">
        <v>6332</v>
      </c>
      <c r="F747" s="15">
        <v>299.99</v>
      </c>
      <c r="G747" s="15">
        <v>13.5</v>
      </c>
      <c r="H747" s="165" t="s">
        <v>63</v>
      </c>
    </row>
    <row r="748" spans="1:8">
      <c r="A748" s="449" t="s">
        <v>512</v>
      </c>
      <c r="B748" s="15">
        <v>9241293</v>
      </c>
      <c r="C748" s="15">
        <v>76067</v>
      </c>
      <c r="D748" s="15">
        <v>75898</v>
      </c>
      <c r="E748" s="15">
        <v>6332</v>
      </c>
      <c r="F748" s="15">
        <v>300</v>
      </c>
      <c r="G748" s="15">
        <v>13.5</v>
      </c>
      <c r="H748" s="165" t="s">
        <v>63</v>
      </c>
    </row>
    <row r="749" spans="1:8">
      <c r="A749" s="449" t="s">
        <v>513</v>
      </c>
      <c r="B749" s="15">
        <v>9241322</v>
      </c>
      <c r="C749" s="15">
        <v>76067</v>
      </c>
      <c r="D749" s="15">
        <v>75898</v>
      </c>
      <c r="E749" s="15">
        <v>6332</v>
      </c>
      <c r="F749" s="15">
        <v>300</v>
      </c>
      <c r="G749" s="15">
        <v>13.5</v>
      </c>
      <c r="H749" s="165" t="s">
        <v>63</v>
      </c>
    </row>
    <row r="750" spans="1:8">
      <c r="A750" s="449" t="s">
        <v>112</v>
      </c>
      <c r="B750" s="15">
        <v>9444285</v>
      </c>
      <c r="C750" s="15">
        <v>71867</v>
      </c>
      <c r="D750" s="15">
        <v>72807</v>
      </c>
      <c r="E750" s="15">
        <v>6350</v>
      </c>
      <c r="F750" s="15">
        <v>295.18</v>
      </c>
      <c r="G750" s="15">
        <v>14.02</v>
      </c>
      <c r="H750" s="165" t="s">
        <v>63</v>
      </c>
    </row>
    <row r="751" spans="1:8">
      <c r="A751" s="449" t="s">
        <v>120</v>
      </c>
      <c r="B751" s="15">
        <v>9350032</v>
      </c>
      <c r="C751" s="15">
        <v>71787</v>
      </c>
      <c r="D751" s="15">
        <v>72912</v>
      </c>
      <c r="E751" s="15">
        <v>6350</v>
      </c>
      <c r="F751" s="15">
        <v>293.18</v>
      </c>
      <c r="G751" s="15">
        <v>14.02</v>
      </c>
      <c r="H751" s="165" t="s">
        <v>63</v>
      </c>
    </row>
    <row r="752" spans="1:8">
      <c r="A752" s="449" t="s">
        <v>131</v>
      </c>
      <c r="B752" s="15">
        <v>9350018</v>
      </c>
      <c r="C752" s="15">
        <v>71787</v>
      </c>
      <c r="D752" s="15">
        <v>72912</v>
      </c>
      <c r="E752" s="15">
        <v>6350</v>
      </c>
      <c r="F752" s="15">
        <v>293</v>
      </c>
      <c r="G752" s="15">
        <v>13.2</v>
      </c>
      <c r="H752" s="165" t="s">
        <v>63</v>
      </c>
    </row>
    <row r="753" spans="1:8">
      <c r="A753" s="449" t="s">
        <v>132</v>
      </c>
      <c r="B753" s="15">
        <v>9350020</v>
      </c>
      <c r="C753" s="15">
        <v>71787</v>
      </c>
      <c r="D753" s="15">
        <v>72912</v>
      </c>
      <c r="E753" s="15">
        <v>6350</v>
      </c>
      <c r="F753" s="15">
        <v>293</v>
      </c>
      <c r="G753" s="15">
        <v>14</v>
      </c>
      <c r="H753" s="165" t="s">
        <v>63</v>
      </c>
    </row>
    <row r="754" spans="1:8">
      <c r="A754" s="449" t="s">
        <v>134</v>
      </c>
      <c r="B754" s="15">
        <v>9532783</v>
      </c>
      <c r="C754" s="15">
        <v>71787</v>
      </c>
      <c r="D754" s="15">
        <v>72912</v>
      </c>
      <c r="E754" s="15">
        <v>6350</v>
      </c>
      <c r="F754" s="15">
        <v>293.18</v>
      </c>
      <c r="G754" s="15">
        <v>14.02</v>
      </c>
      <c r="H754" s="165" t="s">
        <v>63</v>
      </c>
    </row>
    <row r="755" spans="1:8">
      <c r="A755" s="449" t="s">
        <v>146</v>
      </c>
      <c r="B755" s="15">
        <v>9532771</v>
      </c>
      <c r="C755" s="15">
        <v>71787</v>
      </c>
      <c r="D755" s="15">
        <v>72912</v>
      </c>
      <c r="E755" s="15">
        <v>6350</v>
      </c>
      <c r="F755" s="15">
        <v>293.18</v>
      </c>
      <c r="G755" s="15">
        <v>14.02</v>
      </c>
      <c r="H755" s="165" t="s">
        <v>63</v>
      </c>
    </row>
    <row r="756" spans="1:8">
      <c r="A756" s="449" t="s">
        <v>604</v>
      </c>
      <c r="B756" s="15">
        <v>9332872</v>
      </c>
      <c r="C756" s="15">
        <v>71786</v>
      </c>
      <c r="D756" s="15">
        <v>72982</v>
      </c>
      <c r="E756" s="15">
        <v>6350</v>
      </c>
      <c r="F756" s="15">
        <v>293.18</v>
      </c>
      <c r="G756" s="15">
        <v>14.02</v>
      </c>
      <c r="H756" s="165" t="s">
        <v>63</v>
      </c>
    </row>
    <row r="757" spans="1:8">
      <c r="A757" s="449" t="s">
        <v>699</v>
      </c>
      <c r="B757" s="15">
        <v>9463085</v>
      </c>
      <c r="C757" s="15">
        <v>71821</v>
      </c>
      <c r="D757" s="15">
        <v>71987</v>
      </c>
      <c r="E757" s="15">
        <v>6350</v>
      </c>
      <c r="F757" s="15">
        <v>293.18</v>
      </c>
      <c r="G757" s="15">
        <v>14.02</v>
      </c>
      <c r="H757" s="165" t="s">
        <v>63</v>
      </c>
    </row>
    <row r="758" spans="1:8">
      <c r="A758" s="449" t="s">
        <v>888</v>
      </c>
      <c r="B758" s="15">
        <v>9332860</v>
      </c>
      <c r="C758" s="15">
        <v>71786</v>
      </c>
      <c r="D758" s="15">
        <v>77665</v>
      </c>
      <c r="E758" s="15">
        <v>6350</v>
      </c>
      <c r="F758" s="15">
        <v>293.2</v>
      </c>
      <c r="G758" s="15">
        <v>14.02</v>
      </c>
      <c r="H758" s="165" t="s">
        <v>63</v>
      </c>
    </row>
    <row r="759" spans="1:8">
      <c r="A759" s="449" t="s">
        <v>931</v>
      </c>
      <c r="B759" s="15">
        <v>9236470</v>
      </c>
      <c r="C759" s="15">
        <v>71902</v>
      </c>
      <c r="D759" s="15">
        <v>73063</v>
      </c>
      <c r="E759" s="15">
        <v>6350</v>
      </c>
      <c r="F759" s="15">
        <v>293.19</v>
      </c>
      <c r="G759" s="15">
        <v>14.02</v>
      </c>
      <c r="H759" s="165" t="s">
        <v>63</v>
      </c>
    </row>
    <row r="760" spans="1:8">
      <c r="A760" s="449" t="s">
        <v>932</v>
      </c>
      <c r="B760" s="15">
        <v>9321029</v>
      </c>
      <c r="C760" s="15">
        <v>71902</v>
      </c>
      <c r="D760" s="15">
        <v>72968</v>
      </c>
      <c r="E760" s="15">
        <v>6350</v>
      </c>
      <c r="F760" s="15">
        <v>293.19</v>
      </c>
      <c r="G760" s="15">
        <v>14.02</v>
      </c>
      <c r="H760" s="165" t="s">
        <v>63</v>
      </c>
    </row>
    <row r="761" spans="1:8">
      <c r="A761" s="449" t="s">
        <v>1425</v>
      </c>
      <c r="B761" s="15">
        <v>9332858</v>
      </c>
      <c r="C761" s="15">
        <v>71786</v>
      </c>
      <c r="D761" s="15">
        <v>72982</v>
      </c>
      <c r="E761" s="15">
        <v>6350</v>
      </c>
      <c r="F761" s="15">
        <v>293.2</v>
      </c>
      <c r="G761" s="15">
        <v>14.02</v>
      </c>
      <c r="H761" s="165" t="s">
        <v>63</v>
      </c>
    </row>
    <row r="762" spans="1:8">
      <c r="A762" s="449" t="s">
        <v>1434</v>
      </c>
      <c r="B762" s="15">
        <v>9560376</v>
      </c>
      <c r="C762" s="15">
        <v>71787</v>
      </c>
      <c r="D762" s="15">
        <v>72912</v>
      </c>
      <c r="E762" s="15">
        <v>6350</v>
      </c>
      <c r="F762" s="15">
        <v>293.18</v>
      </c>
      <c r="G762" s="15">
        <v>14.02</v>
      </c>
      <c r="H762" s="165" t="s">
        <v>63</v>
      </c>
    </row>
    <row r="763" spans="1:8">
      <c r="A763" s="449" t="s">
        <v>1438</v>
      </c>
      <c r="B763" s="15">
        <v>9560364</v>
      </c>
      <c r="C763" s="15">
        <v>71787</v>
      </c>
      <c r="D763" s="15">
        <v>72890</v>
      </c>
      <c r="E763" s="15">
        <v>6350</v>
      </c>
      <c r="F763" s="15">
        <v>293.18</v>
      </c>
      <c r="G763" s="15">
        <v>14.02</v>
      </c>
      <c r="H763" s="165" t="s">
        <v>63</v>
      </c>
    </row>
    <row r="764" spans="1:8">
      <c r="A764" s="449" t="s">
        <v>1481</v>
      </c>
      <c r="B764" s="15">
        <v>9560352</v>
      </c>
      <c r="C764" s="15">
        <v>71787</v>
      </c>
      <c r="D764" s="15">
        <v>72890</v>
      </c>
      <c r="E764" s="15">
        <v>6350</v>
      </c>
      <c r="F764" s="15">
        <v>293</v>
      </c>
      <c r="G764" s="15">
        <v>14</v>
      </c>
      <c r="H764" s="165" t="s">
        <v>63</v>
      </c>
    </row>
    <row r="765" spans="1:8">
      <c r="A765" s="449" t="s">
        <v>1621</v>
      </c>
      <c r="B765" s="15">
        <v>9664897</v>
      </c>
      <c r="C765" s="15">
        <v>71821</v>
      </c>
      <c r="D765" s="15">
        <v>72370</v>
      </c>
      <c r="E765" s="15">
        <v>6350</v>
      </c>
      <c r="F765" s="15">
        <v>293.2</v>
      </c>
      <c r="G765" s="15">
        <v>14.02</v>
      </c>
      <c r="H765" s="165" t="s">
        <v>63</v>
      </c>
    </row>
    <row r="766" spans="1:8">
      <c r="A766" s="449" t="s">
        <v>1664</v>
      </c>
      <c r="B766" s="15">
        <v>9332846</v>
      </c>
      <c r="C766" s="15">
        <v>71786</v>
      </c>
      <c r="D766" s="15">
        <v>72982</v>
      </c>
      <c r="E766" s="15">
        <v>6350</v>
      </c>
      <c r="F766" s="15">
        <v>293.18</v>
      </c>
      <c r="G766" s="15">
        <v>14.02</v>
      </c>
      <c r="H766" s="165" t="s">
        <v>63</v>
      </c>
    </row>
    <row r="767" spans="1:8">
      <c r="A767" s="449" t="s">
        <v>1000</v>
      </c>
      <c r="B767" s="15">
        <v>9226932</v>
      </c>
      <c r="C767" s="15">
        <v>73819</v>
      </c>
      <c r="D767" s="15">
        <v>85250</v>
      </c>
      <c r="E767" s="15">
        <v>6402</v>
      </c>
      <c r="F767" s="15">
        <v>304</v>
      </c>
      <c r="G767" s="15">
        <v>14.52</v>
      </c>
      <c r="H767" s="165" t="s">
        <v>63</v>
      </c>
    </row>
    <row r="768" spans="1:8">
      <c r="A768" s="449" t="s">
        <v>1034</v>
      </c>
      <c r="B768" s="15">
        <v>9250983</v>
      </c>
      <c r="C768" s="15">
        <v>74071</v>
      </c>
      <c r="D768" s="15">
        <v>74453</v>
      </c>
      <c r="E768" s="15">
        <v>6402</v>
      </c>
      <c r="F768" s="15">
        <v>293.87</v>
      </c>
      <c r="G768" s="15">
        <v>14.04</v>
      </c>
      <c r="H768" s="165" t="s">
        <v>63</v>
      </c>
    </row>
    <row r="769" spans="1:8">
      <c r="A769" s="449" t="s">
        <v>1110</v>
      </c>
      <c r="B769" s="15">
        <v>9230490</v>
      </c>
      <c r="C769" s="15">
        <v>73819</v>
      </c>
      <c r="D769" s="15">
        <v>85801</v>
      </c>
      <c r="E769" s="15">
        <v>6402</v>
      </c>
      <c r="F769" s="15">
        <v>304</v>
      </c>
      <c r="G769" s="15">
        <v>14.5</v>
      </c>
      <c r="H769" s="165" t="s">
        <v>63</v>
      </c>
    </row>
    <row r="770" spans="1:8">
      <c r="A770" s="449" t="s">
        <v>1130</v>
      </c>
      <c r="B770" s="15">
        <v>9275971</v>
      </c>
      <c r="C770" s="15">
        <v>73819</v>
      </c>
      <c r="D770" s="15">
        <v>85806</v>
      </c>
      <c r="E770" s="15">
        <v>6402</v>
      </c>
      <c r="F770" s="15">
        <v>303.92</v>
      </c>
      <c r="G770" s="15">
        <v>14.5</v>
      </c>
      <c r="H770" s="165" t="s">
        <v>63</v>
      </c>
    </row>
    <row r="771" spans="1:8">
      <c r="A771" s="449" t="s">
        <v>1138</v>
      </c>
      <c r="B771" s="15">
        <v>9226918</v>
      </c>
      <c r="C771" s="15">
        <v>73819</v>
      </c>
      <c r="D771" s="15">
        <v>85250</v>
      </c>
      <c r="E771" s="15">
        <v>6402</v>
      </c>
      <c r="F771" s="15">
        <v>304</v>
      </c>
      <c r="G771" s="15">
        <v>14.5</v>
      </c>
      <c r="H771" s="165" t="s">
        <v>63</v>
      </c>
    </row>
    <row r="772" spans="1:8">
      <c r="A772" s="449" t="s">
        <v>1140</v>
      </c>
      <c r="B772" s="15">
        <v>9256755</v>
      </c>
      <c r="C772" s="15">
        <v>73819</v>
      </c>
      <c r="D772" s="15">
        <v>85824</v>
      </c>
      <c r="E772" s="15">
        <v>6402</v>
      </c>
      <c r="F772" s="15">
        <v>304</v>
      </c>
      <c r="G772" s="15">
        <v>14.5</v>
      </c>
      <c r="H772" s="165" t="s">
        <v>63</v>
      </c>
    </row>
    <row r="773" spans="1:8">
      <c r="A773" s="449" t="s">
        <v>1141</v>
      </c>
      <c r="B773" s="15">
        <v>9230488</v>
      </c>
      <c r="C773" s="15">
        <v>73819</v>
      </c>
      <c r="D773" s="15">
        <v>85797</v>
      </c>
      <c r="E773" s="15">
        <v>6402</v>
      </c>
      <c r="F773" s="15">
        <v>303.93</v>
      </c>
      <c r="G773" s="15">
        <v>14.5</v>
      </c>
      <c r="H773" s="165" t="s">
        <v>63</v>
      </c>
    </row>
    <row r="774" spans="1:8">
      <c r="A774" s="449" t="s">
        <v>1212</v>
      </c>
      <c r="B774" s="15">
        <v>9279989</v>
      </c>
      <c r="C774" s="15">
        <v>73819</v>
      </c>
      <c r="D774" s="15">
        <v>85680</v>
      </c>
      <c r="E774" s="15">
        <v>6402</v>
      </c>
      <c r="F774" s="15">
        <v>303.92</v>
      </c>
      <c r="G774" s="15">
        <v>14.5</v>
      </c>
      <c r="H774" s="165" t="s">
        <v>63</v>
      </c>
    </row>
    <row r="775" spans="1:8">
      <c r="A775" s="449" t="s">
        <v>1381</v>
      </c>
      <c r="B775" s="15">
        <v>9250971</v>
      </c>
      <c r="C775" s="15">
        <v>74071</v>
      </c>
      <c r="D775" s="15">
        <v>74453</v>
      </c>
      <c r="E775" s="15">
        <v>6402</v>
      </c>
      <c r="F775" s="15">
        <v>293.87</v>
      </c>
      <c r="G775" s="15">
        <v>14.04</v>
      </c>
      <c r="H775" s="165" t="s">
        <v>63</v>
      </c>
    </row>
    <row r="776" spans="1:8">
      <c r="A776" s="449" t="s">
        <v>1399</v>
      </c>
      <c r="B776" s="15">
        <v>9250995</v>
      </c>
      <c r="C776" s="15">
        <v>74071</v>
      </c>
      <c r="D776" s="15">
        <v>74453</v>
      </c>
      <c r="E776" s="15">
        <v>6402</v>
      </c>
      <c r="F776" s="15">
        <v>293.87</v>
      </c>
      <c r="G776" s="15">
        <v>14.04</v>
      </c>
      <c r="H776" s="165" t="s">
        <v>63</v>
      </c>
    </row>
    <row r="777" spans="1:8">
      <c r="A777" s="449" t="s">
        <v>727</v>
      </c>
      <c r="B777" s="15">
        <v>9423712</v>
      </c>
      <c r="C777" s="15">
        <v>81488</v>
      </c>
      <c r="D777" s="15">
        <v>84900</v>
      </c>
      <c r="E777" s="15">
        <v>6418</v>
      </c>
      <c r="F777" s="15">
        <v>318.24</v>
      </c>
      <c r="G777" s="15">
        <v>14</v>
      </c>
      <c r="H777" s="165" t="s">
        <v>63</v>
      </c>
    </row>
    <row r="778" spans="1:8">
      <c r="A778" s="449" t="s">
        <v>809</v>
      </c>
      <c r="B778" s="15">
        <v>9107887</v>
      </c>
      <c r="C778" s="15">
        <v>81488</v>
      </c>
      <c r="D778" s="15">
        <v>90456</v>
      </c>
      <c r="E778" s="15">
        <v>6418</v>
      </c>
      <c r="F778" s="15">
        <v>318</v>
      </c>
      <c r="G778" s="15">
        <v>14.5</v>
      </c>
      <c r="H778" s="165" t="s">
        <v>63</v>
      </c>
    </row>
    <row r="779" spans="1:8">
      <c r="A779" s="449" t="s">
        <v>812</v>
      </c>
      <c r="B779" s="15">
        <v>9085534</v>
      </c>
      <c r="C779" s="15">
        <v>81488</v>
      </c>
      <c r="D779" s="15">
        <v>84900</v>
      </c>
      <c r="E779" s="15">
        <v>6418</v>
      </c>
      <c r="F779" s="15">
        <v>318.24</v>
      </c>
      <c r="G779" s="15">
        <v>14.5</v>
      </c>
      <c r="H779" s="165" t="s">
        <v>63</v>
      </c>
    </row>
    <row r="780" spans="1:8">
      <c r="A780" s="449" t="s">
        <v>1094</v>
      </c>
      <c r="B780" s="15">
        <v>9085546</v>
      </c>
      <c r="C780" s="15">
        <v>81488</v>
      </c>
      <c r="D780" s="15">
        <v>84900</v>
      </c>
      <c r="E780" s="15">
        <v>6418</v>
      </c>
      <c r="F780" s="15">
        <v>318.24</v>
      </c>
      <c r="G780" s="15">
        <v>14.5</v>
      </c>
      <c r="H780" s="165" t="s">
        <v>63</v>
      </c>
    </row>
    <row r="781" spans="1:8">
      <c r="A781" s="449" t="s">
        <v>1462</v>
      </c>
      <c r="B781" s="15">
        <v>9196864</v>
      </c>
      <c r="C781" s="15">
        <v>74583</v>
      </c>
      <c r="D781" s="15">
        <v>81574</v>
      </c>
      <c r="E781" s="15">
        <v>6420</v>
      </c>
      <c r="F781" s="15">
        <v>304</v>
      </c>
      <c r="G781" s="15">
        <v>14</v>
      </c>
      <c r="H781" s="165" t="s">
        <v>63</v>
      </c>
    </row>
    <row r="782" spans="1:8">
      <c r="A782" s="449" t="s">
        <v>83</v>
      </c>
      <c r="B782" s="15">
        <v>9349502</v>
      </c>
      <c r="C782" s="15">
        <v>75579</v>
      </c>
      <c r="D782" s="15">
        <v>85614</v>
      </c>
      <c r="E782" s="15">
        <v>6435</v>
      </c>
      <c r="F782" s="15">
        <v>306.10000000000002</v>
      </c>
      <c r="G782" s="15">
        <v>14.5</v>
      </c>
      <c r="H782" s="165" t="s">
        <v>63</v>
      </c>
    </row>
    <row r="783" spans="1:8">
      <c r="A783" s="449" t="s">
        <v>84</v>
      </c>
      <c r="B783" s="15">
        <v>9349538</v>
      </c>
      <c r="C783" s="15">
        <v>75579</v>
      </c>
      <c r="D783" s="15">
        <v>85517</v>
      </c>
      <c r="E783" s="15">
        <v>6435</v>
      </c>
      <c r="F783" s="15">
        <v>306</v>
      </c>
      <c r="G783" s="15">
        <v>14.5</v>
      </c>
      <c r="H783" s="165" t="s">
        <v>63</v>
      </c>
    </row>
    <row r="784" spans="1:8">
      <c r="A784" s="449" t="s">
        <v>91</v>
      </c>
      <c r="B784" s="15">
        <v>9349564</v>
      </c>
      <c r="C784" s="15">
        <v>75579</v>
      </c>
      <c r="D784" s="15">
        <v>85436</v>
      </c>
      <c r="E784" s="15">
        <v>6435</v>
      </c>
      <c r="F784" s="15">
        <v>306.10000000000002</v>
      </c>
      <c r="G784" s="15">
        <v>14</v>
      </c>
      <c r="H784" s="165" t="s">
        <v>63</v>
      </c>
    </row>
    <row r="785" spans="1:8">
      <c r="A785" s="449" t="s">
        <v>93</v>
      </c>
      <c r="B785" s="15">
        <v>9349497</v>
      </c>
      <c r="C785" s="15">
        <v>75579</v>
      </c>
      <c r="D785" s="15">
        <v>85437</v>
      </c>
      <c r="E785" s="15">
        <v>6435</v>
      </c>
      <c r="F785" s="15">
        <v>306</v>
      </c>
      <c r="G785" s="15">
        <v>14.5</v>
      </c>
      <c r="H785" s="165" t="s">
        <v>63</v>
      </c>
    </row>
    <row r="786" spans="1:8">
      <c r="A786" s="449" t="s">
        <v>713</v>
      </c>
      <c r="B786" s="15">
        <v>9349540</v>
      </c>
      <c r="C786" s="15">
        <v>75579</v>
      </c>
      <c r="D786" s="15">
        <v>85463</v>
      </c>
      <c r="E786" s="15">
        <v>6435</v>
      </c>
      <c r="F786" s="15">
        <v>306</v>
      </c>
      <c r="G786" s="15">
        <v>14.5</v>
      </c>
      <c r="H786" s="165" t="s">
        <v>63</v>
      </c>
    </row>
    <row r="787" spans="1:8">
      <c r="A787" s="449" t="s">
        <v>881</v>
      </c>
      <c r="B787" s="15">
        <v>9349526</v>
      </c>
      <c r="C787" s="15">
        <v>75579</v>
      </c>
      <c r="D787" s="15">
        <v>85517</v>
      </c>
      <c r="E787" s="15">
        <v>6435</v>
      </c>
      <c r="F787" s="15">
        <v>306</v>
      </c>
      <c r="G787" s="15">
        <v>14.5</v>
      </c>
      <c r="H787" s="165" t="s">
        <v>63</v>
      </c>
    </row>
    <row r="788" spans="1:8">
      <c r="A788" s="449" t="s">
        <v>208</v>
      </c>
      <c r="B788" s="15">
        <v>9221815</v>
      </c>
      <c r="C788" s="15">
        <v>72760</v>
      </c>
      <c r="D788" s="15">
        <v>79501</v>
      </c>
      <c r="E788" s="15">
        <v>6456</v>
      </c>
      <c r="F788" s="15">
        <v>300</v>
      </c>
      <c r="G788" s="15">
        <v>14.5</v>
      </c>
      <c r="H788" s="165" t="s">
        <v>63</v>
      </c>
    </row>
    <row r="789" spans="1:8">
      <c r="A789" s="449" t="s">
        <v>209</v>
      </c>
      <c r="B789" s="15">
        <v>9221827</v>
      </c>
      <c r="C789" s="15">
        <v>72760</v>
      </c>
      <c r="D789" s="15">
        <v>79559</v>
      </c>
      <c r="E789" s="15">
        <v>6456</v>
      </c>
      <c r="F789" s="15">
        <v>300</v>
      </c>
      <c r="G789" s="15">
        <v>14.5</v>
      </c>
      <c r="H789" s="165" t="s">
        <v>63</v>
      </c>
    </row>
    <row r="790" spans="1:8">
      <c r="A790" s="449" t="s">
        <v>309</v>
      </c>
      <c r="B790" s="15">
        <v>9409209</v>
      </c>
      <c r="C790" s="15">
        <v>73779</v>
      </c>
      <c r="D790" s="15">
        <v>85450</v>
      </c>
      <c r="E790" s="15">
        <v>6477</v>
      </c>
      <c r="F790" s="15">
        <v>300</v>
      </c>
      <c r="G790" s="15">
        <v>14.5</v>
      </c>
      <c r="H790" s="165" t="s">
        <v>63</v>
      </c>
    </row>
    <row r="791" spans="1:8">
      <c r="A791" s="449" t="s">
        <v>780</v>
      </c>
      <c r="B791" s="15">
        <v>9348649</v>
      </c>
      <c r="C791" s="15">
        <v>74642</v>
      </c>
      <c r="D791" s="15">
        <v>84676</v>
      </c>
      <c r="E791" s="15">
        <v>6478</v>
      </c>
      <c r="F791" s="15">
        <v>299.89999999999998</v>
      </c>
      <c r="G791" s="15">
        <v>12</v>
      </c>
      <c r="H791" s="165" t="s">
        <v>63</v>
      </c>
    </row>
    <row r="792" spans="1:8">
      <c r="A792" s="449" t="s">
        <v>810</v>
      </c>
      <c r="B792" s="15">
        <v>9333010</v>
      </c>
      <c r="C792" s="15">
        <v>74642</v>
      </c>
      <c r="D792" s="15">
        <v>84897</v>
      </c>
      <c r="E792" s="15">
        <v>6478</v>
      </c>
      <c r="F792" s="15">
        <v>299.47000000000003</v>
      </c>
      <c r="G792" s="15">
        <v>12</v>
      </c>
      <c r="H792" s="165" t="s">
        <v>63</v>
      </c>
    </row>
    <row r="793" spans="1:8">
      <c r="A793" s="449" t="s">
        <v>988</v>
      </c>
      <c r="B793" s="15">
        <v>9247730</v>
      </c>
      <c r="C793" s="15">
        <v>75484</v>
      </c>
      <c r="D793" s="15">
        <v>81171</v>
      </c>
      <c r="E793" s="15">
        <v>6492</v>
      </c>
      <c r="F793" s="15">
        <v>299.89999999999998</v>
      </c>
      <c r="G793" s="15">
        <v>14.04</v>
      </c>
      <c r="H793" s="165" t="s">
        <v>63</v>
      </c>
    </row>
    <row r="794" spans="1:8">
      <c r="A794" s="449" t="s">
        <v>1011</v>
      </c>
      <c r="B794" s="15">
        <v>9247742</v>
      </c>
      <c r="C794" s="15">
        <v>75484</v>
      </c>
      <c r="D794" s="15">
        <v>81171</v>
      </c>
      <c r="E794" s="15">
        <v>6492</v>
      </c>
      <c r="F794" s="15">
        <v>299.89999999999998</v>
      </c>
      <c r="G794" s="15">
        <v>14.04</v>
      </c>
      <c r="H794" s="165" t="s">
        <v>63</v>
      </c>
    </row>
    <row r="795" spans="1:8">
      <c r="A795" s="449" t="s">
        <v>1036</v>
      </c>
      <c r="B795" s="15">
        <v>9247754</v>
      </c>
      <c r="C795" s="15">
        <v>75484</v>
      </c>
      <c r="D795" s="15">
        <v>81171</v>
      </c>
      <c r="E795" s="15">
        <v>6492</v>
      </c>
      <c r="F795" s="15">
        <v>299.89999999999998</v>
      </c>
      <c r="G795" s="15">
        <v>14.04</v>
      </c>
      <c r="H795" s="165" t="s">
        <v>63</v>
      </c>
    </row>
    <row r="796" spans="1:8">
      <c r="A796" s="449" t="s">
        <v>109</v>
      </c>
      <c r="B796" s="15">
        <v>9398254</v>
      </c>
      <c r="C796" s="15">
        <v>75582</v>
      </c>
      <c r="D796" s="15">
        <v>90443</v>
      </c>
      <c r="E796" s="15">
        <v>6500</v>
      </c>
      <c r="F796" s="15">
        <v>304.17</v>
      </c>
      <c r="G796" s="15">
        <v>15</v>
      </c>
      <c r="H796" s="165" t="s">
        <v>63</v>
      </c>
    </row>
    <row r="797" spans="1:8">
      <c r="A797" s="449" t="s">
        <v>278</v>
      </c>
      <c r="B797" s="15">
        <v>9409170</v>
      </c>
      <c r="C797" s="15">
        <v>76171</v>
      </c>
      <c r="D797" s="15">
        <v>85408</v>
      </c>
      <c r="E797" s="15">
        <v>6500</v>
      </c>
      <c r="F797" s="15">
        <v>299.2</v>
      </c>
      <c r="G797" s="15">
        <v>14.5</v>
      </c>
      <c r="H797" s="165" t="s">
        <v>63</v>
      </c>
    </row>
    <row r="798" spans="1:8">
      <c r="A798" s="449" t="s">
        <v>298</v>
      </c>
      <c r="B798" s="15">
        <v>9409194</v>
      </c>
      <c r="C798" s="15">
        <v>73779</v>
      </c>
      <c r="D798" s="15">
        <v>85446</v>
      </c>
      <c r="E798" s="15">
        <v>6500</v>
      </c>
      <c r="F798" s="15">
        <v>299</v>
      </c>
      <c r="G798" s="15">
        <v>14.5</v>
      </c>
      <c r="H798" s="165" t="s">
        <v>63</v>
      </c>
    </row>
    <row r="799" spans="1:8">
      <c r="A799" s="449" t="s">
        <v>893</v>
      </c>
      <c r="B799" s="15">
        <v>9409182</v>
      </c>
      <c r="C799" s="15">
        <v>73779</v>
      </c>
      <c r="D799" s="15">
        <v>85523</v>
      </c>
      <c r="E799" s="15">
        <v>6500</v>
      </c>
      <c r="F799" s="15">
        <v>299</v>
      </c>
      <c r="G799" s="15">
        <v>14.5</v>
      </c>
      <c r="H799" s="165" t="s">
        <v>63</v>
      </c>
    </row>
    <row r="800" spans="1:8">
      <c r="A800" s="449" t="s">
        <v>1406</v>
      </c>
      <c r="B800" s="15">
        <v>9401283</v>
      </c>
      <c r="C800" s="15">
        <v>73819</v>
      </c>
      <c r="D800" s="15">
        <v>85626</v>
      </c>
      <c r="E800" s="15">
        <v>6500</v>
      </c>
      <c r="F800" s="15">
        <v>304</v>
      </c>
      <c r="G800" s="15">
        <v>14.5</v>
      </c>
      <c r="H800" s="165" t="s">
        <v>63</v>
      </c>
    </row>
    <row r="801" spans="1:8">
      <c r="A801" s="449" t="s">
        <v>1617</v>
      </c>
      <c r="B801" s="15">
        <v>9438523</v>
      </c>
      <c r="C801" s="15">
        <v>73675</v>
      </c>
      <c r="D801" s="15">
        <v>83200</v>
      </c>
      <c r="E801" s="15">
        <v>6500</v>
      </c>
      <c r="F801" s="15">
        <v>300</v>
      </c>
      <c r="G801" s="15">
        <v>14.5</v>
      </c>
      <c r="H801" s="165" t="s">
        <v>63</v>
      </c>
    </row>
    <row r="802" spans="1:8">
      <c r="A802" s="449" t="s">
        <v>614</v>
      </c>
      <c r="B802" s="15">
        <v>9312937</v>
      </c>
      <c r="C802" s="15">
        <v>73934</v>
      </c>
      <c r="D802" s="15">
        <v>81236</v>
      </c>
      <c r="E802" s="15">
        <v>6539</v>
      </c>
      <c r="F802" s="15">
        <v>304.14</v>
      </c>
      <c r="G802" s="15">
        <v>14</v>
      </c>
      <c r="H802" s="165" t="s">
        <v>63</v>
      </c>
    </row>
    <row r="803" spans="1:8">
      <c r="A803" s="449" t="s">
        <v>1375</v>
      </c>
      <c r="B803" s="15">
        <v>9306196</v>
      </c>
      <c r="C803" s="15">
        <v>73934</v>
      </c>
      <c r="D803" s="15">
        <v>81247</v>
      </c>
      <c r="E803" s="15">
        <v>6539</v>
      </c>
      <c r="F803" s="15">
        <v>304.12</v>
      </c>
      <c r="G803" s="15">
        <v>14</v>
      </c>
      <c r="H803" s="165" t="s">
        <v>63</v>
      </c>
    </row>
    <row r="804" spans="1:8">
      <c r="A804" s="449" t="s">
        <v>1400</v>
      </c>
      <c r="B804" s="15">
        <v>9306158</v>
      </c>
      <c r="C804" s="15">
        <v>73934</v>
      </c>
      <c r="D804" s="15">
        <v>81099</v>
      </c>
      <c r="E804" s="15">
        <v>6539</v>
      </c>
      <c r="F804" s="15">
        <v>304.10000000000002</v>
      </c>
      <c r="G804" s="15">
        <v>14</v>
      </c>
      <c r="H804" s="165" t="s">
        <v>63</v>
      </c>
    </row>
    <row r="805" spans="1:8">
      <c r="A805" s="449" t="s">
        <v>1401</v>
      </c>
      <c r="B805" s="15">
        <v>9306172</v>
      </c>
      <c r="C805" s="15">
        <v>73934</v>
      </c>
      <c r="D805" s="15">
        <v>81250</v>
      </c>
      <c r="E805" s="15">
        <v>6539</v>
      </c>
      <c r="F805" s="15">
        <v>304.13</v>
      </c>
      <c r="G805" s="15">
        <v>14</v>
      </c>
      <c r="H805" s="165" t="s">
        <v>63</v>
      </c>
    </row>
    <row r="806" spans="1:8">
      <c r="A806" s="449" t="s">
        <v>312</v>
      </c>
      <c r="B806" s="15">
        <v>9401099</v>
      </c>
      <c r="C806" s="15">
        <v>72884</v>
      </c>
      <c r="D806" s="15">
        <v>83294</v>
      </c>
      <c r="E806" s="15">
        <v>6570</v>
      </c>
      <c r="F806" s="15">
        <v>299.97000000000003</v>
      </c>
      <c r="G806" s="15">
        <v>14.5</v>
      </c>
      <c r="H806" s="165" t="s">
        <v>63</v>
      </c>
    </row>
    <row r="807" spans="1:8">
      <c r="A807" s="449" t="s">
        <v>316</v>
      </c>
      <c r="B807" s="15">
        <v>9406611</v>
      </c>
      <c r="C807" s="15">
        <v>72884</v>
      </c>
      <c r="D807" s="15">
        <v>83264</v>
      </c>
      <c r="E807" s="15">
        <v>6570</v>
      </c>
      <c r="F807" s="15">
        <v>299.93</v>
      </c>
      <c r="G807" s="15">
        <v>14.5</v>
      </c>
      <c r="H807" s="165" t="s">
        <v>63</v>
      </c>
    </row>
    <row r="808" spans="1:8">
      <c r="A808" s="449" t="s">
        <v>318</v>
      </c>
      <c r="B808" s="15">
        <v>9406623</v>
      </c>
      <c r="C808" s="15">
        <v>72884</v>
      </c>
      <c r="D808" s="15">
        <v>83318</v>
      </c>
      <c r="E808" s="15">
        <v>6570</v>
      </c>
      <c r="F808" s="15">
        <v>299.97000000000003</v>
      </c>
      <c r="G808" s="15">
        <v>14.5</v>
      </c>
      <c r="H808" s="165" t="s">
        <v>63</v>
      </c>
    </row>
    <row r="809" spans="1:8">
      <c r="A809" s="449" t="s">
        <v>333</v>
      </c>
      <c r="B809" s="15">
        <v>9406635</v>
      </c>
      <c r="C809" s="15">
        <v>72884</v>
      </c>
      <c r="D809" s="15">
        <v>83317</v>
      </c>
      <c r="E809" s="15">
        <v>6570</v>
      </c>
      <c r="F809" s="15">
        <v>299.93</v>
      </c>
      <c r="G809" s="15">
        <v>14.5</v>
      </c>
      <c r="H809" s="165" t="s">
        <v>63</v>
      </c>
    </row>
    <row r="810" spans="1:8">
      <c r="A810" s="449" t="s">
        <v>72</v>
      </c>
      <c r="B810" s="15">
        <v>9349605</v>
      </c>
      <c r="C810" s="15">
        <v>74000</v>
      </c>
      <c r="D810" s="15">
        <v>82200</v>
      </c>
      <c r="E810" s="15">
        <v>6572</v>
      </c>
      <c r="F810" s="15">
        <v>299.27</v>
      </c>
      <c r="G810" s="15">
        <v>12</v>
      </c>
      <c r="H810" s="165" t="s">
        <v>63</v>
      </c>
    </row>
    <row r="811" spans="1:8">
      <c r="A811" s="449" t="s">
        <v>1619</v>
      </c>
      <c r="B811" s="15">
        <v>9438535</v>
      </c>
      <c r="C811" s="15">
        <v>73675</v>
      </c>
      <c r="D811" s="15">
        <v>83200</v>
      </c>
      <c r="E811" s="15">
        <v>6572</v>
      </c>
      <c r="F811" s="15">
        <v>299.2</v>
      </c>
      <c r="G811" s="15">
        <v>14.5</v>
      </c>
      <c r="H811" s="165" t="s">
        <v>63</v>
      </c>
    </row>
    <row r="812" spans="1:8">
      <c r="A812" s="449" t="s">
        <v>1161</v>
      </c>
      <c r="B812" s="15">
        <v>9267637</v>
      </c>
      <c r="C812" s="15">
        <v>76199</v>
      </c>
      <c r="D812" s="15">
        <v>80270</v>
      </c>
      <c r="E812" s="15">
        <v>6586</v>
      </c>
      <c r="F812" s="15">
        <v>299.95</v>
      </c>
      <c r="G812" s="15">
        <v>14.02</v>
      </c>
      <c r="H812" s="165" t="s">
        <v>63</v>
      </c>
    </row>
    <row r="813" spans="1:8">
      <c r="A813" s="449" t="s">
        <v>1163</v>
      </c>
      <c r="B813" s="15">
        <v>9267649</v>
      </c>
      <c r="C813" s="15">
        <v>76199</v>
      </c>
      <c r="D813" s="15">
        <v>80270</v>
      </c>
      <c r="E813" s="15">
        <v>6586</v>
      </c>
      <c r="F813" s="15">
        <v>299.95</v>
      </c>
      <c r="G813" s="15">
        <v>14.02</v>
      </c>
      <c r="H813" s="165" t="s">
        <v>63</v>
      </c>
    </row>
    <row r="814" spans="1:8">
      <c r="A814" s="449" t="s">
        <v>665</v>
      </c>
      <c r="B814" s="15">
        <v>9538658</v>
      </c>
      <c r="C814" s="15">
        <v>75015</v>
      </c>
      <c r="D814" s="15">
        <v>84153</v>
      </c>
      <c r="E814" s="15">
        <v>6588</v>
      </c>
      <c r="F814" s="15">
        <v>299.95</v>
      </c>
      <c r="G814" s="15">
        <v>14.5</v>
      </c>
      <c r="H814" s="165" t="s">
        <v>63</v>
      </c>
    </row>
    <row r="815" spans="1:8">
      <c r="A815" s="449" t="s">
        <v>1398</v>
      </c>
      <c r="B815" s="15">
        <v>9526502</v>
      </c>
      <c r="C815" s="15">
        <v>74600</v>
      </c>
      <c r="D815" s="15">
        <v>84660</v>
      </c>
      <c r="E815" s="15">
        <v>6588</v>
      </c>
      <c r="F815" s="15">
        <v>299.95</v>
      </c>
      <c r="G815" s="15">
        <v>14.5</v>
      </c>
      <c r="H815" s="165" t="s">
        <v>63</v>
      </c>
    </row>
    <row r="816" spans="1:8">
      <c r="A816" s="449" t="s">
        <v>123</v>
      </c>
      <c r="B816" s="15">
        <v>9400069</v>
      </c>
      <c r="C816" s="15">
        <v>75752</v>
      </c>
      <c r="D816" s="15">
        <v>81002</v>
      </c>
      <c r="E816" s="15">
        <v>6589</v>
      </c>
      <c r="F816" s="15">
        <v>306</v>
      </c>
      <c r="G816" s="15">
        <v>11.1</v>
      </c>
      <c r="H816" s="165" t="s">
        <v>63</v>
      </c>
    </row>
    <row r="817" spans="1:8">
      <c r="A817" s="449" t="s">
        <v>858</v>
      </c>
      <c r="B817" s="15">
        <v>9395525</v>
      </c>
      <c r="C817" s="15">
        <v>75752</v>
      </c>
      <c r="D817" s="15">
        <v>81002</v>
      </c>
      <c r="E817" s="15">
        <v>6589</v>
      </c>
      <c r="F817" s="15">
        <v>306</v>
      </c>
      <c r="G817" s="15">
        <v>14</v>
      </c>
      <c r="H817" s="165" t="s">
        <v>63</v>
      </c>
    </row>
    <row r="818" spans="1:8">
      <c r="A818" s="449" t="s">
        <v>878</v>
      </c>
      <c r="B818" s="15">
        <v>9400095</v>
      </c>
      <c r="C818" s="15">
        <v>75752</v>
      </c>
      <c r="D818" s="15">
        <v>81002</v>
      </c>
      <c r="E818" s="15">
        <v>6589</v>
      </c>
      <c r="F818" s="15">
        <v>305.60000000000002</v>
      </c>
      <c r="G818" s="15">
        <v>14.5</v>
      </c>
      <c r="H818" s="165" t="s">
        <v>63</v>
      </c>
    </row>
    <row r="819" spans="1:8">
      <c r="A819" s="449" t="s">
        <v>1618</v>
      </c>
      <c r="B819" s="15">
        <v>9485007</v>
      </c>
      <c r="C819" s="15">
        <v>74900</v>
      </c>
      <c r="D819" s="15">
        <v>79870</v>
      </c>
      <c r="E819" s="15">
        <v>6589</v>
      </c>
      <c r="F819" s="15">
        <v>305</v>
      </c>
      <c r="G819" s="15">
        <v>14.5</v>
      </c>
      <c r="H819" s="165" t="s">
        <v>63</v>
      </c>
    </row>
    <row r="820" spans="1:8">
      <c r="A820" s="449" t="s">
        <v>1620</v>
      </c>
      <c r="B820" s="15">
        <v>9457737</v>
      </c>
      <c r="C820" s="15">
        <v>76787</v>
      </c>
      <c r="D820" s="15">
        <v>81145</v>
      </c>
      <c r="E820" s="15">
        <v>6589</v>
      </c>
      <c r="F820" s="15">
        <v>305.60000000000002</v>
      </c>
      <c r="G820" s="15">
        <v>12</v>
      </c>
      <c r="H820" s="165" t="s">
        <v>63</v>
      </c>
    </row>
    <row r="821" spans="1:8">
      <c r="A821" s="449" t="s">
        <v>212</v>
      </c>
      <c r="B821" s="15">
        <v>9629445</v>
      </c>
      <c r="C821" s="15">
        <v>69809</v>
      </c>
      <c r="D821" s="15">
        <v>80547</v>
      </c>
      <c r="E821" s="15">
        <v>6612</v>
      </c>
      <c r="F821" s="15">
        <v>270.89999999999998</v>
      </c>
      <c r="G821" s="15">
        <v>14.55</v>
      </c>
      <c r="H821" s="165" t="s">
        <v>63</v>
      </c>
    </row>
    <row r="822" spans="1:8">
      <c r="A822" s="449" t="s">
        <v>235</v>
      </c>
      <c r="B822" s="15">
        <v>9629457</v>
      </c>
      <c r="C822" s="15">
        <v>69809</v>
      </c>
      <c r="D822" s="15">
        <v>80550</v>
      </c>
      <c r="E822" s="15">
        <v>6612</v>
      </c>
      <c r="F822" s="15">
        <v>271.3</v>
      </c>
      <c r="G822" s="15">
        <v>14.55</v>
      </c>
      <c r="H822" s="165" t="s">
        <v>63</v>
      </c>
    </row>
    <row r="823" spans="1:8">
      <c r="A823" s="449" t="s">
        <v>1548</v>
      </c>
      <c r="B823" s="15">
        <v>9629380</v>
      </c>
      <c r="C823" s="15">
        <v>69809</v>
      </c>
      <c r="D823" s="15">
        <v>80578</v>
      </c>
      <c r="E823" s="15">
        <v>6622</v>
      </c>
      <c r="F823" s="15">
        <v>270.89999999999998</v>
      </c>
      <c r="G823" s="15">
        <v>14.57</v>
      </c>
      <c r="H823" s="165" t="s">
        <v>63</v>
      </c>
    </row>
    <row r="824" spans="1:8">
      <c r="A824" s="449" t="s">
        <v>267</v>
      </c>
      <c r="B824" s="15">
        <v>9222297</v>
      </c>
      <c r="C824" s="15">
        <v>73157</v>
      </c>
      <c r="D824" s="15">
        <v>80250</v>
      </c>
      <c r="E824" s="15">
        <v>6627</v>
      </c>
      <c r="F824" s="15">
        <v>300.39999999999998</v>
      </c>
      <c r="G824" s="15">
        <v>14.27</v>
      </c>
      <c r="H824" s="165" t="s">
        <v>63</v>
      </c>
    </row>
    <row r="825" spans="1:8">
      <c r="A825" s="449" t="s">
        <v>366</v>
      </c>
      <c r="B825" s="15">
        <v>9222285</v>
      </c>
      <c r="C825" s="15">
        <v>73172</v>
      </c>
      <c r="D825" s="15">
        <v>77946</v>
      </c>
      <c r="E825" s="15">
        <v>6627</v>
      </c>
      <c r="F825" s="15">
        <v>299.97000000000003</v>
      </c>
      <c r="G825" s="15">
        <v>14</v>
      </c>
      <c r="H825" s="165" t="s">
        <v>63</v>
      </c>
    </row>
    <row r="826" spans="1:8">
      <c r="A826" s="449" t="s">
        <v>368</v>
      </c>
      <c r="B826" s="15">
        <v>9222273</v>
      </c>
      <c r="C826" s="15">
        <v>73172</v>
      </c>
      <c r="D826" s="15">
        <v>77941</v>
      </c>
      <c r="E826" s="15">
        <v>6627</v>
      </c>
      <c r="F826" s="15">
        <v>300.27</v>
      </c>
      <c r="G826" s="15">
        <v>14</v>
      </c>
      <c r="H826" s="165" t="s">
        <v>63</v>
      </c>
    </row>
    <row r="827" spans="1:8">
      <c r="A827" s="449" t="s">
        <v>464</v>
      </c>
      <c r="B827" s="15">
        <v>9222302</v>
      </c>
      <c r="C827" s="15">
        <v>73157</v>
      </c>
      <c r="D827" s="15">
        <v>80238</v>
      </c>
      <c r="E827" s="15">
        <v>6627</v>
      </c>
      <c r="F827" s="15">
        <v>300</v>
      </c>
      <c r="G827" s="15">
        <v>14.3</v>
      </c>
      <c r="H827" s="165" t="s">
        <v>63</v>
      </c>
    </row>
    <row r="828" spans="1:8">
      <c r="A828" s="449" t="s">
        <v>811</v>
      </c>
      <c r="B828" s="15">
        <v>9244934</v>
      </c>
      <c r="C828" s="15">
        <v>74656</v>
      </c>
      <c r="D828" s="15">
        <v>81142</v>
      </c>
      <c r="E828" s="15">
        <v>6644</v>
      </c>
      <c r="F828" s="15">
        <v>304.16000000000003</v>
      </c>
      <c r="G828" s="15">
        <v>14</v>
      </c>
      <c r="H828" s="165" t="s">
        <v>63</v>
      </c>
    </row>
    <row r="829" spans="1:8">
      <c r="A829" s="449" t="s">
        <v>613</v>
      </c>
      <c r="B829" s="15">
        <v>9312779</v>
      </c>
      <c r="C829" s="15">
        <v>74962</v>
      </c>
      <c r="D829" s="15">
        <v>80855</v>
      </c>
      <c r="E829" s="15">
        <v>6655</v>
      </c>
      <c r="F829" s="15">
        <v>304.07</v>
      </c>
      <c r="G829" s="15">
        <v>14.22</v>
      </c>
      <c r="H829" s="165" t="s">
        <v>63</v>
      </c>
    </row>
    <row r="830" spans="1:8">
      <c r="A830" s="449" t="s">
        <v>620</v>
      </c>
      <c r="B830" s="15">
        <v>9312949</v>
      </c>
      <c r="C830" s="15">
        <v>75061</v>
      </c>
      <c r="D830" s="15">
        <v>80811</v>
      </c>
      <c r="E830" s="15">
        <v>6655</v>
      </c>
      <c r="F830" s="15">
        <v>304</v>
      </c>
      <c r="G830" s="15">
        <v>14.2</v>
      </c>
      <c r="H830" s="165" t="s">
        <v>63</v>
      </c>
    </row>
    <row r="831" spans="1:8">
      <c r="A831" s="449" t="s">
        <v>622</v>
      </c>
      <c r="B831" s="15">
        <v>9312767</v>
      </c>
      <c r="C831" s="15">
        <v>74962</v>
      </c>
      <c r="D831" s="15">
        <v>85855</v>
      </c>
      <c r="E831" s="15">
        <v>6655</v>
      </c>
      <c r="F831" s="15">
        <v>304</v>
      </c>
      <c r="G831" s="15">
        <v>14.2</v>
      </c>
      <c r="H831" s="165" t="s">
        <v>63</v>
      </c>
    </row>
    <row r="832" spans="1:8">
      <c r="A832" s="449" t="s">
        <v>624</v>
      </c>
      <c r="B832" s="15">
        <v>9312755</v>
      </c>
      <c r="C832" s="15">
        <v>74962</v>
      </c>
      <c r="D832" s="15">
        <v>80855</v>
      </c>
      <c r="E832" s="15">
        <v>6655</v>
      </c>
      <c r="F832" s="15">
        <v>304</v>
      </c>
      <c r="G832" s="15">
        <v>14.2</v>
      </c>
      <c r="H832" s="165" t="s">
        <v>63</v>
      </c>
    </row>
    <row r="833" spans="1:8">
      <c r="A833" s="449" t="s">
        <v>1096</v>
      </c>
      <c r="B833" s="15">
        <v>9347425</v>
      </c>
      <c r="C833" s="15">
        <v>74962</v>
      </c>
      <c r="D833" s="15">
        <v>80855</v>
      </c>
      <c r="E833" s="15">
        <v>6655</v>
      </c>
      <c r="F833" s="15">
        <v>294.11</v>
      </c>
      <c r="G833" s="15">
        <v>14.22</v>
      </c>
      <c r="H833" s="165" t="s">
        <v>63</v>
      </c>
    </row>
    <row r="834" spans="1:8">
      <c r="A834" s="449" t="s">
        <v>1166</v>
      </c>
      <c r="B834" s="15">
        <v>9347449</v>
      </c>
      <c r="C834" s="15">
        <v>74962</v>
      </c>
      <c r="D834" s="15">
        <v>80855</v>
      </c>
      <c r="E834" s="15">
        <v>6655</v>
      </c>
      <c r="F834" s="15">
        <v>304.07</v>
      </c>
      <c r="G834" s="15">
        <v>14.22</v>
      </c>
      <c r="H834" s="165" t="s">
        <v>63</v>
      </c>
    </row>
    <row r="835" spans="1:8">
      <c r="A835" s="449" t="s">
        <v>1305</v>
      </c>
      <c r="B835" s="15">
        <v>9356696</v>
      </c>
      <c r="C835" s="15">
        <v>76928</v>
      </c>
      <c r="D835" s="15">
        <v>80227</v>
      </c>
      <c r="E835" s="15">
        <v>6661</v>
      </c>
      <c r="F835" s="15">
        <v>304.06</v>
      </c>
      <c r="G835" s="15">
        <v>14.02</v>
      </c>
      <c r="H835" s="165" t="s">
        <v>63</v>
      </c>
    </row>
    <row r="836" spans="1:8">
      <c r="A836" s="449" t="s">
        <v>1590</v>
      </c>
      <c r="B836" s="15">
        <v>9354167</v>
      </c>
      <c r="C836" s="15">
        <v>76928</v>
      </c>
      <c r="D836" s="15">
        <v>80282</v>
      </c>
      <c r="E836" s="15">
        <v>6661</v>
      </c>
      <c r="F836" s="15">
        <v>304.06</v>
      </c>
      <c r="G836" s="15">
        <v>14.02</v>
      </c>
      <c r="H836" s="165" t="s">
        <v>63</v>
      </c>
    </row>
    <row r="837" spans="1:8">
      <c r="A837" s="449" t="s">
        <v>921</v>
      </c>
      <c r="B837" s="15">
        <v>9415727</v>
      </c>
      <c r="C837" s="15">
        <v>78316</v>
      </c>
      <c r="D837" s="15">
        <v>79423</v>
      </c>
      <c r="E837" s="15">
        <v>6724</v>
      </c>
      <c r="F837" s="15">
        <v>302</v>
      </c>
      <c r="G837" s="15">
        <v>14.2</v>
      </c>
      <c r="H837" s="165" t="s">
        <v>63</v>
      </c>
    </row>
    <row r="838" spans="1:8">
      <c r="A838" s="449" t="s">
        <v>922</v>
      </c>
      <c r="B838" s="15">
        <v>9424900</v>
      </c>
      <c r="C838" s="15">
        <v>78316</v>
      </c>
      <c r="D838" s="15">
        <v>79417</v>
      </c>
      <c r="E838" s="15">
        <v>6724</v>
      </c>
      <c r="F838" s="15">
        <v>302</v>
      </c>
      <c r="G838" s="15">
        <v>14.2</v>
      </c>
      <c r="H838" s="165" t="s">
        <v>63</v>
      </c>
    </row>
    <row r="839" spans="1:8">
      <c r="A839" s="449" t="s">
        <v>923</v>
      </c>
      <c r="B839" s="15">
        <v>9424912</v>
      </c>
      <c r="C839" s="15">
        <v>78316</v>
      </c>
      <c r="D839" s="15">
        <v>79443</v>
      </c>
      <c r="E839" s="15">
        <v>6724</v>
      </c>
      <c r="F839" s="15">
        <v>302</v>
      </c>
      <c r="G839" s="15">
        <v>14.2</v>
      </c>
      <c r="H839" s="165" t="s">
        <v>63</v>
      </c>
    </row>
    <row r="840" spans="1:8">
      <c r="A840" s="449" t="s">
        <v>924</v>
      </c>
      <c r="B840" s="15">
        <v>9475648</v>
      </c>
      <c r="C840" s="15">
        <v>78000</v>
      </c>
      <c r="D840" s="15">
        <v>78830</v>
      </c>
      <c r="E840" s="15">
        <v>6724</v>
      </c>
      <c r="F840" s="15">
        <v>302</v>
      </c>
      <c r="G840" s="15">
        <v>14.2</v>
      </c>
      <c r="H840" s="165" t="s">
        <v>63</v>
      </c>
    </row>
    <row r="841" spans="1:8">
      <c r="A841" s="449" t="s">
        <v>925</v>
      </c>
      <c r="B841" s="15">
        <v>9475612</v>
      </c>
      <c r="C841" s="15">
        <v>78316</v>
      </c>
      <c r="D841" s="15">
        <v>78830</v>
      </c>
      <c r="E841" s="15">
        <v>6724</v>
      </c>
      <c r="F841" s="15">
        <v>302</v>
      </c>
      <c r="G841" s="15">
        <v>14.2</v>
      </c>
      <c r="H841" s="165" t="s">
        <v>63</v>
      </c>
    </row>
    <row r="842" spans="1:8">
      <c r="A842" s="449" t="s">
        <v>926</v>
      </c>
      <c r="B842" s="15">
        <v>9424924</v>
      </c>
      <c r="C842" s="15">
        <v>78316</v>
      </c>
      <c r="D842" s="15">
        <v>79312</v>
      </c>
      <c r="E842" s="15">
        <v>6724</v>
      </c>
      <c r="F842" s="15">
        <v>302</v>
      </c>
      <c r="G842" s="15">
        <v>12.7</v>
      </c>
      <c r="H842" s="165" t="s">
        <v>63</v>
      </c>
    </row>
    <row r="843" spans="1:8">
      <c r="A843" s="449" t="s">
        <v>927</v>
      </c>
      <c r="B843" s="15">
        <v>9424936</v>
      </c>
      <c r="C843" s="15">
        <v>78316</v>
      </c>
      <c r="D843" s="15">
        <v>78830</v>
      </c>
      <c r="E843" s="15">
        <v>6724</v>
      </c>
      <c r="F843" s="15">
        <v>302</v>
      </c>
      <c r="G843" s="15">
        <v>14.2</v>
      </c>
      <c r="H843" s="165" t="s">
        <v>63</v>
      </c>
    </row>
    <row r="844" spans="1:8">
      <c r="A844" s="449" t="s">
        <v>928</v>
      </c>
      <c r="B844" s="15">
        <v>9475650</v>
      </c>
      <c r="C844" s="15">
        <v>78316</v>
      </c>
      <c r="D844" s="15">
        <v>78830</v>
      </c>
      <c r="E844" s="15">
        <v>6724</v>
      </c>
      <c r="F844" s="15">
        <v>302</v>
      </c>
      <c r="G844" s="15">
        <v>14.2</v>
      </c>
      <c r="H844" s="165" t="s">
        <v>63</v>
      </c>
    </row>
    <row r="845" spans="1:8">
      <c r="A845" s="449" t="s">
        <v>929</v>
      </c>
      <c r="B845" s="15">
        <v>9475636</v>
      </c>
      <c r="C845" s="15">
        <v>78000</v>
      </c>
      <c r="D845" s="15">
        <v>78830</v>
      </c>
      <c r="E845" s="15">
        <v>6724</v>
      </c>
      <c r="F845" s="15">
        <v>302</v>
      </c>
      <c r="G845" s="15">
        <v>14.2</v>
      </c>
      <c r="H845" s="165" t="s">
        <v>63</v>
      </c>
    </row>
    <row r="846" spans="1:8">
      <c r="A846" s="449" t="s">
        <v>930</v>
      </c>
      <c r="B846" s="15">
        <v>9475624</v>
      </c>
      <c r="C846" s="15">
        <v>78000</v>
      </c>
      <c r="D846" s="15">
        <v>78830</v>
      </c>
      <c r="E846" s="15">
        <v>6724</v>
      </c>
      <c r="F846" s="15">
        <v>302</v>
      </c>
      <c r="G846" s="15">
        <v>14.2</v>
      </c>
      <c r="H846" s="165" t="s">
        <v>63</v>
      </c>
    </row>
    <row r="847" spans="1:8">
      <c r="A847" s="449" t="s">
        <v>1129</v>
      </c>
      <c r="B847" s="15">
        <v>9226920</v>
      </c>
      <c r="C847" s="15">
        <v>73819</v>
      </c>
      <c r="D847" s="15">
        <v>85250</v>
      </c>
      <c r="E847" s="15">
        <v>6730</v>
      </c>
      <c r="F847" s="15">
        <v>304</v>
      </c>
      <c r="G847" s="15">
        <v>14.5</v>
      </c>
      <c r="H847" s="165" t="s">
        <v>63</v>
      </c>
    </row>
    <row r="848" spans="1:8">
      <c r="A848" s="449" t="s">
        <v>173</v>
      </c>
      <c r="B848" s="15">
        <v>9252553</v>
      </c>
      <c r="C848" s="15">
        <v>75590</v>
      </c>
      <c r="D848" s="15">
        <v>85810</v>
      </c>
      <c r="E848" s="15">
        <v>6732</v>
      </c>
      <c r="F848" s="15">
        <v>300</v>
      </c>
      <c r="G848" s="15">
        <v>14.52</v>
      </c>
      <c r="H848" s="165" t="s">
        <v>63</v>
      </c>
    </row>
    <row r="849" spans="1:8">
      <c r="A849" s="449" t="s">
        <v>206</v>
      </c>
      <c r="B849" s="15">
        <v>9252577</v>
      </c>
      <c r="C849" s="15">
        <v>75590</v>
      </c>
      <c r="D849" s="15">
        <v>85400</v>
      </c>
      <c r="E849" s="15">
        <v>6732</v>
      </c>
      <c r="F849" s="15">
        <v>300</v>
      </c>
      <c r="G849" s="15">
        <v>14.5</v>
      </c>
      <c r="H849" s="165" t="s">
        <v>63</v>
      </c>
    </row>
    <row r="850" spans="1:8">
      <c r="A850" s="449" t="s">
        <v>964</v>
      </c>
      <c r="B850" s="15">
        <v>9225653</v>
      </c>
      <c r="C850" s="15">
        <v>75590</v>
      </c>
      <c r="D850" s="15">
        <v>85891</v>
      </c>
      <c r="E850" s="15">
        <v>6732</v>
      </c>
      <c r="F850" s="15">
        <v>300</v>
      </c>
      <c r="G850" s="15">
        <v>14.5</v>
      </c>
      <c r="H850" s="165" t="s">
        <v>63</v>
      </c>
    </row>
    <row r="851" spans="1:8">
      <c r="A851" s="449" t="s">
        <v>1060</v>
      </c>
      <c r="B851" s="15">
        <v>9225615</v>
      </c>
      <c r="C851" s="15">
        <v>75590</v>
      </c>
      <c r="D851" s="15">
        <v>85823</v>
      </c>
      <c r="E851" s="15">
        <v>6732</v>
      </c>
      <c r="F851" s="15">
        <v>300</v>
      </c>
      <c r="G851" s="15">
        <v>14.5</v>
      </c>
      <c r="H851" s="165" t="s">
        <v>63</v>
      </c>
    </row>
    <row r="852" spans="1:8">
      <c r="A852" s="449" t="s">
        <v>1062</v>
      </c>
      <c r="B852" s="15">
        <v>9251705</v>
      </c>
      <c r="C852" s="15">
        <v>75590</v>
      </c>
      <c r="D852" s="15">
        <v>85832</v>
      </c>
      <c r="E852" s="15">
        <v>6732</v>
      </c>
      <c r="F852" s="15">
        <v>300</v>
      </c>
      <c r="G852" s="15">
        <v>14.5</v>
      </c>
      <c r="H852" s="165" t="s">
        <v>63</v>
      </c>
    </row>
    <row r="853" spans="1:8">
      <c r="A853" s="449" t="s">
        <v>1072</v>
      </c>
      <c r="B853" s="15">
        <v>9225641</v>
      </c>
      <c r="C853" s="15">
        <v>75590</v>
      </c>
      <c r="D853" s="15">
        <v>85890</v>
      </c>
      <c r="E853" s="15">
        <v>6732</v>
      </c>
      <c r="F853" s="15">
        <v>300</v>
      </c>
      <c r="G853" s="15">
        <v>14.5</v>
      </c>
      <c r="H853" s="165" t="s">
        <v>63</v>
      </c>
    </row>
    <row r="854" spans="1:8">
      <c r="A854" s="449" t="s">
        <v>1098</v>
      </c>
      <c r="B854" s="15">
        <v>9225665</v>
      </c>
      <c r="C854" s="15">
        <v>75590</v>
      </c>
      <c r="D854" s="15">
        <v>85928</v>
      </c>
      <c r="E854" s="15">
        <v>6732</v>
      </c>
      <c r="F854" s="15">
        <v>300</v>
      </c>
      <c r="G854" s="15">
        <v>14.5</v>
      </c>
      <c r="H854" s="165" t="s">
        <v>63</v>
      </c>
    </row>
    <row r="855" spans="1:8">
      <c r="A855" s="449" t="s">
        <v>1114</v>
      </c>
      <c r="B855" s="15">
        <v>9251690</v>
      </c>
      <c r="C855" s="15">
        <v>75590</v>
      </c>
      <c r="D855" s="15">
        <v>85882</v>
      </c>
      <c r="E855" s="15">
        <v>6732</v>
      </c>
      <c r="F855" s="15">
        <v>300</v>
      </c>
      <c r="G855" s="15">
        <v>14.5</v>
      </c>
      <c r="H855" s="165" t="s">
        <v>63</v>
      </c>
    </row>
    <row r="856" spans="1:8">
      <c r="A856" s="449" t="s">
        <v>1115</v>
      </c>
      <c r="B856" s="15">
        <v>9225677</v>
      </c>
      <c r="C856" s="15">
        <v>75590</v>
      </c>
      <c r="D856" s="15">
        <v>85927</v>
      </c>
      <c r="E856" s="15">
        <v>6732</v>
      </c>
      <c r="F856" s="15">
        <v>299.99</v>
      </c>
      <c r="G856" s="15">
        <v>14.5</v>
      </c>
      <c r="H856" s="165" t="s">
        <v>63</v>
      </c>
    </row>
    <row r="857" spans="1:8">
      <c r="A857" s="449" t="s">
        <v>1134</v>
      </c>
      <c r="B857" s="15">
        <v>9251717</v>
      </c>
      <c r="C857" s="15">
        <v>75590</v>
      </c>
      <c r="D857" s="15">
        <v>85810</v>
      </c>
      <c r="E857" s="15">
        <v>6732</v>
      </c>
      <c r="F857" s="15">
        <v>300</v>
      </c>
      <c r="G857" s="15">
        <v>14.5</v>
      </c>
      <c r="H857" s="165" t="s">
        <v>63</v>
      </c>
    </row>
    <row r="858" spans="1:8">
      <c r="A858" s="449" t="s">
        <v>1229</v>
      </c>
      <c r="B858" s="15">
        <v>9251688</v>
      </c>
      <c r="C858" s="15">
        <v>75590</v>
      </c>
      <c r="D858" s="15">
        <v>85844</v>
      </c>
      <c r="E858" s="15">
        <v>6732</v>
      </c>
      <c r="F858" s="15">
        <v>299.98</v>
      </c>
      <c r="G858" s="15">
        <v>14.5</v>
      </c>
      <c r="H858" s="165" t="s">
        <v>63</v>
      </c>
    </row>
    <row r="859" spans="1:8">
      <c r="A859" s="449" t="s">
        <v>1282</v>
      </c>
      <c r="B859" s="15">
        <v>9252541</v>
      </c>
      <c r="C859" s="15">
        <v>75590</v>
      </c>
      <c r="D859" s="15">
        <v>75590</v>
      </c>
      <c r="E859" s="15">
        <v>6750</v>
      </c>
      <c r="F859" s="15">
        <v>300</v>
      </c>
      <c r="G859" s="15">
        <v>14.5</v>
      </c>
      <c r="H859" s="165" t="s">
        <v>63</v>
      </c>
    </row>
    <row r="860" spans="1:8">
      <c r="A860" s="449" t="s">
        <v>669</v>
      </c>
      <c r="B860" s="15">
        <v>9323510</v>
      </c>
      <c r="C860" s="15">
        <v>74651</v>
      </c>
      <c r="D860" s="15">
        <v>80108</v>
      </c>
      <c r="E860" s="15">
        <v>6763</v>
      </c>
      <c r="F860" s="15">
        <v>303.83</v>
      </c>
      <c r="G860" s="15">
        <v>14.5</v>
      </c>
      <c r="H860" s="165" t="s">
        <v>63</v>
      </c>
    </row>
    <row r="861" spans="1:8">
      <c r="A861" s="449" t="s">
        <v>671</v>
      </c>
      <c r="B861" s="15">
        <v>9305659</v>
      </c>
      <c r="C861" s="15">
        <v>74651</v>
      </c>
      <c r="D861" s="15">
        <v>80102</v>
      </c>
      <c r="E861" s="15">
        <v>6763</v>
      </c>
      <c r="F861" s="15">
        <v>304</v>
      </c>
      <c r="G861" s="15">
        <v>14</v>
      </c>
      <c r="H861" s="165" t="s">
        <v>63</v>
      </c>
    </row>
    <row r="862" spans="1:8">
      <c r="A862" s="449" t="s">
        <v>684</v>
      </c>
      <c r="B862" s="15">
        <v>9305661</v>
      </c>
      <c r="C862" s="15">
        <v>74651</v>
      </c>
      <c r="D862" s="15">
        <v>80102</v>
      </c>
      <c r="E862" s="15">
        <v>6763</v>
      </c>
      <c r="F862" s="15">
        <v>303.83</v>
      </c>
      <c r="G862" s="15">
        <v>14.02</v>
      </c>
      <c r="H862" s="165" t="s">
        <v>63</v>
      </c>
    </row>
    <row r="863" spans="1:8">
      <c r="A863" s="449" t="s">
        <v>691</v>
      </c>
      <c r="B863" s="15">
        <v>9305685</v>
      </c>
      <c r="C863" s="15">
        <v>74651</v>
      </c>
      <c r="D863" s="15">
        <v>85250</v>
      </c>
      <c r="E863" s="15">
        <v>6763</v>
      </c>
      <c r="F863" s="15">
        <v>303.83</v>
      </c>
      <c r="G863" s="15">
        <v>14.5</v>
      </c>
      <c r="H863" s="165" t="s">
        <v>63</v>
      </c>
    </row>
    <row r="864" spans="1:8">
      <c r="A864" s="449" t="s">
        <v>1211</v>
      </c>
      <c r="B864" s="15">
        <v>9347437</v>
      </c>
      <c r="C864" s="15">
        <v>74651</v>
      </c>
      <c r="D864" s="15">
        <v>80102</v>
      </c>
      <c r="E864" s="15">
        <v>6763</v>
      </c>
      <c r="F864" s="15">
        <v>304</v>
      </c>
      <c r="G864" s="15">
        <v>14</v>
      </c>
      <c r="H864" s="165" t="s">
        <v>63</v>
      </c>
    </row>
    <row r="865" spans="1:8">
      <c r="A865" s="449" t="s">
        <v>1379</v>
      </c>
      <c r="B865" s="15">
        <v>9679555</v>
      </c>
      <c r="C865" s="15">
        <v>68590</v>
      </c>
      <c r="D865" s="15">
        <v>80087</v>
      </c>
      <c r="E865" s="15">
        <v>6845</v>
      </c>
      <c r="F865" s="15">
        <v>270.89999999999998</v>
      </c>
      <c r="G865" s="15">
        <v>13</v>
      </c>
      <c r="H865" s="165" t="s">
        <v>63</v>
      </c>
    </row>
    <row r="866" spans="1:8">
      <c r="A866" s="449" t="s">
        <v>98</v>
      </c>
      <c r="B866" s="15">
        <v>9686900</v>
      </c>
      <c r="C866" s="15">
        <v>70704</v>
      </c>
      <c r="D866" s="15">
        <v>79275</v>
      </c>
      <c r="E866" s="15">
        <v>6877</v>
      </c>
      <c r="F866" s="15">
        <v>271.3</v>
      </c>
      <c r="G866" s="15">
        <v>14.55</v>
      </c>
      <c r="H866" s="165" t="s">
        <v>63</v>
      </c>
    </row>
    <row r="867" spans="1:8">
      <c r="A867" s="449" t="s">
        <v>231</v>
      </c>
      <c r="B867" s="15">
        <v>9719862</v>
      </c>
      <c r="C867" s="15">
        <v>70704</v>
      </c>
      <c r="D867" s="15">
        <v>79294</v>
      </c>
      <c r="E867" s="15">
        <v>6882</v>
      </c>
      <c r="F867" s="15">
        <v>270.97000000000003</v>
      </c>
      <c r="G867" s="15">
        <v>14.55</v>
      </c>
      <c r="H867" s="165" t="s">
        <v>63</v>
      </c>
    </row>
    <row r="868" spans="1:8">
      <c r="A868" s="449" t="s">
        <v>729</v>
      </c>
      <c r="B868" s="15">
        <v>9641235</v>
      </c>
      <c r="C868" s="15">
        <v>71021</v>
      </c>
      <c r="D868" s="15">
        <v>80295</v>
      </c>
      <c r="E868" s="15">
        <v>6900</v>
      </c>
      <c r="F868" s="15">
        <v>270.06</v>
      </c>
      <c r="G868" s="15">
        <v>14.5</v>
      </c>
      <c r="H868" s="165" t="s">
        <v>63</v>
      </c>
    </row>
    <row r="869" spans="1:8">
      <c r="A869" s="449" t="s">
        <v>730</v>
      </c>
      <c r="B869" s="15">
        <v>9677026</v>
      </c>
      <c r="C869" s="15">
        <v>71112</v>
      </c>
      <c r="D869" s="15">
        <v>80229</v>
      </c>
      <c r="E869" s="15">
        <v>6900</v>
      </c>
      <c r="F869" s="15">
        <v>270.07</v>
      </c>
      <c r="G869" s="15">
        <v>13</v>
      </c>
      <c r="H869" s="165" t="s">
        <v>63</v>
      </c>
    </row>
    <row r="870" spans="1:8">
      <c r="A870" s="449" t="s">
        <v>876</v>
      </c>
      <c r="B870" s="15">
        <v>9635664</v>
      </c>
      <c r="C870" s="15">
        <v>71021</v>
      </c>
      <c r="D870" s="15">
        <v>80274</v>
      </c>
      <c r="E870" s="15">
        <v>6900</v>
      </c>
      <c r="F870" s="15">
        <v>270.07</v>
      </c>
      <c r="G870" s="15">
        <v>14.5</v>
      </c>
      <c r="H870" s="165" t="s">
        <v>63</v>
      </c>
    </row>
    <row r="871" spans="1:8">
      <c r="A871" s="449" t="s">
        <v>76</v>
      </c>
      <c r="B871" s="15">
        <v>9349514</v>
      </c>
      <c r="C871" s="15">
        <v>75579</v>
      </c>
      <c r="D871" s="15">
        <v>85517</v>
      </c>
      <c r="E871" s="15">
        <v>6921</v>
      </c>
      <c r="F871" s="15">
        <v>306</v>
      </c>
      <c r="G871" s="15">
        <v>14.5</v>
      </c>
      <c r="H871" s="165" t="s">
        <v>63</v>
      </c>
    </row>
    <row r="872" spans="1:8">
      <c r="A872" s="449" t="s">
        <v>80</v>
      </c>
      <c r="B872" s="15">
        <v>9349552</v>
      </c>
      <c r="C872" s="15">
        <v>75579</v>
      </c>
      <c r="D872" s="15">
        <v>79030</v>
      </c>
      <c r="E872" s="15">
        <v>6921</v>
      </c>
      <c r="F872" s="15">
        <v>306</v>
      </c>
      <c r="G872" s="15">
        <v>14.5</v>
      </c>
      <c r="H872" s="165" t="s">
        <v>63</v>
      </c>
    </row>
    <row r="873" spans="1:8">
      <c r="A873" s="449" t="s">
        <v>1405</v>
      </c>
      <c r="B873" s="15">
        <v>9415844</v>
      </c>
      <c r="C873" s="15">
        <v>75604</v>
      </c>
      <c r="D873" s="15">
        <v>85622</v>
      </c>
      <c r="E873" s="15">
        <v>6966</v>
      </c>
      <c r="F873" s="15">
        <v>304.19</v>
      </c>
      <c r="G873" s="15">
        <v>14.5</v>
      </c>
      <c r="H873" s="165" t="s">
        <v>63</v>
      </c>
    </row>
    <row r="874" spans="1:8">
      <c r="A874" s="449" t="s">
        <v>703</v>
      </c>
      <c r="B874" s="15">
        <v>9401271</v>
      </c>
      <c r="C874" s="15">
        <v>75604</v>
      </c>
      <c r="D874" s="15">
        <v>85622</v>
      </c>
      <c r="E874" s="15">
        <v>6969</v>
      </c>
      <c r="F874" s="15">
        <v>304.12</v>
      </c>
      <c r="G874" s="15">
        <v>14.5</v>
      </c>
      <c r="H874" s="165" t="s">
        <v>63</v>
      </c>
    </row>
    <row r="875" spans="1:8">
      <c r="A875" s="449" t="s">
        <v>601</v>
      </c>
      <c r="B875" s="15">
        <v>9359038</v>
      </c>
      <c r="C875" s="15">
        <v>98268</v>
      </c>
      <c r="D875" s="15">
        <v>115993</v>
      </c>
      <c r="E875" s="15">
        <v>7000</v>
      </c>
      <c r="F875" s="15">
        <v>366.89</v>
      </c>
      <c r="G875" s="15">
        <v>15.5</v>
      </c>
      <c r="H875" s="165" t="s">
        <v>63</v>
      </c>
    </row>
    <row r="876" spans="1:8">
      <c r="A876" s="449" t="s">
        <v>552</v>
      </c>
      <c r="B876" s="15">
        <v>9300465</v>
      </c>
      <c r="C876" s="15">
        <v>75246</v>
      </c>
      <c r="D876" s="15">
        <v>78618</v>
      </c>
      <c r="E876" s="15">
        <v>7024</v>
      </c>
      <c r="F876" s="15">
        <v>299.99</v>
      </c>
      <c r="G876" s="15">
        <v>14.2</v>
      </c>
      <c r="H876" s="165" t="s">
        <v>63</v>
      </c>
    </row>
    <row r="877" spans="1:8">
      <c r="A877" s="449" t="s">
        <v>553</v>
      </c>
      <c r="B877" s="15">
        <v>9300477</v>
      </c>
      <c r="C877" s="15">
        <v>75246</v>
      </c>
      <c r="D877" s="15">
        <v>78733</v>
      </c>
      <c r="E877" s="15">
        <v>7024</v>
      </c>
      <c r="F877" s="15">
        <v>299.99</v>
      </c>
      <c r="G877" s="15">
        <v>14.2</v>
      </c>
      <c r="H877" s="165" t="s">
        <v>63</v>
      </c>
    </row>
    <row r="878" spans="1:8">
      <c r="A878" s="449" t="s">
        <v>558</v>
      </c>
      <c r="B878" s="15">
        <v>9300439</v>
      </c>
      <c r="C878" s="15">
        <v>75246</v>
      </c>
      <c r="D878" s="15">
        <v>78664</v>
      </c>
      <c r="E878" s="15">
        <v>7024</v>
      </c>
      <c r="F878" s="15">
        <v>299.99</v>
      </c>
      <c r="G878" s="15">
        <v>14.2</v>
      </c>
      <c r="H878" s="165" t="s">
        <v>63</v>
      </c>
    </row>
    <row r="879" spans="1:8">
      <c r="A879" s="449" t="s">
        <v>559</v>
      </c>
      <c r="B879" s="15">
        <v>9300441</v>
      </c>
      <c r="C879" s="15">
        <v>75246</v>
      </c>
      <c r="D879" s="15">
        <v>78715</v>
      </c>
      <c r="E879" s="15">
        <v>7024</v>
      </c>
      <c r="F879" s="15">
        <v>299.99</v>
      </c>
      <c r="G879" s="15">
        <v>14.2</v>
      </c>
      <c r="H879" s="165" t="s">
        <v>63</v>
      </c>
    </row>
    <row r="880" spans="1:8">
      <c r="A880" s="449" t="s">
        <v>560</v>
      </c>
      <c r="B880" s="15">
        <v>9300453</v>
      </c>
      <c r="C880" s="15">
        <v>75246</v>
      </c>
      <c r="D880" s="15">
        <v>78612</v>
      </c>
      <c r="E880" s="15">
        <v>7024</v>
      </c>
      <c r="F880" s="15">
        <v>299.99</v>
      </c>
      <c r="G880" s="15">
        <v>14.2</v>
      </c>
      <c r="H880" s="165" t="s">
        <v>63</v>
      </c>
    </row>
    <row r="881" spans="1:8">
      <c r="A881" s="449" t="s">
        <v>561</v>
      </c>
      <c r="B881" s="15">
        <v>9300427</v>
      </c>
      <c r="C881" s="15">
        <v>75246</v>
      </c>
      <c r="D881" s="15">
        <v>78661</v>
      </c>
      <c r="E881" s="15">
        <v>7024</v>
      </c>
      <c r="F881" s="15">
        <v>299.99</v>
      </c>
      <c r="G881" s="15">
        <v>14.2</v>
      </c>
      <c r="H881" s="165" t="s">
        <v>63</v>
      </c>
    </row>
    <row r="882" spans="1:8">
      <c r="A882" s="449" t="s">
        <v>554</v>
      </c>
      <c r="B882" s="15">
        <v>9300386</v>
      </c>
      <c r="C882" s="15">
        <v>75246</v>
      </c>
      <c r="D882" s="15">
        <v>78693</v>
      </c>
      <c r="E882" s="15">
        <v>7030</v>
      </c>
      <c r="F882" s="15">
        <v>299.99</v>
      </c>
      <c r="G882" s="15">
        <v>14.2</v>
      </c>
      <c r="H882" s="165" t="s">
        <v>63</v>
      </c>
    </row>
    <row r="883" spans="1:8">
      <c r="A883" s="449" t="s">
        <v>555</v>
      </c>
      <c r="B883" s="15">
        <v>9300398</v>
      </c>
      <c r="C883" s="15">
        <v>75246</v>
      </c>
      <c r="D883" s="15">
        <v>78636</v>
      </c>
      <c r="E883" s="15">
        <v>7030</v>
      </c>
      <c r="F883" s="15">
        <v>299.99</v>
      </c>
      <c r="G883" s="15">
        <v>14.2</v>
      </c>
      <c r="H883" s="165" t="s">
        <v>63</v>
      </c>
    </row>
    <row r="884" spans="1:8">
      <c r="A884" s="449" t="s">
        <v>556</v>
      </c>
      <c r="B884" s="15">
        <v>9300403</v>
      </c>
      <c r="C884" s="15">
        <v>75246</v>
      </c>
      <c r="D884" s="15">
        <v>78716</v>
      </c>
      <c r="E884" s="15">
        <v>7030</v>
      </c>
      <c r="F884" s="15">
        <v>299.99</v>
      </c>
      <c r="G884" s="15">
        <v>14.91</v>
      </c>
      <c r="H884" s="165" t="s">
        <v>63</v>
      </c>
    </row>
    <row r="885" spans="1:8">
      <c r="A885" s="449" t="s">
        <v>557</v>
      </c>
      <c r="B885" s="15">
        <v>9300415</v>
      </c>
      <c r="C885" s="15">
        <v>75246</v>
      </c>
      <c r="D885" s="15">
        <v>78796</v>
      </c>
      <c r="E885" s="15">
        <v>7030</v>
      </c>
      <c r="F885" s="15">
        <v>299.99</v>
      </c>
      <c r="G885" s="15">
        <v>14.2</v>
      </c>
      <c r="H885" s="165" t="s">
        <v>63</v>
      </c>
    </row>
    <row r="886" spans="1:8">
      <c r="A886" s="449" t="s">
        <v>1446</v>
      </c>
      <c r="B886" s="15">
        <v>9444728</v>
      </c>
      <c r="C886" s="15">
        <v>85676</v>
      </c>
      <c r="D886" s="15">
        <v>93603</v>
      </c>
      <c r="E886" s="15">
        <v>7090</v>
      </c>
      <c r="F886" s="15">
        <v>299.95</v>
      </c>
      <c r="G886" s="15">
        <v>13.5</v>
      </c>
      <c r="H886" s="165" t="s">
        <v>63</v>
      </c>
    </row>
    <row r="887" spans="1:8">
      <c r="A887" s="449" t="s">
        <v>1448</v>
      </c>
      <c r="B887" s="15">
        <v>9425382</v>
      </c>
      <c r="C887" s="15">
        <v>85676</v>
      </c>
      <c r="D887" s="15">
        <v>93404</v>
      </c>
      <c r="E887" s="15">
        <v>7090</v>
      </c>
      <c r="F887" s="15">
        <v>299.89999999999998</v>
      </c>
      <c r="G887" s="15">
        <v>13.5</v>
      </c>
      <c r="H887" s="165" t="s">
        <v>63</v>
      </c>
    </row>
    <row r="888" spans="1:8">
      <c r="A888" s="449" t="s">
        <v>1440</v>
      </c>
      <c r="B888" s="15">
        <v>9444730</v>
      </c>
      <c r="C888" s="15">
        <v>85676</v>
      </c>
      <c r="D888" s="15">
        <v>93592</v>
      </c>
      <c r="E888" s="15">
        <v>7100</v>
      </c>
      <c r="F888" s="15">
        <v>332</v>
      </c>
      <c r="G888" s="15">
        <v>14.5</v>
      </c>
      <c r="H888" s="165" t="s">
        <v>63</v>
      </c>
    </row>
    <row r="889" spans="1:8">
      <c r="A889" s="449" t="s">
        <v>1442</v>
      </c>
      <c r="B889" s="15">
        <v>9444742</v>
      </c>
      <c r="C889" s="15">
        <v>85676</v>
      </c>
      <c r="D889" s="15">
        <v>93424</v>
      </c>
      <c r="E889" s="15">
        <v>7100</v>
      </c>
      <c r="F889" s="15">
        <v>299</v>
      </c>
      <c r="G889" s="15">
        <v>14.5</v>
      </c>
      <c r="H889" s="165" t="s">
        <v>63</v>
      </c>
    </row>
    <row r="890" spans="1:8">
      <c r="A890" s="449" t="s">
        <v>1450</v>
      </c>
      <c r="B890" s="15">
        <v>9430375</v>
      </c>
      <c r="C890" s="15">
        <v>85676</v>
      </c>
      <c r="D890" s="15">
        <v>93591</v>
      </c>
      <c r="E890" s="15">
        <v>7100</v>
      </c>
      <c r="F890" s="15">
        <v>299.98</v>
      </c>
      <c r="G890" s="15">
        <v>13.5</v>
      </c>
      <c r="H890" s="165" t="s">
        <v>63</v>
      </c>
    </row>
    <row r="891" spans="1:8">
      <c r="A891" s="449" t="s">
        <v>1441</v>
      </c>
      <c r="B891" s="15">
        <v>9444716</v>
      </c>
      <c r="C891" s="15">
        <v>85676</v>
      </c>
      <c r="D891" s="15">
        <v>93552</v>
      </c>
      <c r="E891" s="15">
        <v>7154</v>
      </c>
      <c r="F891" s="15">
        <v>299.95</v>
      </c>
      <c r="G891" s="15">
        <v>13.5</v>
      </c>
      <c r="H891" s="165" t="s">
        <v>63</v>
      </c>
    </row>
    <row r="892" spans="1:8">
      <c r="A892" s="449" t="s">
        <v>1449</v>
      </c>
      <c r="B892" s="15">
        <v>9430363</v>
      </c>
      <c r="C892" s="15">
        <v>85676</v>
      </c>
      <c r="D892" s="15">
        <v>93398</v>
      </c>
      <c r="E892" s="15">
        <v>7154</v>
      </c>
      <c r="F892" s="15">
        <v>299.89999999999998</v>
      </c>
      <c r="G892" s="15">
        <v>13.5</v>
      </c>
      <c r="H892" s="165" t="s">
        <v>63</v>
      </c>
    </row>
    <row r="893" spans="1:8">
      <c r="A893" s="449" t="s">
        <v>62</v>
      </c>
      <c r="B893" s="15">
        <v>9214898</v>
      </c>
      <c r="C893" s="15">
        <v>91560</v>
      </c>
      <c r="D893" s="15">
        <v>104750</v>
      </c>
      <c r="E893" s="15">
        <v>7226</v>
      </c>
      <c r="F893" s="15">
        <v>346.98</v>
      </c>
      <c r="G893" s="15">
        <v>14.5</v>
      </c>
      <c r="H893" s="165" t="s">
        <v>63</v>
      </c>
    </row>
    <row r="894" spans="1:8">
      <c r="A894" s="449" t="s">
        <v>374</v>
      </c>
      <c r="B894" s="15">
        <v>9245756</v>
      </c>
      <c r="C894" s="15">
        <v>91921</v>
      </c>
      <c r="D894" s="15">
        <v>104600</v>
      </c>
      <c r="E894" s="15">
        <v>7226</v>
      </c>
      <c r="F894" s="15">
        <v>346.98</v>
      </c>
      <c r="G894" s="15">
        <v>14.52</v>
      </c>
      <c r="H894" s="165" t="s">
        <v>63</v>
      </c>
    </row>
    <row r="895" spans="1:8">
      <c r="A895" s="449" t="s">
        <v>1497</v>
      </c>
      <c r="B895" s="15">
        <v>9146479</v>
      </c>
      <c r="C895" s="15">
        <v>91560</v>
      </c>
      <c r="D895" s="15">
        <v>104696</v>
      </c>
      <c r="E895" s="15">
        <v>7226</v>
      </c>
      <c r="F895" s="15">
        <v>346.98</v>
      </c>
      <c r="G895" s="15">
        <v>14.5</v>
      </c>
      <c r="H895" s="165" t="s">
        <v>63</v>
      </c>
    </row>
    <row r="896" spans="1:8">
      <c r="A896" s="449" t="s">
        <v>95</v>
      </c>
      <c r="B896" s="15">
        <v>9260469</v>
      </c>
      <c r="C896" s="15">
        <v>93496</v>
      </c>
      <c r="D896" s="15">
        <v>109000</v>
      </c>
      <c r="E896" s="15">
        <v>7370</v>
      </c>
      <c r="F896" s="15">
        <v>352.6</v>
      </c>
      <c r="G896" s="15">
        <v>15</v>
      </c>
      <c r="H896" s="165" t="s">
        <v>63</v>
      </c>
    </row>
    <row r="897" spans="1:8">
      <c r="A897" s="449" t="s">
        <v>108</v>
      </c>
      <c r="B897" s="15">
        <v>9260421</v>
      </c>
      <c r="C897" s="15">
        <v>93496</v>
      </c>
      <c r="D897" s="15">
        <v>109000</v>
      </c>
      <c r="E897" s="15">
        <v>7370</v>
      </c>
      <c r="F897" s="15">
        <v>352.6</v>
      </c>
      <c r="G897" s="15">
        <v>15</v>
      </c>
      <c r="H897" s="165" t="s">
        <v>63</v>
      </c>
    </row>
    <row r="898" spans="1:8">
      <c r="A898" s="449" t="s">
        <v>154</v>
      </c>
      <c r="B898" s="15">
        <v>9260445</v>
      </c>
      <c r="C898" s="15">
        <v>93496</v>
      </c>
      <c r="D898" s="15">
        <v>109000</v>
      </c>
      <c r="E898" s="15">
        <v>7370</v>
      </c>
      <c r="F898" s="15">
        <v>352.6</v>
      </c>
      <c r="G898" s="15">
        <v>15</v>
      </c>
      <c r="H898" s="165" t="s">
        <v>63</v>
      </c>
    </row>
    <row r="899" spans="1:8">
      <c r="A899" s="449" t="s">
        <v>168</v>
      </c>
      <c r="B899" s="15">
        <v>9260419</v>
      </c>
      <c r="C899" s="15">
        <v>93496</v>
      </c>
      <c r="D899" s="15">
        <v>109000</v>
      </c>
      <c r="E899" s="15">
        <v>7370</v>
      </c>
      <c r="F899" s="15">
        <v>352.1</v>
      </c>
      <c r="G899" s="15">
        <v>15.03</v>
      </c>
      <c r="H899" s="165" t="s">
        <v>63</v>
      </c>
    </row>
    <row r="900" spans="1:8">
      <c r="A900" s="449" t="s">
        <v>815</v>
      </c>
      <c r="B900" s="15">
        <v>9526928</v>
      </c>
      <c r="C900" s="15">
        <v>89097</v>
      </c>
      <c r="D900" s="15">
        <v>106043</v>
      </c>
      <c r="E900" s="15">
        <v>7450</v>
      </c>
      <c r="F900" s="15">
        <v>300</v>
      </c>
      <c r="G900" s="15">
        <v>12.5</v>
      </c>
      <c r="H900" s="165" t="s">
        <v>63</v>
      </c>
    </row>
    <row r="901" spans="1:8">
      <c r="A901" s="449" t="s">
        <v>816</v>
      </c>
      <c r="B901" s="15">
        <v>9526875</v>
      </c>
      <c r="C901" s="15">
        <v>89097</v>
      </c>
      <c r="D901" s="15">
        <v>106043</v>
      </c>
      <c r="E901" s="15">
        <v>7450</v>
      </c>
      <c r="F901" s="15">
        <v>299.89999999999998</v>
      </c>
      <c r="G901" s="15">
        <v>12.5</v>
      </c>
      <c r="H901" s="165" t="s">
        <v>63</v>
      </c>
    </row>
    <row r="902" spans="1:8">
      <c r="A902" s="449" t="s">
        <v>172</v>
      </c>
      <c r="B902" s="15">
        <v>9290488</v>
      </c>
      <c r="C902" s="15">
        <v>82794</v>
      </c>
      <c r="D902" s="15">
        <v>93570</v>
      </c>
      <c r="E902" s="15">
        <v>7455</v>
      </c>
      <c r="F902" s="15">
        <v>300.07</v>
      </c>
      <c r="G902" s="15">
        <v>14.5</v>
      </c>
      <c r="H902" s="165" t="s">
        <v>63</v>
      </c>
    </row>
    <row r="903" spans="1:8">
      <c r="A903" s="449" t="s">
        <v>486</v>
      </c>
      <c r="B903" s="15">
        <v>9285691</v>
      </c>
      <c r="C903" s="15">
        <v>83133</v>
      </c>
      <c r="D903" s="15">
        <v>93638</v>
      </c>
      <c r="E903" s="15">
        <v>7455</v>
      </c>
      <c r="F903" s="15">
        <v>300.06</v>
      </c>
      <c r="G903" s="15">
        <v>14.5</v>
      </c>
      <c r="H903" s="165" t="s">
        <v>63</v>
      </c>
    </row>
    <row r="904" spans="1:8">
      <c r="A904" s="449" t="s">
        <v>813</v>
      </c>
      <c r="B904" s="15">
        <v>9290476</v>
      </c>
      <c r="C904" s="15">
        <v>82794</v>
      </c>
      <c r="D904" s="15">
        <v>93545</v>
      </c>
      <c r="E904" s="15">
        <v>7455</v>
      </c>
      <c r="F904" s="15">
        <v>300.07</v>
      </c>
      <c r="G904" s="15">
        <v>14.5</v>
      </c>
      <c r="H904" s="165" t="s">
        <v>63</v>
      </c>
    </row>
    <row r="905" spans="1:8">
      <c r="A905" s="449" t="s">
        <v>1150</v>
      </c>
      <c r="B905" s="15">
        <v>9285677</v>
      </c>
      <c r="C905" s="15">
        <v>83133</v>
      </c>
      <c r="D905" s="15">
        <v>93572</v>
      </c>
      <c r="E905" s="15">
        <v>7455</v>
      </c>
      <c r="F905" s="15">
        <v>300.02</v>
      </c>
      <c r="G905" s="15">
        <v>14.5</v>
      </c>
      <c r="H905" s="165" t="s">
        <v>63</v>
      </c>
    </row>
    <row r="906" spans="1:8">
      <c r="A906" s="449" t="s">
        <v>1465</v>
      </c>
      <c r="B906" s="15">
        <v>9290464</v>
      </c>
      <c r="C906" s="15">
        <v>82794</v>
      </c>
      <c r="D906" s="15">
        <v>93542</v>
      </c>
      <c r="E906" s="15">
        <v>7455</v>
      </c>
      <c r="F906" s="15">
        <v>299</v>
      </c>
      <c r="G906" s="15">
        <v>14.5</v>
      </c>
      <c r="H906" s="165" t="s">
        <v>63</v>
      </c>
    </row>
    <row r="907" spans="1:8">
      <c r="A907" s="449" t="s">
        <v>365</v>
      </c>
      <c r="B907" s="15">
        <v>9295218</v>
      </c>
      <c r="C907" s="15">
        <v>87294</v>
      </c>
      <c r="D907" s="15">
        <v>92964</v>
      </c>
      <c r="E907" s="15">
        <v>7471</v>
      </c>
      <c r="F907" s="15">
        <v>300</v>
      </c>
      <c r="G907" s="15">
        <v>14.5</v>
      </c>
      <c r="H907" s="165" t="s">
        <v>63</v>
      </c>
    </row>
    <row r="908" spans="1:8">
      <c r="A908" s="449" t="s">
        <v>1197</v>
      </c>
      <c r="B908" s="15">
        <v>9285689</v>
      </c>
      <c r="C908" s="15">
        <v>83133</v>
      </c>
      <c r="D908" s="15">
        <v>93728</v>
      </c>
      <c r="E908" s="15">
        <v>7488</v>
      </c>
      <c r="F908" s="15">
        <v>300.07</v>
      </c>
      <c r="G908" s="15">
        <v>14.52</v>
      </c>
      <c r="H908" s="165" t="s">
        <v>63</v>
      </c>
    </row>
    <row r="909" spans="1:8">
      <c r="A909" s="449" t="s">
        <v>477</v>
      </c>
      <c r="B909" s="15">
        <v>9285653</v>
      </c>
      <c r="C909" s="15">
        <v>83133</v>
      </c>
      <c r="D909" s="15">
        <v>93572</v>
      </c>
      <c r="E909" s="15">
        <v>7500</v>
      </c>
      <c r="F909" s="15">
        <v>300</v>
      </c>
      <c r="G909" s="15">
        <v>14.5</v>
      </c>
      <c r="H909" s="165" t="s">
        <v>63</v>
      </c>
    </row>
    <row r="910" spans="1:8">
      <c r="A910" s="449" t="s">
        <v>457</v>
      </c>
      <c r="B910" s="15">
        <v>9229829</v>
      </c>
      <c r="C910" s="15">
        <v>88493</v>
      </c>
      <c r="D910" s="15">
        <v>100006</v>
      </c>
      <c r="E910" s="15">
        <v>7506</v>
      </c>
      <c r="F910" s="15">
        <v>320.38</v>
      </c>
      <c r="G910" s="15">
        <v>14.52</v>
      </c>
      <c r="H910" s="165" t="s">
        <v>63</v>
      </c>
    </row>
    <row r="911" spans="1:8">
      <c r="A911" s="449" t="s">
        <v>1260</v>
      </c>
      <c r="B911" s="15">
        <v>9229843</v>
      </c>
      <c r="C911" s="15">
        <v>88493</v>
      </c>
      <c r="D911" s="15">
        <v>100016</v>
      </c>
      <c r="E911" s="15">
        <v>7506</v>
      </c>
      <c r="F911" s="15">
        <v>320.38</v>
      </c>
      <c r="G911" s="15">
        <v>14.52</v>
      </c>
      <c r="H911" s="165" t="s">
        <v>63</v>
      </c>
    </row>
    <row r="912" spans="1:8">
      <c r="A912" s="449" t="s">
        <v>1633</v>
      </c>
      <c r="B912" s="15">
        <v>9337468</v>
      </c>
      <c r="C912" s="15">
        <v>90507</v>
      </c>
      <c r="D912" s="15">
        <v>103607</v>
      </c>
      <c r="E912" s="15">
        <v>7721</v>
      </c>
      <c r="F912" s="15">
        <v>333.2</v>
      </c>
      <c r="G912" s="15">
        <v>14.5</v>
      </c>
      <c r="H912" s="165" t="s">
        <v>63</v>
      </c>
    </row>
    <row r="913" spans="1:8">
      <c r="A913" s="449" t="s">
        <v>359</v>
      </c>
      <c r="B913" s="15">
        <v>9286255</v>
      </c>
      <c r="C913" s="15">
        <v>90745</v>
      </c>
      <c r="D913" s="15">
        <v>101906</v>
      </c>
      <c r="E913" s="15">
        <v>7747</v>
      </c>
      <c r="F913" s="15">
        <v>334.07</v>
      </c>
      <c r="G913" s="15">
        <v>14.5</v>
      </c>
      <c r="H913" s="165" t="s">
        <v>63</v>
      </c>
    </row>
    <row r="914" spans="1:8">
      <c r="A914" s="449" t="s">
        <v>364</v>
      </c>
      <c r="B914" s="15">
        <v>9286231</v>
      </c>
      <c r="C914" s="15">
        <v>90745</v>
      </c>
      <c r="D914" s="15">
        <v>101661</v>
      </c>
      <c r="E914" s="15">
        <v>7747</v>
      </c>
      <c r="F914" s="15">
        <v>334.08</v>
      </c>
      <c r="G914" s="15">
        <v>14.5</v>
      </c>
      <c r="H914" s="165" t="s">
        <v>63</v>
      </c>
    </row>
    <row r="915" spans="1:8">
      <c r="A915" s="449" t="s">
        <v>367</v>
      </c>
      <c r="B915" s="15">
        <v>9286243</v>
      </c>
      <c r="C915" s="15">
        <v>90745</v>
      </c>
      <c r="D915" s="15">
        <v>101898</v>
      </c>
      <c r="E915" s="15">
        <v>7747</v>
      </c>
      <c r="F915" s="15">
        <v>334.07</v>
      </c>
      <c r="G915" s="15">
        <v>14.5</v>
      </c>
      <c r="H915" s="165" t="s">
        <v>63</v>
      </c>
    </row>
    <row r="916" spans="1:8">
      <c r="A916" s="449" t="s">
        <v>1167</v>
      </c>
      <c r="B916" s="15">
        <v>9290282</v>
      </c>
      <c r="C916" s="15">
        <v>90745</v>
      </c>
      <c r="D916" s="15">
        <v>101874</v>
      </c>
      <c r="E916" s="15">
        <v>7747</v>
      </c>
      <c r="F916" s="15">
        <v>334.04</v>
      </c>
      <c r="G916" s="15">
        <v>15</v>
      </c>
      <c r="H916" s="165" t="s">
        <v>63</v>
      </c>
    </row>
    <row r="917" spans="1:8">
      <c r="A917" s="449" t="s">
        <v>149</v>
      </c>
      <c r="B917" s="15">
        <v>9315379</v>
      </c>
      <c r="C917" s="15">
        <v>89776</v>
      </c>
      <c r="D917" s="15">
        <v>103717</v>
      </c>
      <c r="E917" s="15">
        <v>7943</v>
      </c>
      <c r="F917" s="15">
        <v>317.8</v>
      </c>
      <c r="G917" s="15">
        <v>14.5</v>
      </c>
      <c r="H917" s="165" t="s">
        <v>63</v>
      </c>
    </row>
    <row r="918" spans="1:8">
      <c r="A918" s="449" t="s">
        <v>205</v>
      </c>
      <c r="B918" s="15">
        <v>9315381</v>
      </c>
      <c r="C918" s="15">
        <v>89776</v>
      </c>
      <c r="D918" s="15">
        <v>103773</v>
      </c>
      <c r="E918" s="15">
        <v>7943</v>
      </c>
      <c r="F918" s="15">
        <v>317.87</v>
      </c>
      <c r="G918" s="15">
        <v>14.5</v>
      </c>
      <c r="H918" s="165" t="s">
        <v>63</v>
      </c>
    </row>
    <row r="919" spans="1:8">
      <c r="A919" s="449" t="s">
        <v>539</v>
      </c>
      <c r="B919" s="15">
        <v>9629122</v>
      </c>
      <c r="C919" s="15">
        <v>99946</v>
      </c>
      <c r="D919" s="15">
        <v>104620</v>
      </c>
      <c r="E919" s="15">
        <v>8000</v>
      </c>
      <c r="F919" s="15">
        <v>335</v>
      </c>
      <c r="G919" s="15">
        <v>14.5</v>
      </c>
      <c r="H919" s="165" t="s">
        <v>63</v>
      </c>
    </row>
    <row r="920" spans="1:8">
      <c r="A920" s="449" t="s">
        <v>551</v>
      </c>
      <c r="B920" s="15">
        <v>9629108</v>
      </c>
      <c r="C920" s="15">
        <v>99946</v>
      </c>
      <c r="D920" s="15">
        <v>104367</v>
      </c>
      <c r="E920" s="15">
        <v>8000</v>
      </c>
      <c r="F920" s="15">
        <v>335</v>
      </c>
      <c r="G920" s="15">
        <v>14.2</v>
      </c>
      <c r="H920" s="165" t="s">
        <v>63</v>
      </c>
    </row>
    <row r="921" spans="1:8">
      <c r="A921" s="449" t="s">
        <v>1524</v>
      </c>
      <c r="B921" s="15">
        <v>9447897</v>
      </c>
      <c r="C921" s="15">
        <v>88586</v>
      </c>
      <c r="D921" s="15">
        <v>94649</v>
      </c>
      <c r="E921" s="15">
        <v>8000</v>
      </c>
      <c r="F921" s="15">
        <v>299.95999999999998</v>
      </c>
      <c r="G921" s="15">
        <v>13.5</v>
      </c>
      <c r="H921" s="165" t="s">
        <v>63</v>
      </c>
    </row>
    <row r="922" spans="1:8">
      <c r="A922" s="449" t="s">
        <v>1525</v>
      </c>
      <c r="B922" s="15">
        <v>9447859</v>
      </c>
      <c r="C922" s="15">
        <v>88586</v>
      </c>
      <c r="D922" s="15">
        <v>94526</v>
      </c>
      <c r="E922" s="15">
        <v>8000</v>
      </c>
      <c r="F922" s="15">
        <v>299.95999999999998</v>
      </c>
      <c r="G922" s="15">
        <v>13.5</v>
      </c>
      <c r="H922" s="165" t="s">
        <v>63</v>
      </c>
    </row>
    <row r="923" spans="1:8">
      <c r="A923" s="449" t="s">
        <v>1552</v>
      </c>
      <c r="B923" s="15">
        <v>9612870</v>
      </c>
      <c r="C923" s="15">
        <v>88586</v>
      </c>
      <c r="D923" s="15">
        <v>94600</v>
      </c>
      <c r="E923" s="15">
        <v>8000</v>
      </c>
      <c r="F923" s="15">
        <v>299.94</v>
      </c>
      <c r="G923" s="15">
        <v>13.5</v>
      </c>
      <c r="H923" s="165" t="s">
        <v>63</v>
      </c>
    </row>
    <row r="924" spans="1:8">
      <c r="A924" s="449" t="s">
        <v>1554</v>
      </c>
      <c r="B924" s="15">
        <v>9447914</v>
      </c>
      <c r="C924" s="15">
        <v>88586</v>
      </c>
      <c r="D924" s="15">
        <v>94661</v>
      </c>
      <c r="E924" s="15">
        <v>8000</v>
      </c>
      <c r="F924" s="15">
        <v>300</v>
      </c>
      <c r="G924" s="15">
        <v>14</v>
      </c>
      <c r="H924" s="165" t="s">
        <v>63</v>
      </c>
    </row>
    <row r="925" spans="1:8">
      <c r="A925" s="449" t="s">
        <v>1004</v>
      </c>
      <c r="B925" s="15">
        <v>9289099</v>
      </c>
      <c r="C925" s="15">
        <v>89954</v>
      </c>
      <c r="D925" s="15">
        <v>105034</v>
      </c>
      <c r="E925" s="15">
        <v>8034</v>
      </c>
      <c r="F925" s="15">
        <v>324.89</v>
      </c>
      <c r="G925" s="15">
        <v>14.5</v>
      </c>
      <c r="H925" s="165" t="s">
        <v>63</v>
      </c>
    </row>
    <row r="926" spans="1:8">
      <c r="A926" s="449" t="s">
        <v>1026</v>
      </c>
      <c r="B926" s="15">
        <v>9299537</v>
      </c>
      <c r="C926" s="15">
        <v>89954</v>
      </c>
      <c r="D926" s="15">
        <v>105014</v>
      </c>
      <c r="E926" s="15">
        <v>8034</v>
      </c>
      <c r="F926" s="15">
        <v>324.8</v>
      </c>
      <c r="G926" s="15">
        <v>14.5</v>
      </c>
      <c r="H926" s="165" t="s">
        <v>63</v>
      </c>
    </row>
    <row r="927" spans="1:8">
      <c r="A927" s="449" t="s">
        <v>1083</v>
      </c>
      <c r="B927" s="15">
        <v>9299549</v>
      </c>
      <c r="C927" s="15">
        <v>89954</v>
      </c>
      <c r="D927" s="15">
        <v>105082</v>
      </c>
      <c r="E927" s="15">
        <v>8034</v>
      </c>
      <c r="F927" s="15">
        <v>324.83999999999997</v>
      </c>
      <c r="G927" s="15">
        <v>14.5</v>
      </c>
      <c r="H927" s="165" t="s">
        <v>63</v>
      </c>
    </row>
    <row r="928" spans="1:8">
      <c r="A928" s="449" t="s">
        <v>1113</v>
      </c>
      <c r="B928" s="15">
        <v>9289104</v>
      </c>
      <c r="C928" s="15">
        <v>89954</v>
      </c>
      <c r="D928" s="15">
        <v>104954</v>
      </c>
      <c r="E928" s="15">
        <v>8034</v>
      </c>
      <c r="F928" s="15">
        <v>324.85000000000002</v>
      </c>
      <c r="G928" s="15">
        <v>14.5</v>
      </c>
      <c r="H928" s="165" t="s">
        <v>63</v>
      </c>
    </row>
    <row r="929" spans="1:8">
      <c r="A929" s="449" t="s">
        <v>1119</v>
      </c>
      <c r="B929" s="15">
        <v>9289128</v>
      </c>
      <c r="C929" s="15">
        <v>89954</v>
      </c>
      <c r="D929" s="15">
        <v>105008</v>
      </c>
      <c r="E929" s="15">
        <v>8034</v>
      </c>
      <c r="F929" s="15">
        <v>324.8</v>
      </c>
      <c r="G929" s="15">
        <v>14.5</v>
      </c>
      <c r="H929" s="165" t="s">
        <v>63</v>
      </c>
    </row>
    <row r="930" spans="1:8">
      <c r="A930" s="449" t="s">
        <v>1176</v>
      </c>
      <c r="B930" s="15">
        <v>9289116</v>
      </c>
      <c r="C930" s="15">
        <v>89954</v>
      </c>
      <c r="D930" s="15">
        <v>104850</v>
      </c>
      <c r="E930" s="15">
        <v>8034</v>
      </c>
      <c r="F930" s="15">
        <v>324</v>
      </c>
      <c r="G930" s="15">
        <v>14.5</v>
      </c>
      <c r="H930" s="165" t="s">
        <v>63</v>
      </c>
    </row>
    <row r="931" spans="1:8">
      <c r="A931" s="449" t="s">
        <v>1223</v>
      </c>
      <c r="B931" s="15">
        <v>9299525</v>
      </c>
      <c r="C931" s="15">
        <v>89954</v>
      </c>
      <c r="D931" s="15">
        <v>105084</v>
      </c>
      <c r="E931" s="15">
        <v>8034</v>
      </c>
      <c r="F931" s="15">
        <v>324.82</v>
      </c>
      <c r="G931" s="15">
        <v>14.5</v>
      </c>
      <c r="H931" s="165" t="s">
        <v>63</v>
      </c>
    </row>
    <row r="932" spans="1:8">
      <c r="A932" s="449" t="s">
        <v>1237</v>
      </c>
      <c r="B932" s="15">
        <v>9299551</v>
      </c>
      <c r="C932" s="15">
        <v>89954</v>
      </c>
      <c r="D932" s="15">
        <v>105101</v>
      </c>
      <c r="E932" s="15">
        <v>8034</v>
      </c>
      <c r="F932" s="15">
        <v>324.83999999999997</v>
      </c>
      <c r="G932" s="15">
        <v>14.5</v>
      </c>
      <c r="H932" s="165" t="s">
        <v>63</v>
      </c>
    </row>
    <row r="933" spans="1:8">
      <c r="A933" s="449" t="s">
        <v>1218</v>
      </c>
      <c r="B933" s="15">
        <v>9285471</v>
      </c>
      <c r="C933" s="15">
        <v>89097</v>
      </c>
      <c r="D933" s="15">
        <v>99600</v>
      </c>
      <c r="E933" s="15">
        <v>8063</v>
      </c>
      <c r="F933" s="15">
        <v>322.97000000000003</v>
      </c>
      <c r="G933" s="15">
        <v>14.5</v>
      </c>
      <c r="H933" s="165" t="s">
        <v>63</v>
      </c>
    </row>
    <row r="934" spans="1:8">
      <c r="A934" s="449" t="s">
        <v>1338</v>
      </c>
      <c r="B934" s="15">
        <v>9300790</v>
      </c>
      <c r="C934" s="15">
        <v>89097</v>
      </c>
      <c r="D934" s="15">
        <v>99602</v>
      </c>
      <c r="E934" s="15">
        <v>8063</v>
      </c>
      <c r="F934" s="15">
        <v>323</v>
      </c>
      <c r="G934" s="15">
        <v>14.5</v>
      </c>
      <c r="H934" s="165" t="s">
        <v>63</v>
      </c>
    </row>
    <row r="935" spans="1:8">
      <c r="A935" s="449" t="s">
        <v>1347</v>
      </c>
      <c r="B935" s="15">
        <v>9252008</v>
      </c>
      <c r="C935" s="15">
        <v>89097</v>
      </c>
      <c r="D935" s="15">
        <v>99618</v>
      </c>
      <c r="E935" s="15">
        <v>8063</v>
      </c>
      <c r="F935" s="15">
        <v>323</v>
      </c>
      <c r="G935" s="15">
        <v>14.5</v>
      </c>
      <c r="H935" s="165" t="s">
        <v>63</v>
      </c>
    </row>
    <row r="936" spans="1:8">
      <c r="A936" s="449" t="s">
        <v>1353</v>
      </c>
      <c r="B936" s="15">
        <v>9417268</v>
      </c>
      <c r="C936" s="15">
        <v>89000</v>
      </c>
      <c r="D936" s="15">
        <v>99500</v>
      </c>
      <c r="E936" s="15">
        <v>8063</v>
      </c>
      <c r="F936" s="15">
        <v>323</v>
      </c>
      <c r="G936" s="15">
        <v>14.5</v>
      </c>
      <c r="H936" s="165" t="s">
        <v>63</v>
      </c>
    </row>
    <row r="937" spans="1:8">
      <c r="A937" s="449" t="s">
        <v>1360</v>
      </c>
      <c r="B937" s="15">
        <v>9256470</v>
      </c>
      <c r="C937" s="15">
        <v>89097</v>
      </c>
      <c r="D937" s="15">
        <v>99600</v>
      </c>
      <c r="E937" s="15">
        <v>8063</v>
      </c>
      <c r="F937" s="15">
        <v>323</v>
      </c>
      <c r="G937" s="15">
        <v>14.5</v>
      </c>
      <c r="H937" s="165" t="s">
        <v>63</v>
      </c>
    </row>
    <row r="938" spans="1:8">
      <c r="A938" s="449" t="s">
        <v>1361</v>
      </c>
      <c r="B938" s="15">
        <v>9251999</v>
      </c>
      <c r="C938" s="15">
        <v>89097</v>
      </c>
      <c r="D938" s="15">
        <v>99522</v>
      </c>
      <c r="E938" s="15">
        <v>8063</v>
      </c>
      <c r="F938" s="15">
        <v>323</v>
      </c>
      <c r="G938" s="15">
        <v>14.5</v>
      </c>
      <c r="H938" s="165" t="s">
        <v>63</v>
      </c>
    </row>
    <row r="939" spans="1:8">
      <c r="A939" s="449" t="s">
        <v>1365</v>
      </c>
      <c r="B939" s="15">
        <v>9243394</v>
      </c>
      <c r="C939" s="15">
        <v>89097</v>
      </c>
      <c r="D939" s="15">
        <v>99518</v>
      </c>
      <c r="E939" s="15">
        <v>8063</v>
      </c>
      <c r="F939" s="15">
        <v>332.97</v>
      </c>
      <c r="G939" s="15">
        <v>14.5</v>
      </c>
      <c r="H939" s="165" t="s">
        <v>63</v>
      </c>
    </row>
    <row r="940" spans="1:8">
      <c r="A940" s="449" t="s">
        <v>1367</v>
      </c>
      <c r="B940" s="15">
        <v>9310240</v>
      </c>
      <c r="C940" s="15">
        <v>89097</v>
      </c>
      <c r="D940" s="15">
        <v>99678</v>
      </c>
      <c r="E940" s="15">
        <v>8063</v>
      </c>
      <c r="F940" s="15">
        <v>323</v>
      </c>
      <c r="G940" s="15">
        <v>14.5</v>
      </c>
      <c r="H940" s="165" t="s">
        <v>63</v>
      </c>
    </row>
    <row r="941" spans="1:8">
      <c r="A941" s="449" t="s">
        <v>1369</v>
      </c>
      <c r="B941" s="15">
        <v>9417256</v>
      </c>
      <c r="C941" s="15">
        <v>89097</v>
      </c>
      <c r="D941" s="15">
        <v>99631</v>
      </c>
      <c r="E941" s="15">
        <v>8063</v>
      </c>
      <c r="F941" s="15">
        <v>322.97000000000003</v>
      </c>
      <c r="G941" s="15">
        <v>14.5</v>
      </c>
      <c r="H941" s="165" t="s">
        <v>63</v>
      </c>
    </row>
    <row r="942" spans="1:8">
      <c r="A942" s="449" t="s">
        <v>1463</v>
      </c>
      <c r="B942" s="15">
        <v>9243409</v>
      </c>
      <c r="C942" s="15">
        <v>89097</v>
      </c>
      <c r="D942" s="15">
        <v>99508</v>
      </c>
      <c r="E942" s="15">
        <v>8063</v>
      </c>
      <c r="F942" s="15">
        <v>322.97000000000003</v>
      </c>
      <c r="G942" s="15">
        <v>14.53</v>
      </c>
      <c r="H942" s="165" t="s">
        <v>63</v>
      </c>
    </row>
    <row r="943" spans="1:8">
      <c r="A943" s="449" t="s">
        <v>1354</v>
      </c>
      <c r="B943" s="15">
        <v>9417270</v>
      </c>
      <c r="C943" s="15">
        <v>89000</v>
      </c>
      <c r="D943" s="15">
        <v>99500</v>
      </c>
      <c r="E943" s="15">
        <v>8069</v>
      </c>
      <c r="F943" s="15">
        <v>323</v>
      </c>
      <c r="G943" s="15">
        <v>14.5</v>
      </c>
      <c r="H943" s="165" t="s">
        <v>63</v>
      </c>
    </row>
    <row r="944" spans="1:8">
      <c r="A944" s="449" t="s">
        <v>1363</v>
      </c>
      <c r="B944" s="15">
        <v>9417244</v>
      </c>
      <c r="C944" s="15">
        <v>89097</v>
      </c>
      <c r="D944" s="15">
        <v>99635</v>
      </c>
      <c r="E944" s="15">
        <v>8069</v>
      </c>
      <c r="F944" s="15">
        <v>322.97000000000003</v>
      </c>
      <c r="G944" s="15">
        <v>14.5</v>
      </c>
      <c r="H944" s="165" t="s">
        <v>63</v>
      </c>
    </row>
    <row r="945" spans="1:8">
      <c r="A945" s="449" t="s">
        <v>67</v>
      </c>
      <c r="B945" s="15">
        <v>9260457</v>
      </c>
      <c r="C945" s="15">
        <v>90449</v>
      </c>
      <c r="D945" s="15">
        <v>101007</v>
      </c>
      <c r="E945" s="15">
        <v>8073</v>
      </c>
      <c r="F945" s="15">
        <v>334</v>
      </c>
      <c r="G945" s="15">
        <v>14.5</v>
      </c>
      <c r="H945" s="165" t="s">
        <v>63</v>
      </c>
    </row>
    <row r="946" spans="1:8">
      <c r="A946" s="449" t="s">
        <v>361</v>
      </c>
      <c r="B946" s="15">
        <v>9293806</v>
      </c>
      <c r="C946" s="15">
        <v>90449</v>
      </c>
      <c r="D946" s="15">
        <v>101007</v>
      </c>
      <c r="E946" s="15">
        <v>8073</v>
      </c>
      <c r="F946" s="15">
        <v>334</v>
      </c>
      <c r="G946" s="15">
        <v>14.5</v>
      </c>
      <c r="H946" s="165" t="s">
        <v>63</v>
      </c>
    </row>
    <row r="947" spans="1:8">
      <c r="A947" s="449" t="s">
        <v>362</v>
      </c>
      <c r="B947" s="15">
        <v>9293789</v>
      </c>
      <c r="C947" s="15">
        <v>90449</v>
      </c>
      <c r="D947" s="15">
        <v>100936</v>
      </c>
      <c r="E947" s="15">
        <v>8073</v>
      </c>
      <c r="F947" s="15">
        <v>333.99</v>
      </c>
      <c r="G947" s="15">
        <v>14.5</v>
      </c>
      <c r="H947" s="165" t="s">
        <v>63</v>
      </c>
    </row>
    <row r="948" spans="1:8">
      <c r="A948" s="449" t="s">
        <v>510</v>
      </c>
      <c r="B948" s="15">
        <v>9293818</v>
      </c>
      <c r="C948" s="15">
        <v>90604</v>
      </c>
      <c r="D948" s="15">
        <v>100909</v>
      </c>
      <c r="E948" s="15">
        <v>8073</v>
      </c>
      <c r="F948" s="15">
        <v>334</v>
      </c>
      <c r="G948" s="15">
        <v>14.5</v>
      </c>
      <c r="H948" s="165" t="s">
        <v>63</v>
      </c>
    </row>
    <row r="949" spans="1:8">
      <c r="A949" s="449" t="s">
        <v>634</v>
      </c>
      <c r="B949" s="15">
        <v>9293820</v>
      </c>
      <c r="C949" s="15">
        <v>90449</v>
      </c>
      <c r="D949" s="15">
        <v>100883</v>
      </c>
      <c r="E949" s="15">
        <v>8073</v>
      </c>
      <c r="F949" s="15">
        <v>333.99</v>
      </c>
      <c r="G949" s="15">
        <v>14.5</v>
      </c>
      <c r="H949" s="165" t="s">
        <v>63</v>
      </c>
    </row>
    <row r="950" spans="1:8">
      <c r="A950" s="449" t="s">
        <v>766</v>
      </c>
      <c r="B950" s="15">
        <v>9293753</v>
      </c>
      <c r="C950" s="15">
        <v>90449</v>
      </c>
      <c r="D950" s="15">
        <v>100863</v>
      </c>
      <c r="E950" s="15">
        <v>8073</v>
      </c>
      <c r="F950" s="15">
        <v>334</v>
      </c>
      <c r="G950" s="15">
        <v>14.5</v>
      </c>
      <c r="H950" s="165" t="s">
        <v>63</v>
      </c>
    </row>
    <row r="951" spans="1:8">
      <c r="A951" s="449" t="s">
        <v>508</v>
      </c>
      <c r="B951" s="15">
        <v>9293777</v>
      </c>
      <c r="C951" s="15">
        <v>90449</v>
      </c>
      <c r="D951" s="15">
        <v>100887</v>
      </c>
      <c r="E951" s="15">
        <v>8084</v>
      </c>
      <c r="F951" s="15">
        <v>335</v>
      </c>
      <c r="G951" s="15">
        <v>14.5</v>
      </c>
      <c r="H951" s="165" t="s">
        <v>63</v>
      </c>
    </row>
    <row r="952" spans="1:8">
      <c r="A952" s="449" t="s">
        <v>509</v>
      </c>
      <c r="B952" s="15">
        <v>9293791</v>
      </c>
      <c r="C952" s="15">
        <v>90449</v>
      </c>
      <c r="D952" s="15">
        <v>100902</v>
      </c>
      <c r="E952" s="15">
        <v>8084</v>
      </c>
      <c r="F952" s="15">
        <v>333.99</v>
      </c>
      <c r="G952" s="15">
        <v>14.5</v>
      </c>
      <c r="H952" s="165" t="s">
        <v>63</v>
      </c>
    </row>
    <row r="953" spans="1:8">
      <c r="A953" s="449" t="s">
        <v>850</v>
      </c>
      <c r="B953" s="15">
        <v>9334662</v>
      </c>
      <c r="C953" s="15">
        <v>94193</v>
      </c>
      <c r="D953" s="15">
        <v>107329</v>
      </c>
      <c r="E953" s="15">
        <v>8086</v>
      </c>
      <c r="F953" s="15">
        <v>332</v>
      </c>
      <c r="G953" s="15">
        <v>14.5</v>
      </c>
      <c r="H953" s="165" t="s">
        <v>63</v>
      </c>
    </row>
    <row r="954" spans="1:8">
      <c r="A954" s="449" t="s">
        <v>851</v>
      </c>
      <c r="B954" s="15">
        <v>9332511</v>
      </c>
      <c r="C954" s="15">
        <v>94193</v>
      </c>
      <c r="D954" s="15">
        <v>107266</v>
      </c>
      <c r="E954" s="15">
        <v>8086</v>
      </c>
      <c r="F954" s="15">
        <v>332</v>
      </c>
      <c r="G954" s="15">
        <v>14.5</v>
      </c>
      <c r="H954" s="165" t="s">
        <v>63</v>
      </c>
    </row>
    <row r="955" spans="1:8">
      <c r="A955" s="449" t="s">
        <v>853</v>
      </c>
      <c r="B955" s="15">
        <v>9334686</v>
      </c>
      <c r="C955" s="15">
        <v>94193</v>
      </c>
      <c r="D955" s="15">
        <v>107404</v>
      </c>
      <c r="E955" s="15">
        <v>8100</v>
      </c>
      <c r="F955" s="15">
        <v>322</v>
      </c>
      <c r="G955" s="15">
        <v>14.5</v>
      </c>
      <c r="H955" s="165" t="s">
        <v>63</v>
      </c>
    </row>
    <row r="956" spans="1:8">
      <c r="A956" s="449" t="s">
        <v>905</v>
      </c>
      <c r="B956" s="15">
        <v>9321251</v>
      </c>
      <c r="C956" s="15">
        <v>86692</v>
      </c>
      <c r="D956" s="15">
        <v>90649</v>
      </c>
      <c r="E956" s="15">
        <v>8100</v>
      </c>
      <c r="F956" s="15">
        <v>316</v>
      </c>
      <c r="G956" s="15">
        <v>14.54</v>
      </c>
      <c r="H956" s="165" t="s">
        <v>63</v>
      </c>
    </row>
    <row r="957" spans="1:8">
      <c r="A957" s="449" t="s">
        <v>912</v>
      </c>
      <c r="B957" s="15">
        <v>9321237</v>
      </c>
      <c r="C957" s="15">
        <v>86692</v>
      </c>
      <c r="D957" s="15">
        <v>90678</v>
      </c>
      <c r="E957" s="15">
        <v>8100</v>
      </c>
      <c r="F957" s="15">
        <v>316</v>
      </c>
      <c r="G957" s="15">
        <v>14.54</v>
      </c>
      <c r="H957" s="165" t="s">
        <v>63</v>
      </c>
    </row>
    <row r="958" spans="1:8">
      <c r="A958" s="449" t="s">
        <v>1309</v>
      </c>
      <c r="B958" s="15">
        <v>9312810</v>
      </c>
      <c r="C958" s="15">
        <v>97825</v>
      </c>
      <c r="D958" s="15">
        <v>103284</v>
      </c>
      <c r="E958" s="15">
        <v>8100</v>
      </c>
      <c r="F958" s="15">
        <v>338.17</v>
      </c>
      <c r="G958" s="15">
        <v>14.52</v>
      </c>
      <c r="H958" s="165" t="s">
        <v>63</v>
      </c>
    </row>
    <row r="959" spans="1:8">
      <c r="A959" s="449" t="s">
        <v>910</v>
      </c>
      <c r="B959" s="15">
        <v>9388340</v>
      </c>
      <c r="C959" s="15">
        <v>88089</v>
      </c>
      <c r="D959" s="15">
        <v>90466</v>
      </c>
      <c r="E959" s="15">
        <v>8102</v>
      </c>
      <c r="F959" s="15">
        <v>320.37</v>
      </c>
      <c r="G959" s="15">
        <v>14.5</v>
      </c>
      <c r="H959" s="165" t="s">
        <v>63</v>
      </c>
    </row>
    <row r="960" spans="1:8">
      <c r="A960" s="449" t="s">
        <v>1320</v>
      </c>
      <c r="B960" s="15">
        <v>9388352</v>
      </c>
      <c r="C960" s="15">
        <v>88089</v>
      </c>
      <c r="D960" s="15">
        <v>90466</v>
      </c>
      <c r="E960" s="15">
        <v>8102</v>
      </c>
      <c r="F960" s="15">
        <v>320</v>
      </c>
      <c r="G960" s="15">
        <v>14.5</v>
      </c>
      <c r="H960" s="165" t="s">
        <v>63</v>
      </c>
    </row>
    <row r="961" spans="1:8">
      <c r="A961" s="449" t="s">
        <v>906</v>
      </c>
      <c r="B961" s="15">
        <v>9321249</v>
      </c>
      <c r="C961" s="15">
        <v>86692</v>
      </c>
      <c r="D961" s="15">
        <v>90630</v>
      </c>
      <c r="E961" s="15">
        <v>8110</v>
      </c>
      <c r="F961" s="15">
        <v>316</v>
      </c>
      <c r="G961" s="15">
        <v>14.54</v>
      </c>
      <c r="H961" s="165" t="s">
        <v>63</v>
      </c>
    </row>
    <row r="962" spans="1:8">
      <c r="A962" s="449" t="s">
        <v>907</v>
      </c>
      <c r="B962" s="15">
        <v>9358761</v>
      </c>
      <c r="C962" s="15">
        <v>86692</v>
      </c>
      <c r="D962" s="15">
        <v>90613</v>
      </c>
      <c r="E962" s="15">
        <v>8110</v>
      </c>
      <c r="F962" s="15">
        <v>316</v>
      </c>
      <c r="G962" s="15">
        <v>14.5</v>
      </c>
      <c r="H962" s="165" t="s">
        <v>63</v>
      </c>
    </row>
    <row r="963" spans="1:8">
      <c r="A963" s="449" t="s">
        <v>909</v>
      </c>
      <c r="B963" s="15">
        <v>9339662</v>
      </c>
      <c r="C963" s="15">
        <v>86692</v>
      </c>
      <c r="D963" s="15">
        <v>90613</v>
      </c>
      <c r="E963" s="15">
        <v>8110</v>
      </c>
      <c r="F963" s="15">
        <v>316</v>
      </c>
      <c r="G963" s="15">
        <v>14.54</v>
      </c>
      <c r="H963" s="165" t="s">
        <v>63</v>
      </c>
    </row>
    <row r="964" spans="1:8">
      <c r="A964" s="449" t="s">
        <v>911</v>
      </c>
      <c r="B964" s="15">
        <v>9321263</v>
      </c>
      <c r="C964" s="15">
        <v>86692</v>
      </c>
      <c r="D964" s="15">
        <v>90634</v>
      </c>
      <c r="E964" s="15">
        <v>8110</v>
      </c>
      <c r="F964" s="15">
        <v>316</v>
      </c>
      <c r="G964" s="15">
        <v>14.54</v>
      </c>
      <c r="H964" s="165" t="s">
        <v>63</v>
      </c>
    </row>
    <row r="965" spans="1:8">
      <c r="A965" s="449" t="s">
        <v>852</v>
      </c>
      <c r="B965" s="15">
        <v>9334674</v>
      </c>
      <c r="C965" s="15">
        <v>94193</v>
      </c>
      <c r="D965" s="15">
        <v>107266</v>
      </c>
      <c r="E965" s="15">
        <v>8112</v>
      </c>
      <c r="F965" s="15">
        <v>332</v>
      </c>
      <c r="G965" s="15">
        <v>14.5</v>
      </c>
      <c r="H965" s="165" t="s">
        <v>63</v>
      </c>
    </row>
    <row r="966" spans="1:8">
      <c r="A966" s="449" t="s">
        <v>1464</v>
      </c>
      <c r="B966" s="15">
        <v>9286267</v>
      </c>
      <c r="C966" s="15">
        <v>91038</v>
      </c>
      <c r="D966" s="15">
        <v>101847</v>
      </c>
      <c r="E966" s="15">
        <v>8189</v>
      </c>
      <c r="F966" s="15">
        <v>334</v>
      </c>
      <c r="G966" s="15">
        <v>14.5</v>
      </c>
      <c r="H966" s="165" t="s">
        <v>63</v>
      </c>
    </row>
    <row r="967" spans="1:8">
      <c r="A967" s="449" t="s">
        <v>482</v>
      </c>
      <c r="B967" s="15">
        <v>9305465</v>
      </c>
      <c r="C967" s="15">
        <v>91649</v>
      </c>
      <c r="D967" s="15">
        <v>101570</v>
      </c>
      <c r="E967" s="15">
        <v>8204</v>
      </c>
      <c r="F967" s="15">
        <v>334.08</v>
      </c>
      <c r="G967" s="15">
        <v>14.5</v>
      </c>
      <c r="H967" s="165" t="s">
        <v>63</v>
      </c>
    </row>
    <row r="968" spans="1:8">
      <c r="A968" s="449" t="s">
        <v>483</v>
      </c>
      <c r="B968" s="15">
        <v>9305489</v>
      </c>
      <c r="C968" s="15">
        <v>91649</v>
      </c>
      <c r="D968" s="15">
        <v>101491</v>
      </c>
      <c r="E968" s="15">
        <v>8204</v>
      </c>
      <c r="F968" s="15">
        <v>334</v>
      </c>
      <c r="G968" s="15">
        <v>14.5</v>
      </c>
      <c r="H968" s="165" t="s">
        <v>63</v>
      </c>
    </row>
    <row r="969" spans="1:8">
      <c r="A969" s="449" t="s">
        <v>484</v>
      </c>
      <c r="B969" s="15">
        <v>9305477</v>
      </c>
      <c r="C969" s="15">
        <v>91649</v>
      </c>
      <c r="D969" s="15">
        <v>101532</v>
      </c>
      <c r="E969" s="15">
        <v>8204</v>
      </c>
      <c r="F969" s="15">
        <v>334.07</v>
      </c>
      <c r="G969" s="15">
        <v>14.5</v>
      </c>
      <c r="H969" s="165" t="s">
        <v>63</v>
      </c>
    </row>
    <row r="970" spans="1:8">
      <c r="A970" s="449" t="s">
        <v>485</v>
      </c>
      <c r="B970" s="15">
        <v>9318046</v>
      </c>
      <c r="C970" s="15">
        <v>91649</v>
      </c>
      <c r="D970" s="15">
        <v>100680</v>
      </c>
      <c r="E970" s="15">
        <v>8204</v>
      </c>
      <c r="F970" s="15">
        <v>344</v>
      </c>
      <c r="G970" s="15">
        <v>14.5</v>
      </c>
      <c r="H970" s="165" t="s">
        <v>63</v>
      </c>
    </row>
    <row r="971" spans="1:8">
      <c r="A971" s="449" t="s">
        <v>759</v>
      </c>
      <c r="B971" s="15">
        <v>9305491</v>
      </c>
      <c r="C971" s="15">
        <v>91649</v>
      </c>
      <c r="D971" s="15">
        <v>101496</v>
      </c>
      <c r="E971" s="15">
        <v>8204</v>
      </c>
      <c r="F971" s="15">
        <v>335</v>
      </c>
      <c r="G971" s="15">
        <v>14.5</v>
      </c>
      <c r="H971" s="165" t="s">
        <v>63</v>
      </c>
    </row>
    <row r="972" spans="1:8">
      <c r="A972" s="449" t="s">
        <v>760</v>
      </c>
      <c r="B972" s="15">
        <v>9305506</v>
      </c>
      <c r="C972" s="15">
        <v>91649</v>
      </c>
      <c r="D972" s="15">
        <v>100680</v>
      </c>
      <c r="E972" s="15">
        <v>8204</v>
      </c>
      <c r="F972" s="15">
        <v>334.08</v>
      </c>
      <c r="G972" s="15">
        <v>14.5</v>
      </c>
      <c r="H972" s="165" t="s">
        <v>63</v>
      </c>
    </row>
    <row r="973" spans="1:8">
      <c r="A973" s="449" t="s">
        <v>761</v>
      </c>
      <c r="B973" s="15">
        <v>9318101</v>
      </c>
      <c r="C973" s="15">
        <v>91649</v>
      </c>
      <c r="D973" s="15">
        <v>101477</v>
      </c>
      <c r="E973" s="15">
        <v>8204</v>
      </c>
      <c r="F973" s="15">
        <v>334.07</v>
      </c>
      <c r="G973" s="15">
        <v>14.5</v>
      </c>
      <c r="H973" s="165" t="s">
        <v>63</v>
      </c>
    </row>
    <row r="974" spans="1:8">
      <c r="A974" s="449" t="s">
        <v>1160</v>
      </c>
      <c r="B974" s="15">
        <v>9301483</v>
      </c>
      <c r="C974" s="15">
        <v>89941</v>
      </c>
      <c r="D974" s="15">
        <v>102761</v>
      </c>
      <c r="E974" s="15">
        <v>8204</v>
      </c>
      <c r="F974" s="15">
        <v>334.07</v>
      </c>
      <c r="G974" s="15">
        <v>14.5</v>
      </c>
      <c r="H974" s="165" t="s">
        <v>63</v>
      </c>
    </row>
    <row r="975" spans="1:8">
      <c r="A975" s="449" t="s">
        <v>1625</v>
      </c>
      <c r="B975" s="15">
        <v>9302645</v>
      </c>
      <c r="C975" s="15">
        <v>90389</v>
      </c>
      <c r="D975" s="15">
        <v>101500</v>
      </c>
      <c r="E975" s="15">
        <v>8208</v>
      </c>
      <c r="F975" s="15">
        <v>355</v>
      </c>
      <c r="G975" s="15">
        <v>14.5</v>
      </c>
      <c r="H975" s="165" t="s">
        <v>63</v>
      </c>
    </row>
    <row r="976" spans="1:8">
      <c r="A976" s="449" t="s">
        <v>1630</v>
      </c>
      <c r="B976" s="15">
        <v>9302633</v>
      </c>
      <c r="C976" s="15">
        <v>90389</v>
      </c>
      <c r="D976" s="15">
        <v>101597</v>
      </c>
      <c r="E976" s="15">
        <v>8208</v>
      </c>
      <c r="F976" s="15">
        <v>335.69</v>
      </c>
      <c r="G976" s="15">
        <v>14.52</v>
      </c>
      <c r="H976" s="165" t="s">
        <v>63</v>
      </c>
    </row>
    <row r="977" spans="1:8">
      <c r="A977" s="449" t="s">
        <v>1631</v>
      </c>
      <c r="B977" s="15">
        <v>9302619</v>
      </c>
      <c r="C977" s="15">
        <v>90389</v>
      </c>
      <c r="D977" s="15">
        <v>101411</v>
      </c>
      <c r="E977" s="15">
        <v>8208</v>
      </c>
      <c r="F977" s="15">
        <v>335</v>
      </c>
      <c r="G977" s="15">
        <v>14.48</v>
      </c>
      <c r="H977" s="165" t="s">
        <v>63</v>
      </c>
    </row>
    <row r="978" spans="1:8">
      <c r="A978" s="449" t="s">
        <v>1635</v>
      </c>
      <c r="B978" s="15">
        <v>9302621</v>
      </c>
      <c r="C978" s="15">
        <v>90389</v>
      </c>
      <c r="D978" s="15">
        <v>101597</v>
      </c>
      <c r="E978" s="15">
        <v>8208</v>
      </c>
      <c r="F978" s="15">
        <v>335</v>
      </c>
      <c r="G978" s="15">
        <v>14.5</v>
      </c>
      <c r="H978" s="165" t="s">
        <v>63</v>
      </c>
    </row>
    <row r="979" spans="1:8">
      <c r="A979" s="449" t="s">
        <v>631</v>
      </c>
      <c r="B979" s="15">
        <v>9302152</v>
      </c>
      <c r="C979" s="15">
        <v>98747</v>
      </c>
      <c r="D979" s="15">
        <v>99214</v>
      </c>
      <c r="E979" s="15">
        <v>8212</v>
      </c>
      <c r="F979" s="15">
        <v>336</v>
      </c>
      <c r="G979" s="15">
        <v>14.03</v>
      </c>
      <c r="H979" s="165" t="s">
        <v>63</v>
      </c>
    </row>
    <row r="980" spans="1:8">
      <c r="A980" s="449" t="s">
        <v>638</v>
      </c>
      <c r="B980" s="15">
        <v>9302176</v>
      </c>
      <c r="C980" s="15">
        <v>98747</v>
      </c>
      <c r="D980" s="15">
        <v>99214</v>
      </c>
      <c r="E980" s="15">
        <v>8212</v>
      </c>
      <c r="F980" s="15">
        <v>336</v>
      </c>
      <c r="G980" s="15">
        <v>14</v>
      </c>
      <c r="H980" s="165" t="s">
        <v>63</v>
      </c>
    </row>
    <row r="981" spans="1:8">
      <c r="A981" s="449" t="s">
        <v>666</v>
      </c>
      <c r="B981" s="15">
        <v>9302164</v>
      </c>
      <c r="C981" s="15">
        <v>98747</v>
      </c>
      <c r="D981" s="15">
        <v>99214</v>
      </c>
      <c r="E981" s="15">
        <v>8212</v>
      </c>
      <c r="F981" s="15">
        <v>336</v>
      </c>
      <c r="G981" s="15">
        <v>14.06</v>
      </c>
      <c r="H981" s="165" t="s">
        <v>63</v>
      </c>
    </row>
    <row r="982" spans="1:8">
      <c r="A982" s="449" t="s">
        <v>1326</v>
      </c>
      <c r="B982" s="15">
        <v>9395159</v>
      </c>
      <c r="C982" s="15">
        <v>98747</v>
      </c>
      <c r="D982" s="15">
        <v>98849</v>
      </c>
      <c r="E982" s="15">
        <v>8212</v>
      </c>
      <c r="F982" s="15">
        <v>336</v>
      </c>
      <c r="G982" s="15">
        <v>14.04</v>
      </c>
      <c r="H982" s="165" t="s">
        <v>63</v>
      </c>
    </row>
    <row r="983" spans="1:8">
      <c r="A983" s="449" t="s">
        <v>1327</v>
      </c>
      <c r="B983" s="15">
        <v>9395147</v>
      </c>
      <c r="C983" s="15">
        <v>98747</v>
      </c>
      <c r="D983" s="15">
        <v>98847</v>
      </c>
      <c r="E983" s="15">
        <v>8212</v>
      </c>
      <c r="F983" s="15">
        <v>336</v>
      </c>
      <c r="G983" s="15">
        <v>14.04</v>
      </c>
      <c r="H983" s="165" t="s">
        <v>63</v>
      </c>
    </row>
    <row r="984" spans="1:8">
      <c r="A984" s="449" t="s">
        <v>1328</v>
      </c>
      <c r="B984" s="15">
        <v>9302138</v>
      </c>
      <c r="C984" s="15">
        <v>98747</v>
      </c>
      <c r="D984" s="15">
        <v>99214</v>
      </c>
      <c r="E984" s="15">
        <v>8212</v>
      </c>
      <c r="F984" s="15">
        <v>336</v>
      </c>
      <c r="G984" s="15">
        <v>14.04</v>
      </c>
      <c r="H984" s="165" t="s">
        <v>63</v>
      </c>
    </row>
    <row r="985" spans="1:8">
      <c r="A985" s="449" t="s">
        <v>1330</v>
      </c>
      <c r="B985" s="15">
        <v>9395161</v>
      </c>
      <c r="C985" s="15">
        <v>98747</v>
      </c>
      <c r="D985" s="15">
        <v>98849</v>
      </c>
      <c r="E985" s="15">
        <v>8212</v>
      </c>
      <c r="F985" s="15">
        <v>336</v>
      </c>
      <c r="G985" s="15">
        <v>14.04</v>
      </c>
      <c r="H985" s="165" t="s">
        <v>63</v>
      </c>
    </row>
    <row r="986" spans="1:8">
      <c r="A986" s="449" t="s">
        <v>1331</v>
      </c>
      <c r="B986" s="15">
        <v>9302140</v>
      </c>
      <c r="C986" s="15">
        <v>98747</v>
      </c>
      <c r="D986" s="15">
        <v>99214</v>
      </c>
      <c r="E986" s="15">
        <v>8212</v>
      </c>
      <c r="F986" s="15">
        <v>336</v>
      </c>
      <c r="G986" s="15">
        <v>14.04</v>
      </c>
      <c r="H986" s="165" t="s">
        <v>63</v>
      </c>
    </row>
    <row r="987" spans="1:8">
      <c r="A987" s="449" t="s">
        <v>1010</v>
      </c>
      <c r="B987" s="15">
        <v>9301495</v>
      </c>
      <c r="C987" s="15">
        <v>89941</v>
      </c>
      <c r="D987" s="15">
        <v>102759</v>
      </c>
      <c r="E987" s="15">
        <v>8238</v>
      </c>
      <c r="F987" s="15">
        <v>335</v>
      </c>
      <c r="G987" s="15">
        <v>14.5</v>
      </c>
      <c r="H987" s="165" t="s">
        <v>63</v>
      </c>
    </row>
    <row r="988" spans="1:8">
      <c r="A988" s="449" t="s">
        <v>1227</v>
      </c>
      <c r="B988" s="15">
        <v>9301471</v>
      </c>
      <c r="C988" s="15">
        <v>89941</v>
      </c>
      <c r="D988" s="15">
        <v>102756</v>
      </c>
      <c r="E988" s="15">
        <v>8238</v>
      </c>
      <c r="F988" s="15">
        <v>334</v>
      </c>
      <c r="G988" s="15">
        <v>14.5</v>
      </c>
      <c r="H988" s="165" t="s">
        <v>63</v>
      </c>
    </row>
    <row r="989" spans="1:8">
      <c r="A989" s="449" t="s">
        <v>1624</v>
      </c>
      <c r="B989" s="15">
        <v>9462706</v>
      </c>
      <c r="C989" s="15">
        <v>100140</v>
      </c>
      <c r="D989" s="15">
        <v>85000</v>
      </c>
      <c r="E989" s="15">
        <v>8240</v>
      </c>
      <c r="F989" s="15">
        <v>335</v>
      </c>
      <c r="G989" s="15">
        <v>14.5</v>
      </c>
      <c r="H989" s="165" t="s">
        <v>63</v>
      </c>
    </row>
    <row r="990" spans="1:8">
      <c r="A990" s="449" t="s">
        <v>1629</v>
      </c>
      <c r="B990" s="15">
        <v>9462691</v>
      </c>
      <c r="C990" s="15">
        <v>90532</v>
      </c>
      <c r="D990" s="15">
        <v>103600</v>
      </c>
      <c r="E990" s="15">
        <v>8240</v>
      </c>
      <c r="F990" s="15">
        <v>355</v>
      </c>
      <c r="G990" s="15">
        <v>14.5</v>
      </c>
      <c r="H990" s="165" t="s">
        <v>63</v>
      </c>
    </row>
    <row r="991" spans="1:8">
      <c r="A991" s="449" t="s">
        <v>1623</v>
      </c>
      <c r="B991" s="15">
        <v>9337444</v>
      </c>
      <c r="C991" s="15">
        <v>90507</v>
      </c>
      <c r="D991" s="15">
        <v>103614</v>
      </c>
      <c r="E991" s="15">
        <v>8241</v>
      </c>
      <c r="F991" s="15">
        <v>333.2</v>
      </c>
      <c r="G991" s="15">
        <v>14.5</v>
      </c>
      <c r="H991" s="165" t="s">
        <v>63</v>
      </c>
    </row>
    <row r="992" spans="1:8">
      <c r="A992" s="449" t="s">
        <v>1628</v>
      </c>
      <c r="B992" s="15">
        <v>9337482</v>
      </c>
      <c r="C992" s="15">
        <v>90507</v>
      </c>
      <c r="D992" s="15">
        <v>103614</v>
      </c>
      <c r="E992" s="15">
        <v>8241</v>
      </c>
      <c r="F992" s="15">
        <v>333.2</v>
      </c>
      <c r="G992" s="15">
        <v>13</v>
      </c>
      <c r="H992" s="165" t="s">
        <v>63</v>
      </c>
    </row>
    <row r="993" spans="1:8">
      <c r="A993" s="449" t="s">
        <v>1634</v>
      </c>
      <c r="B993" s="15">
        <v>9337470</v>
      </c>
      <c r="C993" s="15">
        <v>90507</v>
      </c>
      <c r="D993" s="15">
        <v>103614</v>
      </c>
      <c r="E993" s="15">
        <v>8241</v>
      </c>
      <c r="F993" s="15">
        <v>333.2</v>
      </c>
      <c r="G993" s="15">
        <v>13</v>
      </c>
      <c r="H993" s="165" t="s">
        <v>63</v>
      </c>
    </row>
    <row r="994" spans="1:8">
      <c r="A994" s="449" t="s">
        <v>1636</v>
      </c>
      <c r="B994" s="15">
        <v>9337456</v>
      </c>
      <c r="C994" s="15">
        <v>90507</v>
      </c>
      <c r="D994" s="15">
        <v>103614</v>
      </c>
      <c r="E994" s="15">
        <v>8241</v>
      </c>
      <c r="F994" s="15">
        <v>333.2</v>
      </c>
      <c r="G994" s="15">
        <v>13</v>
      </c>
      <c r="H994" s="165" t="s">
        <v>63</v>
      </c>
    </row>
    <row r="995" spans="1:8">
      <c r="A995" s="449" t="s">
        <v>831</v>
      </c>
      <c r="B995" s="15">
        <v>9352016</v>
      </c>
      <c r="C995" s="15">
        <v>91427</v>
      </c>
      <c r="D995" s="15">
        <v>102311</v>
      </c>
      <c r="E995" s="15">
        <v>8379</v>
      </c>
      <c r="F995" s="15">
        <v>334.07</v>
      </c>
      <c r="G995" s="15">
        <v>14.52</v>
      </c>
      <c r="H995" s="165" t="s">
        <v>63</v>
      </c>
    </row>
    <row r="996" spans="1:8">
      <c r="A996" s="449" t="s">
        <v>836</v>
      </c>
      <c r="B996" s="15">
        <v>9352028</v>
      </c>
      <c r="C996" s="15">
        <v>91427</v>
      </c>
      <c r="D996" s="15">
        <v>102367</v>
      </c>
      <c r="E996" s="15">
        <v>8379</v>
      </c>
      <c r="F996" s="15">
        <v>334.07</v>
      </c>
      <c r="G996" s="15">
        <v>14.52</v>
      </c>
      <c r="H996" s="165" t="s">
        <v>63</v>
      </c>
    </row>
    <row r="997" spans="1:8">
      <c r="A997" s="449" t="s">
        <v>845</v>
      </c>
      <c r="B997" s="15">
        <v>9352004</v>
      </c>
      <c r="C997" s="15">
        <v>102367</v>
      </c>
      <c r="D997" s="15">
        <v>91427</v>
      </c>
      <c r="E997" s="15">
        <v>8379</v>
      </c>
      <c r="F997" s="15">
        <v>334.07</v>
      </c>
      <c r="G997" s="15">
        <v>14.52</v>
      </c>
      <c r="H997" s="165" t="s">
        <v>63</v>
      </c>
    </row>
    <row r="998" spans="1:8">
      <c r="A998" s="449" t="s">
        <v>137</v>
      </c>
      <c r="B998" s="15">
        <v>9466960</v>
      </c>
      <c r="C998" s="15">
        <v>94407</v>
      </c>
      <c r="D998" s="15">
        <v>108804</v>
      </c>
      <c r="E998" s="15">
        <v>8400</v>
      </c>
      <c r="F998" s="15">
        <v>333</v>
      </c>
      <c r="G998" s="15">
        <v>14.5</v>
      </c>
      <c r="H998" s="165" t="s">
        <v>63</v>
      </c>
    </row>
    <row r="999" spans="1:8">
      <c r="A999" s="449" t="s">
        <v>838</v>
      </c>
      <c r="B999" s="15">
        <v>9330070</v>
      </c>
      <c r="C999" s="15">
        <v>94322</v>
      </c>
      <c r="D999" s="15">
        <v>108448</v>
      </c>
      <c r="E999" s="15">
        <v>8400</v>
      </c>
      <c r="F999" s="15">
        <v>332</v>
      </c>
      <c r="G999" s="15">
        <v>14.5</v>
      </c>
      <c r="H999" s="165" t="s">
        <v>63</v>
      </c>
    </row>
    <row r="1000" spans="1:8">
      <c r="A1000" s="449" t="s">
        <v>848</v>
      </c>
      <c r="B1000" s="15">
        <v>9330068</v>
      </c>
      <c r="C1000" s="15">
        <v>94322</v>
      </c>
      <c r="D1000" s="15">
        <v>108351</v>
      </c>
      <c r="E1000" s="15">
        <v>8400</v>
      </c>
      <c r="F1000" s="15">
        <v>332.58</v>
      </c>
      <c r="G1000" s="15">
        <v>14.5</v>
      </c>
      <c r="H1000" s="165" t="s">
        <v>63</v>
      </c>
    </row>
    <row r="1001" spans="1:8">
      <c r="A1001" s="449" t="s">
        <v>1221</v>
      </c>
      <c r="B1001" s="15">
        <v>9309461</v>
      </c>
      <c r="C1001" s="15">
        <v>94489</v>
      </c>
      <c r="D1001" s="15">
        <v>107915</v>
      </c>
      <c r="E1001" s="15">
        <v>8400</v>
      </c>
      <c r="F1001" s="15">
        <v>331.99</v>
      </c>
      <c r="G1001" s="15">
        <v>14.5</v>
      </c>
      <c r="H1001" s="165" t="s">
        <v>63</v>
      </c>
    </row>
    <row r="1002" spans="1:8">
      <c r="A1002" s="449" t="s">
        <v>1279</v>
      </c>
      <c r="B1002" s="15">
        <v>9465095</v>
      </c>
      <c r="C1002" s="15">
        <v>94407</v>
      </c>
      <c r="D1002" s="15">
        <v>108677</v>
      </c>
      <c r="E1002" s="15">
        <v>8400</v>
      </c>
      <c r="F1002" s="15">
        <v>333</v>
      </c>
      <c r="G1002" s="15">
        <v>14.5</v>
      </c>
      <c r="H1002" s="165" t="s">
        <v>63</v>
      </c>
    </row>
    <row r="1003" spans="1:8">
      <c r="A1003" s="449" t="s">
        <v>1280</v>
      </c>
      <c r="B1003" s="15">
        <v>9450337</v>
      </c>
      <c r="C1003" s="15">
        <v>94419</v>
      </c>
      <c r="D1003" s="15">
        <v>108770</v>
      </c>
      <c r="E1003" s="15">
        <v>8400</v>
      </c>
      <c r="F1003" s="15">
        <v>333.57</v>
      </c>
      <c r="G1003" s="15">
        <v>14.5</v>
      </c>
      <c r="H1003" s="165" t="s">
        <v>63</v>
      </c>
    </row>
    <row r="1004" spans="1:8">
      <c r="A1004" s="449" t="s">
        <v>830</v>
      </c>
      <c r="B1004" s="15">
        <v>9303534</v>
      </c>
      <c r="C1004" s="15">
        <v>94483</v>
      </c>
      <c r="D1004" s="15">
        <v>108251</v>
      </c>
      <c r="E1004" s="15">
        <v>8401</v>
      </c>
      <c r="F1004" s="15">
        <v>332</v>
      </c>
      <c r="G1004" s="15">
        <v>14.5</v>
      </c>
      <c r="H1004" s="165" t="s">
        <v>63</v>
      </c>
    </row>
    <row r="1005" spans="1:8">
      <c r="A1005" s="449" t="s">
        <v>839</v>
      </c>
      <c r="B1005" s="15">
        <v>9306550</v>
      </c>
      <c r="C1005" s="15">
        <v>94483</v>
      </c>
      <c r="D1005" s="15">
        <v>108180</v>
      </c>
      <c r="E1005" s="15">
        <v>8401</v>
      </c>
      <c r="F1005" s="15">
        <v>332.01</v>
      </c>
      <c r="G1005" s="15">
        <v>14.5</v>
      </c>
      <c r="H1005" s="165" t="s">
        <v>63</v>
      </c>
    </row>
    <row r="1006" spans="1:8">
      <c r="A1006" s="449" t="s">
        <v>847</v>
      </c>
      <c r="B1006" s="15">
        <v>9303522</v>
      </c>
      <c r="C1006" s="15">
        <v>94483</v>
      </c>
      <c r="D1006" s="15">
        <v>108212</v>
      </c>
      <c r="E1006" s="15">
        <v>8401</v>
      </c>
      <c r="F1006" s="15">
        <v>332.01</v>
      </c>
      <c r="G1006" s="15">
        <v>14.5</v>
      </c>
      <c r="H1006" s="165" t="s">
        <v>63</v>
      </c>
    </row>
    <row r="1007" spans="1:8">
      <c r="A1007" s="449" t="s">
        <v>1169</v>
      </c>
      <c r="B1007" s="15">
        <v>9309447</v>
      </c>
      <c r="C1007" s="15">
        <v>94489</v>
      </c>
      <c r="D1007" s="15">
        <v>107898</v>
      </c>
      <c r="E1007" s="15">
        <v>8401</v>
      </c>
      <c r="F1007" s="15">
        <v>332</v>
      </c>
      <c r="G1007" s="15">
        <v>14.5</v>
      </c>
      <c r="H1007" s="165" t="s">
        <v>63</v>
      </c>
    </row>
    <row r="1008" spans="1:8">
      <c r="A1008" s="449" t="s">
        <v>1203</v>
      </c>
      <c r="B1008" s="15">
        <v>9309459</v>
      </c>
      <c r="C1008" s="15">
        <v>94489</v>
      </c>
      <c r="D1008" s="15">
        <v>107964</v>
      </c>
      <c r="E1008" s="15">
        <v>8401</v>
      </c>
      <c r="F1008" s="15">
        <v>332</v>
      </c>
      <c r="G1008" s="15">
        <v>14.5</v>
      </c>
      <c r="H1008" s="165" t="s">
        <v>63</v>
      </c>
    </row>
    <row r="1009" spans="1:8">
      <c r="A1009" s="449" t="s">
        <v>127</v>
      </c>
      <c r="B1009" s="15">
        <v>9450349</v>
      </c>
      <c r="C1009" s="15">
        <v>94419</v>
      </c>
      <c r="D1009" s="15">
        <v>108828</v>
      </c>
      <c r="E1009" s="15">
        <v>8411</v>
      </c>
      <c r="F1009" s="15">
        <v>333.55</v>
      </c>
      <c r="G1009" s="15">
        <v>14.5</v>
      </c>
      <c r="H1009" s="165" t="s">
        <v>63</v>
      </c>
    </row>
    <row r="1010" spans="1:8">
      <c r="A1010" s="449" t="s">
        <v>1278</v>
      </c>
      <c r="B1010" s="15">
        <v>9294991</v>
      </c>
      <c r="C1010" s="15">
        <v>94483</v>
      </c>
      <c r="D1010" s="15">
        <v>108106</v>
      </c>
      <c r="E1010" s="15">
        <v>8411</v>
      </c>
      <c r="F1010" s="15">
        <v>322.41000000000003</v>
      </c>
      <c r="G1010" s="15">
        <v>14.5</v>
      </c>
      <c r="H1010" s="165" t="s">
        <v>63</v>
      </c>
    </row>
    <row r="1011" spans="1:8">
      <c r="A1011" s="449" t="s">
        <v>1582</v>
      </c>
      <c r="B1011" s="15">
        <v>9466972</v>
      </c>
      <c r="C1011" s="15">
        <v>94407</v>
      </c>
      <c r="D1011" s="15">
        <v>108731</v>
      </c>
      <c r="E1011" s="15">
        <v>8411</v>
      </c>
      <c r="F1011" s="15">
        <v>333.59</v>
      </c>
      <c r="G1011" s="15">
        <v>14.5</v>
      </c>
      <c r="H1011" s="165" t="s">
        <v>63</v>
      </c>
    </row>
    <row r="1012" spans="1:8">
      <c r="A1012" s="449" t="s">
        <v>1583</v>
      </c>
      <c r="B1012" s="15">
        <v>9294989</v>
      </c>
      <c r="C1012" s="15">
        <v>94483</v>
      </c>
      <c r="D1012" s="15">
        <v>108180</v>
      </c>
      <c r="E1012" s="15">
        <v>8411</v>
      </c>
      <c r="F1012" s="15">
        <v>332.41</v>
      </c>
      <c r="G1012" s="15">
        <v>14.5</v>
      </c>
      <c r="H1012" s="165" t="s">
        <v>63</v>
      </c>
    </row>
    <row r="1013" spans="1:8">
      <c r="A1013" s="449" t="s">
        <v>1111</v>
      </c>
      <c r="B1013" s="15">
        <v>9398395</v>
      </c>
      <c r="C1013" s="15">
        <v>91158</v>
      </c>
      <c r="D1013" s="15">
        <v>108574</v>
      </c>
      <c r="E1013" s="15">
        <v>8440</v>
      </c>
      <c r="F1013" s="15">
        <v>334</v>
      </c>
      <c r="G1013" s="15">
        <v>15</v>
      </c>
      <c r="H1013" s="165" t="s">
        <v>63</v>
      </c>
    </row>
    <row r="1014" spans="1:8">
      <c r="A1014" s="449" t="s">
        <v>1669</v>
      </c>
      <c r="B1014" s="15">
        <v>9398412</v>
      </c>
      <c r="C1014" s="15">
        <v>91158</v>
      </c>
      <c r="D1014" s="15">
        <v>91158</v>
      </c>
      <c r="E1014" s="15">
        <v>8440</v>
      </c>
      <c r="F1014" s="15">
        <v>334</v>
      </c>
      <c r="G1014" s="15">
        <v>13</v>
      </c>
      <c r="H1014" s="165" t="s">
        <v>63</v>
      </c>
    </row>
    <row r="1015" spans="1:8">
      <c r="A1015" s="449" t="s">
        <v>834</v>
      </c>
      <c r="B1015" s="15">
        <v>9289934</v>
      </c>
      <c r="C1015" s="15">
        <v>93511</v>
      </c>
      <c r="D1015" s="15">
        <v>97499</v>
      </c>
      <c r="E1015" s="15">
        <v>8450</v>
      </c>
      <c r="F1015" s="15">
        <v>335</v>
      </c>
      <c r="G1015" s="15">
        <v>14</v>
      </c>
      <c r="H1015" s="165" t="s">
        <v>63</v>
      </c>
    </row>
    <row r="1016" spans="1:8">
      <c r="A1016" s="449" t="s">
        <v>849</v>
      </c>
      <c r="B1016" s="15">
        <v>9289958</v>
      </c>
      <c r="C1016" s="15">
        <v>93511</v>
      </c>
      <c r="D1016" s="15">
        <v>97535</v>
      </c>
      <c r="E1016" s="15">
        <v>8450</v>
      </c>
      <c r="F1016" s="15">
        <v>335.42</v>
      </c>
      <c r="G1016" s="15">
        <v>14</v>
      </c>
      <c r="H1016" s="165" t="s">
        <v>63</v>
      </c>
    </row>
    <row r="1017" spans="1:8">
      <c r="A1017" s="449" t="s">
        <v>525</v>
      </c>
      <c r="B1017" s="15">
        <v>9595448</v>
      </c>
      <c r="C1017" s="15">
        <v>99640</v>
      </c>
      <c r="D1017" s="15">
        <v>105000</v>
      </c>
      <c r="E1017" s="15">
        <v>8452</v>
      </c>
      <c r="F1017" s="15">
        <v>334.8</v>
      </c>
      <c r="G1017" s="15">
        <v>14.2</v>
      </c>
      <c r="H1017" s="165" t="s">
        <v>63</v>
      </c>
    </row>
    <row r="1018" spans="1:8">
      <c r="A1018" s="449" t="s">
        <v>526</v>
      </c>
      <c r="B1018" s="15">
        <v>9595436</v>
      </c>
      <c r="C1018" s="15">
        <v>99640</v>
      </c>
      <c r="D1018" s="15">
        <v>104408</v>
      </c>
      <c r="E1018" s="15">
        <v>8452</v>
      </c>
      <c r="F1018" s="15">
        <v>334.8</v>
      </c>
      <c r="G1018" s="15">
        <v>14.2</v>
      </c>
      <c r="H1018" s="165" t="s">
        <v>63</v>
      </c>
    </row>
    <row r="1019" spans="1:8">
      <c r="A1019" s="449" t="s">
        <v>527</v>
      </c>
      <c r="B1019" s="15">
        <v>9595450</v>
      </c>
      <c r="C1019" s="15">
        <v>98882</v>
      </c>
      <c r="D1019" s="15">
        <v>104409</v>
      </c>
      <c r="E1019" s="15">
        <v>8452</v>
      </c>
      <c r="F1019" s="15">
        <v>334.8</v>
      </c>
      <c r="G1019" s="15">
        <v>14.2</v>
      </c>
      <c r="H1019" s="165" t="s">
        <v>63</v>
      </c>
    </row>
    <row r="1020" spans="1:8">
      <c r="A1020" s="449" t="s">
        <v>528</v>
      </c>
      <c r="B1020" s="15">
        <v>9595474</v>
      </c>
      <c r="C1020" s="15">
        <v>99640</v>
      </c>
      <c r="D1020" s="15">
        <v>105000</v>
      </c>
      <c r="E1020" s="15">
        <v>8452</v>
      </c>
      <c r="F1020" s="15">
        <v>334.8</v>
      </c>
      <c r="G1020" s="15">
        <v>14.2</v>
      </c>
      <c r="H1020" s="165" t="s">
        <v>63</v>
      </c>
    </row>
    <row r="1021" spans="1:8">
      <c r="A1021" s="449" t="s">
        <v>529</v>
      </c>
      <c r="B1021" s="15">
        <v>9595498</v>
      </c>
      <c r="C1021" s="15">
        <v>98882</v>
      </c>
      <c r="D1021" s="15">
        <v>104409</v>
      </c>
      <c r="E1021" s="15">
        <v>8452</v>
      </c>
      <c r="F1021" s="15">
        <v>334.8</v>
      </c>
      <c r="G1021" s="15">
        <v>14.2</v>
      </c>
      <c r="H1021" s="165" t="s">
        <v>63</v>
      </c>
    </row>
    <row r="1022" spans="1:8">
      <c r="A1022" s="449" t="s">
        <v>530</v>
      </c>
      <c r="B1022" s="15">
        <v>9595503</v>
      </c>
      <c r="C1022" s="15">
        <v>99640</v>
      </c>
      <c r="D1022" s="15">
        <v>105000</v>
      </c>
      <c r="E1022" s="15">
        <v>8452</v>
      </c>
      <c r="F1022" s="15">
        <v>334.8</v>
      </c>
      <c r="G1022" s="15">
        <v>14.2</v>
      </c>
      <c r="H1022" s="165" t="s">
        <v>63</v>
      </c>
    </row>
    <row r="1023" spans="1:8">
      <c r="A1023" s="449" t="s">
        <v>531</v>
      </c>
      <c r="B1023" s="15">
        <v>9595462</v>
      </c>
      <c r="C1023" s="15">
        <v>99640</v>
      </c>
      <c r="D1023" s="15">
        <v>105000</v>
      </c>
      <c r="E1023" s="15">
        <v>8452</v>
      </c>
      <c r="F1023" s="15">
        <v>334.8</v>
      </c>
      <c r="G1023" s="15">
        <v>14.2</v>
      </c>
      <c r="H1023" s="165" t="s">
        <v>63</v>
      </c>
    </row>
    <row r="1024" spans="1:8">
      <c r="A1024" s="449" t="s">
        <v>532</v>
      </c>
      <c r="B1024" s="15">
        <v>9604108</v>
      </c>
      <c r="C1024" s="15">
        <v>99640</v>
      </c>
      <c r="D1024" s="15">
        <v>105000</v>
      </c>
      <c r="E1024" s="15">
        <v>8452</v>
      </c>
      <c r="F1024" s="15">
        <v>334.8</v>
      </c>
      <c r="G1024" s="15">
        <v>14.2</v>
      </c>
      <c r="H1024" s="165" t="s">
        <v>63</v>
      </c>
    </row>
    <row r="1025" spans="1:8">
      <c r="A1025" s="449" t="s">
        <v>533</v>
      </c>
      <c r="B1025" s="15">
        <v>9595515</v>
      </c>
      <c r="C1025" s="15">
        <v>98882</v>
      </c>
      <c r="D1025" s="15">
        <v>104409</v>
      </c>
      <c r="E1025" s="15">
        <v>8452</v>
      </c>
      <c r="F1025" s="15">
        <v>334.8</v>
      </c>
      <c r="G1025" s="15">
        <v>14.2</v>
      </c>
      <c r="H1025" s="165" t="s">
        <v>63</v>
      </c>
    </row>
    <row r="1026" spans="1:8">
      <c r="A1026" s="449" t="s">
        <v>534</v>
      </c>
      <c r="B1026" s="15">
        <v>9604093</v>
      </c>
      <c r="C1026" s="15">
        <v>99640</v>
      </c>
      <c r="D1026" s="15">
        <v>105000</v>
      </c>
      <c r="E1026" s="15">
        <v>8452</v>
      </c>
      <c r="F1026" s="15">
        <v>334.8</v>
      </c>
      <c r="G1026" s="15">
        <v>14.2</v>
      </c>
      <c r="H1026" s="165" t="s">
        <v>63</v>
      </c>
    </row>
    <row r="1027" spans="1:8">
      <c r="A1027" s="449" t="s">
        <v>535</v>
      </c>
      <c r="B1027" s="15">
        <v>9604110</v>
      </c>
      <c r="C1027" s="15">
        <v>99640</v>
      </c>
      <c r="D1027" s="15">
        <v>105000</v>
      </c>
      <c r="E1027" s="15">
        <v>8452</v>
      </c>
      <c r="F1027" s="15">
        <v>334.8</v>
      </c>
      <c r="G1027" s="15">
        <v>14.2</v>
      </c>
      <c r="H1027" s="165" t="s">
        <v>63</v>
      </c>
    </row>
    <row r="1028" spans="1:8">
      <c r="A1028" s="449" t="s">
        <v>536</v>
      </c>
      <c r="B1028" s="15">
        <v>9604146</v>
      </c>
      <c r="C1028" s="15">
        <v>99640</v>
      </c>
      <c r="D1028" s="15">
        <v>105000</v>
      </c>
      <c r="E1028" s="15">
        <v>8452</v>
      </c>
      <c r="F1028" s="15">
        <v>334.8</v>
      </c>
      <c r="G1028" s="15">
        <v>14.2</v>
      </c>
      <c r="H1028" s="165" t="s">
        <v>63</v>
      </c>
    </row>
    <row r="1029" spans="1:8">
      <c r="A1029" s="449" t="s">
        <v>537</v>
      </c>
      <c r="B1029" s="15">
        <v>9604160</v>
      </c>
      <c r="C1029" s="15">
        <v>99640</v>
      </c>
      <c r="D1029" s="15">
        <v>105000</v>
      </c>
      <c r="E1029" s="15">
        <v>8452</v>
      </c>
      <c r="F1029" s="15">
        <v>334.8</v>
      </c>
      <c r="G1029" s="15">
        <v>14.2</v>
      </c>
      <c r="H1029" s="165" t="s">
        <v>63</v>
      </c>
    </row>
    <row r="1030" spans="1:8">
      <c r="A1030" s="449" t="s">
        <v>538</v>
      </c>
      <c r="B1030" s="15">
        <v>9595486</v>
      </c>
      <c r="C1030" s="15">
        <v>99640</v>
      </c>
      <c r="D1030" s="15">
        <v>105000</v>
      </c>
      <c r="E1030" s="15">
        <v>8452</v>
      </c>
      <c r="F1030" s="15">
        <v>334.8</v>
      </c>
      <c r="G1030" s="15">
        <v>14.2</v>
      </c>
      <c r="H1030" s="165" t="s">
        <v>63</v>
      </c>
    </row>
    <row r="1031" spans="1:8">
      <c r="A1031" s="449" t="s">
        <v>542</v>
      </c>
      <c r="B1031" s="15">
        <v>9595527</v>
      </c>
      <c r="C1031" s="15">
        <v>99640</v>
      </c>
      <c r="D1031" s="15">
        <v>105000</v>
      </c>
      <c r="E1031" s="15">
        <v>8452</v>
      </c>
      <c r="F1031" s="15">
        <v>334.8</v>
      </c>
      <c r="G1031" s="15">
        <v>14.2</v>
      </c>
      <c r="H1031" s="165" t="s">
        <v>63</v>
      </c>
    </row>
    <row r="1032" spans="1:8">
      <c r="A1032" s="449" t="s">
        <v>545</v>
      </c>
      <c r="B1032" s="15">
        <v>9604081</v>
      </c>
      <c r="C1032" s="15">
        <v>99640</v>
      </c>
      <c r="D1032" s="15">
        <v>105000</v>
      </c>
      <c r="E1032" s="15">
        <v>8452</v>
      </c>
      <c r="F1032" s="15">
        <v>334.8</v>
      </c>
      <c r="G1032" s="15">
        <v>14.2</v>
      </c>
      <c r="H1032" s="165" t="s">
        <v>63</v>
      </c>
    </row>
    <row r="1033" spans="1:8">
      <c r="A1033" s="449" t="s">
        <v>546</v>
      </c>
      <c r="B1033" s="15">
        <v>9604122</v>
      </c>
      <c r="C1033" s="15">
        <v>99640</v>
      </c>
      <c r="D1033" s="15">
        <v>105000</v>
      </c>
      <c r="E1033" s="15">
        <v>8452</v>
      </c>
      <c r="F1033" s="15">
        <v>334.8</v>
      </c>
      <c r="G1033" s="15">
        <v>14.2</v>
      </c>
      <c r="H1033" s="165" t="s">
        <v>63</v>
      </c>
    </row>
    <row r="1034" spans="1:8">
      <c r="A1034" s="449" t="s">
        <v>840</v>
      </c>
      <c r="B1034" s="15">
        <v>9299927</v>
      </c>
      <c r="C1034" s="15">
        <v>93511</v>
      </c>
      <c r="D1034" s="15">
        <v>97552</v>
      </c>
      <c r="E1034" s="15">
        <v>8466</v>
      </c>
      <c r="F1034" s="15">
        <v>335</v>
      </c>
      <c r="G1034" s="15">
        <v>14.5</v>
      </c>
      <c r="H1034" s="165" t="s">
        <v>63</v>
      </c>
    </row>
    <row r="1035" spans="1:8">
      <c r="A1035" s="449" t="s">
        <v>841</v>
      </c>
      <c r="B1035" s="15">
        <v>9299939</v>
      </c>
      <c r="C1035" s="15">
        <v>93511</v>
      </c>
      <c r="D1035" s="15">
        <v>97536</v>
      </c>
      <c r="E1035" s="15">
        <v>8466</v>
      </c>
      <c r="F1035" s="15">
        <v>335</v>
      </c>
      <c r="G1035" s="15">
        <v>14</v>
      </c>
      <c r="H1035" s="165" t="s">
        <v>63</v>
      </c>
    </row>
    <row r="1036" spans="1:8">
      <c r="A1036" s="449" t="s">
        <v>842</v>
      </c>
      <c r="B1036" s="15">
        <v>9308649</v>
      </c>
      <c r="C1036" s="15">
        <v>93511</v>
      </c>
      <c r="D1036" s="15">
        <v>97552</v>
      </c>
      <c r="E1036" s="15">
        <v>8466</v>
      </c>
      <c r="F1036" s="15">
        <v>334.98</v>
      </c>
      <c r="G1036" s="15">
        <v>14.5</v>
      </c>
      <c r="H1036" s="165" t="s">
        <v>63</v>
      </c>
    </row>
    <row r="1037" spans="1:8">
      <c r="A1037" s="449" t="s">
        <v>843</v>
      </c>
      <c r="B1037" s="15">
        <v>9308637</v>
      </c>
      <c r="C1037" s="15">
        <v>93511</v>
      </c>
      <c r="D1037" s="15">
        <v>97550</v>
      </c>
      <c r="E1037" s="15">
        <v>8466</v>
      </c>
      <c r="F1037" s="15">
        <v>335</v>
      </c>
      <c r="G1037" s="15">
        <v>14</v>
      </c>
      <c r="H1037" s="165" t="s">
        <v>63</v>
      </c>
    </row>
    <row r="1038" spans="1:8">
      <c r="A1038" s="449" t="s">
        <v>103</v>
      </c>
      <c r="B1038" s="15">
        <v>9285990</v>
      </c>
      <c r="C1038" s="15">
        <v>90645</v>
      </c>
      <c r="D1038" s="15">
        <v>101612</v>
      </c>
      <c r="E1038" s="15">
        <v>8468</v>
      </c>
      <c r="F1038" s="15">
        <v>334</v>
      </c>
      <c r="G1038" s="15">
        <v>14.5</v>
      </c>
      <c r="H1038" s="165" t="s">
        <v>63</v>
      </c>
    </row>
    <row r="1039" spans="1:8">
      <c r="A1039" s="449" t="s">
        <v>436</v>
      </c>
      <c r="B1039" s="15">
        <v>9285976</v>
      </c>
      <c r="C1039" s="15">
        <v>90645</v>
      </c>
      <c r="D1039" s="15">
        <v>101612</v>
      </c>
      <c r="E1039" s="15">
        <v>8468</v>
      </c>
      <c r="F1039" s="15">
        <v>334</v>
      </c>
      <c r="G1039" s="15">
        <v>14.5</v>
      </c>
      <c r="H1039" s="165" t="s">
        <v>63</v>
      </c>
    </row>
    <row r="1040" spans="1:8">
      <c r="A1040" s="449" t="s">
        <v>506</v>
      </c>
      <c r="B1040" s="15">
        <v>9285988</v>
      </c>
      <c r="C1040" s="15">
        <v>90645</v>
      </c>
      <c r="D1040" s="15">
        <v>101612</v>
      </c>
      <c r="E1040" s="15">
        <v>8468</v>
      </c>
      <c r="F1040" s="15">
        <v>334</v>
      </c>
      <c r="G1040" s="15">
        <v>14.5</v>
      </c>
      <c r="H1040" s="165" t="s">
        <v>63</v>
      </c>
    </row>
    <row r="1041" spans="1:8">
      <c r="A1041" s="449" t="s">
        <v>1475</v>
      </c>
      <c r="B1041" s="15">
        <v>9286009</v>
      </c>
      <c r="C1041" s="15">
        <v>90645</v>
      </c>
      <c r="D1041" s="15">
        <v>101810</v>
      </c>
      <c r="E1041" s="15">
        <v>8468</v>
      </c>
      <c r="F1041" s="15">
        <v>334</v>
      </c>
      <c r="G1041" s="15">
        <v>14.5</v>
      </c>
      <c r="H1041" s="165" t="s">
        <v>63</v>
      </c>
    </row>
    <row r="1042" spans="1:8">
      <c r="A1042" s="449" t="s">
        <v>297</v>
      </c>
      <c r="B1042" s="15">
        <v>9299795</v>
      </c>
      <c r="C1042" s="15">
        <v>91410</v>
      </c>
      <c r="D1042" s="15">
        <v>101779</v>
      </c>
      <c r="E1042" s="15">
        <v>8488</v>
      </c>
      <c r="F1042" s="15">
        <v>334</v>
      </c>
      <c r="G1042" s="15">
        <v>14.5</v>
      </c>
      <c r="H1042" s="165" t="s">
        <v>63</v>
      </c>
    </row>
    <row r="1043" spans="1:8">
      <c r="A1043" s="449" t="s">
        <v>317</v>
      </c>
      <c r="B1043" s="15">
        <v>9299630</v>
      </c>
      <c r="C1043" s="15">
        <v>91410</v>
      </c>
      <c r="D1043" s="15">
        <v>101810</v>
      </c>
      <c r="E1043" s="15">
        <v>8488</v>
      </c>
      <c r="F1043" s="15">
        <v>334</v>
      </c>
      <c r="G1043" s="15">
        <v>14.5</v>
      </c>
      <c r="H1043" s="165" t="s">
        <v>63</v>
      </c>
    </row>
    <row r="1044" spans="1:8">
      <c r="A1044" s="449" t="s">
        <v>325</v>
      </c>
      <c r="B1044" s="15">
        <v>9299628</v>
      </c>
      <c r="C1044" s="15">
        <v>91410</v>
      </c>
      <c r="D1044" s="15">
        <v>101500</v>
      </c>
      <c r="E1044" s="15">
        <v>8488</v>
      </c>
      <c r="F1044" s="15">
        <v>344</v>
      </c>
      <c r="G1044" s="15">
        <v>14.5</v>
      </c>
      <c r="H1044" s="165" t="s">
        <v>63</v>
      </c>
    </row>
    <row r="1045" spans="1:8">
      <c r="A1045" s="449" t="s">
        <v>348</v>
      </c>
      <c r="B1045" s="15">
        <v>9299783</v>
      </c>
      <c r="C1045" s="15">
        <v>91410</v>
      </c>
      <c r="D1045" s="15">
        <v>101818</v>
      </c>
      <c r="E1045" s="15">
        <v>8488</v>
      </c>
      <c r="F1045" s="15">
        <v>334.07</v>
      </c>
      <c r="G1045" s="15">
        <v>14.52</v>
      </c>
      <c r="H1045" s="165" t="s">
        <v>63</v>
      </c>
    </row>
    <row r="1046" spans="1:8">
      <c r="A1046" s="449" t="s">
        <v>434</v>
      </c>
      <c r="B1046" s="15">
        <v>9286011</v>
      </c>
      <c r="C1046" s="15">
        <v>90645</v>
      </c>
      <c r="D1046" s="15">
        <v>101612</v>
      </c>
      <c r="E1046" s="15">
        <v>8488</v>
      </c>
      <c r="F1046" s="15">
        <v>334</v>
      </c>
      <c r="G1046" s="15">
        <v>14.5</v>
      </c>
      <c r="H1046" s="165" t="s">
        <v>63</v>
      </c>
    </row>
    <row r="1047" spans="1:8">
      <c r="A1047" s="449" t="s">
        <v>428</v>
      </c>
      <c r="B1047" s="15">
        <v>9448798</v>
      </c>
      <c r="C1047" s="15">
        <v>91051</v>
      </c>
      <c r="D1047" s="15">
        <v>101000</v>
      </c>
      <c r="E1047" s="15">
        <v>8495</v>
      </c>
      <c r="F1047" s="15">
        <v>334</v>
      </c>
      <c r="G1047" s="15">
        <v>14.61</v>
      </c>
      <c r="H1047" s="165" t="s">
        <v>63</v>
      </c>
    </row>
    <row r="1048" spans="1:8">
      <c r="A1048" s="449" t="s">
        <v>429</v>
      </c>
      <c r="B1048" s="15">
        <v>9448815</v>
      </c>
      <c r="C1048" s="15">
        <v>88600</v>
      </c>
      <c r="D1048" s="15">
        <v>83400</v>
      </c>
      <c r="E1048" s="15">
        <v>8495</v>
      </c>
      <c r="F1048" s="15">
        <v>334</v>
      </c>
      <c r="G1048" s="15">
        <v>14.61</v>
      </c>
      <c r="H1048" s="165" t="s">
        <v>63</v>
      </c>
    </row>
    <row r="1049" spans="1:8">
      <c r="A1049" s="449" t="s">
        <v>395</v>
      </c>
      <c r="B1049" s="15">
        <v>9448786</v>
      </c>
      <c r="C1049" s="15">
        <v>91051</v>
      </c>
      <c r="D1049" s="15">
        <v>101200</v>
      </c>
      <c r="E1049" s="15">
        <v>8500</v>
      </c>
      <c r="F1049" s="15">
        <v>334</v>
      </c>
      <c r="G1049" s="15">
        <v>14.5</v>
      </c>
      <c r="H1049" s="165" t="s">
        <v>63</v>
      </c>
    </row>
    <row r="1050" spans="1:8">
      <c r="A1050" s="449" t="s">
        <v>397</v>
      </c>
      <c r="B1050" s="15">
        <v>9448748</v>
      </c>
      <c r="C1050" s="15">
        <v>91051</v>
      </c>
      <c r="D1050" s="15">
        <v>83700</v>
      </c>
      <c r="E1050" s="15">
        <v>8500</v>
      </c>
      <c r="F1050" s="15">
        <v>334</v>
      </c>
      <c r="G1050" s="15">
        <v>13</v>
      </c>
      <c r="H1050" s="165" t="s">
        <v>63</v>
      </c>
    </row>
    <row r="1051" spans="1:8">
      <c r="A1051" s="449" t="s">
        <v>404</v>
      </c>
      <c r="B1051" s="15">
        <v>9448762</v>
      </c>
      <c r="C1051" s="15">
        <v>88600</v>
      </c>
      <c r="D1051" s="15">
        <v>101200</v>
      </c>
      <c r="E1051" s="15">
        <v>8500</v>
      </c>
      <c r="F1051" s="15">
        <v>334</v>
      </c>
      <c r="G1051" s="15">
        <v>14.61</v>
      </c>
      <c r="H1051" s="165" t="s">
        <v>63</v>
      </c>
    </row>
    <row r="1052" spans="1:8">
      <c r="A1052" s="449" t="s">
        <v>1626</v>
      </c>
      <c r="B1052" s="15">
        <v>9462718</v>
      </c>
      <c r="C1052" s="15">
        <v>90500</v>
      </c>
      <c r="D1052" s="15">
        <v>103235</v>
      </c>
      <c r="E1052" s="15">
        <v>8500</v>
      </c>
      <c r="F1052" s="15">
        <v>333</v>
      </c>
      <c r="G1052" s="15">
        <v>14.5</v>
      </c>
      <c r="H1052" s="165" t="s">
        <v>63</v>
      </c>
    </row>
    <row r="1053" spans="1:8">
      <c r="A1053" s="449" t="s">
        <v>407</v>
      </c>
      <c r="B1053" s="15">
        <v>9448803</v>
      </c>
      <c r="C1053" s="15">
        <v>91051</v>
      </c>
      <c r="D1053" s="15">
        <v>102800</v>
      </c>
      <c r="E1053" s="15">
        <v>8501</v>
      </c>
      <c r="F1053" s="15">
        <v>325</v>
      </c>
      <c r="G1053" s="15">
        <v>14.5</v>
      </c>
      <c r="H1053" s="165" t="s">
        <v>63</v>
      </c>
    </row>
    <row r="1054" spans="1:8">
      <c r="A1054" s="449" t="s">
        <v>543</v>
      </c>
      <c r="B1054" s="15">
        <v>9629031</v>
      </c>
      <c r="C1054" s="15">
        <v>100254</v>
      </c>
      <c r="D1054" s="15">
        <v>105000</v>
      </c>
      <c r="E1054" s="15">
        <v>8508</v>
      </c>
      <c r="F1054" s="15">
        <v>335</v>
      </c>
      <c r="G1054" s="15">
        <v>14.3</v>
      </c>
      <c r="H1054" s="165" t="s">
        <v>63</v>
      </c>
    </row>
    <row r="1055" spans="1:8">
      <c r="A1055" s="449" t="s">
        <v>548</v>
      </c>
      <c r="B1055" s="15">
        <v>9629067</v>
      </c>
      <c r="C1055" s="15">
        <v>100254</v>
      </c>
      <c r="D1055" s="15">
        <v>104409</v>
      </c>
      <c r="E1055" s="15">
        <v>8508</v>
      </c>
      <c r="F1055" s="15">
        <v>335</v>
      </c>
      <c r="G1055" s="15">
        <v>14.2</v>
      </c>
      <c r="H1055" s="165" t="s">
        <v>63</v>
      </c>
    </row>
    <row r="1056" spans="1:8">
      <c r="A1056" s="449" t="s">
        <v>549</v>
      </c>
      <c r="B1056" s="15">
        <v>9629055</v>
      </c>
      <c r="C1056" s="15">
        <v>100254</v>
      </c>
      <c r="D1056" s="15">
        <v>105000</v>
      </c>
      <c r="E1056" s="15">
        <v>8508</v>
      </c>
      <c r="F1056" s="15">
        <v>335</v>
      </c>
      <c r="G1056" s="15">
        <v>14.2</v>
      </c>
      <c r="H1056" s="165" t="s">
        <v>63</v>
      </c>
    </row>
    <row r="1057" spans="1:8">
      <c r="A1057" s="449" t="s">
        <v>1248</v>
      </c>
      <c r="B1057" s="15">
        <v>9400289</v>
      </c>
      <c r="C1057" s="15">
        <v>90700</v>
      </c>
      <c r="D1057" s="15">
        <v>101000</v>
      </c>
      <c r="E1057" s="15">
        <v>8528</v>
      </c>
      <c r="F1057" s="15">
        <v>335.07</v>
      </c>
      <c r="G1057" s="15">
        <v>14.65</v>
      </c>
      <c r="H1057" s="165" t="s">
        <v>63</v>
      </c>
    </row>
    <row r="1058" spans="1:8">
      <c r="A1058" s="449" t="s">
        <v>1603</v>
      </c>
      <c r="B1058" s="15">
        <v>9337913</v>
      </c>
      <c r="C1058" s="15">
        <v>90757</v>
      </c>
      <c r="D1058" s="15">
        <v>102460</v>
      </c>
      <c r="E1058" s="15">
        <v>8528</v>
      </c>
      <c r="F1058" s="15">
        <v>335</v>
      </c>
      <c r="G1058" s="15">
        <v>14.65</v>
      </c>
      <c r="H1058" s="165" t="s">
        <v>63</v>
      </c>
    </row>
    <row r="1059" spans="1:8">
      <c r="A1059" s="449" t="s">
        <v>1607</v>
      </c>
      <c r="B1059" s="15">
        <v>9334935</v>
      </c>
      <c r="C1059" s="15">
        <v>90757</v>
      </c>
      <c r="D1059" s="15">
        <v>102396</v>
      </c>
      <c r="E1059" s="15">
        <v>8528</v>
      </c>
      <c r="F1059" s="15">
        <v>335</v>
      </c>
      <c r="G1059" s="15">
        <v>14.65</v>
      </c>
      <c r="H1059" s="165" t="s">
        <v>63</v>
      </c>
    </row>
    <row r="1060" spans="1:8">
      <c r="A1060" s="449" t="s">
        <v>1596</v>
      </c>
      <c r="B1060" s="15">
        <v>9337949</v>
      </c>
      <c r="C1060" s="15">
        <v>90757</v>
      </c>
      <c r="D1060" s="15">
        <v>102418</v>
      </c>
      <c r="E1060" s="15">
        <v>8530</v>
      </c>
      <c r="F1060" s="15">
        <v>335</v>
      </c>
      <c r="G1060" s="15">
        <v>14.65</v>
      </c>
      <c r="H1060" s="165" t="s">
        <v>63</v>
      </c>
    </row>
    <row r="1061" spans="1:8">
      <c r="A1061" s="449" t="s">
        <v>1598</v>
      </c>
      <c r="B1061" s="15">
        <v>9337937</v>
      </c>
      <c r="C1061" s="15">
        <v>90757</v>
      </c>
      <c r="D1061" s="15">
        <v>102379</v>
      </c>
      <c r="E1061" s="15">
        <v>8530</v>
      </c>
      <c r="F1061" s="15">
        <v>335.06</v>
      </c>
      <c r="G1061" s="15">
        <v>14.65</v>
      </c>
      <c r="H1061" s="165" t="s">
        <v>63</v>
      </c>
    </row>
    <row r="1062" spans="1:8">
      <c r="A1062" s="449" t="s">
        <v>1602</v>
      </c>
      <c r="B1062" s="15">
        <v>9337925</v>
      </c>
      <c r="C1062" s="15">
        <v>90757</v>
      </c>
      <c r="D1062" s="15">
        <v>102453</v>
      </c>
      <c r="E1062" s="15">
        <v>8530</v>
      </c>
      <c r="F1062" s="15">
        <v>335</v>
      </c>
      <c r="G1062" s="15">
        <v>14.65</v>
      </c>
      <c r="H1062" s="165" t="s">
        <v>63</v>
      </c>
    </row>
    <row r="1063" spans="1:8">
      <c r="A1063" s="449" t="s">
        <v>1484</v>
      </c>
      <c r="B1063" s="15">
        <v>9495040</v>
      </c>
      <c r="C1063" s="15">
        <v>86700</v>
      </c>
      <c r="D1063" s="15">
        <v>90600</v>
      </c>
      <c r="E1063" s="15">
        <v>8540</v>
      </c>
      <c r="F1063" s="15">
        <v>316</v>
      </c>
      <c r="G1063" s="15">
        <v>14.53</v>
      </c>
      <c r="H1063" s="165" t="s">
        <v>63</v>
      </c>
    </row>
    <row r="1064" spans="1:8">
      <c r="A1064" s="449" t="s">
        <v>1485</v>
      </c>
      <c r="B1064" s="15">
        <v>9567661</v>
      </c>
      <c r="C1064" s="15">
        <v>86682</v>
      </c>
      <c r="D1064" s="15">
        <v>90388</v>
      </c>
      <c r="E1064" s="15">
        <v>8540</v>
      </c>
      <c r="F1064" s="15">
        <v>316</v>
      </c>
      <c r="G1064" s="15">
        <v>14.53</v>
      </c>
      <c r="H1064" s="165" t="s">
        <v>63</v>
      </c>
    </row>
    <row r="1065" spans="1:8">
      <c r="A1065" s="449" t="s">
        <v>1486</v>
      </c>
      <c r="B1065" s="15">
        <v>9495038</v>
      </c>
      <c r="C1065" s="15">
        <v>50697</v>
      </c>
      <c r="D1065" s="15">
        <v>90414</v>
      </c>
      <c r="E1065" s="15">
        <v>8540</v>
      </c>
      <c r="F1065" s="15">
        <v>322</v>
      </c>
      <c r="G1065" s="15">
        <v>14.53</v>
      </c>
      <c r="H1065" s="165" t="s">
        <v>63</v>
      </c>
    </row>
    <row r="1066" spans="1:8">
      <c r="A1066" s="449" t="s">
        <v>680</v>
      </c>
      <c r="B1066" s="15">
        <v>9393022</v>
      </c>
      <c r="C1066" s="15">
        <v>94511</v>
      </c>
      <c r="D1066" s="15">
        <v>99086</v>
      </c>
      <c r="E1066" s="15">
        <v>8562</v>
      </c>
      <c r="F1066" s="15">
        <v>339.62</v>
      </c>
      <c r="G1066" s="15">
        <v>14.53</v>
      </c>
      <c r="H1066" s="165" t="s">
        <v>63</v>
      </c>
    </row>
    <row r="1067" spans="1:8">
      <c r="A1067" s="449" t="s">
        <v>687</v>
      </c>
      <c r="B1067" s="15">
        <v>9393319</v>
      </c>
      <c r="C1067" s="15">
        <v>94511</v>
      </c>
      <c r="D1067" s="15">
        <v>95810</v>
      </c>
      <c r="E1067" s="15">
        <v>8562</v>
      </c>
      <c r="F1067" s="15">
        <v>339.6</v>
      </c>
      <c r="G1067" s="15">
        <v>14.5</v>
      </c>
      <c r="H1067" s="165" t="s">
        <v>63</v>
      </c>
    </row>
    <row r="1068" spans="1:8">
      <c r="A1068" s="449" t="s">
        <v>688</v>
      </c>
      <c r="B1068" s="15">
        <v>9393307</v>
      </c>
      <c r="C1068" s="15">
        <v>94511</v>
      </c>
      <c r="D1068" s="15">
        <v>95810</v>
      </c>
      <c r="E1068" s="15">
        <v>8562</v>
      </c>
      <c r="F1068" s="15">
        <v>339.6</v>
      </c>
      <c r="G1068" s="15">
        <v>14.5</v>
      </c>
      <c r="H1068" s="165" t="s">
        <v>63</v>
      </c>
    </row>
    <row r="1069" spans="1:8">
      <c r="A1069" s="449" t="s">
        <v>694</v>
      </c>
      <c r="B1069" s="15">
        <v>9393321</v>
      </c>
      <c r="C1069" s="15">
        <v>94511</v>
      </c>
      <c r="D1069" s="15">
        <v>98968</v>
      </c>
      <c r="E1069" s="15">
        <v>8562</v>
      </c>
      <c r="F1069" s="15">
        <v>339.6</v>
      </c>
      <c r="G1069" s="15">
        <v>14.5</v>
      </c>
      <c r="H1069" s="165" t="s">
        <v>63</v>
      </c>
    </row>
    <row r="1070" spans="1:8">
      <c r="A1070" s="449" t="s">
        <v>670</v>
      </c>
      <c r="B1070" s="15">
        <v>9346304</v>
      </c>
      <c r="C1070" s="15">
        <v>94511</v>
      </c>
      <c r="D1070" s="15">
        <v>99123</v>
      </c>
      <c r="E1070" s="15">
        <v>8566</v>
      </c>
      <c r="F1070" s="15">
        <v>339.62</v>
      </c>
      <c r="G1070" s="15">
        <v>14.5</v>
      </c>
      <c r="H1070" s="165" t="s">
        <v>63</v>
      </c>
    </row>
    <row r="1071" spans="1:8">
      <c r="A1071" s="449" t="s">
        <v>673</v>
      </c>
      <c r="B1071" s="15">
        <v>9347542</v>
      </c>
      <c r="C1071" s="15">
        <v>94511</v>
      </c>
      <c r="D1071" s="15">
        <v>99052</v>
      </c>
      <c r="E1071" s="15">
        <v>8566</v>
      </c>
      <c r="F1071" s="15">
        <v>339.62</v>
      </c>
      <c r="G1071" s="15">
        <v>14.53</v>
      </c>
      <c r="H1071" s="165" t="s">
        <v>63</v>
      </c>
    </row>
    <row r="1072" spans="1:8">
      <c r="A1072" s="449" t="s">
        <v>677</v>
      </c>
      <c r="B1072" s="15">
        <v>9347554</v>
      </c>
      <c r="C1072" s="15">
        <v>94511</v>
      </c>
      <c r="D1072" s="15">
        <v>98967</v>
      </c>
      <c r="E1072" s="15">
        <v>8566</v>
      </c>
      <c r="F1072" s="15">
        <v>339.6</v>
      </c>
      <c r="G1072" s="15">
        <v>14.53</v>
      </c>
      <c r="H1072" s="165" t="s">
        <v>63</v>
      </c>
    </row>
    <row r="1073" spans="1:8">
      <c r="A1073" s="449" t="s">
        <v>678</v>
      </c>
      <c r="B1073" s="15">
        <v>9347566</v>
      </c>
      <c r="C1073" s="15">
        <v>94511</v>
      </c>
      <c r="D1073" s="15">
        <v>99043</v>
      </c>
      <c r="E1073" s="15">
        <v>8566</v>
      </c>
      <c r="F1073" s="15">
        <v>339.6</v>
      </c>
      <c r="G1073" s="15">
        <v>14.53</v>
      </c>
      <c r="H1073" s="165" t="s">
        <v>63</v>
      </c>
    </row>
    <row r="1074" spans="1:8">
      <c r="A1074" s="449" t="s">
        <v>431</v>
      </c>
      <c r="B1074" s="15">
        <v>9450387</v>
      </c>
      <c r="C1074" s="15">
        <v>93750</v>
      </c>
      <c r="D1074" s="15">
        <v>102250</v>
      </c>
      <c r="E1074" s="15">
        <v>8580</v>
      </c>
      <c r="F1074" s="15">
        <v>334</v>
      </c>
      <c r="G1074" s="15">
        <v>14.61</v>
      </c>
      <c r="H1074" s="165" t="s">
        <v>63</v>
      </c>
    </row>
    <row r="1075" spans="1:8">
      <c r="A1075" s="449" t="s">
        <v>1482</v>
      </c>
      <c r="B1075" s="15">
        <v>9450375</v>
      </c>
      <c r="C1075" s="15">
        <v>91203</v>
      </c>
      <c r="D1075" s="15">
        <v>103845</v>
      </c>
      <c r="E1075" s="15">
        <v>8580</v>
      </c>
      <c r="F1075" s="15">
        <v>334.11</v>
      </c>
      <c r="G1075" s="15">
        <v>14.61</v>
      </c>
      <c r="H1075" s="165" t="s">
        <v>63</v>
      </c>
    </row>
    <row r="1076" spans="1:8">
      <c r="A1076" s="449" t="s">
        <v>1194</v>
      </c>
      <c r="B1076" s="15">
        <v>9461477</v>
      </c>
      <c r="C1076" s="15">
        <v>91621</v>
      </c>
      <c r="D1076" s="15">
        <v>101310</v>
      </c>
      <c r="E1076" s="15">
        <v>8586</v>
      </c>
      <c r="F1076" s="15">
        <v>335</v>
      </c>
      <c r="G1076" s="15">
        <v>14.5</v>
      </c>
      <c r="H1076" s="165" t="s">
        <v>63</v>
      </c>
    </row>
    <row r="1077" spans="1:8">
      <c r="A1077" s="449" t="s">
        <v>399</v>
      </c>
      <c r="B1077" s="15">
        <v>9448750</v>
      </c>
      <c r="C1077" s="15">
        <v>88600</v>
      </c>
      <c r="D1077" s="15">
        <v>83400</v>
      </c>
      <c r="E1077" s="15">
        <v>8600</v>
      </c>
      <c r="F1077" s="15">
        <v>334</v>
      </c>
      <c r="G1077" s="15">
        <v>14.61</v>
      </c>
      <c r="H1077" s="165" t="s">
        <v>63</v>
      </c>
    </row>
    <row r="1078" spans="1:8">
      <c r="A1078" s="449" t="s">
        <v>433</v>
      </c>
      <c r="B1078" s="15">
        <v>9627928</v>
      </c>
      <c r="C1078" s="15">
        <v>96628</v>
      </c>
      <c r="D1078" s="15">
        <v>116058</v>
      </c>
      <c r="E1078" s="15">
        <v>8600</v>
      </c>
      <c r="F1078" s="15">
        <v>299.89999999999998</v>
      </c>
      <c r="G1078" s="15">
        <v>14.5</v>
      </c>
      <c r="H1078" s="165" t="s">
        <v>63</v>
      </c>
    </row>
    <row r="1079" spans="1:8">
      <c r="A1079" s="449" t="s">
        <v>618</v>
      </c>
      <c r="B1079" s="15">
        <v>9461491</v>
      </c>
      <c r="C1079" s="15">
        <v>91621</v>
      </c>
      <c r="D1079" s="15">
        <v>102455</v>
      </c>
      <c r="E1079" s="15">
        <v>8600</v>
      </c>
      <c r="F1079" s="15">
        <v>335</v>
      </c>
      <c r="G1079" s="15">
        <v>14.5</v>
      </c>
      <c r="H1079" s="165" t="s">
        <v>63</v>
      </c>
    </row>
    <row r="1080" spans="1:8">
      <c r="A1080" s="449" t="s">
        <v>655</v>
      </c>
      <c r="B1080" s="15">
        <v>9588079</v>
      </c>
      <c r="C1080" s="15">
        <v>96790</v>
      </c>
      <c r="D1080" s="15">
        <v>99500</v>
      </c>
      <c r="E1080" s="15">
        <v>8600</v>
      </c>
      <c r="F1080" s="15">
        <v>332.15</v>
      </c>
      <c r="G1080" s="15">
        <v>14.03</v>
      </c>
      <c r="H1080" s="165" t="s">
        <v>63</v>
      </c>
    </row>
    <row r="1081" spans="1:8">
      <c r="A1081" s="449" t="s">
        <v>832</v>
      </c>
      <c r="B1081" s="15">
        <v>9352030</v>
      </c>
      <c r="C1081" s="15">
        <v>91427</v>
      </c>
      <c r="D1081" s="15">
        <v>102148</v>
      </c>
      <c r="E1081" s="15">
        <v>8600</v>
      </c>
      <c r="F1081" s="15">
        <v>344.07</v>
      </c>
      <c r="G1081" s="15">
        <v>14.5</v>
      </c>
      <c r="H1081" s="165" t="s">
        <v>63</v>
      </c>
    </row>
    <row r="1082" spans="1:8">
      <c r="A1082" s="449" t="s">
        <v>846</v>
      </c>
      <c r="B1082" s="15">
        <v>9352042</v>
      </c>
      <c r="C1082" s="15">
        <v>91427</v>
      </c>
      <c r="D1082" s="15">
        <v>102148</v>
      </c>
      <c r="E1082" s="15">
        <v>8600</v>
      </c>
      <c r="F1082" s="15">
        <v>334.08</v>
      </c>
      <c r="G1082" s="15">
        <v>14.5</v>
      </c>
      <c r="H1082" s="165" t="s">
        <v>63</v>
      </c>
    </row>
    <row r="1083" spans="1:8">
      <c r="A1083" s="449" t="s">
        <v>908</v>
      </c>
      <c r="B1083" s="15">
        <v>9629902</v>
      </c>
      <c r="C1083" s="15">
        <v>86695</v>
      </c>
      <c r="D1083" s="15">
        <v>89870</v>
      </c>
      <c r="E1083" s="15">
        <v>8600</v>
      </c>
      <c r="F1083" s="15">
        <v>316</v>
      </c>
      <c r="G1083" s="15">
        <v>14.5</v>
      </c>
      <c r="H1083" s="165" t="s">
        <v>63</v>
      </c>
    </row>
    <row r="1084" spans="1:8">
      <c r="A1084" s="449" t="s">
        <v>1493</v>
      </c>
      <c r="B1084" s="15">
        <v>9461465</v>
      </c>
      <c r="C1084" s="15">
        <v>91621</v>
      </c>
      <c r="D1084" s="15">
        <v>101310</v>
      </c>
      <c r="E1084" s="15">
        <v>8600</v>
      </c>
      <c r="F1084" s="15">
        <v>335</v>
      </c>
      <c r="G1084" s="15">
        <v>14.5</v>
      </c>
      <c r="H1084" s="165" t="s">
        <v>63</v>
      </c>
    </row>
    <row r="1085" spans="1:8">
      <c r="A1085" s="449" t="s">
        <v>1494</v>
      </c>
      <c r="B1085" s="15">
        <v>9461489</v>
      </c>
      <c r="C1085" s="15">
        <v>91650</v>
      </c>
      <c r="D1085" s="15">
        <v>101310</v>
      </c>
      <c r="E1085" s="15">
        <v>8600</v>
      </c>
      <c r="F1085" s="15">
        <v>335</v>
      </c>
      <c r="G1085" s="15">
        <v>14.5</v>
      </c>
      <c r="H1085" s="165" t="s">
        <v>63</v>
      </c>
    </row>
    <row r="1086" spans="1:8">
      <c r="A1086" s="449" t="s">
        <v>1627</v>
      </c>
      <c r="B1086" s="15">
        <v>9462732</v>
      </c>
      <c r="C1086" s="15">
        <v>90532</v>
      </c>
      <c r="D1086" s="15">
        <v>103000</v>
      </c>
      <c r="E1086" s="15">
        <v>8626</v>
      </c>
      <c r="F1086" s="15">
        <v>333.2</v>
      </c>
      <c r="G1086" s="15">
        <v>14.5</v>
      </c>
      <c r="H1086" s="165" t="s">
        <v>63</v>
      </c>
    </row>
    <row r="1087" spans="1:8">
      <c r="A1087" s="449" t="s">
        <v>1632</v>
      </c>
      <c r="B1087" s="15">
        <v>9462720</v>
      </c>
      <c r="C1087" s="15">
        <v>103000</v>
      </c>
      <c r="D1087" s="15">
        <v>90532</v>
      </c>
      <c r="E1087" s="15">
        <v>8626</v>
      </c>
      <c r="F1087" s="15">
        <v>333.2</v>
      </c>
      <c r="G1087" s="15">
        <v>14.5</v>
      </c>
      <c r="H1087" s="165" t="s">
        <v>63</v>
      </c>
    </row>
    <row r="1088" spans="1:8">
      <c r="A1088" s="449" t="s">
        <v>1296</v>
      </c>
      <c r="B1088" s="15">
        <v>9312975</v>
      </c>
      <c r="C1088" s="15">
        <v>98799</v>
      </c>
      <c r="D1088" s="15">
        <v>99563</v>
      </c>
      <c r="E1088" s="15">
        <v>8628</v>
      </c>
      <c r="F1088" s="15">
        <v>336</v>
      </c>
      <c r="G1088" s="15">
        <v>14.04</v>
      </c>
      <c r="H1088" s="165" t="s">
        <v>63</v>
      </c>
    </row>
    <row r="1089" spans="1:8">
      <c r="A1089" s="449" t="s">
        <v>1334</v>
      </c>
      <c r="B1089" s="15">
        <v>9312987</v>
      </c>
      <c r="C1089" s="15">
        <v>98799</v>
      </c>
      <c r="D1089" s="15">
        <v>99563</v>
      </c>
      <c r="E1089" s="15">
        <v>8628</v>
      </c>
      <c r="F1089" s="15">
        <v>336</v>
      </c>
      <c r="G1089" s="15">
        <v>14.06</v>
      </c>
      <c r="H1089" s="165" t="s">
        <v>63</v>
      </c>
    </row>
    <row r="1090" spans="1:8">
      <c r="A1090" s="449" t="s">
        <v>340</v>
      </c>
      <c r="B1090" s="15">
        <v>9436379</v>
      </c>
      <c r="C1090" s="15">
        <v>91498</v>
      </c>
      <c r="D1090" s="15">
        <v>101383</v>
      </c>
      <c r="E1090" s="15">
        <v>8633</v>
      </c>
      <c r="F1090" s="15">
        <v>334.91</v>
      </c>
      <c r="G1090" s="15">
        <v>14.65</v>
      </c>
      <c r="H1090" s="165" t="s">
        <v>63</v>
      </c>
    </row>
    <row r="1091" spans="1:8">
      <c r="A1091" s="449" t="s">
        <v>814</v>
      </c>
      <c r="B1091" s="15">
        <v>9527049</v>
      </c>
      <c r="C1091" s="15">
        <v>89505</v>
      </c>
      <c r="D1091" s="15">
        <v>99792</v>
      </c>
      <c r="E1091" s="15">
        <v>8700</v>
      </c>
      <c r="F1091" s="15">
        <v>300</v>
      </c>
      <c r="G1091" s="15">
        <v>13.5</v>
      </c>
      <c r="H1091" s="165" t="s">
        <v>63</v>
      </c>
    </row>
    <row r="1092" spans="1:8">
      <c r="A1092" s="449" t="s">
        <v>1435</v>
      </c>
      <c r="B1092" s="15">
        <v>9698628</v>
      </c>
      <c r="C1092" s="15">
        <v>96386</v>
      </c>
      <c r="D1092" s="15">
        <v>115356</v>
      </c>
      <c r="E1092" s="15">
        <v>8700</v>
      </c>
      <c r="F1092" s="15">
        <v>299.89999999999998</v>
      </c>
      <c r="G1092" s="15">
        <v>13</v>
      </c>
      <c r="H1092" s="165" t="s">
        <v>63</v>
      </c>
    </row>
    <row r="1093" spans="1:8">
      <c r="A1093" s="449" t="s">
        <v>1436</v>
      </c>
      <c r="B1093" s="15">
        <v>9698630</v>
      </c>
      <c r="C1093" s="15">
        <v>96386</v>
      </c>
      <c r="D1093" s="15">
        <v>115181</v>
      </c>
      <c r="E1093" s="15">
        <v>8700</v>
      </c>
      <c r="F1093" s="15">
        <v>299.89999999999998</v>
      </c>
      <c r="G1093" s="15">
        <v>14.5</v>
      </c>
      <c r="H1093" s="165" t="s">
        <v>63</v>
      </c>
    </row>
    <row r="1094" spans="1:8">
      <c r="A1094" s="449" t="s">
        <v>1437</v>
      </c>
      <c r="B1094" s="15">
        <v>9698654</v>
      </c>
      <c r="C1094" s="15">
        <v>96386</v>
      </c>
      <c r="D1094" s="15">
        <v>115414</v>
      </c>
      <c r="E1094" s="15">
        <v>8714</v>
      </c>
      <c r="F1094" s="15">
        <v>299.89999999999998</v>
      </c>
      <c r="G1094" s="15">
        <v>13.5</v>
      </c>
      <c r="H1094" s="165" t="s">
        <v>63</v>
      </c>
    </row>
    <row r="1095" spans="1:8">
      <c r="A1095" s="449" t="s">
        <v>199</v>
      </c>
      <c r="B1095" s="15">
        <v>9343728</v>
      </c>
      <c r="C1095" s="15">
        <v>93750</v>
      </c>
      <c r="D1095" s="15">
        <v>103567</v>
      </c>
      <c r="E1095" s="15">
        <v>8749</v>
      </c>
      <c r="F1095" s="15">
        <v>335.06</v>
      </c>
      <c r="G1095" s="15">
        <v>14.5</v>
      </c>
      <c r="H1095" s="165" t="s">
        <v>63</v>
      </c>
    </row>
    <row r="1096" spans="1:8">
      <c r="A1096" s="449" t="s">
        <v>204</v>
      </c>
      <c r="B1096" s="15">
        <v>9450430</v>
      </c>
      <c r="C1096" s="15">
        <v>93750</v>
      </c>
      <c r="D1096" s="15">
        <v>84300</v>
      </c>
      <c r="E1096" s="15">
        <v>8749</v>
      </c>
      <c r="F1096" s="15">
        <v>335</v>
      </c>
      <c r="G1096" s="15">
        <v>14.6</v>
      </c>
      <c r="H1096" s="165" t="s">
        <v>63</v>
      </c>
    </row>
    <row r="1097" spans="1:8">
      <c r="A1097" s="449" t="s">
        <v>246</v>
      </c>
      <c r="B1097" s="15">
        <v>9295268</v>
      </c>
      <c r="C1097" s="15">
        <v>93811</v>
      </c>
      <c r="D1097" s="15">
        <v>103691</v>
      </c>
      <c r="E1097" s="15">
        <v>8749</v>
      </c>
      <c r="F1097" s="15">
        <v>336.19</v>
      </c>
      <c r="G1097" s="15">
        <v>14.61</v>
      </c>
      <c r="H1097" s="165" t="s">
        <v>63</v>
      </c>
    </row>
    <row r="1098" spans="1:8">
      <c r="A1098" s="449" t="s">
        <v>357</v>
      </c>
      <c r="B1098" s="15">
        <v>9295244</v>
      </c>
      <c r="C1098" s="15">
        <v>93750</v>
      </c>
      <c r="D1098" s="15">
        <v>103800</v>
      </c>
      <c r="E1098" s="15">
        <v>8749</v>
      </c>
      <c r="F1098" s="15">
        <v>335.07</v>
      </c>
      <c r="G1098" s="15">
        <v>14.61</v>
      </c>
      <c r="H1098" s="165" t="s">
        <v>63</v>
      </c>
    </row>
    <row r="1099" spans="1:8">
      <c r="A1099" s="449" t="s">
        <v>575</v>
      </c>
      <c r="B1099" s="15">
        <v>9450442</v>
      </c>
      <c r="C1099" s="15">
        <v>93750</v>
      </c>
      <c r="D1099" s="15">
        <v>84300</v>
      </c>
      <c r="E1099" s="15">
        <v>8749</v>
      </c>
      <c r="F1099" s="15">
        <v>335</v>
      </c>
      <c r="G1099" s="15">
        <v>14.61</v>
      </c>
      <c r="H1099" s="165" t="s">
        <v>63</v>
      </c>
    </row>
    <row r="1100" spans="1:8">
      <c r="A1100" s="449" t="s">
        <v>627</v>
      </c>
      <c r="B1100" s="15">
        <v>9343716</v>
      </c>
      <c r="C1100" s="15">
        <v>93750</v>
      </c>
      <c r="D1100" s="15">
        <v>103800</v>
      </c>
      <c r="E1100" s="15">
        <v>8749</v>
      </c>
      <c r="F1100" s="15">
        <v>336.19</v>
      </c>
      <c r="G1100" s="15">
        <v>14.6</v>
      </c>
      <c r="H1100" s="165" t="s">
        <v>63</v>
      </c>
    </row>
    <row r="1101" spans="1:8">
      <c r="A1101" s="449" t="s">
        <v>742</v>
      </c>
      <c r="B1101" s="15">
        <v>9343730</v>
      </c>
      <c r="C1101" s="15">
        <v>93811</v>
      </c>
      <c r="D1101" s="15">
        <v>103538</v>
      </c>
      <c r="E1101" s="15">
        <v>8749</v>
      </c>
      <c r="F1101" s="15">
        <v>336.3</v>
      </c>
      <c r="G1101" s="15">
        <v>14.5</v>
      </c>
      <c r="H1101" s="165" t="s">
        <v>63</v>
      </c>
    </row>
    <row r="1102" spans="1:8">
      <c r="A1102" s="449" t="s">
        <v>743</v>
      </c>
      <c r="B1102" s="15">
        <v>9295256</v>
      </c>
      <c r="C1102" s="15">
        <v>96750</v>
      </c>
      <c r="D1102" s="15">
        <v>103800</v>
      </c>
      <c r="E1102" s="15">
        <v>8749</v>
      </c>
      <c r="F1102" s="15">
        <v>335.07</v>
      </c>
      <c r="G1102" s="15">
        <v>14.61</v>
      </c>
      <c r="H1102" s="165" t="s">
        <v>63</v>
      </c>
    </row>
    <row r="1103" spans="1:8">
      <c r="A1103" s="449" t="s">
        <v>1246</v>
      </c>
      <c r="B1103" s="15">
        <v>9450428</v>
      </c>
      <c r="C1103" s="15">
        <v>93750</v>
      </c>
      <c r="D1103" s="15">
        <v>84300</v>
      </c>
      <c r="E1103" s="15">
        <v>8749</v>
      </c>
      <c r="F1103" s="15">
        <v>335</v>
      </c>
      <c r="G1103" s="15">
        <v>14.61</v>
      </c>
      <c r="H1103" s="165" t="s">
        <v>63</v>
      </c>
    </row>
    <row r="1104" spans="1:8">
      <c r="A1104" s="449" t="s">
        <v>1373</v>
      </c>
      <c r="B1104" s="15">
        <v>9320697</v>
      </c>
      <c r="C1104" s="15">
        <v>93750</v>
      </c>
      <c r="D1104" s="15">
        <v>103681</v>
      </c>
      <c r="E1104" s="15">
        <v>8749</v>
      </c>
      <c r="F1104" s="15">
        <v>335.47</v>
      </c>
      <c r="G1104" s="15">
        <v>14.61</v>
      </c>
      <c r="H1104" s="165" t="s">
        <v>63</v>
      </c>
    </row>
    <row r="1105" spans="1:8">
      <c r="A1105" s="449" t="s">
        <v>1397</v>
      </c>
      <c r="B1105" s="15">
        <v>9450399</v>
      </c>
      <c r="C1105" s="15">
        <v>93750</v>
      </c>
      <c r="D1105" s="15">
        <v>103600</v>
      </c>
      <c r="E1105" s="15">
        <v>8749</v>
      </c>
      <c r="F1105" s="15">
        <v>335</v>
      </c>
      <c r="G1105" s="15">
        <v>14.61</v>
      </c>
      <c r="H1105" s="165" t="s">
        <v>63</v>
      </c>
    </row>
    <row r="1106" spans="1:8">
      <c r="A1106" s="449" t="s">
        <v>1496</v>
      </c>
      <c r="B1106" s="15">
        <v>9450404</v>
      </c>
      <c r="C1106" s="15">
        <v>93750</v>
      </c>
      <c r="D1106" s="15">
        <v>84300</v>
      </c>
      <c r="E1106" s="15">
        <v>8749</v>
      </c>
      <c r="F1106" s="15">
        <v>335</v>
      </c>
      <c r="G1106" s="15">
        <v>14.61</v>
      </c>
      <c r="H1106" s="165" t="s">
        <v>63</v>
      </c>
    </row>
    <row r="1107" spans="1:8">
      <c r="A1107" s="449" t="s">
        <v>1557</v>
      </c>
      <c r="B1107" s="15">
        <v>9320702</v>
      </c>
      <c r="C1107" s="15">
        <v>93750</v>
      </c>
      <c r="D1107" s="15">
        <v>103631</v>
      </c>
      <c r="E1107" s="15">
        <v>8749</v>
      </c>
      <c r="F1107" s="15">
        <v>335.47</v>
      </c>
      <c r="G1107" s="15">
        <v>14.61</v>
      </c>
      <c r="H1107" s="165" t="s">
        <v>63</v>
      </c>
    </row>
    <row r="1108" spans="1:8">
      <c r="A1108" s="449" t="s">
        <v>1574</v>
      </c>
      <c r="B1108" s="15">
        <v>9450416</v>
      </c>
      <c r="C1108" s="15">
        <v>93750</v>
      </c>
      <c r="D1108" s="15">
        <v>103648</v>
      </c>
      <c r="E1108" s="15">
        <v>8749</v>
      </c>
      <c r="F1108" s="15">
        <v>355.08</v>
      </c>
      <c r="G1108" s="15">
        <v>14.61</v>
      </c>
      <c r="H1108" s="165" t="s">
        <v>63</v>
      </c>
    </row>
    <row r="1109" spans="1:8">
      <c r="A1109" s="449" t="s">
        <v>971</v>
      </c>
      <c r="B1109" s="15">
        <v>9619426</v>
      </c>
      <c r="C1109" s="15">
        <v>94017</v>
      </c>
      <c r="D1109" s="15">
        <v>112000</v>
      </c>
      <c r="E1109" s="15">
        <v>8762</v>
      </c>
      <c r="F1109" s="15">
        <v>299</v>
      </c>
      <c r="G1109" s="15">
        <v>14.5</v>
      </c>
      <c r="H1109" s="165" t="s">
        <v>63</v>
      </c>
    </row>
    <row r="1110" spans="1:8">
      <c r="A1110" s="449" t="s">
        <v>976</v>
      </c>
      <c r="B1110" s="15">
        <v>9619440</v>
      </c>
      <c r="C1110" s="15">
        <v>94017</v>
      </c>
      <c r="D1110" s="15">
        <v>112516</v>
      </c>
      <c r="E1110" s="15">
        <v>8762</v>
      </c>
      <c r="F1110" s="15">
        <v>299</v>
      </c>
      <c r="G1110" s="15">
        <v>14.52</v>
      </c>
      <c r="H1110" s="165" t="s">
        <v>63</v>
      </c>
    </row>
    <row r="1111" spans="1:8">
      <c r="A1111" s="449" t="s">
        <v>983</v>
      </c>
      <c r="B1111" s="15">
        <v>9619476</v>
      </c>
      <c r="C1111" s="15">
        <v>94017</v>
      </c>
      <c r="D1111" s="15">
        <v>112000</v>
      </c>
      <c r="E1111" s="15">
        <v>8762</v>
      </c>
      <c r="F1111" s="15">
        <v>299</v>
      </c>
      <c r="G1111" s="15">
        <v>14.5</v>
      </c>
      <c r="H1111" s="165" t="s">
        <v>63</v>
      </c>
    </row>
    <row r="1112" spans="1:8">
      <c r="A1112" s="449" t="s">
        <v>991</v>
      </c>
      <c r="B1112" s="15">
        <v>9619452</v>
      </c>
      <c r="C1112" s="15">
        <v>94017</v>
      </c>
      <c r="D1112" s="15">
        <v>112516</v>
      </c>
      <c r="E1112" s="15">
        <v>8762</v>
      </c>
      <c r="F1112" s="15">
        <v>299.18</v>
      </c>
      <c r="G1112" s="15">
        <v>14.52</v>
      </c>
      <c r="H1112" s="165" t="s">
        <v>63</v>
      </c>
    </row>
    <row r="1113" spans="1:8">
      <c r="A1113" s="449" t="s">
        <v>957</v>
      </c>
      <c r="B1113" s="15">
        <v>9618264</v>
      </c>
      <c r="C1113" s="15">
        <v>95390</v>
      </c>
      <c r="D1113" s="15">
        <v>110805</v>
      </c>
      <c r="E1113" s="15">
        <v>8772</v>
      </c>
      <c r="F1113" s="15">
        <v>300</v>
      </c>
      <c r="G1113" s="15">
        <v>14.5</v>
      </c>
      <c r="H1113" s="165" t="s">
        <v>63</v>
      </c>
    </row>
    <row r="1114" spans="1:8">
      <c r="A1114" s="449" t="s">
        <v>540</v>
      </c>
      <c r="B1114" s="15">
        <v>9629043</v>
      </c>
      <c r="C1114" s="15">
        <v>100254</v>
      </c>
      <c r="D1114" s="15">
        <v>100400</v>
      </c>
      <c r="E1114" s="15">
        <v>8800</v>
      </c>
      <c r="F1114" s="15">
        <v>333</v>
      </c>
      <c r="G1114" s="15">
        <v>14</v>
      </c>
      <c r="H1114" s="165" t="s">
        <v>63</v>
      </c>
    </row>
    <row r="1115" spans="1:8">
      <c r="A1115" s="449" t="s">
        <v>541</v>
      </c>
      <c r="B1115" s="15">
        <v>9604134</v>
      </c>
      <c r="C1115" s="15">
        <v>98882</v>
      </c>
      <c r="D1115" s="15">
        <v>105000</v>
      </c>
      <c r="E1115" s="15">
        <v>8800</v>
      </c>
      <c r="F1115" s="15">
        <v>334.8</v>
      </c>
      <c r="G1115" s="15">
        <v>14</v>
      </c>
      <c r="H1115" s="165" t="s">
        <v>63</v>
      </c>
    </row>
    <row r="1116" spans="1:8">
      <c r="A1116" s="449" t="s">
        <v>544</v>
      </c>
      <c r="B1116" s="15">
        <v>9629081</v>
      </c>
      <c r="C1116" s="15">
        <v>99998</v>
      </c>
      <c r="D1116" s="15">
        <v>104580</v>
      </c>
      <c r="E1116" s="15">
        <v>8800</v>
      </c>
      <c r="F1116" s="15">
        <v>335</v>
      </c>
      <c r="G1116" s="15">
        <v>14.2</v>
      </c>
      <c r="H1116" s="165" t="s">
        <v>63</v>
      </c>
    </row>
    <row r="1117" spans="1:8">
      <c r="A1117" s="449" t="s">
        <v>547</v>
      </c>
      <c r="B1117" s="15">
        <v>9629110</v>
      </c>
      <c r="C1117" s="15">
        <v>99946</v>
      </c>
      <c r="D1117" s="15">
        <v>104357</v>
      </c>
      <c r="E1117" s="15">
        <v>8800</v>
      </c>
      <c r="F1117" s="15">
        <v>335</v>
      </c>
      <c r="G1117" s="15">
        <v>14.2</v>
      </c>
      <c r="H1117" s="165" t="s">
        <v>63</v>
      </c>
    </row>
    <row r="1118" spans="1:8">
      <c r="A1118" s="449" t="s">
        <v>550</v>
      </c>
      <c r="B1118" s="15">
        <v>9629093</v>
      </c>
      <c r="C1118" s="15">
        <v>99946</v>
      </c>
      <c r="D1118" s="15">
        <v>104372</v>
      </c>
      <c r="E1118" s="15">
        <v>8800</v>
      </c>
      <c r="F1118" s="15">
        <v>334.8</v>
      </c>
      <c r="G1118" s="15">
        <v>14.2</v>
      </c>
      <c r="H1118" s="165" t="s">
        <v>63</v>
      </c>
    </row>
    <row r="1119" spans="1:8">
      <c r="A1119" s="449" t="s">
        <v>958</v>
      </c>
      <c r="B1119" s="15">
        <v>9618290</v>
      </c>
      <c r="C1119" s="15">
        <v>95390</v>
      </c>
      <c r="D1119" s="15">
        <v>110617</v>
      </c>
      <c r="E1119" s="15">
        <v>8800</v>
      </c>
      <c r="F1119" s="15">
        <v>300</v>
      </c>
      <c r="G1119" s="15">
        <v>15</v>
      </c>
      <c r="H1119" s="165" t="s">
        <v>63</v>
      </c>
    </row>
    <row r="1120" spans="1:8">
      <c r="A1120" s="449" t="s">
        <v>984</v>
      </c>
      <c r="B1120" s="15">
        <v>9702273</v>
      </c>
      <c r="C1120" s="15">
        <v>95497</v>
      </c>
      <c r="D1120" s="15">
        <v>110800</v>
      </c>
      <c r="E1120" s="15">
        <v>8800</v>
      </c>
      <c r="F1120" s="15">
        <v>301</v>
      </c>
      <c r="G1120" s="15">
        <v>14.5</v>
      </c>
      <c r="H1120" s="165" t="s">
        <v>63</v>
      </c>
    </row>
    <row r="1121" spans="1:8">
      <c r="A1121" s="449" t="s">
        <v>987</v>
      </c>
      <c r="B1121" s="15">
        <v>9710426</v>
      </c>
      <c r="C1121" s="15">
        <v>95403</v>
      </c>
      <c r="D1121" s="15">
        <v>109619</v>
      </c>
      <c r="E1121" s="15">
        <v>8800</v>
      </c>
      <c r="F1121" s="15">
        <v>299.98</v>
      </c>
      <c r="G1121" s="15">
        <v>14.5</v>
      </c>
      <c r="H1121" s="165" t="s">
        <v>63</v>
      </c>
    </row>
    <row r="1122" spans="1:8">
      <c r="A1122" s="449" t="s">
        <v>994</v>
      </c>
      <c r="B1122" s="15">
        <v>9618305</v>
      </c>
      <c r="C1122" s="15">
        <v>95390</v>
      </c>
      <c r="D1122" s="15">
        <v>110852</v>
      </c>
      <c r="E1122" s="15">
        <v>8800</v>
      </c>
      <c r="F1122" s="15">
        <v>300</v>
      </c>
      <c r="G1122" s="15">
        <v>14.5</v>
      </c>
      <c r="H1122" s="165" t="s">
        <v>63</v>
      </c>
    </row>
    <row r="1123" spans="1:8">
      <c r="A1123" s="449" t="s">
        <v>1025</v>
      </c>
      <c r="B1123" s="15">
        <v>9705005</v>
      </c>
      <c r="C1123" s="15">
        <v>95403</v>
      </c>
      <c r="D1123" s="15">
        <v>109581</v>
      </c>
      <c r="E1123" s="15">
        <v>8800</v>
      </c>
      <c r="F1123" s="15">
        <v>300</v>
      </c>
      <c r="G1123" s="15">
        <v>13</v>
      </c>
      <c r="H1123" s="165" t="s">
        <v>63</v>
      </c>
    </row>
    <row r="1124" spans="1:8">
      <c r="A1124" s="449" t="s">
        <v>1049</v>
      </c>
      <c r="B1124" s="15">
        <v>9704972</v>
      </c>
      <c r="C1124" s="15">
        <v>95403</v>
      </c>
      <c r="D1124" s="15">
        <v>109576</v>
      </c>
      <c r="E1124" s="15">
        <v>8800</v>
      </c>
      <c r="F1124" s="15">
        <v>299.97000000000003</v>
      </c>
      <c r="G1124" s="15">
        <v>14.5</v>
      </c>
      <c r="H1124" s="165" t="s">
        <v>63</v>
      </c>
    </row>
    <row r="1125" spans="1:8">
      <c r="A1125" s="449" t="s">
        <v>1104</v>
      </c>
      <c r="B1125" s="15">
        <v>9704960</v>
      </c>
      <c r="C1125" s="15">
        <v>95403</v>
      </c>
      <c r="D1125" s="15">
        <v>109542</v>
      </c>
      <c r="E1125" s="15">
        <v>8800</v>
      </c>
      <c r="F1125" s="15">
        <v>299.95</v>
      </c>
      <c r="G1125" s="15">
        <v>13</v>
      </c>
      <c r="H1125" s="165" t="s">
        <v>63</v>
      </c>
    </row>
    <row r="1126" spans="1:8">
      <c r="A1126" s="449" t="s">
        <v>1207</v>
      </c>
      <c r="B1126" s="15">
        <v>9702091</v>
      </c>
      <c r="C1126" s="15">
        <v>95497</v>
      </c>
      <c r="D1126" s="15">
        <v>110039</v>
      </c>
      <c r="E1126" s="15">
        <v>8800</v>
      </c>
      <c r="F1126" s="15">
        <v>299.95</v>
      </c>
      <c r="G1126" s="15">
        <v>14.5</v>
      </c>
      <c r="H1126" s="165" t="s">
        <v>63</v>
      </c>
    </row>
    <row r="1127" spans="1:8">
      <c r="A1127" s="449" t="s">
        <v>1281</v>
      </c>
      <c r="B1127" s="15">
        <v>9466984</v>
      </c>
      <c r="C1127" s="15">
        <v>94407</v>
      </c>
      <c r="D1127" s="15">
        <v>108622</v>
      </c>
      <c r="E1127" s="15">
        <v>8814</v>
      </c>
      <c r="F1127" s="15">
        <v>332.74</v>
      </c>
      <c r="G1127" s="15">
        <v>14.5</v>
      </c>
      <c r="H1127" s="165" t="s">
        <v>63</v>
      </c>
    </row>
    <row r="1128" spans="1:8">
      <c r="A1128" s="449" t="s">
        <v>1015</v>
      </c>
      <c r="B1128" s="15">
        <v>9702106</v>
      </c>
      <c r="C1128" s="15">
        <v>95497</v>
      </c>
      <c r="D1128" s="15">
        <v>109832</v>
      </c>
      <c r="E1128" s="15">
        <v>8819</v>
      </c>
      <c r="F1128" s="15">
        <v>301</v>
      </c>
      <c r="G1128" s="15">
        <v>14.5</v>
      </c>
      <c r="H1128" s="165" t="s">
        <v>63</v>
      </c>
    </row>
    <row r="1129" spans="1:8">
      <c r="A1129" s="449" t="s">
        <v>1085</v>
      </c>
      <c r="B1129" s="15">
        <v>9704996</v>
      </c>
      <c r="C1129" s="15">
        <v>95403</v>
      </c>
      <c r="D1129" s="15">
        <v>109587</v>
      </c>
      <c r="E1129" s="15">
        <v>8819</v>
      </c>
      <c r="F1129" s="15">
        <v>300</v>
      </c>
      <c r="G1129" s="15">
        <v>14.5</v>
      </c>
      <c r="H1129" s="165" t="s">
        <v>63</v>
      </c>
    </row>
    <row r="1130" spans="1:8">
      <c r="A1130" s="449" t="s">
        <v>1368</v>
      </c>
      <c r="B1130" s="15">
        <v>9486087</v>
      </c>
      <c r="C1130" s="15">
        <v>91499</v>
      </c>
      <c r="D1130" s="15">
        <v>101279</v>
      </c>
      <c r="E1130" s="15">
        <v>8825</v>
      </c>
      <c r="F1130" s="15">
        <v>334.93</v>
      </c>
      <c r="G1130" s="15">
        <v>14.65</v>
      </c>
      <c r="H1130" s="165" t="s">
        <v>63</v>
      </c>
    </row>
    <row r="1131" spans="1:8">
      <c r="A1131" s="449" t="s">
        <v>995</v>
      </c>
      <c r="B1131" s="15">
        <v>9618317</v>
      </c>
      <c r="C1131" s="15">
        <v>95390</v>
      </c>
      <c r="D1131" s="15">
        <v>110000</v>
      </c>
      <c r="E1131" s="15">
        <v>8827</v>
      </c>
      <c r="F1131" s="15">
        <v>300</v>
      </c>
      <c r="G1131" s="15">
        <v>14.5</v>
      </c>
      <c r="H1131" s="165" t="s">
        <v>63</v>
      </c>
    </row>
    <row r="1132" spans="1:8">
      <c r="A1132" s="449" t="s">
        <v>1568</v>
      </c>
      <c r="B1132" s="15">
        <v>9628192</v>
      </c>
      <c r="C1132" s="15">
        <v>95390</v>
      </c>
      <c r="D1132" s="15">
        <v>110544</v>
      </c>
      <c r="E1132" s="15">
        <v>8827</v>
      </c>
      <c r="F1132" s="15">
        <v>300</v>
      </c>
      <c r="G1132" s="15">
        <v>12.5</v>
      </c>
      <c r="H1132" s="165" t="s">
        <v>63</v>
      </c>
    </row>
    <row r="1133" spans="1:8">
      <c r="A1133" s="449" t="s">
        <v>989</v>
      </c>
      <c r="B1133" s="15">
        <v>9605231</v>
      </c>
      <c r="C1133" s="15">
        <v>94402</v>
      </c>
      <c r="D1133" s="15">
        <v>111800</v>
      </c>
      <c r="E1133" s="15">
        <v>8948</v>
      </c>
      <c r="F1133" s="15">
        <v>299.89999999999998</v>
      </c>
      <c r="G1133" s="15">
        <v>14.5</v>
      </c>
      <c r="H1133" s="165" t="s">
        <v>63</v>
      </c>
    </row>
    <row r="1134" spans="1:8">
      <c r="A1134" s="449" t="s">
        <v>960</v>
      </c>
      <c r="B1134" s="15">
        <v>9619464</v>
      </c>
      <c r="C1134" s="15">
        <v>94017</v>
      </c>
      <c r="D1134" s="15">
        <v>112516</v>
      </c>
      <c r="E1134" s="15">
        <v>8962</v>
      </c>
      <c r="F1134" s="15">
        <v>299.2</v>
      </c>
      <c r="G1134" s="15">
        <v>14</v>
      </c>
      <c r="H1134" s="165" t="s">
        <v>63</v>
      </c>
    </row>
    <row r="1135" spans="1:8">
      <c r="A1135" s="449" t="s">
        <v>163</v>
      </c>
      <c r="B1135" s="15">
        <v>9718947</v>
      </c>
      <c r="C1135" s="15">
        <v>95138</v>
      </c>
      <c r="D1135" s="15">
        <v>113227</v>
      </c>
      <c r="E1135" s="15">
        <v>9000</v>
      </c>
      <c r="F1135" s="15">
        <v>299.97000000000003</v>
      </c>
      <c r="G1135" s="15">
        <v>14.5</v>
      </c>
      <c r="H1135" s="165" t="s">
        <v>63</v>
      </c>
    </row>
    <row r="1136" spans="1:8">
      <c r="A1136" s="449" t="s">
        <v>241</v>
      </c>
      <c r="B1136" s="15">
        <v>9718935</v>
      </c>
      <c r="C1136" s="15">
        <v>95138</v>
      </c>
      <c r="D1136" s="15">
        <v>113073</v>
      </c>
      <c r="E1136" s="15">
        <v>9000</v>
      </c>
      <c r="F1136" s="15">
        <v>299.97000000000003</v>
      </c>
      <c r="G1136" s="15">
        <v>14.5</v>
      </c>
      <c r="H1136" s="165" t="s">
        <v>63</v>
      </c>
    </row>
    <row r="1137" spans="1:8">
      <c r="A1137" s="449" t="s">
        <v>242</v>
      </c>
      <c r="B1137" s="15">
        <v>9683843</v>
      </c>
      <c r="C1137" s="15">
        <v>95138</v>
      </c>
      <c r="D1137" s="15">
        <v>113173</v>
      </c>
      <c r="E1137" s="15">
        <v>9000</v>
      </c>
      <c r="F1137" s="15">
        <v>299.98</v>
      </c>
      <c r="G1137" s="15">
        <v>14.5</v>
      </c>
      <c r="H1137" s="165" t="s">
        <v>63</v>
      </c>
    </row>
    <row r="1138" spans="1:8">
      <c r="A1138" s="449" t="s">
        <v>432</v>
      </c>
      <c r="B1138" s="15">
        <v>9627899</v>
      </c>
      <c r="C1138" s="15">
        <v>96628</v>
      </c>
      <c r="D1138" s="15">
        <v>116079</v>
      </c>
      <c r="E1138" s="15">
        <v>9000</v>
      </c>
      <c r="F1138" s="15">
        <v>299.89999999999998</v>
      </c>
      <c r="G1138" s="15">
        <v>14.5</v>
      </c>
      <c r="H1138" s="165" t="s">
        <v>63</v>
      </c>
    </row>
    <row r="1139" spans="1:8">
      <c r="A1139" s="449" t="s">
        <v>779</v>
      </c>
      <c r="B1139" s="15">
        <v>9342504</v>
      </c>
      <c r="C1139" s="15">
        <v>108393</v>
      </c>
      <c r="D1139" s="15">
        <v>110271</v>
      </c>
      <c r="E1139" s="15">
        <v>9000</v>
      </c>
      <c r="F1139" s="15">
        <v>337.6</v>
      </c>
      <c r="G1139" s="15">
        <v>15</v>
      </c>
      <c r="H1139" s="165" t="s">
        <v>63</v>
      </c>
    </row>
    <row r="1140" spans="1:8">
      <c r="A1140" s="449" t="s">
        <v>856</v>
      </c>
      <c r="B1140" s="15">
        <v>9710232</v>
      </c>
      <c r="C1140" s="15">
        <v>94416</v>
      </c>
      <c r="D1140" s="15">
        <v>110972</v>
      </c>
      <c r="E1140" s="15">
        <v>9000</v>
      </c>
      <c r="F1140" s="15">
        <v>299.97000000000003</v>
      </c>
      <c r="G1140" s="15">
        <v>14.5</v>
      </c>
      <c r="H1140" s="165" t="s">
        <v>63</v>
      </c>
    </row>
    <row r="1141" spans="1:8">
      <c r="A1141" s="449" t="s">
        <v>1432</v>
      </c>
      <c r="B1141" s="15">
        <v>9699191</v>
      </c>
      <c r="C1141" s="15">
        <v>94300</v>
      </c>
      <c r="D1141" s="15">
        <v>112233</v>
      </c>
      <c r="E1141" s="15">
        <v>9000</v>
      </c>
      <c r="F1141" s="15">
        <v>299.99</v>
      </c>
      <c r="G1141" s="15">
        <v>12.5</v>
      </c>
      <c r="H1141" s="165" t="s">
        <v>63</v>
      </c>
    </row>
    <row r="1142" spans="1:8">
      <c r="A1142" s="449" t="s">
        <v>1433</v>
      </c>
      <c r="B1142" s="15">
        <v>9699189</v>
      </c>
      <c r="C1142" s="15">
        <v>94930</v>
      </c>
      <c r="D1142" s="15">
        <v>112231</v>
      </c>
      <c r="E1142" s="15">
        <v>9000</v>
      </c>
      <c r="F1142" s="15">
        <v>300</v>
      </c>
      <c r="G1142" s="15">
        <v>12.5</v>
      </c>
      <c r="H1142" s="165" t="s">
        <v>63</v>
      </c>
    </row>
    <row r="1143" spans="1:8">
      <c r="A1143" s="449" t="s">
        <v>1492</v>
      </c>
      <c r="B1143" s="15">
        <v>9695016</v>
      </c>
      <c r="C1143" s="15">
        <v>94930</v>
      </c>
      <c r="D1143" s="15">
        <v>112171</v>
      </c>
      <c r="E1143" s="15">
        <v>9000</v>
      </c>
      <c r="F1143" s="15">
        <v>299.92</v>
      </c>
      <c r="G1143" s="15">
        <v>12.5</v>
      </c>
      <c r="H1143" s="165" t="s">
        <v>63</v>
      </c>
    </row>
    <row r="1144" spans="1:8">
      <c r="A1144" s="449" t="s">
        <v>1558</v>
      </c>
      <c r="B1144" s="15">
        <v>9710220</v>
      </c>
      <c r="C1144" s="15">
        <v>94416</v>
      </c>
      <c r="D1144" s="15">
        <v>111029</v>
      </c>
      <c r="E1144" s="15">
        <v>9000</v>
      </c>
      <c r="F1144" s="15">
        <v>299.95</v>
      </c>
      <c r="G1144" s="15">
        <v>14.5</v>
      </c>
      <c r="H1144" s="165" t="s">
        <v>63</v>
      </c>
    </row>
    <row r="1145" spans="1:8">
      <c r="A1145" s="449" t="s">
        <v>1306</v>
      </c>
      <c r="B1145" s="15">
        <v>9312781</v>
      </c>
      <c r="C1145" s="15">
        <v>97825</v>
      </c>
      <c r="D1145" s="15">
        <v>103310</v>
      </c>
      <c r="E1145" s="15">
        <v>9012</v>
      </c>
      <c r="F1145" s="15">
        <v>338.17</v>
      </c>
      <c r="G1145" s="15">
        <v>14.52</v>
      </c>
      <c r="H1145" s="165" t="s">
        <v>63</v>
      </c>
    </row>
    <row r="1146" spans="1:8">
      <c r="A1146" s="449" t="s">
        <v>1307</v>
      </c>
      <c r="B1146" s="15">
        <v>9312793</v>
      </c>
      <c r="C1146" s="15">
        <v>97825</v>
      </c>
      <c r="D1146" s="15">
        <v>103207</v>
      </c>
      <c r="E1146" s="15">
        <v>9012</v>
      </c>
      <c r="F1146" s="15">
        <v>338.17</v>
      </c>
      <c r="G1146" s="15">
        <v>14.52</v>
      </c>
      <c r="H1146" s="165" t="s">
        <v>63</v>
      </c>
    </row>
    <row r="1147" spans="1:8">
      <c r="A1147" s="449" t="s">
        <v>1308</v>
      </c>
      <c r="B1147" s="15">
        <v>9312808</v>
      </c>
      <c r="C1147" s="15">
        <v>97825</v>
      </c>
      <c r="D1147" s="15">
        <v>103260</v>
      </c>
      <c r="E1147" s="15">
        <v>9012</v>
      </c>
      <c r="F1147" s="15">
        <v>338.17</v>
      </c>
      <c r="G1147" s="15">
        <v>14.52</v>
      </c>
      <c r="H1147" s="165" t="s">
        <v>63</v>
      </c>
    </row>
    <row r="1148" spans="1:8">
      <c r="A1148" s="449" t="s">
        <v>776</v>
      </c>
      <c r="B1148" s="15">
        <v>9342516</v>
      </c>
      <c r="C1148" s="15">
        <v>108393</v>
      </c>
      <c r="D1148" s="15">
        <v>110401</v>
      </c>
      <c r="E1148" s="15">
        <v>9030</v>
      </c>
      <c r="F1148" s="15">
        <v>337.6</v>
      </c>
      <c r="G1148" s="15">
        <v>15</v>
      </c>
      <c r="H1148" s="165" t="s">
        <v>63</v>
      </c>
    </row>
    <row r="1149" spans="1:8">
      <c r="A1149" s="449" t="s">
        <v>777</v>
      </c>
      <c r="B1149" s="15">
        <v>9342528</v>
      </c>
      <c r="C1149" s="15">
        <v>108393</v>
      </c>
      <c r="D1149" s="15">
        <v>110228</v>
      </c>
      <c r="E1149" s="15">
        <v>9030</v>
      </c>
      <c r="F1149" s="15">
        <v>338</v>
      </c>
      <c r="G1149" s="15">
        <v>15</v>
      </c>
      <c r="H1149" s="165" t="s">
        <v>63</v>
      </c>
    </row>
    <row r="1150" spans="1:8">
      <c r="A1150" s="449" t="s">
        <v>778</v>
      </c>
      <c r="B1150" s="15">
        <v>9342499</v>
      </c>
      <c r="C1150" s="15">
        <v>108393</v>
      </c>
      <c r="D1150" s="15">
        <v>110295</v>
      </c>
      <c r="E1150" s="15">
        <v>9030</v>
      </c>
      <c r="F1150" s="15">
        <v>337.6</v>
      </c>
      <c r="G1150" s="15">
        <v>15</v>
      </c>
      <c r="H1150" s="165" t="s">
        <v>63</v>
      </c>
    </row>
    <row r="1151" spans="1:8">
      <c r="A1151" s="449" t="s">
        <v>1559</v>
      </c>
      <c r="B1151" s="15">
        <v>9699115</v>
      </c>
      <c r="C1151" s="15">
        <v>94784</v>
      </c>
      <c r="D1151" s="15">
        <v>112171</v>
      </c>
      <c r="E1151" s="15">
        <v>9034</v>
      </c>
      <c r="F1151" s="15">
        <v>300</v>
      </c>
      <c r="G1151" s="15">
        <v>15</v>
      </c>
      <c r="H1151" s="165" t="s">
        <v>63</v>
      </c>
    </row>
    <row r="1152" spans="1:8">
      <c r="A1152" s="449" t="s">
        <v>1560</v>
      </c>
      <c r="B1152" s="15">
        <v>9699127</v>
      </c>
      <c r="C1152" s="15">
        <v>94784</v>
      </c>
      <c r="D1152" s="15">
        <v>112171</v>
      </c>
      <c r="E1152" s="15">
        <v>9034</v>
      </c>
      <c r="F1152" s="15">
        <v>299.92</v>
      </c>
      <c r="G1152" s="15">
        <v>14.5</v>
      </c>
      <c r="H1152" s="165" t="s">
        <v>63</v>
      </c>
    </row>
    <row r="1153" spans="1:8">
      <c r="A1153" s="449" t="s">
        <v>667</v>
      </c>
      <c r="B1153" s="15">
        <v>9723253</v>
      </c>
      <c r="C1153" s="15">
        <v>94684</v>
      </c>
      <c r="D1153" s="15">
        <v>111650</v>
      </c>
      <c r="E1153" s="15">
        <v>9040</v>
      </c>
      <c r="F1153" s="15">
        <v>300</v>
      </c>
      <c r="G1153" s="15">
        <v>14.5</v>
      </c>
      <c r="H1153" s="165" t="s">
        <v>63</v>
      </c>
    </row>
    <row r="1154" spans="1:8">
      <c r="A1154" s="449" t="s">
        <v>1297</v>
      </c>
      <c r="B1154" s="15">
        <v>9312999</v>
      </c>
      <c r="C1154" s="15">
        <v>98799</v>
      </c>
      <c r="D1154" s="15">
        <v>99563</v>
      </c>
      <c r="E1154" s="15">
        <v>9040</v>
      </c>
      <c r="F1154" s="15">
        <v>336</v>
      </c>
      <c r="G1154" s="15">
        <v>14.04</v>
      </c>
      <c r="H1154" s="165" t="s">
        <v>63</v>
      </c>
    </row>
    <row r="1155" spans="1:8">
      <c r="A1155" s="449" t="s">
        <v>1298</v>
      </c>
      <c r="B1155" s="15">
        <v>9313008</v>
      </c>
      <c r="C1155" s="15">
        <v>99543</v>
      </c>
      <c r="D1155" s="15">
        <v>99563</v>
      </c>
      <c r="E1155" s="15">
        <v>9040</v>
      </c>
      <c r="F1155" s="15">
        <v>336</v>
      </c>
      <c r="G1155" s="15">
        <v>14.04</v>
      </c>
      <c r="H1155" s="165" t="s">
        <v>63</v>
      </c>
    </row>
    <row r="1156" spans="1:8">
      <c r="A1156" s="449" t="s">
        <v>1073</v>
      </c>
      <c r="B1156" s="15">
        <v>9305714</v>
      </c>
      <c r="C1156" s="15">
        <v>107551</v>
      </c>
      <c r="D1156" s="15">
        <v>108461</v>
      </c>
      <c r="E1156" s="15">
        <v>9113</v>
      </c>
      <c r="F1156" s="15">
        <v>348.51</v>
      </c>
      <c r="G1156" s="15">
        <v>14.5</v>
      </c>
      <c r="H1156" s="165" t="s">
        <v>63</v>
      </c>
    </row>
    <row r="1157" spans="1:8">
      <c r="A1157" s="449" t="s">
        <v>1116</v>
      </c>
      <c r="B1157" s="15">
        <v>9305702</v>
      </c>
      <c r="C1157" s="15">
        <v>107551</v>
      </c>
      <c r="D1157" s="15">
        <v>108637</v>
      </c>
      <c r="E1157" s="15">
        <v>9113</v>
      </c>
      <c r="F1157" s="15">
        <v>348.51</v>
      </c>
      <c r="G1157" s="15">
        <v>14.5</v>
      </c>
      <c r="H1157" s="165" t="s">
        <v>63</v>
      </c>
    </row>
    <row r="1158" spans="1:8">
      <c r="A1158" s="449" t="s">
        <v>256</v>
      </c>
      <c r="B1158" s="15">
        <v>9706308</v>
      </c>
      <c r="C1158" s="15">
        <v>96424</v>
      </c>
      <c r="D1158" s="15">
        <v>115145</v>
      </c>
      <c r="E1158" s="15">
        <v>9162</v>
      </c>
      <c r="F1158" s="15">
        <v>299.99</v>
      </c>
      <c r="G1158" s="15">
        <v>14.5</v>
      </c>
      <c r="H1158" s="165" t="s">
        <v>63</v>
      </c>
    </row>
    <row r="1159" spans="1:8">
      <c r="A1159" s="449" t="s">
        <v>350</v>
      </c>
      <c r="B1159" s="15">
        <v>9706310</v>
      </c>
      <c r="C1159" s="15">
        <v>96424</v>
      </c>
      <c r="D1159" s="15">
        <v>115145</v>
      </c>
      <c r="E1159" s="15">
        <v>9162</v>
      </c>
      <c r="F1159" s="15">
        <v>300</v>
      </c>
      <c r="G1159" s="15">
        <v>14.5</v>
      </c>
      <c r="H1159" s="165" t="s">
        <v>63</v>
      </c>
    </row>
    <row r="1160" spans="1:8">
      <c r="A1160" s="449" t="s">
        <v>993</v>
      </c>
      <c r="B1160" s="15">
        <v>9339296</v>
      </c>
      <c r="C1160" s="15">
        <v>107849</v>
      </c>
      <c r="D1160" s="15">
        <v>112063</v>
      </c>
      <c r="E1160" s="15">
        <v>9178</v>
      </c>
      <c r="F1160" s="15">
        <v>336.68</v>
      </c>
      <c r="G1160" s="15">
        <v>15.13</v>
      </c>
      <c r="H1160" s="165" t="s">
        <v>63</v>
      </c>
    </row>
    <row r="1161" spans="1:8">
      <c r="A1161" s="449" t="s">
        <v>1017</v>
      </c>
      <c r="B1161" s="15">
        <v>9339284</v>
      </c>
      <c r="C1161" s="15">
        <v>107849</v>
      </c>
      <c r="D1161" s="15">
        <v>116932</v>
      </c>
      <c r="E1161" s="15">
        <v>9178</v>
      </c>
      <c r="F1161" s="15">
        <v>336.67</v>
      </c>
      <c r="G1161" s="15">
        <v>15.5</v>
      </c>
      <c r="H1161" s="165" t="s">
        <v>63</v>
      </c>
    </row>
    <row r="1162" spans="1:8">
      <c r="A1162" s="449" t="s">
        <v>1027</v>
      </c>
      <c r="B1162" s="15">
        <v>9290555</v>
      </c>
      <c r="C1162" s="15">
        <v>107849</v>
      </c>
      <c r="D1162" s="15">
        <v>109835</v>
      </c>
      <c r="E1162" s="15">
        <v>9178</v>
      </c>
      <c r="F1162" s="15">
        <v>336.7</v>
      </c>
      <c r="G1162" s="15">
        <v>15</v>
      </c>
      <c r="H1162" s="165" t="s">
        <v>63</v>
      </c>
    </row>
    <row r="1163" spans="1:8">
      <c r="A1163" s="449" t="s">
        <v>1082</v>
      </c>
      <c r="B1163" s="15">
        <v>9304435</v>
      </c>
      <c r="C1163" s="15">
        <v>107849</v>
      </c>
      <c r="D1163" s="15">
        <v>110800</v>
      </c>
      <c r="E1163" s="15">
        <v>9178</v>
      </c>
      <c r="F1163" s="15">
        <v>336.67</v>
      </c>
      <c r="G1163" s="15">
        <v>15</v>
      </c>
      <c r="H1163" s="165" t="s">
        <v>63</v>
      </c>
    </row>
    <row r="1164" spans="1:8">
      <c r="A1164" s="449" t="s">
        <v>1106</v>
      </c>
      <c r="B1164" s="15">
        <v>9304459</v>
      </c>
      <c r="C1164" s="15">
        <v>107849</v>
      </c>
      <c r="D1164" s="15">
        <v>110697</v>
      </c>
      <c r="E1164" s="15">
        <v>9178</v>
      </c>
      <c r="F1164" s="15">
        <v>336.67</v>
      </c>
      <c r="G1164" s="15">
        <v>15</v>
      </c>
      <c r="H1164" s="165" t="s">
        <v>63</v>
      </c>
    </row>
    <row r="1165" spans="1:8">
      <c r="A1165" s="449" t="s">
        <v>1125</v>
      </c>
      <c r="B1165" s="15">
        <v>9304423</v>
      </c>
      <c r="C1165" s="15">
        <v>107849</v>
      </c>
      <c r="D1165" s="15">
        <v>117205</v>
      </c>
      <c r="E1165" s="15">
        <v>9178</v>
      </c>
      <c r="F1165" s="15">
        <v>336.67</v>
      </c>
      <c r="G1165" s="15">
        <v>15.5</v>
      </c>
      <c r="H1165" s="165" t="s">
        <v>63</v>
      </c>
    </row>
    <row r="1166" spans="1:8">
      <c r="A1166" s="449" t="s">
        <v>1158</v>
      </c>
      <c r="B1166" s="15">
        <v>9290531</v>
      </c>
      <c r="C1166" s="15">
        <v>107849</v>
      </c>
      <c r="D1166" s="15">
        <v>117063</v>
      </c>
      <c r="E1166" s="15">
        <v>9178</v>
      </c>
      <c r="F1166" s="15">
        <v>336.64</v>
      </c>
      <c r="G1166" s="15">
        <v>15.5</v>
      </c>
      <c r="H1166" s="165" t="s">
        <v>63</v>
      </c>
    </row>
    <row r="1167" spans="1:8">
      <c r="A1167" s="449" t="s">
        <v>1165</v>
      </c>
      <c r="B1167" s="15">
        <v>9339272</v>
      </c>
      <c r="C1167" s="15">
        <v>107849</v>
      </c>
      <c r="D1167" s="15">
        <v>112053</v>
      </c>
      <c r="E1167" s="15">
        <v>9178</v>
      </c>
      <c r="F1167" s="15">
        <v>336.69</v>
      </c>
      <c r="G1167" s="15">
        <v>15.1</v>
      </c>
      <c r="H1167" s="165" t="s">
        <v>63</v>
      </c>
    </row>
    <row r="1168" spans="1:8">
      <c r="A1168" s="449" t="s">
        <v>1179</v>
      </c>
      <c r="B1168" s="15">
        <v>9304447</v>
      </c>
      <c r="C1168" s="15">
        <v>107849</v>
      </c>
      <c r="D1168" s="15">
        <v>110634</v>
      </c>
      <c r="E1168" s="15">
        <v>9178</v>
      </c>
      <c r="F1168" s="15">
        <v>336.67</v>
      </c>
      <c r="G1168" s="15">
        <v>15</v>
      </c>
      <c r="H1168" s="165" t="s">
        <v>63</v>
      </c>
    </row>
    <row r="1169" spans="1:8">
      <c r="A1169" s="449" t="s">
        <v>1205</v>
      </c>
      <c r="B1169" s="15">
        <v>9336048</v>
      </c>
      <c r="C1169" s="15">
        <v>107849</v>
      </c>
      <c r="D1169" s="15">
        <v>111894</v>
      </c>
      <c r="E1169" s="15">
        <v>9178</v>
      </c>
      <c r="F1169" s="15">
        <v>336.7</v>
      </c>
      <c r="G1169" s="15">
        <v>15.1</v>
      </c>
      <c r="H1169" s="165" t="s">
        <v>63</v>
      </c>
    </row>
    <row r="1170" spans="1:8">
      <c r="A1170" s="449" t="s">
        <v>1214</v>
      </c>
      <c r="B1170" s="15">
        <v>9290543</v>
      </c>
      <c r="C1170" s="15">
        <v>107849</v>
      </c>
      <c r="D1170" s="15">
        <v>110623</v>
      </c>
      <c r="E1170" s="15">
        <v>9178</v>
      </c>
      <c r="F1170" s="15">
        <v>336.67</v>
      </c>
      <c r="G1170" s="15">
        <v>15</v>
      </c>
      <c r="H1170" s="165" t="s">
        <v>63</v>
      </c>
    </row>
    <row r="1171" spans="1:8">
      <c r="A1171" s="449" t="s">
        <v>116</v>
      </c>
      <c r="B1171" s="15">
        <v>9674517</v>
      </c>
      <c r="C1171" s="15">
        <v>95263</v>
      </c>
      <c r="D1171" s="15">
        <v>112580</v>
      </c>
      <c r="E1171" s="15">
        <v>9200</v>
      </c>
      <c r="F1171" s="15">
        <v>300</v>
      </c>
      <c r="G1171" s="15">
        <v>14.8</v>
      </c>
      <c r="H1171" s="165" t="s">
        <v>63</v>
      </c>
    </row>
    <row r="1172" spans="1:8">
      <c r="A1172" s="449" t="s">
        <v>117</v>
      </c>
      <c r="B1172" s="15">
        <v>9632208</v>
      </c>
      <c r="C1172" s="15">
        <v>109712</v>
      </c>
      <c r="D1172" s="15">
        <v>115019</v>
      </c>
      <c r="E1172" s="15">
        <v>9200</v>
      </c>
      <c r="F1172" s="15">
        <v>328.2</v>
      </c>
      <c r="G1172" s="15">
        <v>13</v>
      </c>
      <c r="H1172" s="165" t="s">
        <v>63</v>
      </c>
    </row>
    <row r="1173" spans="1:8">
      <c r="A1173" s="449" t="s">
        <v>129</v>
      </c>
      <c r="B1173" s="15">
        <v>9632210</v>
      </c>
      <c r="C1173" s="15">
        <v>109712</v>
      </c>
      <c r="D1173" s="15">
        <v>115024</v>
      </c>
      <c r="E1173" s="15">
        <v>9200</v>
      </c>
      <c r="F1173" s="15">
        <v>328.2</v>
      </c>
      <c r="G1173" s="15">
        <v>15.5</v>
      </c>
      <c r="H1173" s="165" t="s">
        <v>63</v>
      </c>
    </row>
    <row r="1174" spans="1:8">
      <c r="A1174" s="449" t="s">
        <v>130</v>
      </c>
      <c r="B1174" s="15">
        <v>9597549</v>
      </c>
      <c r="C1174" s="15">
        <v>109712</v>
      </c>
      <c r="D1174" s="15">
        <v>108577</v>
      </c>
      <c r="E1174" s="15">
        <v>9200</v>
      </c>
      <c r="F1174" s="15">
        <v>328.2</v>
      </c>
      <c r="G1174" s="15">
        <v>13</v>
      </c>
      <c r="H1174" s="165" t="s">
        <v>63</v>
      </c>
    </row>
    <row r="1175" spans="1:8">
      <c r="A1175" s="449" t="s">
        <v>136</v>
      </c>
      <c r="B1175" s="15">
        <v>9597501</v>
      </c>
      <c r="C1175" s="15">
        <v>109712</v>
      </c>
      <c r="D1175" s="15">
        <v>108615</v>
      </c>
      <c r="E1175" s="15">
        <v>9200</v>
      </c>
      <c r="F1175" s="15">
        <v>328.2</v>
      </c>
      <c r="G1175" s="15">
        <v>13</v>
      </c>
      <c r="H1175" s="165" t="s">
        <v>63</v>
      </c>
    </row>
    <row r="1176" spans="1:8">
      <c r="A1176" s="449" t="s">
        <v>141</v>
      </c>
      <c r="B1176" s="15">
        <v>9597513</v>
      </c>
      <c r="C1176" s="15">
        <v>109712</v>
      </c>
      <c r="D1176" s="15">
        <v>115026</v>
      </c>
      <c r="E1176" s="15">
        <v>9200</v>
      </c>
      <c r="F1176" s="15">
        <v>328.2</v>
      </c>
      <c r="G1176" s="15">
        <v>13</v>
      </c>
      <c r="H1176" s="165" t="s">
        <v>63</v>
      </c>
    </row>
    <row r="1177" spans="1:8">
      <c r="A1177" s="449" t="s">
        <v>345</v>
      </c>
      <c r="B1177" s="15">
        <v>9674567</v>
      </c>
      <c r="C1177" s="15">
        <v>95263</v>
      </c>
      <c r="D1177" s="15">
        <v>113800</v>
      </c>
      <c r="E1177" s="15">
        <v>9200</v>
      </c>
      <c r="F1177" s="15">
        <v>299.95</v>
      </c>
      <c r="G1177" s="15">
        <v>14.8</v>
      </c>
      <c r="H1177" s="165" t="s">
        <v>63</v>
      </c>
    </row>
    <row r="1178" spans="1:8">
      <c r="A1178" s="449" t="s">
        <v>1054</v>
      </c>
      <c r="B1178" s="15">
        <v>9304411</v>
      </c>
      <c r="C1178" s="15">
        <v>107849</v>
      </c>
      <c r="D1178" s="15">
        <v>110838</v>
      </c>
      <c r="E1178" s="15">
        <v>9200</v>
      </c>
      <c r="F1178" s="15">
        <v>336.67</v>
      </c>
      <c r="G1178" s="15">
        <v>15</v>
      </c>
      <c r="H1178" s="165" t="s">
        <v>63</v>
      </c>
    </row>
    <row r="1179" spans="1:8">
      <c r="A1179" s="449" t="s">
        <v>342</v>
      </c>
      <c r="B1179" s="15">
        <v>9722704</v>
      </c>
      <c r="C1179" s="15">
        <v>94440</v>
      </c>
      <c r="D1179" s="15">
        <v>110501</v>
      </c>
      <c r="E1179" s="15">
        <v>9300</v>
      </c>
      <c r="F1179" s="15">
        <v>300</v>
      </c>
      <c r="G1179" s="15">
        <v>14.5</v>
      </c>
      <c r="H1179" s="165" t="s">
        <v>63</v>
      </c>
    </row>
    <row r="1180" spans="1:8">
      <c r="A1180" s="449" t="s">
        <v>1284</v>
      </c>
      <c r="B1180" s="15">
        <v>9468293</v>
      </c>
      <c r="C1180" s="15">
        <v>98800</v>
      </c>
      <c r="D1180" s="15">
        <v>99500</v>
      </c>
      <c r="E1180" s="15">
        <v>9300</v>
      </c>
      <c r="F1180" s="15">
        <v>332.15</v>
      </c>
      <c r="G1180" s="15">
        <v>14</v>
      </c>
      <c r="H1180" s="165" t="s">
        <v>63</v>
      </c>
    </row>
    <row r="1181" spans="1:8">
      <c r="A1181" s="449" t="s">
        <v>1286</v>
      </c>
      <c r="B1181" s="15">
        <v>9468310</v>
      </c>
      <c r="C1181" s="15">
        <v>98800</v>
      </c>
      <c r="D1181" s="15">
        <v>99500</v>
      </c>
      <c r="E1181" s="15">
        <v>9300</v>
      </c>
      <c r="F1181" s="15">
        <v>336</v>
      </c>
      <c r="G1181" s="15">
        <v>14</v>
      </c>
      <c r="H1181" s="165" t="s">
        <v>63</v>
      </c>
    </row>
    <row r="1182" spans="1:8">
      <c r="A1182" s="449" t="s">
        <v>293</v>
      </c>
      <c r="B1182" s="15">
        <v>9729128</v>
      </c>
      <c r="C1182" s="15">
        <v>95256</v>
      </c>
      <c r="D1182" s="15">
        <v>110200</v>
      </c>
      <c r="E1182" s="15">
        <v>9400</v>
      </c>
      <c r="F1182" s="15">
        <v>299</v>
      </c>
      <c r="G1182" s="15">
        <v>14.5</v>
      </c>
      <c r="H1182" s="165" t="s">
        <v>63</v>
      </c>
    </row>
    <row r="1183" spans="1:8">
      <c r="A1183" s="449" t="s">
        <v>334</v>
      </c>
      <c r="B1183" s="15">
        <v>9674543</v>
      </c>
      <c r="C1183" s="15">
        <v>95263</v>
      </c>
      <c r="D1183" s="15">
        <v>113800</v>
      </c>
      <c r="E1183" s="15">
        <v>9400</v>
      </c>
      <c r="F1183" s="15">
        <v>299.95</v>
      </c>
      <c r="G1183" s="15">
        <v>14.8</v>
      </c>
      <c r="H1183" s="165" t="s">
        <v>63</v>
      </c>
    </row>
    <row r="1184" spans="1:8">
      <c r="A1184" s="449" t="s">
        <v>414</v>
      </c>
      <c r="B1184" s="15">
        <v>9731913</v>
      </c>
      <c r="C1184" s="15">
        <v>94623</v>
      </c>
      <c r="D1184" s="15">
        <v>111290</v>
      </c>
      <c r="E1184" s="15">
        <v>9400</v>
      </c>
      <c r="F1184" s="15">
        <v>299.89999999999998</v>
      </c>
      <c r="G1184" s="15">
        <v>14.5</v>
      </c>
      <c r="H1184" s="165" t="s">
        <v>63</v>
      </c>
    </row>
    <row r="1185" spans="1:8">
      <c r="A1185" s="449" t="s">
        <v>420</v>
      </c>
      <c r="B1185" s="15">
        <v>9731951</v>
      </c>
      <c r="C1185" s="15">
        <v>94623</v>
      </c>
      <c r="D1185" s="15">
        <v>111189</v>
      </c>
      <c r="E1185" s="15">
        <v>9400</v>
      </c>
      <c r="F1185" s="15">
        <v>299.89999999999998</v>
      </c>
      <c r="G1185" s="15">
        <v>14.5</v>
      </c>
      <c r="H1185" s="165" t="s">
        <v>63</v>
      </c>
    </row>
    <row r="1186" spans="1:8">
      <c r="A1186" s="449" t="s">
        <v>962</v>
      </c>
      <c r="B1186" s="15">
        <v>9605267</v>
      </c>
      <c r="C1186" s="15">
        <v>94402</v>
      </c>
      <c r="D1186" s="15">
        <v>112230</v>
      </c>
      <c r="E1186" s="15">
        <v>9400</v>
      </c>
      <c r="F1186" s="15">
        <v>299.83999999999997</v>
      </c>
      <c r="G1186" s="15">
        <v>14.5</v>
      </c>
      <c r="H1186" s="165" t="s">
        <v>63</v>
      </c>
    </row>
    <row r="1187" spans="1:8">
      <c r="A1187" s="449" t="s">
        <v>967</v>
      </c>
      <c r="B1187" s="15">
        <v>9605243</v>
      </c>
      <c r="C1187" s="15">
        <v>94402</v>
      </c>
      <c r="D1187" s="15">
        <v>111000</v>
      </c>
      <c r="E1187" s="15">
        <v>9400</v>
      </c>
      <c r="F1187" s="15">
        <v>299.92</v>
      </c>
      <c r="G1187" s="15">
        <v>14.5</v>
      </c>
      <c r="H1187" s="165" t="s">
        <v>63</v>
      </c>
    </row>
    <row r="1188" spans="1:8">
      <c r="A1188" s="449" t="s">
        <v>982</v>
      </c>
      <c r="B1188" s="15">
        <v>9605152</v>
      </c>
      <c r="C1188" s="15">
        <v>94000</v>
      </c>
      <c r="D1188" s="15">
        <v>111862</v>
      </c>
      <c r="E1188" s="15">
        <v>9400</v>
      </c>
      <c r="F1188" s="15">
        <v>299</v>
      </c>
      <c r="G1188" s="15">
        <v>14.5</v>
      </c>
      <c r="H1188" s="165" t="s">
        <v>63</v>
      </c>
    </row>
    <row r="1189" spans="1:8">
      <c r="A1189" s="449" t="s">
        <v>999</v>
      </c>
      <c r="B1189" s="15">
        <v>9605255</v>
      </c>
      <c r="C1189" s="15">
        <v>94402</v>
      </c>
      <c r="D1189" s="15">
        <v>112434</v>
      </c>
      <c r="E1189" s="15">
        <v>9400</v>
      </c>
      <c r="F1189" s="15">
        <v>299.87</v>
      </c>
      <c r="G1189" s="15">
        <v>14.5</v>
      </c>
      <c r="H1189" s="165" t="s">
        <v>63</v>
      </c>
    </row>
    <row r="1190" spans="1:8">
      <c r="A1190" s="449" t="s">
        <v>1028</v>
      </c>
      <c r="B1190" s="15">
        <v>9720483</v>
      </c>
      <c r="C1190" s="15">
        <v>94469</v>
      </c>
      <c r="D1190" s="15">
        <v>110442</v>
      </c>
      <c r="E1190" s="15">
        <v>9400</v>
      </c>
      <c r="F1190" s="15">
        <v>300</v>
      </c>
      <c r="G1190" s="15">
        <v>14.5</v>
      </c>
      <c r="H1190" s="165" t="s">
        <v>63</v>
      </c>
    </row>
    <row r="1191" spans="1:8">
      <c r="A1191" s="449" t="s">
        <v>1038</v>
      </c>
      <c r="B1191" s="15">
        <v>9745665</v>
      </c>
      <c r="C1191" s="15">
        <v>96816</v>
      </c>
      <c r="D1191" s="15">
        <v>110800</v>
      </c>
      <c r="E1191" s="15">
        <v>9400</v>
      </c>
      <c r="F1191" s="15">
        <v>299.92</v>
      </c>
      <c r="G1191" s="15">
        <v>14.5</v>
      </c>
      <c r="H1191" s="165" t="s">
        <v>63</v>
      </c>
    </row>
    <row r="1192" spans="1:8">
      <c r="A1192" s="449" t="s">
        <v>1042</v>
      </c>
      <c r="B1192" s="15">
        <v>9720201</v>
      </c>
      <c r="C1192" s="15">
        <v>94469</v>
      </c>
      <c r="D1192" s="15">
        <v>110699</v>
      </c>
      <c r="E1192" s="15">
        <v>9400</v>
      </c>
      <c r="F1192" s="15">
        <v>299.93</v>
      </c>
      <c r="G1192" s="15">
        <v>14.5</v>
      </c>
      <c r="H1192" s="165" t="s">
        <v>63</v>
      </c>
    </row>
    <row r="1193" spans="1:8">
      <c r="A1193" s="449" t="s">
        <v>1047</v>
      </c>
      <c r="B1193" s="15">
        <v>9735218</v>
      </c>
      <c r="C1193" s="15">
        <v>96816</v>
      </c>
      <c r="D1193" s="15">
        <v>110103</v>
      </c>
      <c r="E1193" s="15">
        <v>9400</v>
      </c>
      <c r="F1193" s="15">
        <v>299.95</v>
      </c>
      <c r="G1193" s="15">
        <v>14.5</v>
      </c>
      <c r="H1193" s="165" t="s">
        <v>63</v>
      </c>
    </row>
    <row r="1194" spans="1:8">
      <c r="A1194" s="449" t="s">
        <v>1070</v>
      </c>
      <c r="B1194" s="15">
        <v>9720196</v>
      </c>
      <c r="C1194" s="15">
        <v>91883</v>
      </c>
      <c r="D1194" s="15">
        <v>110412</v>
      </c>
      <c r="E1194" s="15">
        <v>9400</v>
      </c>
      <c r="F1194" s="15">
        <v>299.82</v>
      </c>
      <c r="G1194" s="15">
        <v>20.399999999999999</v>
      </c>
      <c r="H1194" s="165" t="s">
        <v>63</v>
      </c>
    </row>
    <row r="1195" spans="1:8">
      <c r="A1195" s="449" t="s">
        <v>1157</v>
      </c>
      <c r="B1195" s="15">
        <v>9735206</v>
      </c>
      <c r="C1195" s="15">
        <v>96816</v>
      </c>
      <c r="D1195" s="15">
        <v>109802</v>
      </c>
      <c r="E1195" s="15">
        <v>9400</v>
      </c>
      <c r="F1195" s="15">
        <v>300</v>
      </c>
      <c r="G1195" s="15">
        <v>15</v>
      </c>
      <c r="H1195" s="165" t="s">
        <v>63</v>
      </c>
    </row>
    <row r="1196" spans="1:8">
      <c r="A1196" s="449" t="s">
        <v>1204</v>
      </c>
      <c r="B1196" s="15">
        <v>9720457</v>
      </c>
      <c r="C1196" s="15">
        <v>94469</v>
      </c>
      <c r="D1196" s="15">
        <v>110697</v>
      </c>
      <c r="E1196" s="15">
        <v>9400</v>
      </c>
      <c r="F1196" s="15">
        <v>299.88</v>
      </c>
      <c r="G1196" s="15">
        <v>14.5</v>
      </c>
      <c r="H1196" s="165" t="s">
        <v>63</v>
      </c>
    </row>
    <row r="1197" spans="1:8">
      <c r="A1197" s="449" t="s">
        <v>972</v>
      </c>
      <c r="B1197" s="15">
        <v>9605279</v>
      </c>
      <c r="C1197" s="15">
        <v>94402</v>
      </c>
      <c r="D1197" s="15">
        <v>112359</v>
      </c>
      <c r="E1197" s="15">
        <v>9403</v>
      </c>
      <c r="F1197" s="15">
        <v>299.91000000000003</v>
      </c>
      <c r="G1197" s="15">
        <v>14.5</v>
      </c>
      <c r="H1197" s="165" t="s">
        <v>63</v>
      </c>
    </row>
    <row r="1198" spans="1:8">
      <c r="A1198" s="449" t="s">
        <v>1180</v>
      </c>
      <c r="B1198" s="15">
        <v>9745653</v>
      </c>
      <c r="C1198" s="15">
        <v>96816</v>
      </c>
      <c r="D1198" s="15">
        <v>111000</v>
      </c>
      <c r="E1198" s="15">
        <v>9408</v>
      </c>
      <c r="F1198" s="15">
        <v>299.95</v>
      </c>
      <c r="G1198" s="15">
        <v>14.5</v>
      </c>
      <c r="H1198" s="165" t="s">
        <v>63</v>
      </c>
    </row>
    <row r="1199" spans="1:8">
      <c r="A1199" s="449" t="s">
        <v>1012</v>
      </c>
      <c r="B1199" s="15">
        <v>9720495</v>
      </c>
      <c r="C1199" s="15">
        <v>91883</v>
      </c>
      <c r="D1199" s="15">
        <v>110000</v>
      </c>
      <c r="E1199" s="15">
        <v>9411</v>
      </c>
      <c r="F1199" s="15">
        <v>299.89999999999998</v>
      </c>
      <c r="G1199" s="15">
        <v>14.5</v>
      </c>
      <c r="H1199" s="165" t="s">
        <v>63</v>
      </c>
    </row>
    <row r="1200" spans="1:8">
      <c r="A1200" s="449" t="s">
        <v>1142</v>
      </c>
      <c r="B1200" s="15">
        <v>9720512</v>
      </c>
      <c r="C1200" s="15">
        <v>94469</v>
      </c>
      <c r="D1200" s="15">
        <v>110829</v>
      </c>
      <c r="E1200" s="15">
        <v>9411</v>
      </c>
      <c r="F1200" s="15">
        <v>285.39999999999998</v>
      </c>
      <c r="G1200" s="15">
        <v>20.34</v>
      </c>
      <c r="H1200" s="165" t="s">
        <v>63</v>
      </c>
    </row>
    <row r="1201" spans="1:8">
      <c r="A1201" s="449" t="s">
        <v>1192</v>
      </c>
      <c r="B1201" s="15">
        <v>9720500</v>
      </c>
      <c r="C1201" s="15">
        <v>94469</v>
      </c>
      <c r="D1201" s="15">
        <v>109520</v>
      </c>
      <c r="E1201" s="15">
        <v>9411</v>
      </c>
      <c r="F1201" s="15">
        <v>299.89999999999998</v>
      </c>
      <c r="G1201" s="15">
        <v>14.5</v>
      </c>
      <c r="H1201" s="165" t="s">
        <v>63</v>
      </c>
    </row>
    <row r="1202" spans="1:8">
      <c r="A1202" s="449" t="s">
        <v>281</v>
      </c>
      <c r="B1202" s="15">
        <v>9299642</v>
      </c>
      <c r="C1202" s="15">
        <v>107898</v>
      </c>
      <c r="D1202" s="15">
        <v>108000</v>
      </c>
      <c r="E1202" s="15">
        <v>9415</v>
      </c>
      <c r="F1202" s="15">
        <v>349</v>
      </c>
      <c r="G1202" s="15">
        <v>14.5</v>
      </c>
      <c r="H1202" s="165" t="s">
        <v>63</v>
      </c>
    </row>
    <row r="1203" spans="1:8">
      <c r="A1203" s="449" t="s">
        <v>310</v>
      </c>
      <c r="B1203" s="15">
        <v>9299800</v>
      </c>
      <c r="C1203" s="15">
        <v>107711</v>
      </c>
      <c r="D1203" s="15">
        <v>113964</v>
      </c>
      <c r="E1203" s="15">
        <v>9415</v>
      </c>
      <c r="F1203" s="15">
        <v>349</v>
      </c>
      <c r="G1203" s="15">
        <v>15.02</v>
      </c>
      <c r="H1203" s="165" t="s">
        <v>63</v>
      </c>
    </row>
    <row r="1204" spans="1:8">
      <c r="A1204" s="449" t="s">
        <v>322</v>
      </c>
      <c r="B1204" s="15">
        <v>9299812</v>
      </c>
      <c r="C1204" s="15">
        <v>107711</v>
      </c>
      <c r="D1204" s="15">
        <v>113909</v>
      </c>
      <c r="E1204" s="15">
        <v>9415</v>
      </c>
      <c r="F1204" s="15">
        <v>349</v>
      </c>
      <c r="G1204" s="15">
        <v>15.02</v>
      </c>
      <c r="H1204" s="165" t="s">
        <v>63</v>
      </c>
    </row>
    <row r="1205" spans="1:8">
      <c r="A1205" s="449" t="s">
        <v>335</v>
      </c>
      <c r="B1205" s="15">
        <v>9299654</v>
      </c>
      <c r="C1205" s="15">
        <v>107711</v>
      </c>
      <c r="D1205" s="15">
        <v>114004</v>
      </c>
      <c r="E1205" s="15">
        <v>9415</v>
      </c>
      <c r="F1205" s="15">
        <v>349</v>
      </c>
      <c r="G1205" s="15">
        <v>15</v>
      </c>
      <c r="H1205" s="165" t="s">
        <v>63</v>
      </c>
    </row>
    <row r="1206" spans="1:8">
      <c r="A1206" s="449" t="s">
        <v>835</v>
      </c>
      <c r="B1206" s="15">
        <v>9732591</v>
      </c>
      <c r="C1206" s="15">
        <v>93702</v>
      </c>
      <c r="D1206" s="15">
        <v>111614</v>
      </c>
      <c r="E1206" s="15">
        <v>9443</v>
      </c>
      <c r="F1206" s="15">
        <v>300</v>
      </c>
      <c r="G1206" s="15">
        <v>15.02</v>
      </c>
      <c r="H1206" s="165" t="s">
        <v>63</v>
      </c>
    </row>
    <row r="1207" spans="1:8">
      <c r="A1207" s="449" t="s">
        <v>379</v>
      </c>
      <c r="B1207" s="15">
        <v>9308508</v>
      </c>
      <c r="C1207" s="15">
        <v>109149</v>
      </c>
      <c r="D1207" s="15">
        <v>107504</v>
      </c>
      <c r="E1207" s="15">
        <v>9469</v>
      </c>
      <c r="F1207" s="15">
        <v>350.55</v>
      </c>
      <c r="G1207" s="15">
        <v>14.5</v>
      </c>
      <c r="H1207" s="165" t="s">
        <v>63</v>
      </c>
    </row>
    <row r="1208" spans="1:8">
      <c r="A1208" s="449" t="s">
        <v>390</v>
      </c>
      <c r="B1208" s="15">
        <v>9305570</v>
      </c>
      <c r="C1208" s="15">
        <v>109149</v>
      </c>
      <c r="D1208" s="15">
        <v>107277</v>
      </c>
      <c r="E1208" s="15">
        <v>9469</v>
      </c>
      <c r="F1208" s="15">
        <v>350.56</v>
      </c>
      <c r="G1208" s="15">
        <v>14.52</v>
      </c>
      <c r="H1208" s="165" t="s">
        <v>63</v>
      </c>
    </row>
    <row r="1209" spans="1:8">
      <c r="A1209" s="449" t="s">
        <v>392</v>
      </c>
      <c r="B1209" s="15">
        <v>9308510</v>
      </c>
      <c r="C1209" s="15">
        <v>109149</v>
      </c>
      <c r="D1209" s="15">
        <v>107483</v>
      </c>
      <c r="E1209" s="15">
        <v>9469</v>
      </c>
      <c r="F1209" s="15">
        <v>350.55</v>
      </c>
      <c r="G1209" s="15">
        <v>14.5</v>
      </c>
      <c r="H1209" s="165" t="s">
        <v>63</v>
      </c>
    </row>
    <row r="1210" spans="1:8">
      <c r="A1210" s="449" t="s">
        <v>401</v>
      </c>
      <c r="B1210" s="15">
        <v>9305582</v>
      </c>
      <c r="C1210" s="15">
        <v>109149</v>
      </c>
      <c r="D1210" s="15">
        <v>107492</v>
      </c>
      <c r="E1210" s="15">
        <v>9469</v>
      </c>
      <c r="F1210" s="15">
        <v>350.56</v>
      </c>
      <c r="G1210" s="15">
        <v>14.52</v>
      </c>
      <c r="H1210" s="165" t="s">
        <v>63</v>
      </c>
    </row>
    <row r="1211" spans="1:8">
      <c r="A1211" s="449" t="s">
        <v>1611</v>
      </c>
      <c r="B1211" s="15">
        <v>9305594</v>
      </c>
      <c r="C1211" s="15">
        <v>109149</v>
      </c>
      <c r="D1211" s="15">
        <v>107498</v>
      </c>
      <c r="E1211" s="15">
        <v>9469</v>
      </c>
      <c r="F1211" s="15">
        <v>350.56</v>
      </c>
      <c r="G1211" s="15">
        <v>14.5</v>
      </c>
      <c r="H1211" s="165" t="s">
        <v>63</v>
      </c>
    </row>
    <row r="1212" spans="1:8">
      <c r="A1212" s="449" t="s">
        <v>583</v>
      </c>
      <c r="B1212" s="15">
        <v>9320257</v>
      </c>
      <c r="C1212" s="15">
        <v>97933</v>
      </c>
      <c r="D1212" s="15">
        <v>115700</v>
      </c>
      <c r="E1212" s="15">
        <v>9500</v>
      </c>
      <c r="F1212" s="15">
        <v>366.93</v>
      </c>
      <c r="G1212" s="15">
        <v>15</v>
      </c>
      <c r="H1212" s="165" t="s">
        <v>63</v>
      </c>
    </row>
    <row r="1213" spans="1:8">
      <c r="A1213" s="449" t="s">
        <v>585</v>
      </c>
      <c r="B1213" s="15">
        <v>9320245</v>
      </c>
      <c r="C1213" s="15">
        <v>97933</v>
      </c>
      <c r="D1213" s="15">
        <v>115700</v>
      </c>
      <c r="E1213" s="15">
        <v>9500</v>
      </c>
      <c r="F1213" s="15">
        <v>366.93</v>
      </c>
      <c r="G1213" s="15">
        <v>15</v>
      </c>
      <c r="H1213" s="165" t="s">
        <v>63</v>
      </c>
    </row>
    <row r="1214" spans="1:8">
      <c r="A1214" s="449" t="s">
        <v>590</v>
      </c>
      <c r="B1214" s="15">
        <v>9320233</v>
      </c>
      <c r="C1214" s="15">
        <v>97933</v>
      </c>
      <c r="D1214" s="15">
        <v>115700</v>
      </c>
      <c r="E1214" s="15">
        <v>9500</v>
      </c>
      <c r="F1214" s="15">
        <v>367</v>
      </c>
      <c r="G1214" s="15">
        <v>15</v>
      </c>
      <c r="H1214" s="165" t="s">
        <v>63</v>
      </c>
    </row>
    <row r="1215" spans="1:8">
      <c r="A1215" s="449" t="s">
        <v>595</v>
      </c>
      <c r="B1215" s="15">
        <v>9302889</v>
      </c>
      <c r="C1215" s="15">
        <v>97933</v>
      </c>
      <c r="D1215" s="15">
        <v>115700</v>
      </c>
      <c r="E1215" s="15">
        <v>9500</v>
      </c>
      <c r="F1215" s="15">
        <v>366.93</v>
      </c>
      <c r="G1215" s="15">
        <v>15</v>
      </c>
      <c r="H1215" s="165" t="s">
        <v>63</v>
      </c>
    </row>
    <row r="1216" spans="1:8">
      <c r="A1216" s="449" t="s">
        <v>597</v>
      </c>
      <c r="B1216" s="15">
        <v>9302877</v>
      </c>
      <c r="C1216" s="15">
        <v>97933</v>
      </c>
      <c r="D1216" s="15">
        <v>115700</v>
      </c>
      <c r="E1216" s="15">
        <v>9500</v>
      </c>
      <c r="F1216" s="15">
        <v>366.93</v>
      </c>
      <c r="G1216" s="15">
        <v>15</v>
      </c>
      <c r="H1216" s="165" t="s">
        <v>63</v>
      </c>
    </row>
    <row r="1217" spans="1:8">
      <c r="A1217" s="449" t="s">
        <v>599</v>
      </c>
      <c r="B1217" s="15">
        <v>9359026</v>
      </c>
      <c r="C1217" s="15">
        <v>98268</v>
      </c>
      <c r="D1217" s="15">
        <v>115993</v>
      </c>
      <c r="E1217" s="15">
        <v>9500</v>
      </c>
      <c r="F1217" s="15">
        <v>366.89</v>
      </c>
      <c r="G1217" s="15">
        <v>15.5</v>
      </c>
      <c r="H1217" s="165" t="s">
        <v>63</v>
      </c>
    </row>
    <row r="1218" spans="1:8">
      <c r="A1218" s="449" t="s">
        <v>600</v>
      </c>
      <c r="B1218" s="15">
        <v>9302891</v>
      </c>
      <c r="C1218" s="15">
        <v>97933</v>
      </c>
      <c r="D1218" s="15">
        <v>115700</v>
      </c>
      <c r="E1218" s="15">
        <v>9500</v>
      </c>
      <c r="F1218" s="15">
        <v>366.93</v>
      </c>
      <c r="G1218" s="15">
        <v>15</v>
      </c>
      <c r="H1218" s="165" t="s">
        <v>63</v>
      </c>
    </row>
    <row r="1219" spans="1:8">
      <c r="A1219" s="449" t="s">
        <v>602</v>
      </c>
      <c r="B1219" s="15">
        <v>9359040</v>
      </c>
      <c r="C1219" s="15">
        <v>98268</v>
      </c>
      <c r="D1219" s="15">
        <v>115993</v>
      </c>
      <c r="E1219" s="15">
        <v>9500</v>
      </c>
      <c r="F1219" s="15">
        <v>366.89</v>
      </c>
      <c r="G1219" s="15">
        <v>15.5</v>
      </c>
      <c r="H1219" s="165" t="s">
        <v>63</v>
      </c>
    </row>
    <row r="1220" spans="1:8">
      <c r="A1220" s="449" t="s">
        <v>324</v>
      </c>
      <c r="B1220" s="15">
        <v>9364992</v>
      </c>
      <c r="C1220" s="15">
        <v>108069</v>
      </c>
      <c r="D1220" s="15">
        <v>111737</v>
      </c>
      <c r="E1220" s="15">
        <v>9572</v>
      </c>
      <c r="F1220" s="15">
        <v>350.09</v>
      </c>
      <c r="G1220" s="15">
        <v>15</v>
      </c>
      <c r="H1220" s="165" t="s">
        <v>63</v>
      </c>
    </row>
    <row r="1221" spans="1:8">
      <c r="A1221" s="449" t="s">
        <v>443</v>
      </c>
      <c r="B1221" s="15">
        <v>9314258</v>
      </c>
      <c r="C1221" s="15">
        <v>108069</v>
      </c>
      <c r="D1221" s="15">
        <v>111737</v>
      </c>
      <c r="E1221" s="15">
        <v>9572</v>
      </c>
      <c r="F1221" s="15">
        <v>336.7</v>
      </c>
      <c r="G1221" s="15">
        <v>15</v>
      </c>
      <c r="H1221" s="165" t="s">
        <v>63</v>
      </c>
    </row>
    <row r="1222" spans="1:8">
      <c r="A1222" s="449" t="s">
        <v>749</v>
      </c>
      <c r="B1222" s="15">
        <v>9307243</v>
      </c>
      <c r="C1222" s="15">
        <v>108069</v>
      </c>
      <c r="D1222" s="15">
        <v>111737</v>
      </c>
      <c r="E1222" s="15">
        <v>9572</v>
      </c>
      <c r="F1222" s="15">
        <v>336.7</v>
      </c>
      <c r="G1222" s="15">
        <v>15</v>
      </c>
      <c r="H1222" s="165" t="s">
        <v>63</v>
      </c>
    </row>
    <row r="1223" spans="1:8">
      <c r="A1223" s="449" t="s">
        <v>1402</v>
      </c>
      <c r="B1223" s="15">
        <v>9307229</v>
      </c>
      <c r="C1223" s="15">
        <v>108069</v>
      </c>
      <c r="D1223" s="15">
        <v>111737</v>
      </c>
      <c r="E1223" s="15">
        <v>9572</v>
      </c>
      <c r="F1223" s="15">
        <v>336.7</v>
      </c>
      <c r="G1223" s="15">
        <v>15</v>
      </c>
      <c r="H1223" s="165" t="s">
        <v>63</v>
      </c>
    </row>
    <row r="1224" spans="1:8">
      <c r="A1224" s="449" t="s">
        <v>1592</v>
      </c>
      <c r="B1224" s="15">
        <v>9314246</v>
      </c>
      <c r="C1224" s="15">
        <v>108069</v>
      </c>
      <c r="D1224" s="15">
        <v>111571</v>
      </c>
      <c r="E1224" s="15">
        <v>9572</v>
      </c>
      <c r="F1224" s="15">
        <v>336.7</v>
      </c>
      <c r="G1224" s="15">
        <v>15.03</v>
      </c>
      <c r="H1224" s="165" t="s">
        <v>63</v>
      </c>
    </row>
    <row r="1225" spans="1:8">
      <c r="A1225" s="449" t="s">
        <v>1599</v>
      </c>
      <c r="B1225" s="15">
        <v>9314222</v>
      </c>
      <c r="C1225" s="15">
        <v>108069</v>
      </c>
      <c r="D1225" s="15">
        <v>111746</v>
      </c>
      <c r="E1225" s="15">
        <v>9572</v>
      </c>
      <c r="F1225" s="15">
        <v>336.7</v>
      </c>
      <c r="G1225" s="15">
        <v>15.03</v>
      </c>
      <c r="H1225" s="165" t="s">
        <v>63</v>
      </c>
    </row>
    <row r="1226" spans="1:8">
      <c r="A1226" s="449" t="s">
        <v>1601</v>
      </c>
      <c r="B1226" s="15">
        <v>9307217</v>
      </c>
      <c r="C1226" s="15">
        <v>108069</v>
      </c>
      <c r="D1226" s="15">
        <v>111889</v>
      </c>
      <c r="E1226" s="15">
        <v>9572</v>
      </c>
      <c r="F1226" s="15">
        <v>336.7</v>
      </c>
      <c r="G1226" s="15">
        <v>15.03</v>
      </c>
      <c r="H1226" s="165" t="s">
        <v>63</v>
      </c>
    </row>
    <row r="1227" spans="1:8">
      <c r="A1227" s="449" t="s">
        <v>452</v>
      </c>
      <c r="B1227" s="15">
        <v>9314234</v>
      </c>
      <c r="C1227" s="15">
        <v>108069</v>
      </c>
      <c r="D1227" s="15">
        <v>111737</v>
      </c>
      <c r="E1227" s="15">
        <v>9573</v>
      </c>
      <c r="F1227" s="15">
        <v>336.67</v>
      </c>
      <c r="G1227" s="15">
        <v>15</v>
      </c>
      <c r="H1227" s="165" t="s">
        <v>63</v>
      </c>
    </row>
    <row r="1228" spans="1:8">
      <c r="A1228" s="449" t="s">
        <v>1606</v>
      </c>
      <c r="B1228" s="15">
        <v>9307231</v>
      </c>
      <c r="C1228" s="15">
        <v>108069</v>
      </c>
      <c r="D1228" s="15">
        <v>117737</v>
      </c>
      <c r="E1228" s="15">
        <v>9574</v>
      </c>
      <c r="F1228" s="15">
        <v>336.7</v>
      </c>
      <c r="G1228" s="15">
        <v>15.03</v>
      </c>
      <c r="H1228" s="165" t="s">
        <v>63</v>
      </c>
    </row>
    <row r="1229" spans="1:8">
      <c r="A1229" s="449" t="s">
        <v>626</v>
      </c>
      <c r="B1229" s="15">
        <v>9588093</v>
      </c>
      <c r="C1229" s="15">
        <v>96790</v>
      </c>
      <c r="D1229" s="15">
        <v>97000</v>
      </c>
      <c r="E1229" s="15">
        <v>9592</v>
      </c>
      <c r="F1229" s="15">
        <v>332.15</v>
      </c>
      <c r="G1229" s="15">
        <v>14.03</v>
      </c>
      <c r="H1229" s="165" t="s">
        <v>63</v>
      </c>
    </row>
    <row r="1230" spans="1:8">
      <c r="A1230" s="449" t="s">
        <v>656</v>
      </c>
      <c r="B1230" s="15">
        <v>9566382</v>
      </c>
      <c r="C1230" s="15">
        <v>98800</v>
      </c>
      <c r="D1230" s="15">
        <v>97000</v>
      </c>
      <c r="E1230" s="15">
        <v>9592</v>
      </c>
      <c r="F1230" s="15">
        <v>332.15</v>
      </c>
      <c r="G1230" s="15">
        <v>14.03</v>
      </c>
      <c r="H1230" s="165" t="s">
        <v>63</v>
      </c>
    </row>
    <row r="1231" spans="1:8">
      <c r="A1231" s="449" t="s">
        <v>1285</v>
      </c>
      <c r="B1231" s="15">
        <v>9468308</v>
      </c>
      <c r="C1231" s="15">
        <v>105900</v>
      </c>
      <c r="D1231" s="15">
        <v>99500</v>
      </c>
      <c r="E1231" s="15">
        <v>9592</v>
      </c>
      <c r="F1231" s="15">
        <v>332.15</v>
      </c>
      <c r="G1231" s="15">
        <v>14</v>
      </c>
      <c r="H1231" s="165" t="s">
        <v>63</v>
      </c>
    </row>
    <row r="1232" spans="1:8">
      <c r="A1232" s="449" t="s">
        <v>228</v>
      </c>
      <c r="B1232" s="15">
        <v>9633953</v>
      </c>
      <c r="C1232" s="15">
        <v>118938</v>
      </c>
      <c r="D1232" s="15">
        <v>124426</v>
      </c>
      <c r="E1232" s="15">
        <v>9600</v>
      </c>
      <c r="F1232" s="15">
        <v>333.15</v>
      </c>
      <c r="G1232" s="15">
        <v>14</v>
      </c>
      <c r="H1232" s="165" t="s">
        <v>63</v>
      </c>
    </row>
    <row r="1233" spans="1:8">
      <c r="A1233" s="449" t="s">
        <v>637</v>
      </c>
      <c r="B1233" s="15">
        <v>9588081</v>
      </c>
      <c r="C1233" s="15">
        <v>98747</v>
      </c>
      <c r="D1233" s="15">
        <v>106000</v>
      </c>
      <c r="E1233" s="15">
        <v>9600</v>
      </c>
      <c r="F1233" s="15">
        <v>335</v>
      </c>
      <c r="G1233" s="15">
        <v>14.5</v>
      </c>
      <c r="H1233" s="165" t="s">
        <v>63</v>
      </c>
    </row>
    <row r="1234" spans="1:8">
      <c r="A1234" s="449" t="s">
        <v>207</v>
      </c>
      <c r="B1234" s="15">
        <v>9365790</v>
      </c>
      <c r="C1234" s="15">
        <v>111249</v>
      </c>
      <c r="D1234" s="15">
        <v>120934</v>
      </c>
      <c r="E1234" s="15">
        <v>9661</v>
      </c>
      <c r="F1234" s="15">
        <v>350.05</v>
      </c>
      <c r="G1234" s="15">
        <v>15</v>
      </c>
      <c r="H1234" s="165" t="s">
        <v>63</v>
      </c>
    </row>
    <row r="1235" spans="1:8">
      <c r="A1235" s="449" t="s">
        <v>289</v>
      </c>
      <c r="B1235" s="15">
        <v>9365805</v>
      </c>
      <c r="C1235" s="15">
        <v>111249</v>
      </c>
      <c r="D1235" s="15">
        <v>120944</v>
      </c>
      <c r="E1235" s="15">
        <v>9661</v>
      </c>
      <c r="F1235" s="15">
        <v>350.09</v>
      </c>
      <c r="G1235" s="15">
        <v>15</v>
      </c>
      <c r="H1235" s="165" t="s">
        <v>63</v>
      </c>
    </row>
    <row r="1236" spans="1:8">
      <c r="A1236" s="449" t="s">
        <v>329</v>
      </c>
      <c r="B1236" s="15">
        <v>9365788</v>
      </c>
      <c r="C1236" s="15">
        <v>111249</v>
      </c>
      <c r="D1236" s="15">
        <v>120853</v>
      </c>
      <c r="E1236" s="15">
        <v>9661</v>
      </c>
      <c r="F1236" s="15">
        <v>350.06</v>
      </c>
      <c r="G1236" s="15">
        <v>15</v>
      </c>
      <c r="H1236" s="165" t="s">
        <v>63</v>
      </c>
    </row>
    <row r="1237" spans="1:8">
      <c r="A1237" s="449" t="s">
        <v>586</v>
      </c>
      <c r="B1237" s="15">
        <v>9359052</v>
      </c>
      <c r="C1237" s="15">
        <v>98268</v>
      </c>
      <c r="D1237" s="15">
        <v>116100</v>
      </c>
      <c r="E1237" s="15">
        <v>9700</v>
      </c>
      <c r="F1237" s="15">
        <v>366.89</v>
      </c>
      <c r="G1237" s="15">
        <v>15.5</v>
      </c>
      <c r="H1237" s="165" t="s">
        <v>63</v>
      </c>
    </row>
    <row r="1238" spans="1:8">
      <c r="A1238" s="449" t="s">
        <v>588</v>
      </c>
      <c r="B1238" s="15">
        <v>9359002</v>
      </c>
      <c r="C1238" s="15">
        <v>98268</v>
      </c>
      <c r="D1238" s="15">
        <v>115993</v>
      </c>
      <c r="E1238" s="15">
        <v>9700</v>
      </c>
      <c r="F1238" s="15">
        <v>366.89</v>
      </c>
      <c r="G1238" s="15">
        <v>15.5</v>
      </c>
      <c r="H1238" s="165" t="s">
        <v>63</v>
      </c>
    </row>
    <row r="1239" spans="1:8">
      <c r="A1239" s="449" t="s">
        <v>598</v>
      </c>
      <c r="B1239" s="15">
        <v>9359014</v>
      </c>
      <c r="C1239" s="15">
        <v>98268</v>
      </c>
      <c r="D1239" s="15">
        <v>115993</v>
      </c>
      <c r="E1239" s="15">
        <v>9700</v>
      </c>
      <c r="F1239" s="15">
        <v>367</v>
      </c>
      <c r="G1239" s="15">
        <v>15.5</v>
      </c>
      <c r="H1239" s="165" t="s">
        <v>63</v>
      </c>
    </row>
    <row r="1240" spans="1:8">
      <c r="A1240" s="449" t="s">
        <v>218</v>
      </c>
      <c r="B1240" s="15">
        <v>9622241</v>
      </c>
      <c r="C1240" s="15">
        <v>118938</v>
      </c>
      <c r="D1240" s="15">
        <v>124500</v>
      </c>
      <c r="E1240" s="15">
        <v>9814</v>
      </c>
      <c r="F1240" s="15">
        <v>333.2</v>
      </c>
      <c r="G1240" s="15">
        <v>14</v>
      </c>
      <c r="H1240" s="165" t="s">
        <v>63</v>
      </c>
    </row>
    <row r="1241" spans="1:8">
      <c r="A1241" s="449" t="s">
        <v>219</v>
      </c>
      <c r="B1241" s="15">
        <v>9633939</v>
      </c>
      <c r="C1241" s="15">
        <v>118938</v>
      </c>
      <c r="D1241" s="15">
        <v>124500</v>
      </c>
      <c r="E1241" s="15">
        <v>9814</v>
      </c>
      <c r="F1241" s="15">
        <v>333.2</v>
      </c>
      <c r="G1241" s="15">
        <v>14</v>
      </c>
      <c r="H1241" s="165" t="s">
        <v>63</v>
      </c>
    </row>
    <row r="1242" spans="1:8">
      <c r="A1242" s="449" t="s">
        <v>220</v>
      </c>
      <c r="B1242" s="15">
        <v>9622239</v>
      </c>
      <c r="C1242" s="15">
        <v>118938</v>
      </c>
      <c r="D1242" s="15">
        <v>124500</v>
      </c>
      <c r="E1242" s="15">
        <v>9814</v>
      </c>
      <c r="F1242" s="15">
        <v>333.2</v>
      </c>
      <c r="G1242" s="15">
        <v>14</v>
      </c>
      <c r="H1242" s="165" t="s">
        <v>63</v>
      </c>
    </row>
    <row r="1243" spans="1:8">
      <c r="A1243" s="449" t="s">
        <v>223</v>
      </c>
      <c r="B1243" s="15">
        <v>9622227</v>
      </c>
      <c r="C1243" s="15">
        <v>118938</v>
      </c>
      <c r="D1243" s="15">
        <v>124500</v>
      </c>
      <c r="E1243" s="15">
        <v>9814</v>
      </c>
      <c r="F1243" s="15">
        <v>333.2</v>
      </c>
      <c r="G1243" s="15">
        <v>14</v>
      </c>
      <c r="H1243" s="165" t="s">
        <v>63</v>
      </c>
    </row>
    <row r="1244" spans="1:8">
      <c r="A1244" s="449" t="s">
        <v>225</v>
      </c>
      <c r="B1244" s="15">
        <v>9622215</v>
      </c>
      <c r="C1244" s="15">
        <v>118938</v>
      </c>
      <c r="D1244" s="15">
        <v>124500</v>
      </c>
      <c r="E1244" s="15">
        <v>9814</v>
      </c>
      <c r="F1244" s="15">
        <v>333.2</v>
      </c>
      <c r="G1244" s="15">
        <v>14</v>
      </c>
      <c r="H1244" s="165" t="s">
        <v>63</v>
      </c>
    </row>
    <row r="1245" spans="1:8">
      <c r="A1245" s="449" t="s">
        <v>226</v>
      </c>
      <c r="B1245" s="15">
        <v>9622203</v>
      </c>
      <c r="C1245" s="15">
        <v>118938</v>
      </c>
      <c r="D1245" s="15">
        <v>124458</v>
      </c>
      <c r="E1245" s="15">
        <v>9814</v>
      </c>
      <c r="F1245" s="15">
        <v>333</v>
      </c>
      <c r="G1245" s="15">
        <v>14</v>
      </c>
      <c r="H1245" s="165" t="s">
        <v>63</v>
      </c>
    </row>
    <row r="1246" spans="1:8">
      <c r="A1246" s="449" t="s">
        <v>227</v>
      </c>
      <c r="B1246" s="15">
        <v>9622253</v>
      </c>
      <c r="C1246" s="15">
        <v>119938</v>
      </c>
      <c r="D1246" s="15">
        <v>124500</v>
      </c>
      <c r="E1246" s="15">
        <v>9814</v>
      </c>
      <c r="F1246" s="15">
        <v>333.2</v>
      </c>
      <c r="G1246" s="15">
        <v>14</v>
      </c>
      <c r="H1246" s="165" t="s">
        <v>63</v>
      </c>
    </row>
    <row r="1247" spans="1:8">
      <c r="A1247" s="449" t="s">
        <v>321</v>
      </c>
      <c r="B1247" s="15">
        <v>9722675</v>
      </c>
      <c r="C1247" s="15">
        <v>94440</v>
      </c>
      <c r="D1247" s="15">
        <v>110525</v>
      </c>
      <c r="E1247" s="15">
        <v>9894</v>
      </c>
      <c r="F1247" s="15">
        <v>300</v>
      </c>
      <c r="G1247" s="15">
        <v>14</v>
      </c>
      <c r="H1247" s="165" t="s">
        <v>63</v>
      </c>
    </row>
    <row r="1248" spans="1:8">
      <c r="A1248" s="449" t="s">
        <v>164</v>
      </c>
      <c r="B1248" s="15">
        <v>9408865</v>
      </c>
      <c r="C1248" s="15">
        <v>100000</v>
      </c>
      <c r="D1248" s="15">
        <v>117000</v>
      </c>
      <c r="E1248" s="15">
        <v>9954</v>
      </c>
      <c r="F1248" s="15">
        <v>349.7</v>
      </c>
      <c r="G1248" s="15">
        <v>14.5</v>
      </c>
      <c r="H1248" s="165" t="s">
        <v>63</v>
      </c>
    </row>
    <row r="1249" spans="1:8">
      <c r="A1249" s="449" t="s">
        <v>165</v>
      </c>
      <c r="B1249" s="15">
        <v>9406738</v>
      </c>
      <c r="C1249" s="15">
        <v>100000</v>
      </c>
      <c r="D1249" s="15">
        <v>117000</v>
      </c>
      <c r="E1249" s="15">
        <v>9954</v>
      </c>
      <c r="F1249" s="15">
        <v>349.7</v>
      </c>
      <c r="G1249" s="15">
        <v>14.5</v>
      </c>
      <c r="H1249" s="165" t="s">
        <v>63</v>
      </c>
    </row>
    <row r="1250" spans="1:8">
      <c r="A1250" s="449" t="s">
        <v>619</v>
      </c>
      <c r="B1250" s="15">
        <v>9408841</v>
      </c>
      <c r="C1250" s="15">
        <v>113515</v>
      </c>
      <c r="D1250" s="15">
        <v>118712</v>
      </c>
      <c r="E1250" s="15">
        <v>9954</v>
      </c>
      <c r="F1250" s="15">
        <v>349.65</v>
      </c>
      <c r="G1250" s="15">
        <v>15.02</v>
      </c>
      <c r="H1250" s="165" t="s">
        <v>63</v>
      </c>
    </row>
    <row r="1251" spans="1:8">
      <c r="A1251" s="449" t="s">
        <v>621</v>
      </c>
      <c r="B1251" s="15">
        <v>9408877</v>
      </c>
      <c r="C1251" s="15">
        <v>100000</v>
      </c>
      <c r="D1251" s="15">
        <v>117000</v>
      </c>
      <c r="E1251" s="15">
        <v>9954</v>
      </c>
      <c r="F1251" s="15">
        <v>349.7</v>
      </c>
      <c r="G1251" s="15">
        <v>14.5</v>
      </c>
      <c r="H1251" s="165" t="s">
        <v>63</v>
      </c>
    </row>
    <row r="1252" spans="1:8">
      <c r="A1252" s="449" t="s">
        <v>1254</v>
      </c>
      <c r="B1252" s="15">
        <v>9408853</v>
      </c>
      <c r="C1252" s="15">
        <v>100000</v>
      </c>
      <c r="D1252" s="15">
        <v>118000</v>
      </c>
      <c r="E1252" s="15">
        <v>9954</v>
      </c>
      <c r="F1252" s="15">
        <v>349.7</v>
      </c>
      <c r="G1252" s="15">
        <v>15</v>
      </c>
      <c r="H1252" s="165" t="s">
        <v>63</v>
      </c>
    </row>
    <row r="1253" spans="1:8">
      <c r="A1253" s="449" t="s">
        <v>833</v>
      </c>
      <c r="B1253" s="15">
        <v>9725706</v>
      </c>
      <c r="C1253" s="15">
        <v>94730</v>
      </c>
      <c r="D1253" s="15">
        <v>117176</v>
      </c>
      <c r="E1253" s="15">
        <v>9962</v>
      </c>
      <c r="F1253" s="15">
        <v>300</v>
      </c>
      <c r="G1253" s="15">
        <v>14.5</v>
      </c>
      <c r="H1253" s="165" t="s">
        <v>63</v>
      </c>
    </row>
    <row r="1254" spans="1:8">
      <c r="A1254" s="449" t="s">
        <v>844</v>
      </c>
      <c r="B1254" s="15">
        <v>9726671</v>
      </c>
      <c r="C1254" s="15">
        <v>94730</v>
      </c>
      <c r="D1254" s="15">
        <v>117172</v>
      </c>
      <c r="E1254" s="15">
        <v>9962</v>
      </c>
      <c r="F1254" s="15">
        <v>300.39999999999998</v>
      </c>
      <c r="G1254" s="15">
        <v>14.5</v>
      </c>
      <c r="H1254" s="165" t="s">
        <v>63</v>
      </c>
    </row>
    <row r="1255" spans="1:8">
      <c r="A1255" s="449" t="s">
        <v>1019</v>
      </c>
      <c r="B1255" s="15">
        <v>9756731</v>
      </c>
      <c r="C1255" s="15">
        <v>102492</v>
      </c>
      <c r="D1255" s="15">
        <v>120500</v>
      </c>
      <c r="E1255" s="15">
        <v>9962</v>
      </c>
      <c r="F1255" s="15">
        <v>314.36</v>
      </c>
      <c r="G1255" s="15">
        <v>13.6</v>
      </c>
      <c r="H1255" s="165" t="s">
        <v>63</v>
      </c>
    </row>
    <row r="1256" spans="1:8">
      <c r="A1256" s="449" t="s">
        <v>1066</v>
      </c>
      <c r="B1256" s="15">
        <v>9770763</v>
      </c>
      <c r="C1256" s="15">
        <v>102492</v>
      </c>
      <c r="D1256" s="15">
        <v>120500</v>
      </c>
      <c r="E1256" s="15">
        <v>9962</v>
      </c>
      <c r="F1256" s="15">
        <v>314.33</v>
      </c>
      <c r="G1256" s="15">
        <v>13.6</v>
      </c>
      <c r="H1256" s="165" t="s">
        <v>63</v>
      </c>
    </row>
    <row r="1257" spans="1:8">
      <c r="A1257" s="449" t="s">
        <v>456</v>
      </c>
      <c r="B1257" s="15">
        <v>9697428</v>
      </c>
      <c r="C1257" s="15">
        <v>94730</v>
      </c>
      <c r="D1257" s="15">
        <v>117158</v>
      </c>
      <c r="E1257" s="15">
        <v>10000</v>
      </c>
      <c r="F1257" s="15">
        <v>299.94</v>
      </c>
      <c r="G1257" s="15">
        <v>14.5</v>
      </c>
      <c r="H1257" s="165" t="s">
        <v>63</v>
      </c>
    </row>
    <row r="1258" spans="1:8">
      <c r="A1258" s="449" t="s">
        <v>898</v>
      </c>
      <c r="B1258" s="15">
        <v>9713349</v>
      </c>
      <c r="C1258" s="15">
        <v>113042</v>
      </c>
      <c r="D1258" s="15">
        <v>119106</v>
      </c>
      <c r="E1258" s="15">
        <v>10000</v>
      </c>
      <c r="F1258" s="15">
        <v>336.94</v>
      </c>
      <c r="G1258" s="15">
        <v>15.5</v>
      </c>
      <c r="H1258" s="165" t="s">
        <v>63</v>
      </c>
    </row>
    <row r="1259" spans="1:8">
      <c r="A1259" s="449" t="s">
        <v>899</v>
      </c>
      <c r="B1259" s="15">
        <v>9713351</v>
      </c>
      <c r="C1259" s="15">
        <v>113042</v>
      </c>
      <c r="D1259" s="15">
        <v>119137</v>
      </c>
      <c r="E1259" s="15">
        <v>10000</v>
      </c>
      <c r="F1259" s="15">
        <v>337</v>
      </c>
      <c r="G1259" s="15">
        <v>15.52</v>
      </c>
      <c r="H1259" s="165" t="s">
        <v>63</v>
      </c>
    </row>
    <row r="1260" spans="1:8">
      <c r="A1260" s="449" t="s">
        <v>398</v>
      </c>
      <c r="B1260" s="15">
        <v>9355563</v>
      </c>
      <c r="C1260" s="15">
        <v>115776</v>
      </c>
      <c r="D1260" s="15">
        <v>111414</v>
      </c>
      <c r="E1260" s="15">
        <v>10001</v>
      </c>
      <c r="F1260" s="15">
        <v>348.5</v>
      </c>
      <c r="G1260" s="15">
        <v>14.5</v>
      </c>
      <c r="H1260" s="165" t="s">
        <v>63</v>
      </c>
    </row>
    <row r="1261" spans="1:8">
      <c r="A1261" s="449" t="s">
        <v>897</v>
      </c>
      <c r="B1261" s="15">
        <v>9713337</v>
      </c>
      <c r="C1261" s="15">
        <v>113042</v>
      </c>
      <c r="D1261" s="15">
        <v>119324</v>
      </c>
      <c r="E1261" s="15">
        <v>10010</v>
      </c>
      <c r="F1261" s="15">
        <v>337</v>
      </c>
      <c r="G1261" s="15">
        <v>15.5</v>
      </c>
      <c r="H1261" s="165" t="s">
        <v>63</v>
      </c>
    </row>
    <row r="1262" spans="1:8">
      <c r="A1262" s="449" t="s">
        <v>901</v>
      </c>
      <c r="B1262" s="15">
        <v>9685322</v>
      </c>
      <c r="C1262" s="15">
        <v>113042</v>
      </c>
      <c r="D1262" s="15">
        <v>115231</v>
      </c>
      <c r="E1262" s="15">
        <v>10010</v>
      </c>
      <c r="F1262" s="15">
        <v>337</v>
      </c>
      <c r="G1262" s="15">
        <v>15.22</v>
      </c>
      <c r="H1262" s="165" t="s">
        <v>63</v>
      </c>
    </row>
    <row r="1263" spans="1:8">
      <c r="A1263" s="449" t="s">
        <v>902</v>
      </c>
      <c r="B1263" s="15">
        <v>9685358</v>
      </c>
      <c r="C1263" s="15">
        <v>113042</v>
      </c>
      <c r="D1263" s="15">
        <v>115000</v>
      </c>
      <c r="E1263" s="15">
        <v>10010</v>
      </c>
      <c r="F1263" s="15">
        <v>337</v>
      </c>
      <c r="G1263" s="15">
        <v>15.22</v>
      </c>
      <c r="H1263" s="165" t="s">
        <v>63</v>
      </c>
    </row>
    <row r="1264" spans="1:8">
      <c r="A1264" s="449" t="s">
        <v>903</v>
      </c>
      <c r="B1264" s="15">
        <v>9685346</v>
      </c>
      <c r="C1264" s="15">
        <v>113042</v>
      </c>
      <c r="D1264" s="15">
        <v>111500</v>
      </c>
      <c r="E1264" s="15">
        <v>10010</v>
      </c>
      <c r="F1264" s="15">
        <v>337</v>
      </c>
      <c r="G1264" s="15">
        <v>15.22</v>
      </c>
      <c r="H1264" s="165" t="s">
        <v>63</v>
      </c>
    </row>
    <row r="1265" spans="1:8">
      <c r="A1265" s="449" t="s">
        <v>904</v>
      </c>
      <c r="B1265" s="15">
        <v>9685334</v>
      </c>
      <c r="C1265" s="15">
        <v>113042</v>
      </c>
      <c r="D1265" s="15">
        <v>115000</v>
      </c>
      <c r="E1265" s="15">
        <v>10010</v>
      </c>
      <c r="F1265" s="15">
        <v>337</v>
      </c>
      <c r="G1265" s="15">
        <v>15.22</v>
      </c>
      <c r="H1265" s="165" t="s">
        <v>63</v>
      </c>
    </row>
    <row r="1266" spans="1:8">
      <c r="A1266" s="449" t="s">
        <v>1469</v>
      </c>
      <c r="B1266" s="15">
        <v>9630365</v>
      </c>
      <c r="C1266" s="15">
        <v>113042</v>
      </c>
      <c r="D1266" s="15">
        <v>115177</v>
      </c>
      <c r="E1266" s="15">
        <v>10010</v>
      </c>
      <c r="F1266" s="15">
        <v>336.95</v>
      </c>
      <c r="G1266" s="15">
        <v>15.2</v>
      </c>
      <c r="H1266" s="165" t="s">
        <v>63</v>
      </c>
    </row>
    <row r="1267" spans="1:8">
      <c r="A1267" s="449" t="s">
        <v>438</v>
      </c>
      <c r="B1267" s="15">
        <v>9645918</v>
      </c>
      <c r="C1267" s="15">
        <v>116603</v>
      </c>
      <c r="D1267" s="15">
        <v>121800</v>
      </c>
      <c r="E1267" s="15">
        <v>10036</v>
      </c>
      <c r="F1267" s="15">
        <v>335.35</v>
      </c>
      <c r="G1267" s="15">
        <v>15</v>
      </c>
      <c r="H1267" s="165" t="s">
        <v>63</v>
      </c>
    </row>
    <row r="1268" spans="1:8">
      <c r="A1268" s="449" t="s">
        <v>448</v>
      </c>
      <c r="B1268" s="15">
        <v>9645920</v>
      </c>
      <c r="C1268" s="15">
        <v>116603</v>
      </c>
      <c r="D1268" s="15">
        <v>121800</v>
      </c>
      <c r="E1268" s="15">
        <v>10036</v>
      </c>
      <c r="F1268" s="15">
        <v>335.35</v>
      </c>
      <c r="G1268" s="15">
        <v>15</v>
      </c>
      <c r="H1268" s="165" t="s">
        <v>63</v>
      </c>
    </row>
    <row r="1269" spans="1:8">
      <c r="A1269" s="449" t="s">
        <v>377</v>
      </c>
      <c r="B1269" s="15">
        <v>9345427</v>
      </c>
      <c r="C1269" s="15">
        <v>114394</v>
      </c>
      <c r="D1269" s="15">
        <v>109950</v>
      </c>
      <c r="E1269" s="15">
        <v>10050</v>
      </c>
      <c r="F1269" s="15">
        <v>349.07</v>
      </c>
      <c r="G1269" s="15">
        <v>14.52</v>
      </c>
      <c r="H1269" s="165" t="s">
        <v>63</v>
      </c>
    </row>
    <row r="1270" spans="1:8">
      <c r="A1270" s="449" t="s">
        <v>1131</v>
      </c>
      <c r="B1270" s="15">
        <v>9725122</v>
      </c>
      <c r="C1270" s="15">
        <v>110632</v>
      </c>
      <c r="D1270" s="15">
        <v>124092</v>
      </c>
      <c r="E1270" s="15">
        <v>10055</v>
      </c>
      <c r="F1270" s="15">
        <v>322.7</v>
      </c>
      <c r="G1270" s="15">
        <v>13</v>
      </c>
      <c r="H1270" s="165" t="s">
        <v>63</v>
      </c>
    </row>
    <row r="1271" spans="1:8">
      <c r="A1271" s="449" t="s">
        <v>378</v>
      </c>
      <c r="B1271" s="15">
        <v>9345403</v>
      </c>
      <c r="C1271" s="15">
        <v>114394</v>
      </c>
      <c r="D1271" s="15">
        <v>109968</v>
      </c>
      <c r="E1271" s="15">
        <v>10060</v>
      </c>
      <c r="F1271" s="15">
        <v>349.07</v>
      </c>
      <c r="G1271" s="15">
        <v>14.53</v>
      </c>
      <c r="H1271" s="165" t="s">
        <v>63</v>
      </c>
    </row>
    <row r="1272" spans="1:8">
      <c r="A1272" s="449" t="s">
        <v>384</v>
      </c>
      <c r="B1272" s="15">
        <v>9345415</v>
      </c>
      <c r="C1272" s="15">
        <v>114394</v>
      </c>
      <c r="D1272" s="15">
        <v>109968</v>
      </c>
      <c r="E1272" s="15">
        <v>10060</v>
      </c>
      <c r="F1272" s="15">
        <v>349.07</v>
      </c>
      <c r="G1272" s="15">
        <v>14.52</v>
      </c>
      <c r="H1272" s="165" t="s">
        <v>63</v>
      </c>
    </row>
    <row r="1273" spans="1:8">
      <c r="A1273" s="449" t="s">
        <v>376</v>
      </c>
      <c r="B1273" s="15">
        <v>9345439</v>
      </c>
      <c r="C1273" s="15">
        <v>114394</v>
      </c>
      <c r="D1273" s="15">
        <v>110338</v>
      </c>
      <c r="E1273" s="15">
        <v>10061</v>
      </c>
      <c r="F1273" s="15">
        <v>349.07</v>
      </c>
      <c r="G1273" s="15">
        <v>14.5</v>
      </c>
      <c r="H1273" s="165" t="s">
        <v>63</v>
      </c>
    </row>
    <row r="1274" spans="1:8">
      <c r="A1274" s="449" t="s">
        <v>402</v>
      </c>
      <c r="B1274" s="15">
        <v>9334923</v>
      </c>
      <c r="C1274" s="15">
        <v>115776</v>
      </c>
      <c r="D1274" s="15">
        <v>111385</v>
      </c>
      <c r="E1274" s="15">
        <v>10062</v>
      </c>
      <c r="F1274" s="15">
        <v>348.5</v>
      </c>
      <c r="G1274" s="15">
        <v>14.5</v>
      </c>
      <c r="H1274" s="165" t="s">
        <v>63</v>
      </c>
    </row>
    <row r="1275" spans="1:8">
      <c r="A1275" s="449" t="s">
        <v>403</v>
      </c>
      <c r="B1275" s="15">
        <v>9355551</v>
      </c>
      <c r="C1275" s="15">
        <v>115776</v>
      </c>
      <c r="D1275" s="15">
        <v>111315</v>
      </c>
      <c r="E1275" s="15">
        <v>10062</v>
      </c>
      <c r="F1275" s="15">
        <v>348.5</v>
      </c>
      <c r="G1275" s="15">
        <v>14.5</v>
      </c>
      <c r="H1275" s="165" t="s">
        <v>63</v>
      </c>
    </row>
    <row r="1276" spans="1:8">
      <c r="A1276" s="449" t="s">
        <v>427</v>
      </c>
      <c r="B1276" s="15">
        <v>9355575</v>
      </c>
      <c r="C1276" s="15">
        <v>115933</v>
      </c>
      <c r="D1276" s="15">
        <v>111499</v>
      </c>
      <c r="E1276" s="15">
        <v>10062</v>
      </c>
      <c r="F1276" s="15">
        <v>348.5</v>
      </c>
      <c r="G1276" s="15">
        <v>14.5</v>
      </c>
      <c r="H1276" s="165" t="s">
        <v>63</v>
      </c>
    </row>
    <row r="1277" spans="1:8">
      <c r="A1277" s="449" t="s">
        <v>1544</v>
      </c>
      <c r="B1277" s="15">
        <v>9398462</v>
      </c>
      <c r="C1277" s="15">
        <v>107940</v>
      </c>
      <c r="D1277" s="15">
        <v>116400</v>
      </c>
      <c r="E1277" s="15">
        <v>10062</v>
      </c>
      <c r="F1277" s="15">
        <v>349</v>
      </c>
      <c r="G1277" s="15">
        <v>15</v>
      </c>
      <c r="H1277" s="165" t="s">
        <v>63</v>
      </c>
    </row>
    <row r="1278" spans="1:8">
      <c r="A1278" s="449" t="s">
        <v>1657</v>
      </c>
      <c r="B1278" s="15">
        <v>9398448</v>
      </c>
      <c r="C1278" s="15">
        <v>114044</v>
      </c>
      <c r="D1278" s="15">
        <v>116294</v>
      </c>
      <c r="E1278" s="15">
        <v>10062</v>
      </c>
      <c r="F1278" s="15">
        <v>349</v>
      </c>
      <c r="G1278" s="15">
        <v>13</v>
      </c>
      <c r="H1278" s="165" t="s">
        <v>63</v>
      </c>
    </row>
    <row r="1279" spans="1:8">
      <c r="A1279" s="449" t="s">
        <v>1659</v>
      </c>
      <c r="B1279" s="15">
        <v>9398436</v>
      </c>
      <c r="C1279" s="15">
        <v>114044</v>
      </c>
      <c r="D1279" s="15">
        <v>116440</v>
      </c>
      <c r="E1279" s="15">
        <v>10062</v>
      </c>
      <c r="F1279" s="15">
        <v>349</v>
      </c>
      <c r="G1279" s="15">
        <v>13</v>
      </c>
      <c r="H1279" s="165" t="s">
        <v>63</v>
      </c>
    </row>
    <row r="1280" spans="1:8">
      <c r="A1280" s="449" t="s">
        <v>1668</v>
      </c>
      <c r="B1280" s="15">
        <v>9398450</v>
      </c>
      <c r="C1280" s="15">
        <v>114044</v>
      </c>
      <c r="D1280" s="15">
        <v>116499</v>
      </c>
      <c r="E1280" s="15">
        <v>10062</v>
      </c>
      <c r="F1280" s="15">
        <v>349</v>
      </c>
      <c r="G1280" s="15">
        <v>15</v>
      </c>
      <c r="H1280" s="165" t="s">
        <v>63</v>
      </c>
    </row>
    <row r="1281" spans="1:8">
      <c r="A1281" s="449" t="s">
        <v>115</v>
      </c>
      <c r="B1281" s="15">
        <v>9461867</v>
      </c>
      <c r="C1281" s="15">
        <v>113735</v>
      </c>
      <c r="D1281" s="15">
        <v>122000</v>
      </c>
      <c r="E1281" s="15">
        <v>10070</v>
      </c>
      <c r="F1281" s="15">
        <v>349.27</v>
      </c>
      <c r="G1281" s="15">
        <v>14.5</v>
      </c>
      <c r="H1281" s="165" t="s">
        <v>63</v>
      </c>
    </row>
    <row r="1282" spans="1:8">
      <c r="A1282" s="449" t="s">
        <v>122</v>
      </c>
      <c r="B1282" s="15">
        <v>9461879</v>
      </c>
      <c r="C1282" s="15">
        <v>122000</v>
      </c>
      <c r="D1282" s="15">
        <v>113735</v>
      </c>
      <c r="E1282" s="15">
        <v>10070</v>
      </c>
      <c r="F1282" s="15">
        <v>349.27</v>
      </c>
      <c r="G1282" s="15">
        <v>15.52</v>
      </c>
      <c r="H1282" s="165" t="s">
        <v>63</v>
      </c>
    </row>
    <row r="1283" spans="1:8">
      <c r="A1283" s="449" t="s">
        <v>124</v>
      </c>
      <c r="B1283" s="15">
        <v>9461881</v>
      </c>
      <c r="C1283" s="15">
        <v>114000</v>
      </c>
      <c r="D1283" s="15">
        <v>120000</v>
      </c>
      <c r="E1283" s="15">
        <v>10070</v>
      </c>
      <c r="F1283" s="15">
        <v>349</v>
      </c>
      <c r="G1283" s="15">
        <v>14.5</v>
      </c>
      <c r="H1283" s="165" t="s">
        <v>63</v>
      </c>
    </row>
    <row r="1284" spans="1:8">
      <c r="A1284" s="449" t="s">
        <v>138</v>
      </c>
      <c r="B1284" s="15">
        <v>9461893</v>
      </c>
      <c r="C1284" s="15">
        <v>113735</v>
      </c>
      <c r="D1284" s="15">
        <v>122000</v>
      </c>
      <c r="E1284" s="15">
        <v>10070</v>
      </c>
      <c r="F1284" s="15">
        <v>349</v>
      </c>
      <c r="G1284" s="15">
        <v>15.52</v>
      </c>
      <c r="H1284" s="165" t="s">
        <v>63</v>
      </c>
    </row>
    <row r="1285" spans="1:8">
      <c r="A1285" s="449" t="s">
        <v>144</v>
      </c>
      <c r="B1285" s="15">
        <v>9462017</v>
      </c>
      <c r="C1285" s="15">
        <v>128929</v>
      </c>
      <c r="D1285" s="15">
        <v>131358</v>
      </c>
      <c r="E1285" s="15">
        <v>10070</v>
      </c>
      <c r="F1285" s="15">
        <v>349</v>
      </c>
      <c r="G1285" s="15">
        <v>14.5</v>
      </c>
      <c r="H1285" s="165" t="s">
        <v>63</v>
      </c>
    </row>
    <row r="1286" spans="1:8">
      <c r="A1286" s="449" t="s">
        <v>1193</v>
      </c>
      <c r="B1286" s="15">
        <v>9725146</v>
      </c>
      <c r="C1286" s="15">
        <v>110632</v>
      </c>
      <c r="D1286" s="15">
        <v>124092</v>
      </c>
      <c r="E1286" s="15">
        <v>10081</v>
      </c>
      <c r="F1286" s="15">
        <v>324</v>
      </c>
      <c r="G1286" s="15">
        <v>13</v>
      </c>
      <c r="H1286" s="165" t="s">
        <v>63</v>
      </c>
    </row>
    <row r="1287" spans="1:8">
      <c r="A1287" s="449" t="s">
        <v>314</v>
      </c>
      <c r="B1287" s="15">
        <v>9778131</v>
      </c>
      <c r="C1287" s="15">
        <v>112967</v>
      </c>
      <c r="D1287" s="15">
        <v>119000</v>
      </c>
      <c r="E1287" s="15">
        <v>10100</v>
      </c>
      <c r="F1287" s="15">
        <v>335.93</v>
      </c>
      <c r="G1287" s="15">
        <v>15.52</v>
      </c>
      <c r="H1287" s="165" t="s">
        <v>63</v>
      </c>
    </row>
    <row r="1288" spans="1:8">
      <c r="A1288" s="449" t="s">
        <v>802</v>
      </c>
      <c r="B1288" s="15">
        <v>9739680</v>
      </c>
      <c r="C1288" s="15">
        <v>113042</v>
      </c>
      <c r="D1288" s="15">
        <v>118000</v>
      </c>
      <c r="E1288" s="15">
        <v>10100</v>
      </c>
      <c r="F1288" s="15">
        <v>336.94</v>
      </c>
      <c r="G1288" s="15">
        <v>15.52</v>
      </c>
      <c r="H1288" s="165" t="s">
        <v>63</v>
      </c>
    </row>
    <row r="1289" spans="1:8">
      <c r="A1289" s="449" t="s">
        <v>803</v>
      </c>
      <c r="B1289" s="15">
        <v>9739692</v>
      </c>
      <c r="C1289" s="15">
        <v>113042</v>
      </c>
      <c r="D1289" s="15">
        <v>118000</v>
      </c>
      <c r="E1289" s="15">
        <v>10100</v>
      </c>
      <c r="F1289" s="15">
        <v>336.96</v>
      </c>
      <c r="G1289" s="15">
        <v>15.52</v>
      </c>
      <c r="H1289" s="165" t="s">
        <v>63</v>
      </c>
    </row>
    <row r="1290" spans="1:8">
      <c r="A1290" s="449" t="s">
        <v>804</v>
      </c>
      <c r="B1290" s="15">
        <v>9713375</v>
      </c>
      <c r="C1290" s="15">
        <v>113042</v>
      </c>
      <c r="D1290" s="15">
        <v>119510</v>
      </c>
      <c r="E1290" s="15">
        <v>10100</v>
      </c>
      <c r="F1290" s="15">
        <v>337</v>
      </c>
      <c r="G1290" s="15">
        <v>15.52</v>
      </c>
      <c r="H1290" s="165" t="s">
        <v>63</v>
      </c>
    </row>
    <row r="1291" spans="1:8">
      <c r="A1291" s="449" t="s">
        <v>805</v>
      </c>
      <c r="B1291" s="15">
        <v>9727871</v>
      </c>
      <c r="C1291" s="15">
        <v>113042</v>
      </c>
      <c r="D1291" s="15">
        <v>119359</v>
      </c>
      <c r="E1291" s="15">
        <v>10100</v>
      </c>
      <c r="F1291" s="15">
        <v>337</v>
      </c>
      <c r="G1291" s="15">
        <v>15.52</v>
      </c>
      <c r="H1291" s="165" t="s">
        <v>63</v>
      </c>
    </row>
    <row r="1292" spans="1:8">
      <c r="A1292" s="449" t="s">
        <v>900</v>
      </c>
      <c r="B1292" s="15">
        <v>9739678</v>
      </c>
      <c r="C1292" s="15">
        <v>113042</v>
      </c>
      <c r="D1292" s="15">
        <v>119368</v>
      </c>
      <c r="E1292" s="15">
        <v>10100</v>
      </c>
      <c r="F1292" s="15">
        <v>336.94</v>
      </c>
      <c r="G1292" s="15">
        <v>15.52</v>
      </c>
      <c r="H1292" s="165" t="s">
        <v>63</v>
      </c>
    </row>
    <row r="1293" spans="1:8">
      <c r="A1293" s="449" t="s">
        <v>1466</v>
      </c>
      <c r="B1293" s="15">
        <v>9630391</v>
      </c>
      <c r="C1293" s="15">
        <v>113042</v>
      </c>
      <c r="D1293" s="15">
        <v>115260</v>
      </c>
      <c r="E1293" s="15">
        <v>10100</v>
      </c>
      <c r="F1293" s="15">
        <v>336.92</v>
      </c>
      <c r="G1293" s="15">
        <v>15.22</v>
      </c>
      <c r="H1293" s="165" t="s">
        <v>63</v>
      </c>
    </row>
    <row r="1294" spans="1:8">
      <c r="A1294" s="449" t="s">
        <v>1470</v>
      </c>
      <c r="B1294" s="15">
        <v>9630418</v>
      </c>
      <c r="C1294" s="15">
        <v>113042</v>
      </c>
      <c r="D1294" s="15">
        <v>115159</v>
      </c>
      <c r="E1294" s="15">
        <v>10100</v>
      </c>
      <c r="F1294" s="15">
        <v>337</v>
      </c>
      <c r="G1294" s="15">
        <v>15.2</v>
      </c>
      <c r="H1294" s="165" t="s">
        <v>63</v>
      </c>
    </row>
    <row r="1295" spans="1:8">
      <c r="A1295" s="449" t="s">
        <v>1478</v>
      </c>
      <c r="B1295" s="15">
        <v>9630377</v>
      </c>
      <c r="C1295" s="15">
        <v>113042</v>
      </c>
      <c r="D1295" s="15">
        <v>115304</v>
      </c>
      <c r="E1295" s="15">
        <v>10100</v>
      </c>
      <c r="F1295" s="15">
        <v>336.9</v>
      </c>
      <c r="G1295" s="15">
        <v>15.5</v>
      </c>
      <c r="H1295" s="165" t="s">
        <v>63</v>
      </c>
    </row>
    <row r="1296" spans="1:8">
      <c r="A1296" s="449" t="s">
        <v>1479</v>
      </c>
      <c r="B1296" s="15">
        <v>9630389</v>
      </c>
      <c r="C1296" s="15">
        <v>113042</v>
      </c>
      <c r="D1296" s="15">
        <v>115318</v>
      </c>
      <c r="E1296" s="15">
        <v>10100</v>
      </c>
      <c r="F1296" s="15">
        <v>337</v>
      </c>
      <c r="G1296" s="15">
        <v>15.22</v>
      </c>
      <c r="H1296" s="165" t="s">
        <v>63</v>
      </c>
    </row>
    <row r="1297" spans="1:8">
      <c r="A1297" s="449" t="s">
        <v>1480</v>
      </c>
      <c r="B1297" s="15">
        <v>9630406</v>
      </c>
      <c r="C1297" s="15">
        <v>113042</v>
      </c>
      <c r="D1297" s="15">
        <v>115086</v>
      </c>
      <c r="E1297" s="15">
        <v>10100</v>
      </c>
      <c r="F1297" s="15">
        <v>336</v>
      </c>
      <c r="G1297" s="15">
        <v>15.5</v>
      </c>
      <c r="H1297" s="165" t="s">
        <v>63</v>
      </c>
    </row>
    <row r="1298" spans="1:8">
      <c r="A1298" s="449" t="s">
        <v>567</v>
      </c>
      <c r="B1298" s="15">
        <v>9484948</v>
      </c>
      <c r="C1298" s="15">
        <v>110000</v>
      </c>
      <c r="D1298" s="15">
        <v>121960</v>
      </c>
      <c r="E1298" s="15">
        <v>10114</v>
      </c>
      <c r="F1298" s="15">
        <v>349</v>
      </c>
      <c r="G1298" s="15">
        <v>13</v>
      </c>
      <c r="H1298" s="165" t="s">
        <v>63</v>
      </c>
    </row>
    <row r="1299" spans="1:8">
      <c r="A1299" s="449" t="s">
        <v>568</v>
      </c>
      <c r="B1299" s="15">
        <v>9484924</v>
      </c>
      <c r="C1299" s="15">
        <v>110000</v>
      </c>
      <c r="D1299" s="15">
        <v>121960</v>
      </c>
      <c r="E1299" s="15">
        <v>10114</v>
      </c>
      <c r="F1299" s="15">
        <v>349</v>
      </c>
      <c r="G1299" s="15">
        <v>15.52</v>
      </c>
      <c r="H1299" s="165" t="s">
        <v>63</v>
      </c>
    </row>
    <row r="1300" spans="1:8">
      <c r="A1300" s="449" t="s">
        <v>569</v>
      </c>
      <c r="B1300" s="15">
        <v>9484936</v>
      </c>
      <c r="C1300" s="15">
        <v>110000</v>
      </c>
      <c r="D1300" s="15">
        <v>121960</v>
      </c>
      <c r="E1300" s="15">
        <v>10114</v>
      </c>
      <c r="F1300" s="15">
        <v>349</v>
      </c>
      <c r="G1300" s="15">
        <v>13</v>
      </c>
      <c r="H1300" s="165" t="s">
        <v>63</v>
      </c>
    </row>
    <row r="1301" spans="1:8">
      <c r="A1301" s="449" t="s">
        <v>224</v>
      </c>
      <c r="B1301" s="15">
        <v>9633941</v>
      </c>
      <c r="C1301" s="15">
        <v>118938</v>
      </c>
      <c r="D1301" s="15">
        <v>124500</v>
      </c>
      <c r="E1301" s="15">
        <v>10500</v>
      </c>
      <c r="F1301" s="15">
        <v>333.2</v>
      </c>
      <c r="G1301" s="15">
        <v>14</v>
      </c>
      <c r="H1301" s="165" t="s">
        <v>63</v>
      </c>
    </row>
    <row r="1302" spans="1:8">
      <c r="A1302" s="449" t="s">
        <v>229</v>
      </c>
      <c r="B1302" s="15">
        <v>9633965</v>
      </c>
      <c r="C1302" s="15">
        <v>118938</v>
      </c>
      <c r="D1302" s="15">
        <v>124426</v>
      </c>
      <c r="E1302" s="15">
        <v>10500</v>
      </c>
      <c r="F1302" s="15">
        <v>333</v>
      </c>
      <c r="G1302" s="15">
        <v>14</v>
      </c>
      <c r="H1302" s="165" t="s">
        <v>63</v>
      </c>
    </row>
    <row r="1303" spans="1:8">
      <c r="A1303" s="449" t="s">
        <v>1567</v>
      </c>
      <c r="B1303" s="15">
        <v>9777589</v>
      </c>
      <c r="C1303" s="15">
        <v>116000</v>
      </c>
      <c r="D1303" s="15">
        <v>120000</v>
      </c>
      <c r="E1303" s="15">
        <v>10500</v>
      </c>
      <c r="F1303" s="15">
        <v>333</v>
      </c>
      <c r="G1303" s="15">
        <v>14</v>
      </c>
      <c r="H1303" s="165" t="s">
        <v>63</v>
      </c>
    </row>
    <row r="1304" spans="1:8">
      <c r="A1304" s="449" t="s">
        <v>211</v>
      </c>
      <c r="B1304" s="15">
        <v>9777606</v>
      </c>
      <c r="C1304" s="15">
        <v>116000</v>
      </c>
      <c r="D1304" s="15">
        <v>120000</v>
      </c>
      <c r="E1304" s="15">
        <v>10589</v>
      </c>
      <c r="F1304" s="15">
        <v>333</v>
      </c>
      <c r="G1304" s="15">
        <v>14</v>
      </c>
      <c r="H1304" s="165" t="s">
        <v>63</v>
      </c>
    </row>
    <row r="1305" spans="1:8">
      <c r="A1305" s="449" t="s">
        <v>596</v>
      </c>
      <c r="B1305" s="15">
        <v>9777620</v>
      </c>
      <c r="C1305" s="15">
        <v>116000</v>
      </c>
      <c r="D1305" s="15">
        <v>120000</v>
      </c>
      <c r="E1305" s="15">
        <v>10589</v>
      </c>
      <c r="F1305" s="15">
        <v>333</v>
      </c>
      <c r="G1305" s="15">
        <v>14</v>
      </c>
      <c r="H1305" s="165" t="s">
        <v>63</v>
      </c>
    </row>
    <row r="1306" spans="1:8">
      <c r="A1306" s="449" t="s">
        <v>221</v>
      </c>
      <c r="B1306" s="15">
        <v>9717204</v>
      </c>
      <c r="C1306" s="15">
        <v>118615</v>
      </c>
      <c r="D1306" s="15">
        <v>123101</v>
      </c>
      <c r="E1306" s="15">
        <v>10600</v>
      </c>
      <c r="F1306" s="15">
        <v>331.1</v>
      </c>
      <c r="G1306" s="15">
        <v>14</v>
      </c>
      <c r="H1306" s="165" t="s">
        <v>63</v>
      </c>
    </row>
    <row r="1307" spans="1:8">
      <c r="A1307" s="449" t="s">
        <v>222</v>
      </c>
      <c r="B1307" s="15">
        <v>9717216</v>
      </c>
      <c r="C1307" s="15">
        <v>118615</v>
      </c>
      <c r="D1307" s="15">
        <v>123205</v>
      </c>
      <c r="E1307" s="15">
        <v>10600</v>
      </c>
      <c r="F1307" s="15">
        <v>331</v>
      </c>
      <c r="G1307" s="15">
        <v>14</v>
      </c>
      <c r="H1307" s="165" t="s">
        <v>63</v>
      </c>
    </row>
    <row r="1308" spans="1:8">
      <c r="A1308" s="449" t="s">
        <v>113</v>
      </c>
      <c r="B1308" s="15">
        <v>9462043</v>
      </c>
      <c r="C1308" s="15">
        <v>128929</v>
      </c>
      <c r="D1308" s="15">
        <v>131400</v>
      </c>
      <c r="E1308" s="15">
        <v>10700</v>
      </c>
      <c r="F1308" s="15">
        <v>347</v>
      </c>
      <c r="G1308" s="15">
        <v>15.5</v>
      </c>
      <c r="H1308" s="165" t="s">
        <v>63</v>
      </c>
    </row>
    <row r="1309" spans="1:8">
      <c r="A1309" s="449" t="s">
        <v>118</v>
      </c>
      <c r="B1309" s="15">
        <v>9601314</v>
      </c>
      <c r="C1309" s="15">
        <v>128929</v>
      </c>
      <c r="D1309" s="15">
        <v>131400</v>
      </c>
      <c r="E1309" s="15">
        <v>10700</v>
      </c>
      <c r="F1309" s="15">
        <v>250</v>
      </c>
      <c r="G1309" s="15">
        <v>15.5</v>
      </c>
      <c r="H1309" s="165" t="s">
        <v>63</v>
      </c>
    </row>
    <row r="1310" spans="1:8">
      <c r="A1310" s="449" t="s">
        <v>135</v>
      </c>
      <c r="B1310" s="15">
        <v>9601302</v>
      </c>
      <c r="C1310" s="15">
        <v>128929</v>
      </c>
      <c r="D1310" s="15">
        <v>131400</v>
      </c>
      <c r="E1310" s="15">
        <v>10700</v>
      </c>
      <c r="F1310" s="15">
        <v>347</v>
      </c>
      <c r="G1310" s="15">
        <v>15.5</v>
      </c>
      <c r="H1310" s="165" t="s">
        <v>63</v>
      </c>
    </row>
    <row r="1311" spans="1:8">
      <c r="A1311" s="449" t="s">
        <v>140</v>
      </c>
      <c r="B1311" s="15">
        <v>9462029</v>
      </c>
      <c r="C1311" s="15">
        <v>128929</v>
      </c>
      <c r="D1311" s="15">
        <v>128760</v>
      </c>
      <c r="E1311" s="15">
        <v>10700</v>
      </c>
      <c r="F1311" s="15">
        <v>347</v>
      </c>
      <c r="G1311" s="15">
        <v>11.9</v>
      </c>
      <c r="H1311" s="165" t="s">
        <v>63</v>
      </c>
    </row>
    <row r="1312" spans="1:8">
      <c r="A1312" s="449" t="s">
        <v>148</v>
      </c>
      <c r="B1312" s="15">
        <v>9462031</v>
      </c>
      <c r="C1312" s="15">
        <v>128929</v>
      </c>
      <c r="D1312" s="15">
        <v>131400</v>
      </c>
      <c r="E1312" s="15">
        <v>10700</v>
      </c>
      <c r="F1312" s="15">
        <v>347</v>
      </c>
      <c r="G1312" s="15">
        <v>14.5</v>
      </c>
      <c r="H1312" s="165" t="s">
        <v>63</v>
      </c>
    </row>
    <row r="1313" spans="1:8">
      <c r="A1313" s="449" t="s">
        <v>998</v>
      </c>
      <c r="B1313" s="15">
        <v>9756729</v>
      </c>
      <c r="C1313" s="15">
        <v>102492</v>
      </c>
      <c r="D1313" s="15">
        <v>120500</v>
      </c>
      <c r="E1313" s="15">
        <v>10776</v>
      </c>
      <c r="F1313" s="15">
        <v>314.31</v>
      </c>
      <c r="G1313" s="15">
        <v>13.6</v>
      </c>
      <c r="H1313" s="165" t="s">
        <v>63</v>
      </c>
    </row>
    <row r="1314" spans="1:8">
      <c r="A1314" s="449" t="s">
        <v>238</v>
      </c>
      <c r="B1314" s="15">
        <v>9777618</v>
      </c>
      <c r="C1314" s="15">
        <v>118945</v>
      </c>
      <c r="D1314" s="15">
        <v>123490</v>
      </c>
      <c r="E1314" s="15">
        <v>10818</v>
      </c>
      <c r="F1314" s="15">
        <v>333</v>
      </c>
      <c r="G1314" s="15">
        <v>14</v>
      </c>
      <c r="H1314" s="165" t="s">
        <v>63</v>
      </c>
    </row>
    <row r="1315" spans="1:8">
      <c r="A1315" s="449" t="s">
        <v>1451</v>
      </c>
      <c r="B1315" s="15">
        <v>9777632</v>
      </c>
      <c r="C1315" s="15">
        <v>118945</v>
      </c>
      <c r="D1315" s="15">
        <v>52240</v>
      </c>
      <c r="E1315" s="15">
        <v>10818</v>
      </c>
      <c r="F1315" s="15">
        <v>333.2</v>
      </c>
      <c r="G1315" s="15">
        <v>14</v>
      </c>
      <c r="H1315" s="165" t="s">
        <v>63</v>
      </c>
    </row>
    <row r="1316" spans="1:8">
      <c r="A1316" s="449" t="s">
        <v>315</v>
      </c>
      <c r="B1316" s="15">
        <v>9356311</v>
      </c>
      <c r="C1316" s="15">
        <v>128600</v>
      </c>
      <c r="D1316" s="15">
        <v>131830</v>
      </c>
      <c r="E1316" s="15">
        <v>10960</v>
      </c>
      <c r="F1316" s="15">
        <v>347.48</v>
      </c>
      <c r="G1316" s="15">
        <v>15.52</v>
      </c>
      <c r="H1316" s="165" t="s">
        <v>63</v>
      </c>
    </row>
    <row r="1317" spans="1:8">
      <c r="A1317" s="449" t="s">
        <v>351</v>
      </c>
      <c r="B1317" s="15">
        <v>9354923</v>
      </c>
      <c r="C1317" s="15">
        <v>128600</v>
      </c>
      <c r="D1317" s="15">
        <v>131831</v>
      </c>
      <c r="E1317" s="15">
        <v>10960</v>
      </c>
      <c r="F1317" s="15">
        <v>347.48</v>
      </c>
      <c r="G1317" s="15">
        <v>15.53</v>
      </c>
      <c r="H1317" s="165" t="s">
        <v>63</v>
      </c>
    </row>
    <row r="1318" spans="1:8">
      <c r="A1318" s="449" t="s">
        <v>1117</v>
      </c>
      <c r="B1318" s="15">
        <v>9778088</v>
      </c>
      <c r="C1318" s="15">
        <v>112300</v>
      </c>
      <c r="D1318" s="15">
        <v>133000</v>
      </c>
      <c r="E1318" s="15">
        <v>11000</v>
      </c>
      <c r="F1318" s="15">
        <v>330</v>
      </c>
      <c r="G1318" s="15">
        <v>12.5</v>
      </c>
      <c r="H1318" s="165" t="s">
        <v>63</v>
      </c>
    </row>
    <row r="1319" spans="1:8">
      <c r="A1319" s="449" t="s">
        <v>1151</v>
      </c>
      <c r="B1319" s="15">
        <v>9778117</v>
      </c>
      <c r="C1319" s="15">
        <v>113112</v>
      </c>
      <c r="D1319" s="15">
        <v>133000</v>
      </c>
      <c r="E1319" s="15">
        <v>11000</v>
      </c>
      <c r="F1319" s="15">
        <v>330</v>
      </c>
      <c r="G1319" s="15">
        <v>16</v>
      </c>
      <c r="H1319" s="165" t="s">
        <v>63</v>
      </c>
    </row>
    <row r="1320" spans="1:8">
      <c r="A1320" s="449" t="s">
        <v>1201</v>
      </c>
      <c r="B1320" s="15">
        <v>9778105</v>
      </c>
      <c r="C1320" s="15">
        <v>113112</v>
      </c>
      <c r="D1320" s="15">
        <v>133000</v>
      </c>
      <c r="E1320" s="15">
        <v>11000</v>
      </c>
      <c r="F1320" s="15">
        <v>330.03</v>
      </c>
      <c r="G1320" s="15">
        <v>16</v>
      </c>
      <c r="H1320" s="165" t="s">
        <v>63</v>
      </c>
    </row>
    <row r="1321" spans="1:8">
      <c r="A1321" s="449" t="s">
        <v>1202</v>
      </c>
      <c r="B1321" s="15">
        <v>9778076</v>
      </c>
      <c r="C1321" s="15">
        <v>113112</v>
      </c>
      <c r="D1321" s="15">
        <v>110000</v>
      </c>
      <c r="E1321" s="15">
        <v>11000</v>
      </c>
      <c r="F1321" s="15">
        <v>330</v>
      </c>
      <c r="G1321" s="15">
        <v>16</v>
      </c>
      <c r="H1321" s="165" t="s">
        <v>63</v>
      </c>
    </row>
    <row r="1322" spans="1:8">
      <c r="A1322" s="449" t="s">
        <v>1239</v>
      </c>
      <c r="B1322" s="15">
        <v>9778090</v>
      </c>
      <c r="C1322" s="15">
        <v>113112</v>
      </c>
      <c r="D1322" s="15">
        <v>133000</v>
      </c>
      <c r="E1322" s="15">
        <v>11000</v>
      </c>
      <c r="F1322" s="15">
        <v>330</v>
      </c>
      <c r="G1322" s="15">
        <v>16</v>
      </c>
      <c r="H1322" s="165" t="s">
        <v>63</v>
      </c>
    </row>
    <row r="1323" spans="1:8">
      <c r="A1323" s="449" t="s">
        <v>344</v>
      </c>
      <c r="B1323" s="15">
        <v>9356294</v>
      </c>
      <c r="C1323" s="15">
        <v>128600</v>
      </c>
      <c r="D1323" s="15">
        <v>131938</v>
      </c>
      <c r="E1323" s="15">
        <v>11038</v>
      </c>
      <c r="F1323" s="15">
        <v>347.48</v>
      </c>
      <c r="G1323" s="15">
        <v>15.5</v>
      </c>
      <c r="H1323" s="165" t="s">
        <v>63</v>
      </c>
    </row>
    <row r="1324" spans="1:8">
      <c r="A1324" s="449" t="s">
        <v>288</v>
      </c>
      <c r="B1324" s="15">
        <v>9356309</v>
      </c>
      <c r="C1324" s="15">
        <v>128600</v>
      </c>
      <c r="D1324" s="15">
        <v>131831</v>
      </c>
      <c r="E1324" s="15">
        <v>11040</v>
      </c>
      <c r="F1324" s="15">
        <v>347.17</v>
      </c>
      <c r="G1324" s="15">
        <v>15.05</v>
      </c>
      <c r="H1324" s="165" t="s">
        <v>63</v>
      </c>
    </row>
    <row r="1325" spans="1:8">
      <c r="A1325" s="449" t="s">
        <v>1064</v>
      </c>
      <c r="B1325" s="15">
        <v>9401116</v>
      </c>
      <c r="C1325" s="15">
        <v>131771</v>
      </c>
      <c r="D1325" s="15">
        <v>131356</v>
      </c>
      <c r="E1325" s="15">
        <v>11312</v>
      </c>
      <c r="F1325" s="15">
        <v>363.57</v>
      </c>
      <c r="G1325" s="15">
        <v>15.5</v>
      </c>
      <c r="H1325" s="165" t="s">
        <v>63</v>
      </c>
    </row>
    <row r="1326" spans="1:8">
      <c r="A1326" s="449" t="s">
        <v>1078</v>
      </c>
      <c r="B1326" s="15">
        <v>9398371</v>
      </c>
      <c r="C1326" s="15">
        <v>131771</v>
      </c>
      <c r="D1326" s="15">
        <v>131489</v>
      </c>
      <c r="E1326" s="15">
        <v>11312</v>
      </c>
      <c r="F1326" s="15">
        <v>363.57</v>
      </c>
      <c r="G1326" s="15">
        <v>15</v>
      </c>
      <c r="H1326" s="165" t="s">
        <v>63</v>
      </c>
    </row>
    <row r="1327" spans="1:8">
      <c r="A1327" s="449" t="s">
        <v>1112</v>
      </c>
      <c r="B1327" s="15">
        <v>9398383</v>
      </c>
      <c r="C1327" s="15">
        <v>131771</v>
      </c>
      <c r="D1327" s="15">
        <v>131463</v>
      </c>
      <c r="E1327" s="15">
        <v>11312</v>
      </c>
      <c r="F1327" s="15">
        <v>363.57</v>
      </c>
      <c r="G1327" s="15">
        <v>15</v>
      </c>
      <c r="H1327" s="165" t="s">
        <v>63</v>
      </c>
    </row>
    <row r="1328" spans="1:8">
      <c r="A1328" s="449" t="s">
        <v>1208</v>
      </c>
      <c r="B1328" s="15">
        <v>9401104</v>
      </c>
      <c r="C1328" s="15">
        <v>131771</v>
      </c>
      <c r="D1328" s="15">
        <v>130804</v>
      </c>
      <c r="E1328" s="15">
        <v>11312</v>
      </c>
      <c r="F1328" s="15">
        <v>363.58</v>
      </c>
      <c r="G1328" s="15">
        <v>15.5</v>
      </c>
      <c r="H1328" s="165" t="s">
        <v>63</v>
      </c>
    </row>
    <row r="1329" spans="1:8">
      <c r="A1329" s="449" t="s">
        <v>259</v>
      </c>
      <c r="B1329" s="15">
        <v>9410727</v>
      </c>
      <c r="C1329" s="15">
        <v>131332</v>
      </c>
      <c r="D1329" s="15">
        <v>131260</v>
      </c>
      <c r="E1329" s="15">
        <v>11356</v>
      </c>
      <c r="F1329" s="15">
        <v>363</v>
      </c>
      <c r="G1329" s="15">
        <v>15.5</v>
      </c>
      <c r="H1329" s="165" t="s">
        <v>63</v>
      </c>
    </row>
    <row r="1330" spans="1:8">
      <c r="A1330" s="449" t="s">
        <v>328</v>
      </c>
      <c r="B1330" s="15">
        <v>9399210</v>
      </c>
      <c r="C1330" s="15">
        <v>131332</v>
      </c>
      <c r="D1330" s="15">
        <v>128000</v>
      </c>
      <c r="E1330" s="15">
        <v>11356</v>
      </c>
      <c r="F1330" s="15">
        <v>363</v>
      </c>
      <c r="G1330" s="15">
        <v>15</v>
      </c>
      <c r="H1330" s="165" t="s">
        <v>63</v>
      </c>
    </row>
    <row r="1331" spans="1:8">
      <c r="A1331" s="449" t="s">
        <v>262</v>
      </c>
      <c r="B1331" s="15">
        <v>9410741</v>
      </c>
      <c r="C1331" s="15">
        <v>131332</v>
      </c>
      <c r="D1331" s="15">
        <v>94060</v>
      </c>
      <c r="E1331" s="15">
        <v>11388</v>
      </c>
      <c r="F1331" s="15">
        <v>363</v>
      </c>
      <c r="G1331" s="15">
        <v>15.5</v>
      </c>
      <c r="H1331" s="165" t="s">
        <v>63</v>
      </c>
    </row>
    <row r="1332" spans="1:8">
      <c r="A1332" s="449" t="s">
        <v>270</v>
      </c>
      <c r="B1332" s="15">
        <v>9410765</v>
      </c>
      <c r="C1332" s="15">
        <v>135000</v>
      </c>
      <c r="D1332" s="15">
        <v>128550</v>
      </c>
      <c r="E1332" s="15">
        <v>11388</v>
      </c>
      <c r="F1332" s="15">
        <v>363</v>
      </c>
      <c r="G1332" s="15">
        <v>15</v>
      </c>
      <c r="H1332" s="165" t="s">
        <v>63</v>
      </c>
    </row>
    <row r="1333" spans="1:8">
      <c r="A1333" s="449" t="s">
        <v>286</v>
      </c>
      <c r="B1333" s="15">
        <v>9410791</v>
      </c>
      <c r="C1333" s="15">
        <v>135000</v>
      </c>
      <c r="D1333" s="15">
        <v>128550</v>
      </c>
      <c r="E1333" s="15">
        <v>11388</v>
      </c>
      <c r="F1333" s="15">
        <v>363</v>
      </c>
      <c r="G1333" s="15">
        <v>15</v>
      </c>
      <c r="H1333" s="165" t="s">
        <v>63</v>
      </c>
    </row>
    <row r="1334" spans="1:8">
      <c r="A1334" s="449" t="s">
        <v>306</v>
      </c>
      <c r="B1334" s="15">
        <v>9410806</v>
      </c>
      <c r="C1334" s="15">
        <v>135000</v>
      </c>
      <c r="D1334" s="15">
        <v>128550</v>
      </c>
      <c r="E1334" s="15">
        <v>11388</v>
      </c>
      <c r="F1334" s="15">
        <v>363</v>
      </c>
      <c r="G1334" s="15">
        <v>15</v>
      </c>
      <c r="H1334" s="165" t="s">
        <v>63</v>
      </c>
    </row>
    <row r="1335" spans="1:8">
      <c r="A1335" s="449" t="s">
        <v>269</v>
      </c>
      <c r="B1335" s="15">
        <v>9410753</v>
      </c>
      <c r="C1335" s="15">
        <v>135000</v>
      </c>
      <c r="D1335" s="15">
        <v>128760</v>
      </c>
      <c r="E1335" s="15">
        <v>11400</v>
      </c>
      <c r="F1335" s="15">
        <v>363</v>
      </c>
      <c r="G1335" s="15">
        <v>15</v>
      </c>
      <c r="H1335" s="165" t="s">
        <v>63</v>
      </c>
    </row>
    <row r="1336" spans="1:8">
      <c r="A1336" s="449" t="s">
        <v>271</v>
      </c>
      <c r="B1336" s="15">
        <v>9410777</v>
      </c>
      <c r="C1336" s="15">
        <v>120000</v>
      </c>
      <c r="D1336" s="15">
        <v>130000</v>
      </c>
      <c r="E1336" s="15">
        <v>11400</v>
      </c>
      <c r="F1336" s="15">
        <v>363</v>
      </c>
      <c r="G1336" s="15">
        <v>15</v>
      </c>
      <c r="H1336" s="165" t="s">
        <v>63</v>
      </c>
    </row>
    <row r="1337" spans="1:8">
      <c r="A1337" s="449" t="s">
        <v>276</v>
      </c>
      <c r="B1337" s="15">
        <v>9410789</v>
      </c>
      <c r="C1337" s="15">
        <v>135000</v>
      </c>
      <c r="D1337" s="15">
        <v>128760</v>
      </c>
      <c r="E1337" s="15">
        <v>11400</v>
      </c>
      <c r="F1337" s="15">
        <v>363</v>
      </c>
      <c r="G1337" s="15">
        <v>15</v>
      </c>
      <c r="H1337" s="165" t="s">
        <v>63</v>
      </c>
    </row>
    <row r="1338" spans="1:8">
      <c r="A1338" s="449" t="s">
        <v>301</v>
      </c>
      <c r="B1338" s="15">
        <v>9399208</v>
      </c>
      <c r="C1338" s="15">
        <v>131332</v>
      </c>
      <c r="D1338" s="15">
        <v>128760</v>
      </c>
      <c r="E1338" s="15">
        <v>11400</v>
      </c>
      <c r="F1338" s="15">
        <v>363.6</v>
      </c>
      <c r="G1338" s="15">
        <v>15.5</v>
      </c>
      <c r="H1338" s="165" t="s">
        <v>63</v>
      </c>
    </row>
    <row r="1339" spans="1:8">
      <c r="A1339" s="449" t="s">
        <v>303</v>
      </c>
      <c r="B1339" s="15">
        <v>9399193</v>
      </c>
      <c r="C1339" s="15">
        <v>131332</v>
      </c>
      <c r="D1339" s="15">
        <v>128760</v>
      </c>
      <c r="E1339" s="15">
        <v>11400</v>
      </c>
      <c r="F1339" s="15">
        <v>363</v>
      </c>
      <c r="G1339" s="15">
        <v>15</v>
      </c>
      <c r="H1339" s="165" t="s">
        <v>63</v>
      </c>
    </row>
    <row r="1340" spans="1:8">
      <c r="A1340" s="449" t="s">
        <v>346</v>
      </c>
      <c r="B1340" s="15">
        <v>9399222</v>
      </c>
      <c r="C1340" s="15">
        <v>131332</v>
      </c>
      <c r="D1340" s="15">
        <v>128550</v>
      </c>
      <c r="E1340" s="15">
        <v>11400</v>
      </c>
      <c r="F1340" s="15">
        <v>363</v>
      </c>
      <c r="G1340" s="15">
        <v>15</v>
      </c>
      <c r="H1340" s="165" t="s">
        <v>63</v>
      </c>
    </row>
    <row r="1341" spans="1:8">
      <c r="A1341" s="449" t="s">
        <v>961</v>
      </c>
      <c r="B1341" s="15">
        <v>9770751</v>
      </c>
      <c r="C1341" s="15">
        <v>112695</v>
      </c>
      <c r="D1341" s="15">
        <v>128688</v>
      </c>
      <c r="E1341" s="15">
        <v>11500</v>
      </c>
      <c r="F1341" s="15">
        <v>328.46</v>
      </c>
      <c r="G1341" s="15">
        <v>16</v>
      </c>
      <c r="H1341" s="165" t="s">
        <v>63</v>
      </c>
    </row>
    <row r="1342" spans="1:8">
      <c r="A1342" s="449" t="s">
        <v>1009</v>
      </c>
      <c r="B1342" s="15">
        <v>9770749</v>
      </c>
      <c r="C1342" s="15">
        <v>112695</v>
      </c>
      <c r="D1342" s="15">
        <v>122400</v>
      </c>
      <c r="E1342" s="15">
        <v>11500</v>
      </c>
      <c r="F1342" s="15">
        <v>328.46</v>
      </c>
      <c r="G1342" s="15">
        <v>16</v>
      </c>
      <c r="H1342" s="165" t="s">
        <v>63</v>
      </c>
    </row>
    <row r="1343" spans="1:8">
      <c r="A1343" s="449" t="s">
        <v>1006</v>
      </c>
      <c r="B1343" s="15">
        <v>9467392</v>
      </c>
      <c r="C1343" s="15">
        <v>140096</v>
      </c>
      <c r="D1343" s="15">
        <v>139419</v>
      </c>
      <c r="E1343" s="15">
        <v>12400</v>
      </c>
      <c r="F1343" s="15">
        <v>365.8</v>
      </c>
      <c r="G1343" s="15">
        <v>15.5</v>
      </c>
      <c r="H1343" s="165" t="s">
        <v>63</v>
      </c>
    </row>
    <row r="1344" spans="1:8">
      <c r="A1344" s="449" t="s">
        <v>1089</v>
      </c>
      <c r="B1344" s="15">
        <v>9467445</v>
      </c>
      <c r="C1344" s="15">
        <v>140096</v>
      </c>
      <c r="D1344" s="15">
        <v>139439</v>
      </c>
      <c r="E1344" s="15">
        <v>12400</v>
      </c>
      <c r="F1344" s="15">
        <v>365.74</v>
      </c>
      <c r="G1344" s="15">
        <v>15.5</v>
      </c>
      <c r="H1344" s="165" t="s">
        <v>63</v>
      </c>
    </row>
    <row r="1345" spans="1:8">
      <c r="A1345" s="449" t="s">
        <v>1100</v>
      </c>
      <c r="B1345" s="15">
        <v>9467419</v>
      </c>
      <c r="C1345" s="15">
        <v>140000</v>
      </c>
      <c r="D1345" s="15">
        <v>142500</v>
      </c>
      <c r="E1345" s="15">
        <v>12400</v>
      </c>
      <c r="F1345" s="15">
        <v>366</v>
      </c>
      <c r="G1345" s="15">
        <v>15.5</v>
      </c>
      <c r="H1345" s="165" t="s">
        <v>63</v>
      </c>
    </row>
    <row r="1346" spans="1:8">
      <c r="A1346" s="449" t="s">
        <v>774</v>
      </c>
      <c r="B1346" s="15">
        <v>9447847</v>
      </c>
      <c r="C1346" s="15">
        <v>140259</v>
      </c>
      <c r="D1346" s="15">
        <v>146093</v>
      </c>
      <c r="E1346" s="15">
        <v>12552</v>
      </c>
      <c r="F1346" s="15">
        <v>366.08</v>
      </c>
      <c r="G1346" s="15">
        <v>15.5</v>
      </c>
      <c r="H1346" s="165" t="s">
        <v>63</v>
      </c>
    </row>
    <row r="1347" spans="1:8">
      <c r="A1347" s="449" t="s">
        <v>253</v>
      </c>
      <c r="B1347" s="15">
        <v>9469572</v>
      </c>
      <c r="C1347" s="15">
        <v>158000</v>
      </c>
      <c r="D1347" s="15">
        <v>142500</v>
      </c>
      <c r="E1347" s="15">
        <v>12562</v>
      </c>
      <c r="F1347" s="15">
        <v>366.04</v>
      </c>
      <c r="G1347" s="15">
        <v>15.5</v>
      </c>
      <c r="H1347" s="165" t="s">
        <v>63</v>
      </c>
    </row>
    <row r="1348" spans="1:8">
      <c r="A1348" s="449" t="s">
        <v>320</v>
      </c>
      <c r="B1348" s="15">
        <v>9471408</v>
      </c>
      <c r="C1348" s="15">
        <v>140000</v>
      </c>
      <c r="D1348" s="15">
        <v>146000</v>
      </c>
      <c r="E1348" s="15">
        <v>12562</v>
      </c>
      <c r="F1348" s="15">
        <v>366</v>
      </c>
      <c r="G1348" s="15">
        <v>15.5</v>
      </c>
      <c r="H1348" s="165" t="s">
        <v>63</v>
      </c>
    </row>
    <row r="1349" spans="1:8">
      <c r="A1349" s="449" t="s">
        <v>1500</v>
      </c>
      <c r="B1349" s="15">
        <v>9447885</v>
      </c>
      <c r="C1349" s="15">
        <v>140259</v>
      </c>
      <c r="D1349" s="15">
        <v>146148</v>
      </c>
      <c r="E1349" s="15">
        <v>12562</v>
      </c>
      <c r="F1349" s="15">
        <v>366</v>
      </c>
      <c r="G1349" s="15">
        <v>15.5</v>
      </c>
      <c r="H1349" s="165" t="s">
        <v>63</v>
      </c>
    </row>
    <row r="1350" spans="1:8">
      <c r="A1350" s="449" t="s">
        <v>1061</v>
      </c>
      <c r="B1350" s="15">
        <v>9467433</v>
      </c>
      <c r="C1350" s="15">
        <v>140096</v>
      </c>
      <c r="D1350" s="15">
        <v>139500</v>
      </c>
      <c r="E1350" s="15">
        <v>13000</v>
      </c>
      <c r="F1350" s="15">
        <v>365.8</v>
      </c>
      <c r="G1350" s="15">
        <v>15.5</v>
      </c>
      <c r="H1350" s="165" t="s">
        <v>63</v>
      </c>
    </row>
    <row r="1351" spans="1:8">
      <c r="A1351" s="449" t="s">
        <v>1088</v>
      </c>
      <c r="B1351" s="15">
        <v>9467457</v>
      </c>
      <c r="C1351" s="15">
        <v>140096</v>
      </c>
      <c r="D1351" s="15">
        <v>139500</v>
      </c>
      <c r="E1351" s="15">
        <v>13000</v>
      </c>
      <c r="F1351" s="15">
        <v>365.8</v>
      </c>
      <c r="G1351" s="15">
        <v>15.5</v>
      </c>
      <c r="H1351" s="165" t="s">
        <v>63</v>
      </c>
    </row>
    <row r="1352" spans="1:8">
      <c r="A1352" s="449" t="s">
        <v>1099</v>
      </c>
      <c r="B1352" s="15">
        <v>9467407</v>
      </c>
      <c r="C1352" s="15">
        <v>140000</v>
      </c>
      <c r="D1352" s="15">
        <v>142500</v>
      </c>
      <c r="E1352" s="15">
        <v>13000</v>
      </c>
      <c r="F1352" s="15">
        <v>366</v>
      </c>
      <c r="G1352" s="15">
        <v>15.5</v>
      </c>
      <c r="H1352" s="165" t="s">
        <v>63</v>
      </c>
    </row>
    <row r="1353" spans="1:8">
      <c r="A1353" s="449" t="s">
        <v>1128</v>
      </c>
      <c r="B1353" s="15">
        <v>9467421</v>
      </c>
      <c r="C1353" s="15">
        <v>140096</v>
      </c>
      <c r="D1353" s="15">
        <v>142500</v>
      </c>
      <c r="E1353" s="15">
        <v>13000</v>
      </c>
      <c r="F1353" s="15">
        <v>366</v>
      </c>
      <c r="G1353" s="15">
        <v>15.5</v>
      </c>
      <c r="H1353" s="165" t="s">
        <v>63</v>
      </c>
    </row>
    <row r="1354" spans="1:8">
      <c r="A1354" s="449" t="s">
        <v>1564</v>
      </c>
      <c r="B1354" s="15">
        <v>9525857</v>
      </c>
      <c r="C1354" s="15">
        <v>135000</v>
      </c>
      <c r="D1354" s="15">
        <v>165300</v>
      </c>
      <c r="E1354" s="15">
        <v>13000</v>
      </c>
      <c r="F1354" s="15">
        <v>365.5</v>
      </c>
      <c r="G1354" s="15">
        <v>16</v>
      </c>
      <c r="H1354" s="165" t="s">
        <v>63</v>
      </c>
    </row>
    <row r="1355" spans="1:8">
      <c r="A1355" s="449" t="s">
        <v>990</v>
      </c>
      <c r="B1355" s="15">
        <v>9484443</v>
      </c>
      <c r="C1355" s="15">
        <v>154503</v>
      </c>
      <c r="D1355" s="15">
        <v>152700</v>
      </c>
      <c r="E1355" s="15">
        <v>13050</v>
      </c>
      <c r="F1355" s="15">
        <v>365.5</v>
      </c>
      <c r="G1355" s="15">
        <v>16</v>
      </c>
      <c r="H1355" s="165" t="s">
        <v>63</v>
      </c>
    </row>
    <row r="1356" spans="1:8">
      <c r="A1356" s="449" t="s">
        <v>997</v>
      </c>
      <c r="B1356" s="15">
        <v>9484481</v>
      </c>
      <c r="C1356" s="15">
        <v>143521</v>
      </c>
      <c r="D1356" s="15">
        <v>154494</v>
      </c>
      <c r="E1356" s="15">
        <v>13050</v>
      </c>
      <c r="F1356" s="15">
        <v>365.8</v>
      </c>
      <c r="G1356" s="15">
        <v>16</v>
      </c>
      <c r="H1356" s="165" t="s">
        <v>63</v>
      </c>
    </row>
    <row r="1357" spans="1:8">
      <c r="A1357" s="449" t="s">
        <v>1002</v>
      </c>
      <c r="B1357" s="15">
        <v>9461441</v>
      </c>
      <c r="C1357" s="15">
        <v>135000</v>
      </c>
      <c r="D1357" s="15">
        <v>165300</v>
      </c>
      <c r="E1357" s="15">
        <v>13050</v>
      </c>
      <c r="F1357" s="15">
        <v>365.5</v>
      </c>
      <c r="G1357" s="15">
        <v>16</v>
      </c>
      <c r="H1357" s="165" t="s">
        <v>63</v>
      </c>
    </row>
    <row r="1358" spans="1:8">
      <c r="A1358" s="449" t="s">
        <v>1170</v>
      </c>
      <c r="B1358" s="15">
        <v>9484455</v>
      </c>
      <c r="C1358" s="15">
        <v>130000</v>
      </c>
      <c r="D1358" s="15">
        <v>152700</v>
      </c>
      <c r="E1358" s="15">
        <v>13050</v>
      </c>
      <c r="F1358" s="15">
        <v>365</v>
      </c>
      <c r="G1358" s="15">
        <v>15.5</v>
      </c>
      <c r="H1358" s="165" t="s">
        <v>63</v>
      </c>
    </row>
    <row r="1359" spans="1:8">
      <c r="A1359" s="449" t="s">
        <v>1224</v>
      </c>
      <c r="B1359" s="15">
        <v>9484479</v>
      </c>
      <c r="C1359" s="15">
        <v>143521</v>
      </c>
      <c r="D1359" s="15">
        <v>154664</v>
      </c>
      <c r="E1359" s="15">
        <v>13050</v>
      </c>
      <c r="F1359" s="15">
        <v>365.5</v>
      </c>
      <c r="G1359" s="15">
        <v>15.5</v>
      </c>
      <c r="H1359" s="165" t="s">
        <v>63</v>
      </c>
    </row>
    <row r="1360" spans="1:8">
      <c r="A1360" s="449" t="s">
        <v>1228</v>
      </c>
      <c r="B1360" s="15">
        <v>9484467</v>
      </c>
      <c r="C1360" s="15">
        <v>143521</v>
      </c>
      <c r="D1360" s="15">
        <v>154185</v>
      </c>
      <c r="E1360" s="15">
        <v>13050</v>
      </c>
      <c r="F1360" s="15">
        <v>365.8</v>
      </c>
      <c r="G1360" s="15">
        <v>16</v>
      </c>
      <c r="H1360" s="165" t="s">
        <v>63</v>
      </c>
    </row>
    <row r="1361" spans="1:8">
      <c r="A1361" s="449" t="s">
        <v>382</v>
      </c>
      <c r="B1361" s="15">
        <v>9472139</v>
      </c>
      <c r="C1361" s="15">
        <v>140665</v>
      </c>
      <c r="D1361" s="15">
        <v>141820</v>
      </c>
      <c r="E1361" s="15">
        <v>13092</v>
      </c>
      <c r="F1361" s="15">
        <v>366</v>
      </c>
      <c r="G1361" s="15">
        <v>15.5</v>
      </c>
      <c r="H1361" s="165" t="s">
        <v>63</v>
      </c>
    </row>
    <row r="1362" spans="1:8">
      <c r="A1362" s="449" t="s">
        <v>385</v>
      </c>
      <c r="B1362" s="15">
        <v>9472189</v>
      </c>
      <c r="C1362" s="15">
        <v>141823</v>
      </c>
      <c r="D1362" s="15">
        <v>140700</v>
      </c>
      <c r="E1362" s="15">
        <v>13092</v>
      </c>
      <c r="F1362" s="15">
        <v>366</v>
      </c>
      <c r="G1362" s="15">
        <v>15.5</v>
      </c>
      <c r="H1362" s="165" t="s">
        <v>63</v>
      </c>
    </row>
    <row r="1363" spans="1:8">
      <c r="A1363" s="449" t="s">
        <v>386</v>
      </c>
      <c r="B1363" s="15">
        <v>9472141</v>
      </c>
      <c r="C1363" s="15">
        <v>141823</v>
      </c>
      <c r="D1363" s="15">
        <v>140609</v>
      </c>
      <c r="E1363" s="15">
        <v>13092</v>
      </c>
      <c r="F1363" s="15">
        <v>366</v>
      </c>
      <c r="G1363" s="15">
        <v>15.5</v>
      </c>
      <c r="H1363" s="165" t="s">
        <v>63</v>
      </c>
    </row>
    <row r="1364" spans="1:8">
      <c r="A1364" s="449" t="s">
        <v>387</v>
      </c>
      <c r="B1364" s="15">
        <v>9472127</v>
      </c>
      <c r="C1364" s="15">
        <v>141716</v>
      </c>
      <c r="D1364" s="15">
        <v>140542</v>
      </c>
      <c r="E1364" s="15">
        <v>13092</v>
      </c>
      <c r="F1364" s="15">
        <v>366</v>
      </c>
      <c r="G1364" s="15">
        <v>15.5</v>
      </c>
      <c r="H1364" s="165" t="s">
        <v>63</v>
      </c>
    </row>
    <row r="1365" spans="1:8">
      <c r="A1365" s="449" t="s">
        <v>389</v>
      </c>
      <c r="B1365" s="15">
        <v>9466245</v>
      </c>
      <c r="C1365" s="15">
        <v>142105</v>
      </c>
      <c r="D1365" s="15">
        <v>141716</v>
      </c>
      <c r="E1365" s="15">
        <v>13092</v>
      </c>
      <c r="F1365" s="15">
        <v>366</v>
      </c>
      <c r="G1365" s="15">
        <v>15.5</v>
      </c>
      <c r="H1365" s="165" t="s">
        <v>63</v>
      </c>
    </row>
    <row r="1366" spans="1:8">
      <c r="A1366" s="449" t="s">
        <v>391</v>
      </c>
      <c r="B1366" s="15">
        <v>9472177</v>
      </c>
      <c r="C1366" s="15">
        <v>140665</v>
      </c>
      <c r="D1366" s="15">
        <v>141820</v>
      </c>
      <c r="E1366" s="15">
        <v>13092</v>
      </c>
      <c r="F1366" s="15">
        <v>366</v>
      </c>
      <c r="G1366" s="15">
        <v>15.5</v>
      </c>
      <c r="H1366" s="165" t="s">
        <v>63</v>
      </c>
    </row>
    <row r="1367" spans="1:8">
      <c r="A1367" s="449" t="s">
        <v>394</v>
      </c>
      <c r="B1367" s="15">
        <v>9472165</v>
      </c>
      <c r="C1367" s="15">
        <v>126456</v>
      </c>
      <c r="D1367" s="15">
        <v>141649</v>
      </c>
      <c r="E1367" s="15">
        <v>13092</v>
      </c>
      <c r="F1367" s="15">
        <v>366</v>
      </c>
      <c r="G1367" s="15">
        <v>15.5</v>
      </c>
      <c r="H1367" s="165" t="s">
        <v>63</v>
      </c>
    </row>
    <row r="1368" spans="1:8">
      <c r="A1368" s="449" t="s">
        <v>406</v>
      </c>
      <c r="B1368" s="15">
        <v>9472153</v>
      </c>
      <c r="C1368" s="15">
        <v>140665</v>
      </c>
      <c r="D1368" s="15">
        <v>141820</v>
      </c>
      <c r="E1368" s="15">
        <v>13092</v>
      </c>
      <c r="F1368" s="15">
        <v>366</v>
      </c>
      <c r="G1368" s="15">
        <v>15.5</v>
      </c>
      <c r="H1368" s="165" t="s">
        <v>63</v>
      </c>
    </row>
    <row r="1369" spans="1:8">
      <c r="A1369" s="449" t="s">
        <v>489</v>
      </c>
      <c r="B1369" s="15">
        <v>9463011</v>
      </c>
      <c r="C1369" s="15">
        <v>108000</v>
      </c>
      <c r="D1369" s="15">
        <v>113900</v>
      </c>
      <c r="E1369" s="15">
        <v>13092</v>
      </c>
      <c r="F1369" s="15">
        <v>349</v>
      </c>
      <c r="G1369" s="15">
        <v>15</v>
      </c>
      <c r="H1369" s="165" t="s">
        <v>63</v>
      </c>
    </row>
    <row r="1370" spans="1:8">
      <c r="A1370" s="449" t="s">
        <v>501</v>
      </c>
      <c r="B1370" s="15">
        <v>9463023</v>
      </c>
      <c r="C1370" s="15">
        <v>108000</v>
      </c>
      <c r="D1370" s="15">
        <v>113900</v>
      </c>
      <c r="E1370" s="15">
        <v>13092</v>
      </c>
      <c r="F1370" s="15">
        <v>349</v>
      </c>
      <c r="G1370" s="15">
        <v>15</v>
      </c>
      <c r="H1370" s="165" t="s">
        <v>63</v>
      </c>
    </row>
    <row r="1371" spans="1:8">
      <c r="A1371" s="449" t="s">
        <v>668</v>
      </c>
      <c r="B1371" s="15">
        <v>9475703</v>
      </c>
      <c r="C1371" s="15">
        <v>141770</v>
      </c>
      <c r="D1371" s="15">
        <v>141550</v>
      </c>
      <c r="E1371" s="15">
        <v>13092</v>
      </c>
      <c r="F1371" s="15">
        <v>366.5</v>
      </c>
      <c r="G1371" s="15">
        <v>15.5</v>
      </c>
      <c r="H1371" s="165" t="s">
        <v>63</v>
      </c>
    </row>
    <row r="1372" spans="1:8">
      <c r="A1372" s="449" t="s">
        <v>692</v>
      </c>
      <c r="B1372" s="15">
        <v>9475686</v>
      </c>
      <c r="C1372" s="15">
        <v>141770</v>
      </c>
      <c r="D1372" s="15">
        <v>141550</v>
      </c>
      <c r="E1372" s="15">
        <v>13092</v>
      </c>
      <c r="F1372" s="15">
        <v>366.5</v>
      </c>
      <c r="G1372" s="15">
        <v>15.5</v>
      </c>
      <c r="H1372" s="165" t="s">
        <v>63</v>
      </c>
    </row>
    <row r="1373" spans="1:8">
      <c r="A1373" s="449" t="s">
        <v>693</v>
      </c>
      <c r="B1373" s="15">
        <v>9475698</v>
      </c>
      <c r="C1373" s="15">
        <v>141770</v>
      </c>
      <c r="D1373" s="15">
        <v>141550</v>
      </c>
      <c r="E1373" s="15">
        <v>13092</v>
      </c>
      <c r="F1373" s="15">
        <v>366.5</v>
      </c>
      <c r="G1373" s="15">
        <v>15.5</v>
      </c>
      <c r="H1373" s="165" t="s">
        <v>63</v>
      </c>
    </row>
    <row r="1374" spans="1:8">
      <c r="A1374" s="449" t="s">
        <v>696</v>
      </c>
      <c r="B1374" s="15">
        <v>9475674</v>
      </c>
      <c r="C1374" s="15">
        <v>141770</v>
      </c>
      <c r="D1374" s="15">
        <v>141550</v>
      </c>
      <c r="E1374" s="15">
        <v>13092</v>
      </c>
      <c r="F1374" s="15">
        <v>366</v>
      </c>
      <c r="G1374" s="15">
        <v>15.5</v>
      </c>
      <c r="H1374" s="165" t="s">
        <v>63</v>
      </c>
    </row>
    <row r="1375" spans="1:8">
      <c r="A1375" s="449" t="s">
        <v>697</v>
      </c>
      <c r="B1375" s="15">
        <v>9473731</v>
      </c>
      <c r="C1375" s="15">
        <v>141770</v>
      </c>
      <c r="D1375" s="15">
        <v>140565</v>
      </c>
      <c r="E1375" s="15">
        <v>13092</v>
      </c>
      <c r="F1375" s="15">
        <v>366.5</v>
      </c>
      <c r="G1375" s="15">
        <v>15.5</v>
      </c>
      <c r="H1375" s="165" t="s">
        <v>63</v>
      </c>
    </row>
    <row r="1376" spans="1:8">
      <c r="A1376" s="449" t="s">
        <v>786</v>
      </c>
      <c r="B1376" s="15">
        <v>9502867</v>
      </c>
      <c r="C1376" s="15">
        <v>133000</v>
      </c>
      <c r="D1376" s="15">
        <v>142500</v>
      </c>
      <c r="E1376" s="15">
        <v>13092</v>
      </c>
      <c r="F1376" s="15">
        <v>366</v>
      </c>
      <c r="G1376" s="15">
        <v>15.5</v>
      </c>
      <c r="H1376" s="165" t="s">
        <v>63</v>
      </c>
    </row>
    <row r="1377" spans="1:8">
      <c r="A1377" s="449" t="s">
        <v>788</v>
      </c>
      <c r="B1377" s="15">
        <v>9463059</v>
      </c>
      <c r="C1377" s="15">
        <v>126456</v>
      </c>
      <c r="D1377" s="15">
        <v>141649</v>
      </c>
      <c r="E1377" s="15">
        <v>13092</v>
      </c>
      <c r="F1377" s="15">
        <v>366</v>
      </c>
      <c r="G1377" s="15">
        <v>15.5</v>
      </c>
      <c r="H1377" s="165" t="s">
        <v>63</v>
      </c>
    </row>
    <row r="1378" spans="1:8">
      <c r="A1378" s="449" t="s">
        <v>789</v>
      </c>
      <c r="B1378" s="15">
        <v>9456771</v>
      </c>
      <c r="C1378" s="15">
        <v>141716</v>
      </c>
      <c r="D1378" s="15">
        <v>142105</v>
      </c>
      <c r="E1378" s="15">
        <v>13092</v>
      </c>
      <c r="F1378" s="15">
        <v>366.46</v>
      </c>
      <c r="G1378" s="15">
        <v>15.5</v>
      </c>
      <c r="H1378" s="165" t="s">
        <v>63</v>
      </c>
    </row>
    <row r="1379" spans="1:8">
      <c r="A1379" s="449" t="s">
        <v>796</v>
      </c>
      <c r="B1379" s="15">
        <v>9456783</v>
      </c>
      <c r="C1379" s="15">
        <v>141716</v>
      </c>
      <c r="D1379" s="15">
        <v>142105</v>
      </c>
      <c r="E1379" s="15">
        <v>13092</v>
      </c>
      <c r="F1379" s="15">
        <v>366</v>
      </c>
      <c r="G1379" s="15">
        <v>15.5</v>
      </c>
      <c r="H1379" s="165" t="s">
        <v>63</v>
      </c>
    </row>
    <row r="1380" spans="1:8">
      <c r="A1380" s="449" t="s">
        <v>797</v>
      </c>
      <c r="B1380" s="15">
        <v>9458092</v>
      </c>
      <c r="C1380" s="15">
        <v>141000</v>
      </c>
      <c r="D1380" s="15">
        <v>141820</v>
      </c>
      <c r="E1380" s="15">
        <v>13092</v>
      </c>
      <c r="F1380" s="15">
        <v>366</v>
      </c>
      <c r="G1380" s="15">
        <v>15.5</v>
      </c>
      <c r="H1380" s="165" t="s">
        <v>63</v>
      </c>
    </row>
    <row r="1381" spans="1:8">
      <c r="A1381" s="449" t="s">
        <v>798</v>
      </c>
      <c r="B1381" s="15">
        <v>9463035</v>
      </c>
      <c r="C1381" s="15">
        <v>141649</v>
      </c>
      <c r="D1381" s="15">
        <v>141000</v>
      </c>
      <c r="E1381" s="15">
        <v>13092</v>
      </c>
      <c r="F1381" s="15">
        <v>366</v>
      </c>
      <c r="G1381" s="15">
        <v>15.52</v>
      </c>
      <c r="H1381" s="165" t="s">
        <v>63</v>
      </c>
    </row>
    <row r="1382" spans="1:8">
      <c r="A1382" s="449" t="s">
        <v>800</v>
      </c>
      <c r="B1382" s="15">
        <v>9458080</v>
      </c>
      <c r="C1382" s="15">
        <v>141716</v>
      </c>
      <c r="D1382" s="15">
        <v>142105</v>
      </c>
      <c r="E1382" s="15">
        <v>13092</v>
      </c>
      <c r="F1382" s="15">
        <v>366.47</v>
      </c>
      <c r="G1382" s="15">
        <v>15.5</v>
      </c>
      <c r="H1382" s="165" t="s">
        <v>63</v>
      </c>
    </row>
    <row r="1383" spans="1:8">
      <c r="A1383" s="449" t="s">
        <v>1005</v>
      </c>
      <c r="B1383" s="15">
        <v>9465253</v>
      </c>
      <c r="C1383" s="15">
        <v>141635</v>
      </c>
      <c r="D1383" s="15">
        <v>140991</v>
      </c>
      <c r="E1383" s="15">
        <v>13092</v>
      </c>
      <c r="F1383" s="15">
        <v>366.46</v>
      </c>
      <c r="G1383" s="15">
        <v>16</v>
      </c>
      <c r="H1383" s="165" t="s">
        <v>63</v>
      </c>
    </row>
    <row r="1384" spans="1:8">
      <c r="A1384" s="449" t="s">
        <v>1052</v>
      </c>
      <c r="B1384" s="15">
        <v>9463047</v>
      </c>
      <c r="C1384" s="15">
        <v>108000</v>
      </c>
      <c r="D1384" s="15">
        <v>113900</v>
      </c>
      <c r="E1384" s="15">
        <v>13092</v>
      </c>
      <c r="F1384" s="15">
        <v>349</v>
      </c>
      <c r="G1384" s="15">
        <v>15</v>
      </c>
      <c r="H1384" s="165" t="s">
        <v>63</v>
      </c>
    </row>
    <row r="1385" spans="1:8">
      <c r="A1385" s="449" t="s">
        <v>1124</v>
      </c>
      <c r="B1385" s="15">
        <v>9465318</v>
      </c>
      <c r="C1385" s="15">
        <v>141635</v>
      </c>
      <c r="D1385" s="15">
        <v>140900</v>
      </c>
      <c r="E1385" s="15">
        <v>13092</v>
      </c>
      <c r="F1385" s="15">
        <v>366</v>
      </c>
      <c r="G1385" s="15">
        <v>15.5</v>
      </c>
      <c r="H1385" s="165" t="s">
        <v>63</v>
      </c>
    </row>
    <row r="1386" spans="1:8">
      <c r="A1386" s="449" t="s">
        <v>1230</v>
      </c>
      <c r="B1386" s="15">
        <v>9465265</v>
      </c>
      <c r="C1386" s="15">
        <v>141635</v>
      </c>
      <c r="D1386" s="15">
        <v>140700</v>
      </c>
      <c r="E1386" s="15">
        <v>13092</v>
      </c>
      <c r="F1386" s="15">
        <v>366</v>
      </c>
      <c r="G1386" s="15">
        <v>15.5</v>
      </c>
      <c r="H1386" s="165" t="s">
        <v>63</v>
      </c>
    </row>
    <row r="1387" spans="1:8">
      <c r="A1387" s="449" t="s">
        <v>75</v>
      </c>
      <c r="B1387" s="15">
        <v>9525869</v>
      </c>
      <c r="C1387" s="15">
        <v>141077</v>
      </c>
      <c r="D1387" s="15">
        <v>145274</v>
      </c>
      <c r="E1387" s="15">
        <v>13100</v>
      </c>
      <c r="F1387" s="15">
        <v>366</v>
      </c>
      <c r="G1387" s="15">
        <v>15.5</v>
      </c>
      <c r="H1387" s="165" t="s">
        <v>63</v>
      </c>
    </row>
    <row r="1388" spans="1:8">
      <c r="A1388" s="449" t="s">
        <v>90</v>
      </c>
      <c r="B1388" s="15">
        <v>9525924</v>
      </c>
      <c r="C1388" s="15">
        <v>141077</v>
      </c>
      <c r="D1388" s="15">
        <v>145237</v>
      </c>
      <c r="E1388" s="15">
        <v>13100</v>
      </c>
      <c r="F1388" s="15">
        <v>365.5</v>
      </c>
      <c r="G1388" s="15">
        <v>15.5</v>
      </c>
      <c r="H1388" s="165" t="s">
        <v>63</v>
      </c>
    </row>
    <row r="1389" spans="1:8">
      <c r="A1389" s="449" t="s">
        <v>102</v>
      </c>
      <c r="B1389" s="15">
        <v>9525883</v>
      </c>
      <c r="C1389" s="15">
        <v>141077</v>
      </c>
      <c r="D1389" s="15">
        <v>145528</v>
      </c>
      <c r="E1389" s="15">
        <v>13100</v>
      </c>
      <c r="F1389" s="15">
        <v>365.5</v>
      </c>
      <c r="G1389" s="15">
        <v>15.5</v>
      </c>
      <c r="H1389" s="165" t="s">
        <v>63</v>
      </c>
    </row>
    <row r="1390" spans="1:8">
      <c r="A1390" s="449" t="s">
        <v>685</v>
      </c>
      <c r="B1390" s="15">
        <v>9637234</v>
      </c>
      <c r="C1390" s="15">
        <v>130000</v>
      </c>
      <c r="D1390" s="15">
        <v>152700</v>
      </c>
      <c r="E1390" s="15">
        <v>13100</v>
      </c>
      <c r="F1390" s="15">
        <v>366</v>
      </c>
      <c r="G1390" s="15">
        <v>15.5</v>
      </c>
      <c r="H1390" s="165" t="s">
        <v>63</v>
      </c>
    </row>
    <row r="1391" spans="1:8">
      <c r="A1391" s="449" t="s">
        <v>714</v>
      </c>
      <c r="B1391" s="15">
        <v>9525936</v>
      </c>
      <c r="C1391" s="15">
        <v>141077</v>
      </c>
      <c r="D1391" s="15">
        <v>145000</v>
      </c>
      <c r="E1391" s="15">
        <v>13100</v>
      </c>
      <c r="F1391" s="15">
        <v>365.5</v>
      </c>
      <c r="G1391" s="15">
        <v>15.5</v>
      </c>
      <c r="H1391" s="165" t="s">
        <v>63</v>
      </c>
    </row>
    <row r="1392" spans="1:8">
      <c r="A1392" s="449" t="s">
        <v>785</v>
      </c>
      <c r="B1392" s="15">
        <v>9456757</v>
      </c>
      <c r="C1392" s="15">
        <v>135000</v>
      </c>
      <c r="D1392" s="15">
        <v>140530</v>
      </c>
      <c r="E1392" s="15">
        <v>13100</v>
      </c>
      <c r="F1392" s="15">
        <v>366</v>
      </c>
      <c r="G1392" s="15">
        <v>15.5</v>
      </c>
      <c r="H1392" s="165" t="s">
        <v>63</v>
      </c>
    </row>
    <row r="1393" spans="1:8">
      <c r="A1393" s="449" t="s">
        <v>787</v>
      </c>
      <c r="B1393" s="15">
        <v>9458030</v>
      </c>
      <c r="C1393" s="15">
        <v>141716</v>
      </c>
      <c r="D1393" s="15">
        <v>142105</v>
      </c>
      <c r="E1393" s="15">
        <v>13100</v>
      </c>
      <c r="F1393" s="15">
        <v>366.47</v>
      </c>
      <c r="G1393" s="15">
        <v>15.5</v>
      </c>
      <c r="H1393" s="165" t="s">
        <v>63</v>
      </c>
    </row>
    <row r="1394" spans="1:8">
      <c r="A1394" s="449" t="s">
        <v>790</v>
      </c>
      <c r="B1394" s="15">
        <v>9458078</v>
      </c>
      <c r="C1394" s="15">
        <v>141716</v>
      </c>
      <c r="D1394" s="15">
        <v>142105</v>
      </c>
      <c r="E1394" s="15">
        <v>13100</v>
      </c>
      <c r="F1394" s="15">
        <v>366.44</v>
      </c>
      <c r="G1394" s="15">
        <v>15.5</v>
      </c>
      <c r="H1394" s="165" t="s">
        <v>63</v>
      </c>
    </row>
    <row r="1395" spans="1:8">
      <c r="A1395" s="449" t="s">
        <v>791</v>
      </c>
      <c r="B1395" s="15">
        <v>9456769</v>
      </c>
      <c r="C1395" s="15">
        <v>141716</v>
      </c>
      <c r="D1395" s="15">
        <v>142105</v>
      </c>
      <c r="E1395" s="15">
        <v>13100</v>
      </c>
      <c r="F1395" s="15">
        <v>366.47</v>
      </c>
      <c r="G1395" s="15">
        <v>15.5</v>
      </c>
      <c r="H1395" s="165" t="s">
        <v>63</v>
      </c>
    </row>
    <row r="1396" spans="1:8">
      <c r="A1396" s="449" t="s">
        <v>857</v>
      </c>
      <c r="B1396" s="15">
        <v>9525900</v>
      </c>
      <c r="C1396" s="15">
        <v>141077</v>
      </c>
      <c r="D1396" s="15">
        <v>145000</v>
      </c>
      <c r="E1396" s="15">
        <v>13100</v>
      </c>
      <c r="F1396" s="15">
        <v>365.5</v>
      </c>
      <c r="G1396" s="15">
        <v>15.5</v>
      </c>
      <c r="H1396" s="165" t="s">
        <v>63</v>
      </c>
    </row>
    <row r="1397" spans="1:8">
      <c r="A1397" s="449" t="s">
        <v>970</v>
      </c>
      <c r="B1397" s="15">
        <v>9465277</v>
      </c>
      <c r="C1397" s="15">
        <v>141635</v>
      </c>
      <c r="D1397" s="15">
        <v>148642</v>
      </c>
      <c r="E1397" s="15">
        <v>13100</v>
      </c>
      <c r="F1397" s="15">
        <v>366.36</v>
      </c>
      <c r="G1397" s="15">
        <v>15.5</v>
      </c>
      <c r="H1397" s="165" t="s">
        <v>63</v>
      </c>
    </row>
    <row r="1398" spans="1:8">
      <c r="A1398" s="449" t="s">
        <v>1173</v>
      </c>
      <c r="B1398" s="15">
        <v>9465291</v>
      </c>
      <c r="C1398" s="15">
        <v>141635</v>
      </c>
      <c r="D1398" s="15">
        <v>148542</v>
      </c>
      <c r="E1398" s="15">
        <v>13100</v>
      </c>
      <c r="F1398" s="15">
        <v>366.37</v>
      </c>
      <c r="G1398" s="15">
        <v>15.5</v>
      </c>
      <c r="H1398" s="165" t="s">
        <v>63</v>
      </c>
    </row>
    <row r="1399" spans="1:8">
      <c r="A1399" s="449" t="s">
        <v>1174</v>
      </c>
      <c r="B1399" s="15">
        <v>9465306</v>
      </c>
      <c r="C1399" s="15">
        <v>141635</v>
      </c>
      <c r="D1399" s="15">
        <v>148549</v>
      </c>
      <c r="E1399" s="15">
        <v>13100</v>
      </c>
      <c r="F1399" s="15">
        <v>366.45</v>
      </c>
      <c r="G1399" s="15">
        <v>16</v>
      </c>
      <c r="H1399" s="165" t="s">
        <v>63</v>
      </c>
    </row>
    <row r="1400" spans="1:8">
      <c r="A1400" s="449" t="s">
        <v>792</v>
      </c>
      <c r="B1400" s="15">
        <v>9502910</v>
      </c>
      <c r="C1400" s="15">
        <v>141754</v>
      </c>
      <c r="D1400" s="15">
        <v>140900</v>
      </c>
      <c r="E1400" s="15">
        <v>13102</v>
      </c>
      <c r="F1400" s="15">
        <v>366</v>
      </c>
      <c r="G1400" s="15">
        <v>15.5</v>
      </c>
      <c r="H1400" s="165" t="s">
        <v>63</v>
      </c>
    </row>
    <row r="1401" spans="1:8">
      <c r="A1401" s="449" t="s">
        <v>793</v>
      </c>
      <c r="B1401" s="15">
        <v>9502958</v>
      </c>
      <c r="C1401" s="15">
        <v>141754</v>
      </c>
      <c r="D1401" s="15">
        <v>140973</v>
      </c>
      <c r="E1401" s="15">
        <v>13102</v>
      </c>
      <c r="F1401" s="15">
        <v>366</v>
      </c>
      <c r="G1401" s="15">
        <v>15.5</v>
      </c>
      <c r="H1401" s="165" t="s">
        <v>63</v>
      </c>
    </row>
    <row r="1402" spans="1:8">
      <c r="A1402" s="449" t="s">
        <v>794</v>
      </c>
      <c r="B1402" s="15">
        <v>9502946</v>
      </c>
      <c r="C1402" s="15">
        <v>141754</v>
      </c>
      <c r="D1402" s="15">
        <v>140900</v>
      </c>
      <c r="E1402" s="15">
        <v>13102</v>
      </c>
      <c r="F1402" s="15">
        <v>366</v>
      </c>
      <c r="G1402" s="15">
        <v>15.5</v>
      </c>
      <c r="H1402" s="165" t="s">
        <v>63</v>
      </c>
    </row>
    <row r="1403" spans="1:8">
      <c r="A1403" s="449" t="s">
        <v>795</v>
      </c>
      <c r="B1403" s="15">
        <v>9502972</v>
      </c>
      <c r="C1403" s="15">
        <v>141754</v>
      </c>
      <c r="D1403" s="15">
        <v>140900</v>
      </c>
      <c r="E1403" s="15">
        <v>13102</v>
      </c>
      <c r="F1403" s="15">
        <v>366</v>
      </c>
      <c r="G1403" s="15">
        <v>15.5</v>
      </c>
      <c r="H1403" s="165" t="s">
        <v>63</v>
      </c>
    </row>
    <row r="1404" spans="1:8">
      <c r="A1404" s="449" t="s">
        <v>799</v>
      </c>
      <c r="B1404" s="15">
        <v>9501239</v>
      </c>
      <c r="C1404" s="15">
        <v>141754</v>
      </c>
      <c r="D1404" s="15">
        <v>126048</v>
      </c>
      <c r="E1404" s="15">
        <v>13102</v>
      </c>
      <c r="F1404" s="15">
        <v>366</v>
      </c>
      <c r="G1404" s="15">
        <v>15.5</v>
      </c>
      <c r="H1404" s="165" t="s">
        <v>63</v>
      </c>
    </row>
    <row r="1405" spans="1:8">
      <c r="A1405" s="449" t="s">
        <v>1033</v>
      </c>
      <c r="B1405" s="15">
        <v>9465241</v>
      </c>
      <c r="C1405" s="15">
        <v>141635</v>
      </c>
      <c r="D1405" s="15">
        <v>141184</v>
      </c>
      <c r="E1405" s="15">
        <v>13102</v>
      </c>
      <c r="F1405" s="15">
        <v>366</v>
      </c>
      <c r="G1405" s="15">
        <v>13.9</v>
      </c>
      <c r="H1405" s="165" t="s">
        <v>63</v>
      </c>
    </row>
    <row r="1406" spans="1:8">
      <c r="A1406" s="449" t="s">
        <v>1162</v>
      </c>
      <c r="B1406" s="15">
        <v>9503732</v>
      </c>
      <c r="C1406" s="15">
        <v>141754</v>
      </c>
      <c r="D1406" s="15">
        <v>140900</v>
      </c>
      <c r="E1406" s="15">
        <v>13102</v>
      </c>
      <c r="F1406" s="15">
        <v>366</v>
      </c>
      <c r="G1406" s="15">
        <v>15.5</v>
      </c>
      <c r="H1406" s="165" t="s">
        <v>63</v>
      </c>
    </row>
    <row r="1407" spans="1:8">
      <c r="A1407" s="449" t="s">
        <v>1185</v>
      </c>
      <c r="B1407" s="15">
        <v>9502960</v>
      </c>
      <c r="C1407" s="15">
        <v>141754</v>
      </c>
      <c r="D1407" s="15">
        <v>140900</v>
      </c>
      <c r="E1407" s="15">
        <v>13102</v>
      </c>
      <c r="F1407" s="15">
        <v>366</v>
      </c>
      <c r="G1407" s="15">
        <v>15.5</v>
      </c>
      <c r="H1407" s="165" t="s">
        <v>63</v>
      </c>
    </row>
    <row r="1408" spans="1:8">
      <c r="A1408" s="449" t="s">
        <v>1222</v>
      </c>
      <c r="B1408" s="15">
        <v>9502908</v>
      </c>
      <c r="C1408" s="15">
        <v>141754</v>
      </c>
      <c r="D1408" s="15">
        <v>140973</v>
      </c>
      <c r="E1408" s="15">
        <v>13102</v>
      </c>
      <c r="F1408" s="15">
        <v>366</v>
      </c>
      <c r="G1408" s="15">
        <v>15.5</v>
      </c>
      <c r="H1408" s="165" t="s">
        <v>63</v>
      </c>
    </row>
    <row r="1409" spans="1:8">
      <c r="A1409" s="449" t="s">
        <v>674</v>
      </c>
      <c r="B1409" s="15">
        <v>9637222</v>
      </c>
      <c r="C1409" s="15">
        <v>141000</v>
      </c>
      <c r="D1409" s="15">
        <v>152700</v>
      </c>
      <c r="E1409" s="15">
        <v>13150</v>
      </c>
      <c r="F1409" s="15">
        <v>366</v>
      </c>
      <c r="G1409" s="15">
        <v>15.5</v>
      </c>
      <c r="H1409" s="165" t="s">
        <v>63</v>
      </c>
    </row>
    <row r="1410" spans="1:8">
      <c r="A1410" s="449" t="s">
        <v>675</v>
      </c>
      <c r="B1410" s="15">
        <v>9637246</v>
      </c>
      <c r="C1410" s="15">
        <v>141868</v>
      </c>
      <c r="D1410" s="15">
        <v>145979</v>
      </c>
      <c r="E1410" s="15">
        <v>13154</v>
      </c>
      <c r="F1410" s="15">
        <v>365.5</v>
      </c>
      <c r="G1410" s="15">
        <v>14</v>
      </c>
      <c r="H1410" s="165" t="s">
        <v>63</v>
      </c>
    </row>
    <row r="1411" spans="1:8">
      <c r="A1411" s="449" t="s">
        <v>690</v>
      </c>
      <c r="B1411" s="15">
        <v>9637260</v>
      </c>
      <c r="C1411" s="15">
        <v>141868</v>
      </c>
      <c r="D1411" s="15">
        <v>146000</v>
      </c>
      <c r="E1411" s="15">
        <v>13154</v>
      </c>
      <c r="F1411" s="15">
        <v>366</v>
      </c>
      <c r="G1411" s="15">
        <v>15.5</v>
      </c>
      <c r="H1411" s="165" t="s">
        <v>63</v>
      </c>
    </row>
    <row r="1412" spans="1:8">
      <c r="A1412" s="449" t="s">
        <v>700</v>
      </c>
      <c r="B1412" s="15">
        <v>9637258</v>
      </c>
      <c r="C1412" s="15">
        <v>141868</v>
      </c>
      <c r="D1412" s="15">
        <v>146000</v>
      </c>
      <c r="E1412" s="15">
        <v>13154</v>
      </c>
      <c r="F1412" s="15">
        <v>366</v>
      </c>
      <c r="G1412" s="15">
        <v>15.5</v>
      </c>
      <c r="H1412" s="165" t="s">
        <v>63</v>
      </c>
    </row>
    <row r="1413" spans="1:8">
      <c r="A1413" s="449" t="s">
        <v>111</v>
      </c>
      <c r="B1413" s="15">
        <v>9612997</v>
      </c>
      <c r="C1413" s="15">
        <v>142295</v>
      </c>
      <c r="D1413" s="15">
        <v>142000</v>
      </c>
      <c r="E1413" s="15">
        <v>13169</v>
      </c>
      <c r="F1413" s="15">
        <v>366</v>
      </c>
      <c r="G1413" s="15">
        <v>15.5</v>
      </c>
      <c r="H1413" s="165" t="s">
        <v>63</v>
      </c>
    </row>
    <row r="1414" spans="1:8">
      <c r="A1414" s="449" t="s">
        <v>176</v>
      </c>
      <c r="B1414" s="15">
        <v>9501344</v>
      </c>
      <c r="C1414" s="15">
        <v>142295</v>
      </c>
      <c r="D1414" s="15">
        <v>142100</v>
      </c>
      <c r="E1414" s="15">
        <v>13169</v>
      </c>
      <c r="F1414" s="15">
        <v>366.6</v>
      </c>
      <c r="G1414" s="15">
        <v>15.5</v>
      </c>
      <c r="H1414" s="165" t="s">
        <v>63</v>
      </c>
    </row>
    <row r="1415" spans="1:8">
      <c r="A1415" s="449" t="s">
        <v>502</v>
      </c>
      <c r="B1415" s="15">
        <v>9501370</v>
      </c>
      <c r="C1415" s="15">
        <v>142295</v>
      </c>
      <c r="D1415" s="15">
        <v>142000</v>
      </c>
      <c r="E1415" s="15">
        <v>13169</v>
      </c>
      <c r="F1415" s="15">
        <v>366</v>
      </c>
      <c r="G1415" s="15">
        <v>15.5</v>
      </c>
      <c r="H1415" s="165" t="s">
        <v>63</v>
      </c>
    </row>
    <row r="1416" spans="1:8">
      <c r="A1416" s="449" t="s">
        <v>654</v>
      </c>
      <c r="B1416" s="15">
        <v>9501356</v>
      </c>
      <c r="C1416" s="15">
        <v>60481</v>
      </c>
      <c r="D1416" s="15">
        <v>142018</v>
      </c>
      <c r="E1416" s="15">
        <v>13169</v>
      </c>
      <c r="F1416" s="15">
        <v>366</v>
      </c>
      <c r="G1416" s="15">
        <v>15.5</v>
      </c>
      <c r="H1416" s="165" t="s">
        <v>63</v>
      </c>
    </row>
    <row r="1417" spans="1:8">
      <c r="A1417" s="449" t="s">
        <v>753</v>
      </c>
      <c r="B1417" s="15">
        <v>9613006</v>
      </c>
      <c r="C1417" s="15">
        <v>141700</v>
      </c>
      <c r="D1417" s="15">
        <v>140000</v>
      </c>
      <c r="E1417" s="15">
        <v>13169</v>
      </c>
      <c r="F1417" s="15">
        <v>366</v>
      </c>
      <c r="G1417" s="15">
        <v>15.5</v>
      </c>
      <c r="H1417" s="165" t="s">
        <v>63</v>
      </c>
    </row>
    <row r="1418" spans="1:8">
      <c r="A1418" s="449" t="s">
        <v>768</v>
      </c>
      <c r="B1418" s="15">
        <v>9613018</v>
      </c>
      <c r="C1418" s="15">
        <v>142295</v>
      </c>
      <c r="D1418" s="15">
        <v>142000</v>
      </c>
      <c r="E1418" s="15">
        <v>13169</v>
      </c>
      <c r="F1418" s="15">
        <v>366</v>
      </c>
      <c r="G1418" s="15">
        <v>15.5</v>
      </c>
      <c r="H1418" s="165" t="s">
        <v>63</v>
      </c>
    </row>
    <row r="1419" spans="1:8">
      <c r="A1419" s="449" t="s">
        <v>1256</v>
      </c>
      <c r="B1419" s="15">
        <v>9501332</v>
      </c>
      <c r="C1419" s="15">
        <v>142295</v>
      </c>
      <c r="D1419" s="15">
        <v>142000</v>
      </c>
      <c r="E1419" s="15">
        <v>13169</v>
      </c>
      <c r="F1419" s="15">
        <v>366</v>
      </c>
      <c r="G1419" s="15">
        <v>15.5</v>
      </c>
      <c r="H1419" s="165" t="s">
        <v>63</v>
      </c>
    </row>
    <row r="1420" spans="1:8">
      <c r="A1420" s="449" t="s">
        <v>1487</v>
      </c>
      <c r="B1420" s="15">
        <v>9501368</v>
      </c>
      <c r="C1420" s="15">
        <v>142295</v>
      </c>
      <c r="D1420" s="15">
        <v>142000</v>
      </c>
      <c r="E1420" s="15">
        <v>13169</v>
      </c>
      <c r="F1420" s="15">
        <v>366</v>
      </c>
      <c r="G1420" s="15">
        <v>15.5</v>
      </c>
      <c r="H1420" s="165" t="s">
        <v>63</v>
      </c>
    </row>
    <row r="1421" spans="1:8">
      <c r="A1421" s="449" t="s">
        <v>1561</v>
      </c>
      <c r="B1421" s="15">
        <v>9613020</v>
      </c>
      <c r="C1421" s="15">
        <v>142000</v>
      </c>
      <c r="D1421" s="15">
        <v>142295</v>
      </c>
      <c r="E1421" s="15">
        <v>13169</v>
      </c>
      <c r="F1421" s="15">
        <v>366</v>
      </c>
      <c r="G1421" s="15">
        <v>15.5</v>
      </c>
      <c r="H1421" s="165" t="s">
        <v>63</v>
      </c>
    </row>
    <row r="1422" spans="1:8">
      <c r="A1422" s="449" t="s">
        <v>605</v>
      </c>
      <c r="B1422" s="15">
        <v>9461051</v>
      </c>
      <c r="C1422" s="15">
        <v>142000</v>
      </c>
      <c r="D1422" s="15">
        <v>140000</v>
      </c>
      <c r="E1422" s="15">
        <v>13200</v>
      </c>
      <c r="F1422" s="15">
        <v>366</v>
      </c>
      <c r="G1422" s="15">
        <v>15.5</v>
      </c>
      <c r="H1422" s="165" t="s">
        <v>63</v>
      </c>
    </row>
    <row r="1423" spans="1:8">
      <c r="A1423" s="449" t="s">
        <v>1137</v>
      </c>
      <c r="B1423" s="15">
        <v>9404675</v>
      </c>
      <c r="C1423" s="15">
        <v>153092</v>
      </c>
      <c r="D1423" s="15">
        <v>165478</v>
      </c>
      <c r="E1423" s="15">
        <v>13200</v>
      </c>
      <c r="F1423" s="15">
        <v>365.58</v>
      </c>
      <c r="G1423" s="15">
        <v>16</v>
      </c>
      <c r="H1423" s="165" t="s">
        <v>63</v>
      </c>
    </row>
    <row r="1424" spans="1:8">
      <c r="A1424" s="449" t="s">
        <v>1339</v>
      </c>
      <c r="B1424" s="15">
        <v>9627978</v>
      </c>
      <c r="C1424" s="15">
        <v>141003</v>
      </c>
      <c r="D1424" s="15">
        <v>143521</v>
      </c>
      <c r="E1424" s="15">
        <v>13208</v>
      </c>
      <c r="F1424" s="15">
        <v>365.5</v>
      </c>
      <c r="G1424" s="15">
        <v>15.5</v>
      </c>
      <c r="H1424" s="165" t="s">
        <v>63</v>
      </c>
    </row>
    <row r="1425" spans="1:8">
      <c r="A1425" s="449" t="s">
        <v>1340</v>
      </c>
      <c r="B1425" s="15">
        <v>9622605</v>
      </c>
      <c r="C1425" s="15">
        <v>141003</v>
      </c>
      <c r="D1425" s="15">
        <v>144000</v>
      </c>
      <c r="E1425" s="15">
        <v>13208</v>
      </c>
      <c r="F1425" s="15">
        <v>365.5</v>
      </c>
      <c r="G1425" s="15">
        <v>15.5</v>
      </c>
      <c r="H1425" s="165" t="s">
        <v>63</v>
      </c>
    </row>
    <row r="1426" spans="1:8">
      <c r="A1426" s="449" t="s">
        <v>1341</v>
      </c>
      <c r="B1426" s="15">
        <v>9622590</v>
      </c>
      <c r="C1426" s="15">
        <v>141003</v>
      </c>
      <c r="D1426" s="15">
        <v>144342</v>
      </c>
      <c r="E1426" s="15">
        <v>13208</v>
      </c>
      <c r="F1426" s="15">
        <v>365.5</v>
      </c>
      <c r="G1426" s="15">
        <v>15.5</v>
      </c>
      <c r="H1426" s="165" t="s">
        <v>63</v>
      </c>
    </row>
    <row r="1427" spans="1:8">
      <c r="A1427" s="449" t="s">
        <v>1344</v>
      </c>
      <c r="B1427" s="15">
        <v>9622629</v>
      </c>
      <c r="C1427" s="15">
        <v>141003</v>
      </c>
      <c r="D1427" s="15">
        <v>144342</v>
      </c>
      <c r="E1427" s="15">
        <v>13208</v>
      </c>
      <c r="F1427" s="15">
        <v>365.5</v>
      </c>
      <c r="G1427" s="15">
        <v>15.5</v>
      </c>
      <c r="H1427" s="165" t="s">
        <v>63</v>
      </c>
    </row>
    <row r="1428" spans="1:8">
      <c r="A1428" s="449" t="s">
        <v>1345</v>
      </c>
      <c r="B1428" s="15">
        <v>9622631</v>
      </c>
      <c r="C1428" s="15">
        <v>141003</v>
      </c>
      <c r="D1428" s="15">
        <v>144000</v>
      </c>
      <c r="E1428" s="15">
        <v>13208</v>
      </c>
      <c r="F1428" s="15">
        <v>365.5</v>
      </c>
      <c r="G1428" s="15">
        <v>15.5</v>
      </c>
      <c r="H1428" s="165" t="s">
        <v>63</v>
      </c>
    </row>
    <row r="1429" spans="1:8">
      <c r="A1429" s="449" t="s">
        <v>1346</v>
      </c>
      <c r="B1429" s="15">
        <v>9622617</v>
      </c>
      <c r="C1429" s="15">
        <v>141003</v>
      </c>
      <c r="D1429" s="15">
        <v>144000</v>
      </c>
      <c r="E1429" s="15">
        <v>13208</v>
      </c>
      <c r="F1429" s="15">
        <v>366</v>
      </c>
      <c r="G1429" s="15">
        <v>15.5</v>
      </c>
      <c r="H1429" s="165" t="s">
        <v>63</v>
      </c>
    </row>
    <row r="1430" spans="1:8">
      <c r="A1430" s="449" t="s">
        <v>1351</v>
      </c>
      <c r="B1430" s="15">
        <v>9627992</v>
      </c>
      <c r="C1430" s="15">
        <v>141003</v>
      </c>
      <c r="D1430" s="15">
        <v>144000</v>
      </c>
      <c r="E1430" s="15">
        <v>13208</v>
      </c>
      <c r="F1430" s="15">
        <v>365.5</v>
      </c>
      <c r="G1430" s="15">
        <v>15.5</v>
      </c>
      <c r="H1430" s="165" t="s">
        <v>63</v>
      </c>
    </row>
    <row r="1431" spans="1:8">
      <c r="A1431" s="449" t="s">
        <v>1355</v>
      </c>
      <c r="B1431" s="15">
        <v>9627980</v>
      </c>
      <c r="C1431" s="15">
        <v>141003</v>
      </c>
      <c r="D1431" s="15">
        <v>144000</v>
      </c>
      <c r="E1431" s="15">
        <v>13208</v>
      </c>
      <c r="F1431" s="15">
        <v>356.5</v>
      </c>
      <c r="G1431" s="15">
        <v>15.5</v>
      </c>
      <c r="H1431" s="165" t="s">
        <v>63</v>
      </c>
    </row>
    <row r="1432" spans="1:8">
      <c r="A1432" s="449" t="s">
        <v>1359</v>
      </c>
      <c r="B1432" s="15">
        <v>9622588</v>
      </c>
      <c r="C1432" s="15">
        <v>141003</v>
      </c>
      <c r="D1432" s="15">
        <v>144321</v>
      </c>
      <c r="E1432" s="15">
        <v>13208</v>
      </c>
      <c r="F1432" s="15">
        <v>365.5</v>
      </c>
      <c r="G1432" s="15">
        <v>15.5</v>
      </c>
      <c r="H1432" s="165" t="s">
        <v>63</v>
      </c>
    </row>
    <row r="1433" spans="1:8">
      <c r="A1433" s="449" t="s">
        <v>1366</v>
      </c>
      <c r="B1433" s="15">
        <v>9628001</v>
      </c>
      <c r="C1433" s="15">
        <v>141003</v>
      </c>
      <c r="D1433" s="15">
        <v>144000</v>
      </c>
      <c r="E1433" s="15">
        <v>13208</v>
      </c>
      <c r="F1433" s="15">
        <v>365.5</v>
      </c>
      <c r="G1433" s="15">
        <v>15.5</v>
      </c>
      <c r="H1433" s="165" t="s">
        <v>63</v>
      </c>
    </row>
    <row r="1434" spans="1:8">
      <c r="A1434" s="449" t="s">
        <v>1522</v>
      </c>
      <c r="B1434" s="15">
        <v>9525895</v>
      </c>
      <c r="C1434" s="15">
        <v>141077</v>
      </c>
      <c r="D1434" s="15">
        <v>145451</v>
      </c>
      <c r="E1434" s="15">
        <v>13296</v>
      </c>
      <c r="F1434" s="15">
        <v>365.5</v>
      </c>
      <c r="G1434" s="15">
        <v>15.5</v>
      </c>
      <c r="H1434" s="165" t="s">
        <v>63</v>
      </c>
    </row>
    <row r="1435" spans="1:8">
      <c r="A1435" s="449" t="s">
        <v>307</v>
      </c>
      <c r="B1435" s="15">
        <v>9454424</v>
      </c>
      <c r="C1435" s="15">
        <v>153022</v>
      </c>
      <c r="D1435" s="15">
        <v>157000</v>
      </c>
      <c r="E1435" s="15">
        <v>13344</v>
      </c>
      <c r="F1435" s="15">
        <v>365.5</v>
      </c>
      <c r="G1435" s="15">
        <v>15.5</v>
      </c>
      <c r="H1435" s="165" t="s">
        <v>63</v>
      </c>
    </row>
    <row r="1436" spans="1:8">
      <c r="A1436" s="449" t="s">
        <v>381</v>
      </c>
      <c r="B1436" s="15">
        <v>9516478</v>
      </c>
      <c r="C1436" s="15">
        <v>153666</v>
      </c>
      <c r="D1436" s="15">
        <v>157000</v>
      </c>
      <c r="E1436" s="15">
        <v>13360</v>
      </c>
      <c r="F1436" s="15">
        <v>366</v>
      </c>
      <c r="G1436" s="15">
        <v>15.5</v>
      </c>
      <c r="H1436" s="165" t="s">
        <v>63</v>
      </c>
    </row>
    <row r="1437" spans="1:8">
      <c r="A1437" s="449" t="s">
        <v>1422</v>
      </c>
      <c r="B1437" s="15">
        <v>9447861</v>
      </c>
      <c r="C1437" s="15">
        <v>140259</v>
      </c>
      <c r="D1437" s="15">
        <v>146161</v>
      </c>
      <c r="E1437" s="15">
        <v>13371</v>
      </c>
      <c r="F1437" s="15">
        <v>366</v>
      </c>
      <c r="G1437" s="15">
        <v>15.5</v>
      </c>
      <c r="H1437" s="165" t="s">
        <v>63</v>
      </c>
    </row>
    <row r="1438" spans="1:8">
      <c r="A1438" s="449" t="s">
        <v>380</v>
      </c>
      <c r="B1438" s="15">
        <v>9516404</v>
      </c>
      <c r="C1438" s="15">
        <v>157000</v>
      </c>
      <c r="D1438" s="15">
        <v>152860</v>
      </c>
      <c r="E1438" s="15">
        <v>13380</v>
      </c>
      <c r="F1438" s="15">
        <v>366</v>
      </c>
      <c r="G1438" s="15">
        <v>15.5</v>
      </c>
      <c r="H1438" s="165" t="s">
        <v>63</v>
      </c>
    </row>
    <row r="1439" spans="1:8">
      <c r="A1439" s="449" t="s">
        <v>383</v>
      </c>
      <c r="B1439" s="15">
        <v>9516428</v>
      </c>
      <c r="C1439" s="15">
        <v>153666</v>
      </c>
      <c r="D1439" s="15">
        <v>156618</v>
      </c>
      <c r="E1439" s="15">
        <v>13386</v>
      </c>
      <c r="F1439" s="15">
        <v>366</v>
      </c>
      <c r="G1439" s="15">
        <v>15.5</v>
      </c>
      <c r="H1439" s="165" t="s">
        <v>63</v>
      </c>
    </row>
    <row r="1440" spans="1:8">
      <c r="A1440" s="449" t="s">
        <v>388</v>
      </c>
      <c r="B1440" s="15">
        <v>9516416</v>
      </c>
      <c r="C1440" s="15">
        <v>153666</v>
      </c>
      <c r="D1440" s="15">
        <v>160000</v>
      </c>
      <c r="E1440" s="15">
        <v>13386</v>
      </c>
      <c r="F1440" s="15">
        <v>366</v>
      </c>
      <c r="G1440" s="15">
        <v>15.5</v>
      </c>
      <c r="H1440" s="165" t="s">
        <v>63</v>
      </c>
    </row>
    <row r="1441" spans="1:8">
      <c r="A1441" s="449" t="s">
        <v>396</v>
      </c>
      <c r="B1441" s="15">
        <v>9516454</v>
      </c>
      <c r="C1441" s="15">
        <v>153666</v>
      </c>
      <c r="D1441" s="15">
        <v>156610</v>
      </c>
      <c r="E1441" s="15">
        <v>13386</v>
      </c>
      <c r="F1441" s="15">
        <v>366</v>
      </c>
      <c r="G1441" s="15">
        <v>15.5</v>
      </c>
      <c r="H1441" s="165" t="s">
        <v>63</v>
      </c>
    </row>
    <row r="1442" spans="1:8">
      <c r="A1442" s="449" t="s">
        <v>400</v>
      </c>
      <c r="B1442" s="15">
        <v>9516430</v>
      </c>
      <c r="C1442" s="15">
        <v>153666</v>
      </c>
      <c r="D1442" s="15">
        <v>156600</v>
      </c>
      <c r="E1442" s="15">
        <v>13386</v>
      </c>
      <c r="F1442" s="15">
        <v>366</v>
      </c>
      <c r="G1442" s="15">
        <v>15.5</v>
      </c>
      <c r="H1442" s="165" t="s">
        <v>63</v>
      </c>
    </row>
    <row r="1443" spans="1:8">
      <c r="A1443" s="449" t="s">
        <v>405</v>
      </c>
      <c r="B1443" s="15">
        <v>9516466</v>
      </c>
      <c r="C1443" s="15">
        <v>153666</v>
      </c>
      <c r="D1443" s="15">
        <v>156600</v>
      </c>
      <c r="E1443" s="15">
        <v>13386</v>
      </c>
      <c r="F1443" s="15">
        <v>366</v>
      </c>
      <c r="G1443" s="15">
        <v>15.5</v>
      </c>
      <c r="H1443" s="165" t="s">
        <v>63</v>
      </c>
    </row>
    <row r="1444" spans="1:8">
      <c r="A1444" s="449" t="s">
        <v>426</v>
      </c>
      <c r="B1444" s="15">
        <v>9516442</v>
      </c>
      <c r="C1444" s="15">
        <v>153666</v>
      </c>
      <c r="D1444" s="15">
        <v>156600</v>
      </c>
      <c r="E1444" s="15">
        <v>13386</v>
      </c>
      <c r="F1444" s="15">
        <v>366</v>
      </c>
      <c r="G1444" s="15">
        <v>15.5</v>
      </c>
      <c r="H1444" s="165" t="s">
        <v>63</v>
      </c>
    </row>
    <row r="1445" spans="1:8">
      <c r="A1445" s="449" t="s">
        <v>421</v>
      </c>
      <c r="B1445" s="15">
        <v>9785809</v>
      </c>
      <c r="C1445" s="15">
        <v>148500</v>
      </c>
      <c r="D1445" s="15">
        <v>145000</v>
      </c>
      <c r="E1445" s="15">
        <v>13500</v>
      </c>
      <c r="F1445" s="15">
        <v>366</v>
      </c>
      <c r="G1445" s="15">
        <v>15</v>
      </c>
      <c r="H1445" s="165" t="s">
        <v>63</v>
      </c>
    </row>
    <row r="1446" spans="1:8">
      <c r="A1446" s="449" t="s">
        <v>410</v>
      </c>
      <c r="B1446" s="15">
        <v>9757888</v>
      </c>
      <c r="C1446" s="15">
        <v>154300</v>
      </c>
      <c r="D1446" s="15">
        <v>153500</v>
      </c>
      <c r="E1446" s="15">
        <v>13636</v>
      </c>
      <c r="F1446" s="15">
        <v>366</v>
      </c>
      <c r="G1446" s="15">
        <v>15.5</v>
      </c>
      <c r="H1446" s="165" t="s">
        <v>63</v>
      </c>
    </row>
    <row r="1447" spans="1:8">
      <c r="A1447" s="449" t="s">
        <v>415</v>
      </c>
      <c r="B1447" s="15">
        <v>9757876</v>
      </c>
      <c r="C1447" s="15">
        <v>154300</v>
      </c>
      <c r="D1447" s="15">
        <v>153500</v>
      </c>
      <c r="E1447" s="15">
        <v>13636</v>
      </c>
      <c r="F1447" s="15">
        <v>366</v>
      </c>
      <c r="G1447" s="15">
        <v>15.5</v>
      </c>
      <c r="H1447" s="165" t="s">
        <v>63</v>
      </c>
    </row>
    <row r="1448" spans="1:8">
      <c r="A1448" s="449" t="s">
        <v>1003</v>
      </c>
      <c r="B1448" s="15">
        <v>9399014</v>
      </c>
      <c r="C1448" s="15">
        <v>151559</v>
      </c>
      <c r="D1448" s="15">
        <v>162867</v>
      </c>
      <c r="E1448" s="15">
        <v>13798</v>
      </c>
      <c r="F1448" s="15">
        <v>366.07</v>
      </c>
      <c r="G1448" s="15">
        <v>15.6</v>
      </c>
      <c r="H1448" s="165" t="s">
        <v>63</v>
      </c>
    </row>
    <row r="1449" spans="1:8">
      <c r="A1449" s="449" t="s">
        <v>1007</v>
      </c>
      <c r="B1449" s="15">
        <v>9399038</v>
      </c>
      <c r="C1449" s="15">
        <v>151559</v>
      </c>
      <c r="D1449" s="15">
        <v>156300</v>
      </c>
      <c r="E1449" s="15">
        <v>13798</v>
      </c>
      <c r="F1449" s="15">
        <v>365.5</v>
      </c>
      <c r="G1449" s="15">
        <v>16</v>
      </c>
      <c r="H1449" s="165" t="s">
        <v>63</v>
      </c>
    </row>
    <row r="1450" spans="1:8">
      <c r="A1450" s="449" t="s">
        <v>1051</v>
      </c>
      <c r="B1450" s="15">
        <v>9399052</v>
      </c>
      <c r="C1450" s="15">
        <v>151559</v>
      </c>
      <c r="D1450" s="15">
        <v>165300</v>
      </c>
      <c r="E1450" s="15">
        <v>13798</v>
      </c>
      <c r="F1450" s="15">
        <v>365.5</v>
      </c>
      <c r="G1450" s="15">
        <v>15.5</v>
      </c>
      <c r="H1450" s="165" t="s">
        <v>63</v>
      </c>
    </row>
    <row r="1451" spans="1:8">
      <c r="A1451" s="449" t="s">
        <v>1056</v>
      </c>
      <c r="B1451" s="15">
        <v>9401130</v>
      </c>
      <c r="C1451" s="15">
        <v>151559</v>
      </c>
      <c r="D1451" s="15">
        <v>156097</v>
      </c>
      <c r="E1451" s="15">
        <v>13798</v>
      </c>
      <c r="F1451" s="15">
        <v>366.06</v>
      </c>
      <c r="G1451" s="15">
        <v>16</v>
      </c>
      <c r="H1451" s="165" t="s">
        <v>63</v>
      </c>
    </row>
    <row r="1452" spans="1:8">
      <c r="A1452" s="449" t="s">
        <v>1076</v>
      </c>
      <c r="B1452" s="15">
        <v>9399040</v>
      </c>
      <c r="C1452" s="15">
        <v>151559</v>
      </c>
      <c r="D1452" s="15">
        <v>156082</v>
      </c>
      <c r="E1452" s="15">
        <v>13798</v>
      </c>
      <c r="F1452" s="15">
        <v>366.07</v>
      </c>
      <c r="G1452" s="15">
        <v>16</v>
      </c>
      <c r="H1452" s="165" t="s">
        <v>63</v>
      </c>
    </row>
    <row r="1453" spans="1:8">
      <c r="A1453" s="449" t="s">
        <v>1086</v>
      </c>
      <c r="B1453" s="15">
        <v>9399026</v>
      </c>
      <c r="C1453" s="15">
        <v>151559</v>
      </c>
      <c r="D1453" s="15">
        <v>155438</v>
      </c>
      <c r="E1453" s="15">
        <v>13798</v>
      </c>
      <c r="F1453" s="15">
        <v>366.07</v>
      </c>
      <c r="G1453" s="15">
        <v>16</v>
      </c>
      <c r="H1453" s="165" t="s">
        <v>63</v>
      </c>
    </row>
    <row r="1454" spans="1:8">
      <c r="A1454" s="449" t="s">
        <v>1107</v>
      </c>
      <c r="B1454" s="15">
        <v>9461427</v>
      </c>
      <c r="C1454" s="15">
        <v>153000</v>
      </c>
      <c r="D1454" s="15">
        <v>165300</v>
      </c>
      <c r="E1454" s="15">
        <v>13798</v>
      </c>
      <c r="F1454" s="15">
        <v>365.5</v>
      </c>
      <c r="G1454" s="15">
        <v>16</v>
      </c>
      <c r="H1454" s="165" t="s">
        <v>63</v>
      </c>
    </row>
    <row r="1455" spans="1:8">
      <c r="A1455" s="449" t="s">
        <v>1209</v>
      </c>
      <c r="B1455" s="15">
        <v>9404663</v>
      </c>
      <c r="C1455" s="15">
        <v>153092</v>
      </c>
      <c r="D1455" s="15">
        <v>165691</v>
      </c>
      <c r="E1455" s="15">
        <v>13798</v>
      </c>
      <c r="F1455" s="15">
        <v>365.5</v>
      </c>
      <c r="G1455" s="15">
        <v>16</v>
      </c>
      <c r="H1455" s="165" t="s">
        <v>63</v>
      </c>
    </row>
    <row r="1456" spans="1:8">
      <c r="A1456" s="449" t="s">
        <v>92</v>
      </c>
      <c r="B1456" s="15">
        <v>9525912</v>
      </c>
      <c r="C1456" s="15">
        <v>141077</v>
      </c>
      <c r="D1456" s="15">
        <v>145534</v>
      </c>
      <c r="E1456" s="15">
        <v>13800</v>
      </c>
      <c r="F1456" s="15">
        <v>366</v>
      </c>
      <c r="G1456" s="15">
        <v>15.5</v>
      </c>
      <c r="H1456" s="165" t="s">
        <v>63</v>
      </c>
    </row>
    <row r="1457" spans="1:8">
      <c r="A1457" s="449" t="s">
        <v>412</v>
      </c>
      <c r="B1457" s="15">
        <v>9785756</v>
      </c>
      <c r="C1457" s="15">
        <v>143179</v>
      </c>
      <c r="D1457" s="15">
        <v>145000</v>
      </c>
      <c r="E1457" s="15">
        <v>13800</v>
      </c>
      <c r="F1457" s="15">
        <v>366.6</v>
      </c>
      <c r="G1457" s="15">
        <v>15</v>
      </c>
      <c r="H1457" s="165" t="s">
        <v>63</v>
      </c>
    </row>
    <row r="1458" spans="1:8">
      <c r="A1458" s="449" t="s">
        <v>1637</v>
      </c>
      <c r="B1458" s="15">
        <v>9704647</v>
      </c>
      <c r="C1458" s="15">
        <v>146700</v>
      </c>
      <c r="D1458" s="15">
        <v>150000</v>
      </c>
      <c r="E1458" s="15">
        <v>13800</v>
      </c>
      <c r="F1458" s="15">
        <v>368</v>
      </c>
      <c r="G1458" s="15">
        <v>15.8</v>
      </c>
      <c r="H1458" s="165" t="s">
        <v>63</v>
      </c>
    </row>
    <row r="1459" spans="1:8">
      <c r="A1459" s="449" t="s">
        <v>1639</v>
      </c>
      <c r="B1459" s="15">
        <v>9704623</v>
      </c>
      <c r="C1459" s="15">
        <v>144651</v>
      </c>
      <c r="D1459" s="15">
        <v>145557</v>
      </c>
      <c r="E1459" s="15">
        <v>13800</v>
      </c>
      <c r="F1459" s="15">
        <v>368</v>
      </c>
      <c r="G1459" s="15">
        <v>15.8</v>
      </c>
      <c r="H1459" s="165" t="s">
        <v>63</v>
      </c>
    </row>
    <row r="1460" spans="1:8">
      <c r="A1460" s="449" t="s">
        <v>1641</v>
      </c>
      <c r="B1460" s="15">
        <v>9704611</v>
      </c>
      <c r="C1460" s="15">
        <v>144651</v>
      </c>
      <c r="D1460" s="15">
        <v>122625</v>
      </c>
      <c r="E1460" s="15">
        <v>13800</v>
      </c>
      <c r="F1460" s="15">
        <v>368</v>
      </c>
      <c r="G1460" s="15">
        <v>15.8</v>
      </c>
      <c r="H1460" s="165" t="s">
        <v>63</v>
      </c>
    </row>
    <row r="1461" spans="1:8">
      <c r="A1461" s="449" t="s">
        <v>1642</v>
      </c>
      <c r="B1461" s="15">
        <v>9708447</v>
      </c>
      <c r="C1461" s="15">
        <v>145136</v>
      </c>
      <c r="D1461" s="15">
        <v>146214</v>
      </c>
      <c r="E1461" s="15">
        <v>13800</v>
      </c>
      <c r="F1461" s="15">
        <v>367</v>
      </c>
      <c r="G1461" s="15">
        <v>14.5</v>
      </c>
      <c r="H1461" s="165" t="s">
        <v>63</v>
      </c>
    </row>
    <row r="1462" spans="1:8">
      <c r="A1462" s="449" t="s">
        <v>1644</v>
      </c>
      <c r="B1462" s="15">
        <v>9708435</v>
      </c>
      <c r="C1462" s="15">
        <v>145136</v>
      </c>
      <c r="D1462" s="15">
        <v>146073</v>
      </c>
      <c r="E1462" s="15">
        <v>13800</v>
      </c>
      <c r="F1462" s="15">
        <v>368</v>
      </c>
      <c r="G1462" s="15">
        <v>14.5</v>
      </c>
      <c r="H1462" s="165" t="s">
        <v>63</v>
      </c>
    </row>
    <row r="1463" spans="1:8">
      <c r="A1463" s="449" t="s">
        <v>1645</v>
      </c>
      <c r="B1463" s="15">
        <v>9684689</v>
      </c>
      <c r="C1463" s="15">
        <v>146700</v>
      </c>
      <c r="D1463" s="15">
        <v>122625</v>
      </c>
      <c r="E1463" s="15">
        <v>13800</v>
      </c>
      <c r="F1463" s="15">
        <v>368</v>
      </c>
      <c r="G1463" s="15">
        <v>15.8</v>
      </c>
      <c r="H1463" s="165" t="s">
        <v>63</v>
      </c>
    </row>
    <row r="1464" spans="1:8">
      <c r="A1464" s="449" t="s">
        <v>1653</v>
      </c>
      <c r="B1464" s="15">
        <v>9708473</v>
      </c>
      <c r="C1464" s="15">
        <v>145136</v>
      </c>
      <c r="D1464" s="15">
        <v>145784</v>
      </c>
      <c r="E1464" s="15">
        <v>13800</v>
      </c>
      <c r="F1464" s="15">
        <v>368</v>
      </c>
      <c r="G1464" s="15">
        <v>14.5</v>
      </c>
      <c r="H1464" s="165" t="s">
        <v>63</v>
      </c>
    </row>
    <row r="1465" spans="1:8">
      <c r="A1465" s="449" t="s">
        <v>1530</v>
      </c>
      <c r="B1465" s="15">
        <v>9665633</v>
      </c>
      <c r="C1465" s="15">
        <v>148667</v>
      </c>
      <c r="D1465" s="15">
        <v>152344</v>
      </c>
      <c r="E1465" s="15">
        <v>13808</v>
      </c>
      <c r="F1465" s="15">
        <v>368</v>
      </c>
      <c r="G1465" s="15">
        <v>15.8</v>
      </c>
      <c r="H1465" s="165" t="s">
        <v>63</v>
      </c>
    </row>
    <row r="1466" spans="1:8">
      <c r="A1466" s="449" t="s">
        <v>1531</v>
      </c>
      <c r="B1466" s="15">
        <v>9667186</v>
      </c>
      <c r="C1466" s="15">
        <v>148667</v>
      </c>
      <c r="D1466" s="15">
        <v>152200</v>
      </c>
      <c r="E1466" s="15">
        <v>13808</v>
      </c>
      <c r="F1466" s="15">
        <v>368.5</v>
      </c>
      <c r="G1466" s="15">
        <v>15.8</v>
      </c>
      <c r="H1466" s="165" t="s">
        <v>63</v>
      </c>
    </row>
    <row r="1467" spans="1:8">
      <c r="A1467" s="449" t="s">
        <v>1532</v>
      </c>
      <c r="B1467" s="15">
        <v>9667174</v>
      </c>
      <c r="C1467" s="15">
        <v>148667</v>
      </c>
      <c r="D1467" s="15">
        <v>152200</v>
      </c>
      <c r="E1467" s="15">
        <v>13808</v>
      </c>
      <c r="F1467" s="15">
        <v>368.5</v>
      </c>
      <c r="G1467" s="15">
        <v>15.8</v>
      </c>
      <c r="H1467" s="165" t="s">
        <v>63</v>
      </c>
    </row>
    <row r="1468" spans="1:8">
      <c r="A1468" s="449" t="s">
        <v>1533</v>
      </c>
      <c r="B1468" s="15">
        <v>9665621</v>
      </c>
      <c r="C1468" s="15">
        <v>140700</v>
      </c>
      <c r="D1468" s="15">
        <v>152200</v>
      </c>
      <c r="E1468" s="15">
        <v>13808</v>
      </c>
      <c r="F1468" s="15">
        <v>368</v>
      </c>
      <c r="G1468" s="15">
        <v>15.8</v>
      </c>
      <c r="H1468" s="165" t="s">
        <v>63</v>
      </c>
    </row>
    <row r="1469" spans="1:8">
      <c r="A1469" s="449" t="s">
        <v>1534</v>
      </c>
      <c r="B1469" s="15">
        <v>9665592</v>
      </c>
      <c r="C1469" s="15">
        <v>140700</v>
      </c>
      <c r="D1469" s="15">
        <v>152210</v>
      </c>
      <c r="E1469" s="15">
        <v>13808</v>
      </c>
      <c r="F1469" s="15">
        <v>368</v>
      </c>
      <c r="G1469" s="15">
        <v>15.8</v>
      </c>
      <c r="H1469" s="165" t="s">
        <v>63</v>
      </c>
    </row>
    <row r="1470" spans="1:8">
      <c r="A1470" s="449" t="s">
        <v>1535</v>
      </c>
      <c r="B1470" s="15">
        <v>9667150</v>
      </c>
      <c r="C1470" s="15">
        <v>148667</v>
      </c>
      <c r="D1470" s="15">
        <v>152000</v>
      </c>
      <c r="E1470" s="15">
        <v>13808</v>
      </c>
      <c r="F1470" s="15">
        <v>368.5</v>
      </c>
      <c r="G1470" s="15">
        <v>15.8</v>
      </c>
      <c r="H1470" s="165" t="s">
        <v>63</v>
      </c>
    </row>
    <row r="1471" spans="1:8">
      <c r="A1471" s="449" t="s">
        <v>1536</v>
      </c>
      <c r="B1471" s="15">
        <v>9665645</v>
      </c>
      <c r="C1471" s="15">
        <v>140700</v>
      </c>
      <c r="D1471" s="15">
        <v>152200</v>
      </c>
      <c r="E1471" s="15">
        <v>13808</v>
      </c>
      <c r="F1471" s="15">
        <v>368</v>
      </c>
      <c r="G1471" s="15">
        <v>15.8</v>
      </c>
      <c r="H1471" s="165" t="s">
        <v>63</v>
      </c>
    </row>
    <row r="1472" spans="1:8">
      <c r="A1472" s="449" t="s">
        <v>1537</v>
      </c>
      <c r="B1472" s="15">
        <v>9665607</v>
      </c>
      <c r="C1472" s="15">
        <v>140700</v>
      </c>
      <c r="D1472" s="15">
        <v>152000</v>
      </c>
      <c r="E1472" s="15">
        <v>13808</v>
      </c>
      <c r="F1472" s="15">
        <v>368</v>
      </c>
      <c r="G1472" s="15">
        <v>15.8</v>
      </c>
      <c r="H1472" s="165" t="s">
        <v>63</v>
      </c>
    </row>
    <row r="1473" spans="1:8">
      <c r="A1473" s="449" t="s">
        <v>1538</v>
      </c>
      <c r="B1473" s="15">
        <v>9665619</v>
      </c>
      <c r="C1473" s="15">
        <v>148667</v>
      </c>
      <c r="D1473" s="15">
        <v>152344</v>
      </c>
      <c r="E1473" s="15">
        <v>13808</v>
      </c>
      <c r="F1473" s="15">
        <v>368</v>
      </c>
      <c r="G1473" s="15">
        <v>15.8</v>
      </c>
      <c r="H1473" s="165" t="s">
        <v>63</v>
      </c>
    </row>
    <row r="1474" spans="1:8">
      <c r="A1474" s="449" t="s">
        <v>1539</v>
      </c>
      <c r="B1474" s="15">
        <v>9667162</v>
      </c>
      <c r="C1474" s="15">
        <v>148667</v>
      </c>
      <c r="D1474" s="15">
        <v>152000</v>
      </c>
      <c r="E1474" s="15">
        <v>13808</v>
      </c>
      <c r="F1474" s="15">
        <v>368.5</v>
      </c>
      <c r="G1474" s="15">
        <v>15.8</v>
      </c>
      <c r="H1474" s="165" t="s">
        <v>63</v>
      </c>
    </row>
    <row r="1475" spans="1:8">
      <c r="A1475" s="449" t="s">
        <v>258</v>
      </c>
      <c r="B1475" s="15">
        <v>9454395</v>
      </c>
      <c r="C1475" s="15">
        <v>107000</v>
      </c>
      <c r="D1475" s="15">
        <v>108000</v>
      </c>
      <c r="E1475" s="15">
        <v>13830</v>
      </c>
      <c r="F1475" s="15">
        <v>365.5</v>
      </c>
      <c r="G1475" s="15">
        <v>15.5</v>
      </c>
      <c r="H1475" s="165" t="s">
        <v>63</v>
      </c>
    </row>
    <row r="1476" spans="1:8">
      <c r="A1476" s="449" t="s">
        <v>275</v>
      </c>
      <c r="B1476" s="15">
        <v>9453559</v>
      </c>
      <c r="C1476" s="15">
        <v>153022</v>
      </c>
      <c r="D1476" s="15">
        <v>156800</v>
      </c>
      <c r="E1476" s="15">
        <v>13830</v>
      </c>
      <c r="F1476" s="15">
        <v>365.5</v>
      </c>
      <c r="G1476" s="15">
        <v>15.5</v>
      </c>
      <c r="H1476" s="165" t="s">
        <v>63</v>
      </c>
    </row>
    <row r="1477" spans="1:8">
      <c r="A1477" s="449" t="s">
        <v>279</v>
      </c>
      <c r="B1477" s="15">
        <v>9454400</v>
      </c>
      <c r="C1477" s="15">
        <v>107000</v>
      </c>
      <c r="D1477" s="15">
        <v>108000</v>
      </c>
      <c r="E1477" s="15">
        <v>13830</v>
      </c>
      <c r="F1477" s="15">
        <v>365.5</v>
      </c>
      <c r="G1477" s="15">
        <v>15.5</v>
      </c>
      <c r="H1477" s="165" t="s">
        <v>63</v>
      </c>
    </row>
    <row r="1478" spans="1:8">
      <c r="A1478" s="449" t="s">
        <v>299</v>
      </c>
      <c r="B1478" s="15">
        <v>9454412</v>
      </c>
      <c r="C1478" s="15">
        <v>153022</v>
      </c>
      <c r="D1478" s="15">
        <v>157000</v>
      </c>
      <c r="E1478" s="15">
        <v>13830</v>
      </c>
      <c r="F1478" s="15">
        <v>365.5</v>
      </c>
      <c r="G1478" s="15">
        <v>15.5</v>
      </c>
      <c r="H1478" s="165" t="s">
        <v>63</v>
      </c>
    </row>
    <row r="1479" spans="1:8">
      <c r="A1479" s="449" t="s">
        <v>859</v>
      </c>
      <c r="B1479" s="15">
        <v>9706748</v>
      </c>
      <c r="C1479" s="15">
        <v>150000</v>
      </c>
      <c r="D1479" s="15">
        <v>155000</v>
      </c>
      <c r="E1479" s="15">
        <v>13870</v>
      </c>
      <c r="F1479" s="15">
        <v>366</v>
      </c>
      <c r="G1479" s="15">
        <v>15.5</v>
      </c>
      <c r="H1479" s="165" t="s">
        <v>63</v>
      </c>
    </row>
    <row r="1480" spans="1:8">
      <c r="A1480" s="449" t="s">
        <v>861</v>
      </c>
      <c r="B1480" s="15">
        <v>9689615</v>
      </c>
      <c r="C1480" s="15">
        <v>148000</v>
      </c>
      <c r="D1480" s="15">
        <v>150000</v>
      </c>
      <c r="E1480" s="15">
        <v>13870</v>
      </c>
      <c r="F1480" s="15">
        <v>366</v>
      </c>
      <c r="G1480" s="15">
        <v>15.5</v>
      </c>
      <c r="H1480" s="165" t="s">
        <v>63</v>
      </c>
    </row>
    <row r="1481" spans="1:8">
      <c r="A1481" s="449" t="s">
        <v>891</v>
      </c>
      <c r="B1481" s="15">
        <v>9706736</v>
      </c>
      <c r="C1481" s="15">
        <v>150709</v>
      </c>
      <c r="D1481" s="15">
        <v>145500</v>
      </c>
      <c r="E1481" s="15">
        <v>13870</v>
      </c>
      <c r="F1481" s="15">
        <v>366</v>
      </c>
      <c r="G1481" s="15">
        <v>15.5</v>
      </c>
      <c r="H1481" s="165" t="s">
        <v>63</v>
      </c>
    </row>
    <row r="1482" spans="1:8">
      <c r="A1482" s="449" t="s">
        <v>943</v>
      </c>
      <c r="B1482" s="15">
        <v>9757204</v>
      </c>
      <c r="C1482" s="15">
        <v>150706</v>
      </c>
      <c r="D1482" s="15">
        <v>147021</v>
      </c>
      <c r="E1482" s="15">
        <v>13870</v>
      </c>
      <c r="F1482" s="15">
        <v>365.9</v>
      </c>
      <c r="G1482" s="15">
        <v>15.5</v>
      </c>
      <c r="H1482" s="165" t="s">
        <v>63</v>
      </c>
    </row>
    <row r="1483" spans="1:8">
      <c r="A1483" s="449" t="s">
        <v>1242</v>
      </c>
      <c r="B1483" s="15">
        <v>9706750</v>
      </c>
      <c r="C1483" s="15">
        <v>150709</v>
      </c>
      <c r="D1483" s="15">
        <v>147500</v>
      </c>
      <c r="E1483" s="15">
        <v>13870</v>
      </c>
      <c r="F1483" s="15">
        <v>365.9</v>
      </c>
      <c r="G1483" s="15">
        <v>15.5</v>
      </c>
      <c r="H1483" s="165" t="s">
        <v>63</v>
      </c>
    </row>
    <row r="1484" spans="1:8">
      <c r="A1484" s="449" t="s">
        <v>1333</v>
      </c>
      <c r="B1484" s="15">
        <v>9805477</v>
      </c>
      <c r="C1484" s="15">
        <v>154000</v>
      </c>
      <c r="D1484" s="15">
        <v>144735</v>
      </c>
      <c r="E1484" s="15">
        <v>13870</v>
      </c>
      <c r="F1484" s="15">
        <v>365.9</v>
      </c>
      <c r="G1484" s="15">
        <v>15.5</v>
      </c>
      <c r="H1484" s="165" t="s">
        <v>63</v>
      </c>
    </row>
    <row r="1485" spans="1:8">
      <c r="A1485" s="449" t="s">
        <v>1515</v>
      </c>
      <c r="B1485" s="15">
        <v>9737498</v>
      </c>
      <c r="C1485" s="15">
        <v>150000</v>
      </c>
      <c r="D1485" s="15">
        <v>147500</v>
      </c>
      <c r="E1485" s="15">
        <v>13870</v>
      </c>
      <c r="F1485" s="15">
        <v>365.9</v>
      </c>
      <c r="G1485" s="15">
        <v>15.5</v>
      </c>
      <c r="H1485" s="165" t="s">
        <v>63</v>
      </c>
    </row>
    <row r="1486" spans="1:8">
      <c r="A1486" s="449" t="s">
        <v>1519</v>
      </c>
      <c r="B1486" s="15">
        <v>9737462</v>
      </c>
      <c r="C1486" s="15">
        <v>150709</v>
      </c>
      <c r="D1486" s="15">
        <v>147500</v>
      </c>
      <c r="E1486" s="15">
        <v>13870</v>
      </c>
      <c r="F1486" s="15">
        <v>365.9</v>
      </c>
      <c r="G1486" s="15">
        <v>15.5</v>
      </c>
      <c r="H1486" s="165" t="s">
        <v>63</v>
      </c>
    </row>
    <row r="1487" spans="1:8">
      <c r="A1487" s="449" t="s">
        <v>1528</v>
      </c>
      <c r="B1487" s="15">
        <v>9737503</v>
      </c>
      <c r="C1487" s="15">
        <v>151417</v>
      </c>
      <c r="D1487" s="15">
        <v>146722</v>
      </c>
      <c r="E1487" s="15">
        <v>13870</v>
      </c>
      <c r="F1487" s="15">
        <v>365.9</v>
      </c>
      <c r="G1487" s="15">
        <v>15.5</v>
      </c>
      <c r="H1487" s="165" t="s">
        <v>63</v>
      </c>
    </row>
    <row r="1488" spans="1:8">
      <c r="A1488" s="449" t="s">
        <v>1550</v>
      </c>
      <c r="B1488" s="15">
        <v>9737474</v>
      </c>
      <c r="C1488" s="15">
        <v>150709</v>
      </c>
      <c r="D1488" s="15">
        <v>147500</v>
      </c>
      <c r="E1488" s="15">
        <v>13870</v>
      </c>
      <c r="F1488" s="15">
        <v>365.9</v>
      </c>
      <c r="G1488" s="15">
        <v>15.5</v>
      </c>
      <c r="H1488" s="165" t="s">
        <v>63</v>
      </c>
    </row>
    <row r="1489" spans="1:8">
      <c r="A1489" s="449" t="s">
        <v>1551</v>
      </c>
      <c r="B1489" s="15">
        <v>9737486</v>
      </c>
      <c r="C1489" s="15">
        <v>150000</v>
      </c>
      <c r="D1489" s="15">
        <v>147500</v>
      </c>
      <c r="E1489" s="15">
        <v>13870</v>
      </c>
      <c r="F1489" s="15">
        <v>365</v>
      </c>
      <c r="G1489" s="15">
        <v>15.5</v>
      </c>
      <c r="H1489" s="165" t="s">
        <v>63</v>
      </c>
    </row>
    <row r="1490" spans="1:8">
      <c r="A1490" s="449" t="s">
        <v>147</v>
      </c>
      <c r="B1490" s="15">
        <v>9631993</v>
      </c>
      <c r="C1490" s="15">
        <v>151963</v>
      </c>
      <c r="D1490" s="15">
        <v>150100</v>
      </c>
      <c r="E1490" s="15">
        <v>13892</v>
      </c>
      <c r="F1490" s="15">
        <v>368.5</v>
      </c>
      <c r="G1490" s="15">
        <v>15.5</v>
      </c>
      <c r="H1490" s="165" t="s">
        <v>63</v>
      </c>
    </row>
    <row r="1491" spans="1:8">
      <c r="A1491" s="449" t="s">
        <v>933</v>
      </c>
      <c r="B1491" s="15">
        <v>9632038</v>
      </c>
      <c r="C1491" s="15">
        <v>151963</v>
      </c>
      <c r="D1491" s="15">
        <v>150100</v>
      </c>
      <c r="E1491" s="15">
        <v>13892</v>
      </c>
      <c r="F1491" s="15">
        <v>368.5</v>
      </c>
      <c r="G1491" s="15">
        <v>15.5</v>
      </c>
      <c r="H1491" s="165" t="s">
        <v>63</v>
      </c>
    </row>
    <row r="1492" spans="1:8">
      <c r="A1492" s="449" t="s">
        <v>771</v>
      </c>
      <c r="B1492" s="15">
        <v>9689603</v>
      </c>
      <c r="C1492" s="15">
        <v>152297</v>
      </c>
      <c r="D1492" s="15">
        <v>147404</v>
      </c>
      <c r="E1492" s="15">
        <v>13900</v>
      </c>
      <c r="F1492" s="15">
        <v>365.94</v>
      </c>
      <c r="G1492" s="15">
        <v>15.52</v>
      </c>
      <c r="H1492" s="165" t="s">
        <v>63</v>
      </c>
    </row>
    <row r="1493" spans="1:8">
      <c r="A1493" s="449" t="s">
        <v>121</v>
      </c>
      <c r="B1493" s="15">
        <v>9632026</v>
      </c>
      <c r="C1493" s="15">
        <v>151963</v>
      </c>
      <c r="D1493" s="15">
        <v>150100</v>
      </c>
      <c r="E1493" s="15">
        <v>14000</v>
      </c>
      <c r="F1493" s="15">
        <v>368.5</v>
      </c>
      <c r="G1493" s="15">
        <v>15.5</v>
      </c>
      <c r="H1493" s="165" t="s">
        <v>63</v>
      </c>
    </row>
    <row r="1494" spans="1:8">
      <c r="A1494" s="449" t="s">
        <v>128</v>
      </c>
      <c r="B1494" s="15">
        <v>9632014</v>
      </c>
      <c r="C1494" s="15">
        <v>151963</v>
      </c>
      <c r="D1494" s="15">
        <v>150100</v>
      </c>
      <c r="E1494" s="15">
        <v>14000</v>
      </c>
      <c r="F1494" s="15">
        <v>368.5</v>
      </c>
      <c r="G1494" s="15">
        <v>15.5</v>
      </c>
      <c r="H1494" s="165" t="s">
        <v>63</v>
      </c>
    </row>
    <row r="1495" spans="1:8">
      <c r="A1495" s="449" t="s">
        <v>139</v>
      </c>
      <c r="B1495" s="15">
        <v>9631979</v>
      </c>
      <c r="C1495" s="15">
        <v>151963</v>
      </c>
      <c r="D1495" s="15">
        <v>150100</v>
      </c>
      <c r="E1495" s="15">
        <v>14000</v>
      </c>
      <c r="F1495" s="15">
        <v>368.5</v>
      </c>
      <c r="G1495" s="15">
        <v>15.5</v>
      </c>
      <c r="H1495" s="165" t="s">
        <v>63</v>
      </c>
    </row>
    <row r="1496" spans="1:8">
      <c r="A1496" s="449" t="s">
        <v>142</v>
      </c>
      <c r="B1496" s="15">
        <v>9632040</v>
      </c>
      <c r="C1496" s="15">
        <v>151936</v>
      </c>
      <c r="D1496" s="15">
        <v>150100</v>
      </c>
      <c r="E1496" s="15">
        <v>14000</v>
      </c>
      <c r="F1496" s="15">
        <v>368.5</v>
      </c>
      <c r="G1496" s="15">
        <v>15.5</v>
      </c>
      <c r="H1496" s="165" t="s">
        <v>63</v>
      </c>
    </row>
    <row r="1497" spans="1:8">
      <c r="A1497" s="449" t="s">
        <v>143</v>
      </c>
      <c r="B1497" s="15">
        <v>9632002</v>
      </c>
      <c r="C1497" s="15">
        <v>151963</v>
      </c>
      <c r="D1497" s="15">
        <v>150100</v>
      </c>
      <c r="E1497" s="15">
        <v>14000</v>
      </c>
      <c r="F1497" s="15">
        <v>368.5</v>
      </c>
      <c r="G1497" s="15">
        <v>15.5</v>
      </c>
      <c r="H1497" s="165" t="s">
        <v>63</v>
      </c>
    </row>
    <row r="1498" spans="1:8">
      <c r="A1498" s="449" t="s">
        <v>451</v>
      </c>
      <c r="B1498" s="15">
        <v>9467251</v>
      </c>
      <c r="C1498" s="15">
        <v>158000</v>
      </c>
      <c r="D1498" s="15">
        <v>165300</v>
      </c>
      <c r="E1498" s="15">
        <v>14000</v>
      </c>
      <c r="F1498" s="15">
        <v>365.5</v>
      </c>
      <c r="G1498" s="15">
        <v>15.5</v>
      </c>
      <c r="H1498" s="165" t="s">
        <v>63</v>
      </c>
    </row>
    <row r="1499" spans="1:8">
      <c r="A1499" s="449" t="s">
        <v>773</v>
      </c>
      <c r="B1499" s="15">
        <v>9805453</v>
      </c>
      <c r="C1499" s="15">
        <v>152068</v>
      </c>
      <c r="D1499" s="15">
        <v>146778</v>
      </c>
      <c r="E1499" s="15">
        <v>14000</v>
      </c>
      <c r="F1499" s="15">
        <v>365</v>
      </c>
      <c r="G1499" s="15">
        <v>15.52</v>
      </c>
      <c r="H1499" s="165" t="s">
        <v>63</v>
      </c>
    </row>
    <row r="1500" spans="1:8">
      <c r="A1500" s="449" t="s">
        <v>966</v>
      </c>
      <c r="B1500" s="15">
        <v>9461374</v>
      </c>
      <c r="C1500" s="15">
        <v>153115</v>
      </c>
      <c r="D1500" s="15">
        <v>165300</v>
      </c>
      <c r="E1500" s="15">
        <v>14000</v>
      </c>
      <c r="F1500" s="15">
        <v>365.5</v>
      </c>
      <c r="G1500" s="15">
        <v>16</v>
      </c>
      <c r="H1500" s="165" t="s">
        <v>63</v>
      </c>
    </row>
    <row r="1501" spans="1:8">
      <c r="A1501" s="449" t="s">
        <v>1016</v>
      </c>
      <c r="B1501" s="15">
        <v>9404651</v>
      </c>
      <c r="C1501" s="15">
        <v>153092</v>
      </c>
      <c r="D1501" s="15">
        <v>165181</v>
      </c>
      <c r="E1501" s="15">
        <v>14000</v>
      </c>
      <c r="F1501" s="15">
        <v>365.52</v>
      </c>
      <c r="G1501" s="15">
        <v>16.03</v>
      </c>
      <c r="H1501" s="165" t="s">
        <v>63</v>
      </c>
    </row>
    <row r="1502" spans="1:8">
      <c r="A1502" s="449" t="s">
        <v>1030</v>
      </c>
      <c r="B1502" s="15">
        <v>9484429</v>
      </c>
      <c r="C1502" s="15">
        <v>153115</v>
      </c>
      <c r="D1502" s="15">
        <v>165960</v>
      </c>
      <c r="E1502" s="15">
        <v>14000</v>
      </c>
      <c r="F1502" s="15">
        <v>365.81</v>
      </c>
      <c r="G1502" s="15">
        <v>16</v>
      </c>
      <c r="H1502" s="165" t="s">
        <v>63</v>
      </c>
    </row>
    <row r="1503" spans="1:8">
      <c r="A1503" s="449" t="s">
        <v>1035</v>
      </c>
      <c r="B1503" s="15">
        <v>9399002</v>
      </c>
      <c r="C1503" s="15">
        <v>151559</v>
      </c>
      <c r="D1503" s="15">
        <v>152600</v>
      </c>
      <c r="E1503" s="15">
        <v>14000</v>
      </c>
      <c r="F1503" s="15">
        <v>366.07</v>
      </c>
      <c r="G1503" s="15">
        <v>16</v>
      </c>
      <c r="H1503" s="165" t="s">
        <v>63</v>
      </c>
    </row>
    <row r="1504" spans="1:8">
      <c r="A1504" s="449" t="s">
        <v>1037</v>
      </c>
      <c r="B1504" s="15">
        <v>9461415</v>
      </c>
      <c r="C1504" s="15">
        <v>153115</v>
      </c>
      <c r="D1504" s="15">
        <v>166093</v>
      </c>
      <c r="E1504" s="15">
        <v>14000</v>
      </c>
      <c r="F1504" s="15">
        <v>365.79</v>
      </c>
      <c r="G1504" s="15">
        <v>16</v>
      </c>
      <c r="H1504" s="165" t="s">
        <v>63</v>
      </c>
    </row>
    <row r="1505" spans="1:8">
      <c r="A1505" s="449" t="s">
        <v>1065</v>
      </c>
      <c r="B1505" s="15">
        <v>9401142</v>
      </c>
      <c r="C1505" s="15">
        <v>151559</v>
      </c>
      <c r="D1505" s="15">
        <v>155438</v>
      </c>
      <c r="E1505" s="15">
        <v>14000</v>
      </c>
      <c r="F1505" s="15">
        <v>365.5</v>
      </c>
      <c r="G1505" s="15">
        <v>16</v>
      </c>
      <c r="H1505" s="165" t="s">
        <v>63</v>
      </c>
    </row>
    <row r="1506" spans="1:8">
      <c r="A1506" s="449" t="s">
        <v>1068</v>
      </c>
      <c r="B1506" s="15">
        <v>9461386</v>
      </c>
      <c r="C1506" s="15">
        <v>153115</v>
      </c>
      <c r="D1506" s="15">
        <v>166041</v>
      </c>
      <c r="E1506" s="15">
        <v>14000</v>
      </c>
      <c r="F1506" s="15">
        <v>365.83</v>
      </c>
      <c r="G1506" s="15">
        <v>16</v>
      </c>
      <c r="H1506" s="165" t="s">
        <v>63</v>
      </c>
    </row>
    <row r="1507" spans="1:8">
      <c r="A1507" s="449" t="s">
        <v>1097</v>
      </c>
      <c r="B1507" s="15">
        <v>9461403</v>
      </c>
      <c r="C1507" s="15">
        <v>135000</v>
      </c>
      <c r="D1507" s="15">
        <v>165900</v>
      </c>
      <c r="E1507" s="15">
        <v>14000</v>
      </c>
      <c r="F1507" s="15">
        <v>365.5</v>
      </c>
      <c r="G1507" s="15">
        <v>15.5</v>
      </c>
      <c r="H1507" s="165" t="s">
        <v>63</v>
      </c>
    </row>
    <row r="1508" spans="1:8">
      <c r="A1508" s="449" t="s">
        <v>1171</v>
      </c>
      <c r="B1508" s="15">
        <v>9484431</v>
      </c>
      <c r="C1508" s="15">
        <v>133000</v>
      </c>
      <c r="D1508" s="15">
        <v>165300</v>
      </c>
      <c r="E1508" s="15">
        <v>14000</v>
      </c>
      <c r="F1508" s="15">
        <v>365.8</v>
      </c>
      <c r="G1508" s="15">
        <v>16</v>
      </c>
      <c r="H1508" s="165" t="s">
        <v>63</v>
      </c>
    </row>
    <row r="1509" spans="1:8">
      <c r="A1509" s="449" t="s">
        <v>1182</v>
      </c>
      <c r="B1509" s="15">
        <v>9461398</v>
      </c>
      <c r="C1509" s="15">
        <v>135000</v>
      </c>
      <c r="D1509" s="15">
        <v>145000</v>
      </c>
      <c r="E1509" s="15">
        <v>14000</v>
      </c>
      <c r="F1509" s="15">
        <v>365.5</v>
      </c>
      <c r="G1509" s="15">
        <v>16</v>
      </c>
      <c r="H1509" s="165" t="s">
        <v>63</v>
      </c>
    </row>
    <row r="1510" spans="1:8">
      <c r="A1510" s="449" t="s">
        <v>1195</v>
      </c>
      <c r="B1510" s="15">
        <v>9460356</v>
      </c>
      <c r="C1510" s="15">
        <v>153115</v>
      </c>
      <c r="D1510" s="15">
        <v>165887</v>
      </c>
      <c r="E1510" s="15">
        <v>14000</v>
      </c>
      <c r="F1510" s="15">
        <v>365.82</v>
      </c>
      <c r="G1510" s="15">
        <v>16</v>
      </c>
      <c r="H1510" s="165" t="s">
        <v>63</v>
      </c>
    </row>
    <row r="1511" spans="1:8">
      <c r="A1511" s="449" t="s">
        <v>1217</v>
      </c>
      <c r="B1511" s="15">
        <v>9475258</v>
      </c>
      <c r="C1511" s="15">
        <v>135000</v>
      </c>
      <c r="D1511" s="15">
        <v>165300</v>
      </c>
      <c r="E1511" s="15">
        <v>14000</v>
      </c>
      <c r="F1511" s="15">
        <v>365.5</v>
      </c>
      <c r="G1511" s="15">
        <v>16</v>
      </c>
      <c r="H1511" s="165" t="s">
        <v>63</v>
      </c>
    </row>
    <row r="1512" spans="1:8">
      <c r="A1512" s="449" t="s">
        <v>1299</v>
      </c>
      <c r="B1512" s="15">
        <v>9741449</v>
      </c>
      <c r="C1512" s="15">
        <v>145253</v>
      </c>
      <c r="D1512" s="15">
        <v>139335</v>
      </c>
      <c r="E1512" s="15">
        <v>14000</v>
      </c>
      <c r="F1512" s="15">
        <v>364</v>
      </c>
      <c r="G1512" s="15">
        <v>15</v>
      </c>
      <c r="H1512" s="165" t="s">
        <v>63</v>
      </c>
    </row>
    <row r="1513" spans="1:8">
      <c r="A1513" s="449" t="s">
        <v>1304</v>
      </c>
      <c r="B1513" s="15">
        <v>9741437</v>
      </c>
      <c r="C1513" s="15">
        <v>144277</v>
      </c>
      <c r="D1513" s="15">
        <v>139335</v>
      </c>
      <c r="E1513" s="15">
        <v>14000</v>
      </c>
      <c r="F1513" s="15">
        <v>364</v>
      </c>
      <c r="G1513" s="15">
        <v>15</v>
      </c>
      <c r="H1513" s="165" t="s">
        <v>63</v>
      </c>
    </row>
    <row r="1514" spans="1:8">
      <c r="A1514" s="449" t="s">
        <v>1310</v>
      </c>
      <c r="B1514" s="15">
        <v>9784776</v>
      </c>
      <c r="C1514" s="15">
        <v>150000</v>
      </c>
      <c r="D1514" s="15">
        <v>139500</v>
      </c>
      <c r="E1514" s="15">
        <v>14000</v>
      </c>
      <c r="F1514" s="15">
        <v>364</v>
      </c>
      <c r="G1514" s="15">
        <v>15</v>
      </c>
      <c r="H1514" s="165" t="s">
        <v>63</v>
      </c>
    </row>
    <row r="1515" spans="1:8">
      <c r="A1515" s="449" t="s">
        <v>1318</v>
      </c>
      <c r="B1515" s="15">
        <v>9741372</v>
      </c>
      <c r="C1515" s="15">
        <v>155000</v>
      </c>
      <c r="D1515" s="15">
        <v>144285</v>
      </c>
      <c r="E1515" s="15">
        <v>14000</v>
      </c>
      <c r="F1515" s="15">
        <v>364</v>
      </c>
      <c r="G1515" s="15">
        <v>15.8</v>
      </c>
      <c r="H1515" s="165" t="s">
        <v>63</v>
      </c>
    </row>
    <row r="1516" spans="1:8">
      <c r="A1516" s="449" t="s">
        <v>1321</v>
      </c>
      <c r="B1516" s="15">
        <v>9741401</v>
      </c>
      <c r="C1516" s="15">
        <v>144285</v>
      </c>
      <c r="D1516" s="15">
        <v>139335</v>
      </c>
      <c r="E1516" s="15">
        <v>14000</v>
      </c>
      <c r="F1516" s="15">
        <v>364</v>
      </c>
      <c r="G1516" s="15">
        <v>15</v>
      </c>
      <c r="H1516" s="165" t="s">
        <v>63</v>
      </c>
    </row>
    <row r="1517" spans="1:8">
      <c r="A1517" s="449" t="s">
        <v>1324</v>
      </c>
      <c r="B1517" s="15">
        <v>9741425</v>
      </c>
      <c r="C1517" s="15">
        <v>144285</v>
      </c>
      <c r="D1517" s="15">
        <v>155000</v>
      </c>
      <c r="E1517" s="15">
        <v>14000</v>
      </c>
      <c r="F1517" s="15">
        <v>364</v>
      </c>
      <c r="G1517" s="15">
        <v>15</v>
      </c>
      <c r="H1517" s="165" t="s">
        <v>63</v>
      </c>
    </row>
    <row r="1518" spans="1:8">
      <c r="A1518" s="449" t="s">
        <v>1378</v>
      </c>
      <c r="B1518" s="15">
        <v>9447902</v>
      </c>
      <c r="C1518" s="15">
        <v>140259</v>
      </c>
      <c r="D1518" s="15">
        <v>146074</v>
      </c>
      <c r="E1518" s="15">
        <v>14000</v>
      </c>
      <c r="F1518" s="15">
        <v>366</v>
      </c>
      <c r="G1518" s="15">
        <v>15.5</v>
      </c>
      <c r="H1518" s="165" t="s">
        <v>63</v>
      </c>
    </row>
    <row r="1519" spans="1:8">
      <c r="A1519" s="449" t="s">
        <v>1643</v>
      </c>
      <c r="B1519" s="15">
        <v>9708461</v>
      </c>
      <c r="C1519" s="15">
        <v>153500</v>
      </c>
      <c r="D1519" s="15">
        <v>145077</v>
      </c>
      <c r="E1519" s="15">
        <v>14000</v>
      </c>
      <c r="F1519" s="15">
        <v>368</v>
      </c>
      <c r="G1519" s="15">
        <v>14.5</v>
      </c>
      <c r="H1519" s="165" t="s">
        <v>63</v>
      </c>
    </row>
    <row r="1520" spans="1:8">
      <c r="A1520" s="449" t="s">
        <v>1649</v>
      </c>
      <c r="B1520" s="15">
        <v>9820910</v>
      </c>
      <c r="C1520" s="15">
        <v>151451</v>
      </c>
      <c r="D1520" s="15">
        <v>146749</v>
      </c>
      <c r="E1520" s="15">
        <v>14000</v>
      </c>
      <c r="F1520" s="15">
        <v>366.36</v>
      </c>
      <c r="G1520" s="15">
        <v>15.5</v>
      </c>
      <c r="H1520" s="165" t="s">
        <v>63</v>
      </c>
    </row>
    <row r="1521" spans="1:8">
      <c r="A1521" s="449" t="s">
        <v>1322</v>
      </c>
      <c r="B1521" s="15">
        <v>9806081</v>
      </c>
      <c r="C1521" s="15">
        <v>145647</v>
      </c>
      <c r="D1521" s="15">
        <v>138611</v>
      </c>
      <c r="E1521" s="15">
        <v>14026</v>
      </c>
      <c r="F1521" s="15">
        <v>364</v>
      </c>
      <c r="G1521" s="15">
        <v>15.79</v>
      </c>
      <c r="H1521" s="165" t="s">
        <v>63</v>
      </c>
    </row>
    <row r="1522" spans="1:8">
      <c r="A1522" s="449" t="s">
        <v>1323</v>
      </c>
      <c r="B1522" s="15">
        <v>9741396</v>
      </c>
      <c r="C1522" s="15">
        <v>144285</v>
      </c>
      <c r="D1522" s="15">
        <v>139335</v>
      </c>
      <c r="E1522" s="15">
        <v>14026</v>
      </c>
      <c r="F1522" s="15">
        <v>364</v>
      </c>
      <c r="G1522" s="15">
        <v>15.79</v>
      </c>
      <c r="H1522" s="165" t="s">
        <v>63</v>
      </c>
    </row>
    <row r="1523" spans="1:8">
      <c r="A1523" s="449" t="s">
        <v>1329</v>
      </c>
      <c r="B1523" s="15">
        <v>9741413</v>
      </c>
      <c r="C1523" s="15">
        <v>144277</v>
      </c>
      <c r="D1523" s="15">
        <v>139335</v>
      </c>
      <c r="E1523" s="15">
        <v>14026</v>
      </c>
      <c r="F1523" s="15">
        <v>364.15</v>
      </c>
      <c r="G1523" s="15">
        <v>15</v>
      </c>
      <c r="H1523" s="165" t="s">
        <v>63</v>
      </c>
    </row>
    <row r="1524" spans="1:8">
      <c r="A1524" s="449" t="s">
        <v>1332</v>
      </c>
      <c r="B1524" s="15">
        <v>9741384</v>
      </c>
      <c r="C1524" s="15">
        <v>144285</v>
      </c>
      <c r="D1524" s="15">
        <v>155000</v>
      </c>
      <c r="E1524" s="15">
        <v>14026</v>
      </c>
      <c r="F1524" s="15">
        <v>364</v>
      </c>
      <c r="G1524" s="15">
        <v>15.79</v>
      </c>
      <c r="H1524" s="165" t="s">
        <v>63</v>
      </c>
    </row>
    <row r="1525" spans="1:8">
      <c r="A1525" s="449" t="s">
        <v>1335</v>
      </c>
      <c r="B1525" s="15">
        <v>9784788</v>
      </c>
      <c r="C1525" s="15">
        <v>144285</v>
      </c>
      <c r="D1525" s="15">
        <v>155000</v>
      </c>
      <c r="E1525" s="15">
        <v>14026</v>
      </c>
      <c r="F1525" s="15">
        <v>364</v>
      </c>
      <c r="G1525" s="15">
        <v>15.8</v>
      </c>
      <c r="H1525" s="165" t="s">
        <v>63</v>
      </c>
    </row>
    <row r="1526" spans="1:8">
      <c r="A1526" s="449" t="s">
        <v>1316</v>
      </c>
      <c r="B1526" s="15">
        <v>9806079</v>
      </c>
      <c r="C1526" s="15">
        <v>145647</v>
      </c>
      <c r="D1526" s="15">
        <v>160000</v>
      </c>
      <c r="E1526" s="15">
        <v>14052</v>
      </c>
      <c r="F1526" s="15">
        <v>364</v>
      </c>
      <c r="G1526" s="15">
        <v>15.79</v>
      </c>
      <c r="H1526" s="165" t="s">
        <v>63</v>
      </c>
    </row>
    <row r="1527" spans="1:8">
      <c r="A1527" s="449" t="s">
        <v>1319</v>
      </c>
      <c r="B1527" s="15">
        <v>9806055</v>
      </c>
      <c r="C1527" s="15">
        <v>145647</v>
      </c>
      <c r="D1527" s="15">
        <v>139500</v>
      </c>
      <c r="E1527" s="15">
        <v>14052</v>
      </c>
      <c r="F1527" s="15">
        <v>364.15</v>
      </c>
      <c r="G1527" s="15">
        <v>15</v>
      </c>
      <c r="H1527" s="165" t="s">
        <v>63</v>
      </c>
    </row>
    <row r="1528" spans="1:8">
      <c r="A1528" s="449" t="s">
        <v>1325</v>
      </c>
      <c r="B1528" s="15">
        <v>9806067</v>
      </c>
      <c r="C1528" s="15">
        <v>145647</v>
      </c>
      <c r="D1528" s="15">
        <v>160000</v>
      </c>
      <c r="E1528" s="15">
        <v>14052</v>
      </c>
      <c r="F1528" s="15">
        <v>364</v>
      </c>
      <c r="G1528" s="15">
        <v>15</v>
      </c>
      <c r="H1528" s="165" t="s">
        <v>63</v>
      </c>
    </row>
    <row r="1529" spans="1:8">
      <c r="A1529" s="449" t="s">
        <v>441</v>
      </c>
      <c r="B1529" s="15">
        <v>9467263</v>
      </c>
      <c r="C1529" s="15">
        <v>158000</v>
      </c>
      <c r="D1529" s="15">
        <v>165300</v>
      </c>
      <c r="E1529" s="15">
        <v>14074</v>
      </c>
      <c r="F1529" s="15">
        <v>365.5</v>
      </c>
      <c r="G1529" s="15">
        <v>15.5</v>
      </c>
      <c r="H1529" s="165" t="s">
        <v>63</v>
      </c>
    </row>
    <row r="1530" spans="1:8">
      <c r="A1530" s="449" t="s">
        <v>444</v>
      </c>
      <c r="B1530" s="15">
        <v>9467287</v>
      </c>
      <c r="C1530" s="15">
        <v>150853</v>
      </c>
      <c r="D1530" s="15">
        <v>155470</v>
      </c>
      <c r="E1530" s="15">
        <v>14074</v>
      </c>
      <c r="F1530" s="15">
        <v>366.07</v>
      </c>
      <c r="G1530" s="15">
        <v>15.5</v>
      </c>
      <c r="H1530" s="165" t="s">
        <v>63</v>
      </c>
    </row>
    <row r="1531" spans="1:8">
      <c r="A1531" s="449" t="s">
        <v>445</v>
      </c>
      <c r="B1531" s="15">
        <v>9467275</v>
      </c>
      <c r="C1531" s="15">
        <v>155470</v>
      </c>
      <c r="D1531" s="15">
        <v>155374</v>
      </c>
      <c r="E1531" s="15">
        <v>14074</v>
      </c>
      <c r="F1531" s="15">
        <v>366</v>
      </c>
      <c r="G1531" s="15">
        <v>15.5</v>
      </c>
      <c r="H1531" s="165" t="s">
        <v>63</v>
      </c>
    </row>
    <row r="1532" spans="1:8">
      <c r="A1532" s="449" t="s">
        <v>447</v>
      </c>
      <c r="B1532" s="15">
        <v>9467299</v>
      </c>
      <c r="C1532" s="15">
        <v>158000</v>
      </c>
      <c r="D1532" s="15">
        <v>165300</v>
      </c>
      <c r="E1532" s="15">
        <v>14074</v>
      </c>
      <c r="F1532" s="15">
        <v>366.07</v>
      </c>
      <c r="G1532" s="15">
        <v>15.5</v>
      </c>
      <c r="H1532" s="165" t="s">
        <v>63</v>
      </c>
    </row>
    <row r="1533" spans="1:8">
      <c r="A1533" s="449" t="s">
        <v>449</v>
      </c>
      <c r="B1533" s="15">
        <v>9466867</v>
      </c>
      <c r="C1533" s="15">
        <v>158000</v>
      </c>
      <c r="D1533" s="15">
        <v>165300</v>
      </c>
      <c r="E1533" s="15">
        <v>14074</v>
      </c>
      <c r="F1533" s="15">
        <v>366.07</v>
      </c>
      <c r="G1533" s="15">
        <v>15.5</v>
      </c>
      <c r="H1533" s="165" t="s">
        <v>63</v>
      </c>
    </row>
    <row r="1534" spans="1:8">
      <c r="A1534" s="449" t="s">
        <v>450</v>
      </c>
      <c r="B1534" s="15">
        <v>9467304</v>
      </c>
      <c r="C1534" s="15">
        <v>150853</v>
      </c>
      <c r="D1534" s="15">
        <v>155628</v>
      </c>
      <c r="E1534" s="15">
        <v>14074</v>
      </c>
      <c r="F1534" s="15">
        <v>366</v>
      </c>
      <c r="G1534" s="15">
        <v>15.5</v>
      </c>
      <c r="H1534" s="165" t="s">
        <v>63</v>
      </c>
    </row>
    <row r="1535" spans="1:8">
      <c r="A1535" s="449" t="s">
        <v>1638</v>
      </c>
      <c r="B1535" s="15">
        <v>9684665</v>
      </c>
      <c r="C1535" s="15">
        <v>146700</v>
      </c>
      <c r="D1535" s="15">
        <v>145559</v>
      </c>
      <c r="E1535" s="15">
        <v>14080</v>
      </c>
      <c r="F1535" s="15">
        <v>368</v>
      </c>
      <c r="G1535" s="15">
        <v>16</v>
      </c>
      <c r="H1535" s="165" t="s">
        <v>63</v>
      </c>
    </row>
    <row r="1536" spans="1:8">
      <c r="A1536" s="449" t="s">
        <v>1647</v>
      </c>
      <c r="B1536" s="15">
        <v>9684641</v>
      </c>
      <c r="C1536" s="15">
        <v>144651</v>
      </c>
      <c r="D1536" s="15">
        <v>144943</v>
      </c>
      <c r="E1536" s="15">
        <v>14080</v>
      </c>
      <c r="F1536" s="15">
        <v>368</v>
      </c>
      <c r="G1536" s="15">
        <v>15.5</v>
      </c>
      <c r="H1536" s="165" t="s">
        <v>63</v>
      </c>
    </row>
    <row r="1537" spans="1:8">
      <c r="A1537" s="449" t="s">
        <v>1648</v>
      </c>
      <c r="B1537" s="15">
        <v>9704609</v>
      </c>
      <c r="C1537" s="15">
        <v>146700</v>
      </c>
      <c r="D1537" s="15">
        <v>145000</v>
      </c>
      <c r="E1537" s="15">
        <v>14080</v>
      </c>
      <c r="F1537" s="15">
        <v>368</v>
      </c>
      <c r="G1537" s="15">
        <v>16</v>
      </c>
      <c r="H1537" s="165" t="s">
        <v>63</v>
      </c>
    </row>
    <row r="1538" spans="1:8">
      <c r="A1538" s="449" t="s">
        <v>1650</v>
      </c>
      <c r="B1538" s="15">
        <v>9684677</v>
      </c>
      <c r="C1538" s="15">
        <v>146700</v>
      </c>
      <c r="D1538" s="15">
        <v>122625</v>
      </c>
      <c r="E1538" s="15">
        <v>14080</v>
      </c>
      <c r="F1538" s="15">
        <v>368</v>
      </c>
      <c r="G1538" s="15">
        <v>16.02</v>
      </c>
      <c r="H1538" s="165" t="s">
        <v>63</v>
      </c>
    </row>
    <row r="1539" spans="1:8">
      <c r="A1539" s="449" t="s">
        <v>1651</v>
      </c>
      <c r="B1539" s="15">
        <v>9684653</v>
      </c>
      <c r="C1539" s="15">
        <v>144651</v>
      </c>
      <c r="D1539" s="15">
        <v>122625</v>
      </c>
      <c r="E1539" s="15">
        <v>14080</v>
      </c>
      <c r="F1539" s="15">
        <v>368</v>
      </c>
      <c r="G1539" s="15">
        <v>16</v>
      </c>
      <c r="H1539" s="165" t="s">
        <v>63</v>
      </c>
    </row>
    <row r="1540" spans="1:8">
      <c r="A1540" s="449" t="s">
        <v>1652</v>
      </c>
      <c r="B1540" s="15">
        <v>9704635</v>
      </c>
      <c r="C1540" s="15">
        <v>144651</v>
      </c>
      <c r="D1540" s="15">
        <v>122625</v>
      </c>
      <c r="E1540" s="15">
        <v>14080</v>
      </c>
      <c r="F1540" s="15">
        <v>368</v>
      </c>
      <c r="G1540" s="15">
        <v>16</v>
      </c>
      <c r="H1540" s="165" t="s">
        <v>63</v>
      </c>
    </row>
    <row r="1541" spans="1:8">
      <c r="A1541" s="449" t="s">
        <v>1640</v>
      </c>
      <c r="B1541" s="15">
        <v>9757230</v>
      </c>
      <c r="C1541" s="15">
        <v>150000</v>
      </c>
      <c r="D1541" s="15">
        <v>147500</v>
      </c>
      <c r="E1541" s="15">
        <v>14220</v>
      </c>
      <c r="F1541" s="15">
        <v>366</v>
      </c>
      <c r="G1541" s="15">
        <v>15.5</v>
      </c>
      <c r="H1541" s="165" t="s">
        <v>63</v>
      </c>
    </row>
    <row r="1542" spans="1:8">
      <c r="A1542" s="449" t="s">
        <v>1556</v>
      </c>
      <c r="B1542" s="15">
        <v>9728916</v>
      </c>
      <c r="C1542" s="15">
        <v>148401</v>
      </c>
      <c r="D1542" s="15">
        <v>153520</v>
      </c>
      <c r="E1542" s="15">
        <v>14354</v>
      </c>
      <c r="F1542" s="15">
        <v>369</v>
      </c>
      <c r="G1542" s="15">
        <v>15.5</v>
      </c>
      <c r="H1542" s="165" t="s">
        <v>63</v>
      </c>
    </row>
    <row r="1543" spans="1:8">
      <c r="A1543" s="449" t="s">
        <v>1646</v>
      </c>
      <c r="B1543" s="15">
        <v>9757216</v>
      </c>
      <c r="C1543" s="15">
        <v>155000</v>
      </c>
      <c r="D1543" s="15">
        <v>145500</v>
      </c>
      <c r="E1543" s="15">
        <v>14420</v>
      </c>
      <c r="F1543" s="15">
        <v>366.44</v>
      </c>
      <c r="G1543" s="15">
        <v>15.5</v>
      </c>
      <c r="H1543" s="165" t="s">
        <v>63</v>
      </c>
    </row>
    <row r="1544" spans="1:8">
      <c r="A1544" s="449" t="s">
        <v>1517</v>
      </c>
      <c r="B1544" s="15">
        <v>9728930</v>
      </c>
      <c r="C1544" s="15">
        <v>148386</v>
      </c>
      <c r="D1544" s="15">
        <v>153500</v>
      </c>
      <c r="E1544" s="15">
        <v>14424</v>
      </c>
      <c r="F1544" s="15">
        <v>369</v>
      </c>
      <c r="G1544" s="15">
        <v>15.5</v>
      </c>
      <c r="H1544" s="165" t="s">
        <v>63</v>
      </c>
    </row>
    <row r="1545" spans="1:8">
      <c r="A1545" s="449" t="s">
        <v>1521</v>
      </c>
      <c r="B1545" s="15">
        <v>9728942</v>
      </c>
      <c r="C1545" s="15">
        <v>148386</v>
      </c>
      <c r="D1545" s="15">
        <v>153500</v>
      </c>
      <c r="E1545" s="15">
        <v>14424</v>
      </c>
      <c r="F1545" s="15">
        <v>369</v>
      </c>
      <c r="G1545" s="15">
        <v>15.5</v>
      </c>
      <c r="H1545" s="165" t="s">
        <v>63</v>
      </c>
    </row>
    <row r="1546" spans="1:8">
      <c r="A1546" s="449" t="s">
        <v>1540</v>
      </c>
      <c r="B1546" s="15">
        <v>9728954</v>
      </c>
      <c r="C1546" s="15">
        <v>140000</v>
      </c>
      <c r="D1546" s="15">
        <v>151200</v>
      </c>
      <c r="E1546" s="15">
        <v>14424</v>
      </c>
      <c r="F1546" s="15">
        <v>369</v>
      </c>
      <c r="G1546" s="15">
        <v>15.5</v>
      </c>
      <c r="H1546" s="165" t="s">
        <v>63</v>
      </c>
    </row>
    <row r="1547" spans="1:8">
      <c r="A1547" s="449" t="s">
        <v>1547</v>
      </c>
      <c r="B1547" s="15">
        <v>9728928</v>
      </c>
      <c r="C1547" s="15">
        <v>148386</v>
      </c>
      <c r="D1547" s="15">
        <v>153500</v>
      </c>
      <c r="E1547" s="15">
        <v>14424</v>
      </c>
      <c r="F1547" s="15">
        <v>369</v>
      </c>
      <c r="G1547" s="15">
        <v>15.8</v>
      </c>
      <c r="H1547" s="165" t="s">
        <v>63</v>
      </c>
    </row>
    <row r="1548" spans="1:8">
      <c r="A1548" s="449" t="s">
        <v>88</v>
      </c>
      <c r="B1548" s="15">
        <v>9708849</v>
      </c>
      <c r="C1548" s="15">
        <v>150800</v>
      </c>
      <c r="D1548" s="15">
        <v>149000</v>
      </c>
      <c r="E1548" s="15">
        <v>14500</v>
      </c>
      <c r="F1548" s="15">
        <v>368</v>
      </c>
      <c r="G1548" s="15">
        <v>15.5</v>
      </c>
      <c r="H1548" s="165" t="s">
        <v>63</v>
      </c>
    </row>
    <row r="1549" spans="1:8">
      <c r="A1549" s="449" t="s">
        <v>1317</v>
      </c>
      <c r="B1549" s="15">
        <v>9806043</v>
      </c>
      <c r="C1549" s="15">
        <v>150000</v>
      </c>
      <c r="D1549" s="15">
        <v>139500</v>
      </c>
      <c r="E1549" s="15">
        <v>14502</v>
      </c>
      <c r="F1549" s="15">
        <v>364</v>
      </c>
      <c r="G1549" s="15">
        <v>15</v>
      </c>
      <c r="H1549" s="165" t="s">
        <v>63</v>
      </c>
    </row>
    <row r="1550" spans="1:8">
      <c r="A1550" s="449" t="s">
        <v>409</v>
      </c>
      <c r="B1550" s="15">
        <v>9757864</v>
      </c>
      <c r="C1550" s="15">
        <v>154300</v>
      </c>
      <c r="D1550" s="15">
        <v>153500</v>
      </c>
      <c r="E1550" s="15">
        <v>14566</v>
      </c>
      <c r="F1550" s="15">
        <v>366</v>
      </c>
      <c r="G1550" s="15">
        <v>15.5</v>
      </c>
      <c r="H1550" s="165" t="s">
        <v>63</v>
      </c>
    </row>
    <row r="1551" spans="1:8">
      <c r="A1551" s="449" t="s">
        <v>393</v>
      </c>
      <c r="B1551" s="15">
        <v>9757840</v>
      </c>
      <c r="C1551" s="15">
        <v>154300</v>
      </c>
      <c r="D1551" s="15">
        <v>153811</v>
      </c>
      <c r="E1551" s="15">
        <v>14568</v>
      </c>
      <c r="F1551" s="15">
        <v>366</v>
      </c>
      <c r="G1551" s="15">
        <v>14</v>
      </c>
      <c r="H1551" s="165" t="s">
        <v>63</v>
      </c>
    </row>
    <row r="1552" spans="1:8">
      <c r="A1552" s="449" t="s">
        <v>343</v>
      </c>
      <c r="B1552" s="15">
        <v>9859117</v>
      </c>
      <c r="C1552" s="15">
        <v>149314</v>
      </c>
      <c r="D1552" s="15">
        <v>156920</v>
      </c>
      <c r="E1552" s="15">
        <v>14812</v>
      </c>
      <c r="F1552" s="15">
        <v>366</v>
      </c>
      <c r="G1552" s="15">
        <v>16</v>
      </c>
      <c r="H1552" s="165" t="s">
        <v>63</v>
      </c>
    </row>
    <row r="1553" spans="1:8">
      <c r="A1553" s="449" t="s">
        <v>71</v>
      </c>
      <c r="B1553" s="15">
        <v>9732345</v>
      </c>
      <c r="C1553" s="15">
        <v>153148</v>
      </c>
      <c r="D1553" s="15">
        <v>140000</v>
      </c>
      <c r="E1553" s="15">
        <v>14993</v>
      </c>
      <c r="F1553" s="15">
        <v>368.35</v>
      </c>
      <c r="G1553" s="15">
        <v>15.5</v>
      </c>
      <c r="H1553" s="165" t="s">
        <v>63</v>
      </c>
    </row>
    <row r="1554" spans="1:8">
      <c r="A1554" s="449" t="s">
        <v>78</v>
      </c>
      <c r="B1554" s="15">
        <v>9732307</v>
      </c>
      <c r="C1554" s="15">
        <v>153148</v>
      </c>
      <c r="D1554" s="15">
        <v>149360</v>
      </c>
      <c r="E1554" s="15">
        <v>14993</v>
      </c>
      <c r="F1554" s="15">
        <v>368.35</v>
      </c>
      <c r="G1554" s="15">
        <v>15.5</v>
      </c>
      <c r="H1554" s="165" t="s">
        <v>63</v>
      </c>
    </row>
    <row r="1555" spans="1:8">
      <c r="A1555" s="449" t="s">
        <v>82</v>
      </c>
      <c r="B1555" s="15">
        <v>9732357</v>
      </c>
      <c r="C1555" s="15">
        <v>153148</v>
      </c>
      <c r="D1555" s="15">
        <v>140000</v>
      </c>
      <c r="E1555" s="15">
        <v>14993</v>
      </c>
      <c r="F1555" s="15">
        <v>368.52</v>
      </c>
      <c r="G1555" s="15">
        <v>15.5</v>
      </c>
      <c r="H1555" s="165" t="s">
        <v>63</v>
      </c>
    </row>
    <row r="1556" spans="1:8">
      <c r="A1556" s="449" t="s">
        <v>85</v>
      </c>
      <c r="B1556" s="15">
        <v>9732319</v>
      </c>
      <c r="C1556" s="15">
        <v>153148</v>
      </c>
      <c r="D1556" s="15">
        <v>140000</v>
      </c>
      <c r="E1556" s="15">
        <v>14993</v>
      </c>
      <c r="F1556" s="15">
        <v>368.52</v>
      </c>
      <c r="G1556" s="15">
        <v>15.5</v>
      </c>
      <c r="H1556" s="165" t="s">
        <v>63</v>
      </c>
    </row>
    <row r="1557" spans="1:8">
      <c r="A1557" s="449" t="s">
        <v>86</v>
      </c>
      <c r="B1557" s="15">
        <v>9708837</v>
      </c>
      <c r="C1557" s="15">
        <v>153148</v>
      </c>
      <c r="D1557" s="15">
        <v>150000</v>
      </c>
      <c r="E1557" s="15">
        <v>14993</v>
      </c>
      <c r="F1557" s="15">
        <v>369</v>
      </c>
      <c r="G1557" s="15">
        <v>15.5</v>
      </c>
      <c r="H1557" s="165" t="s">
        <v>63</v>
      </c>
    </row>
    <row r="1558" spans="1:8">
      <c r="A1558" s="449" t="s">
        <v>757</v>
      </c>
      <c r="B1558" s="15">
        <v>9708801</v>
      </c>
      <c r="C1558" s="15">
        <v>150800</v>
      </c>
      <c r="D1558" s="15">
        <v>134300</v>
      </c>
      <c r="E1558" s="15">
        <v>14993</v>
      </c>
      <c r="F1558" s="15">
        <v>368.52</v>
      </c>
      <c r="G1558" s="15">
        <v>15.5</v>
      </c>
      <c r="H1558" s="165" t="s">
        <v>63</v>
      </c>
    </row>
    <row r="1559" spans="1:8">
      <c r="A1559" s="449" t="s">
        <v>1430</v>
      </c>
      <c r="B1559" s="15">
        <v>9708784</v>
      </c>
      <c r="C1559" s="15">
        <v>151184</v>
      </c>
      <c r="D1559" s="15">
        <v>150000</v>
      </c>
      <c r="E1559" s="15">
        <v>14993</v>
      </c>
      <c r="F1559" s="15">
        <v>368.52</v>
      </c>
      <c r="G1559" s="15">
        <v>15.5</v>
      </c>
      <c r="H1559" s="165" t="s">
        <v>63</v>
      </c>
    </row>
    <row r="1560" spans="1:8">
      <c r="A1560" s="449" t="s">
        <v>1431</v>
      </c>
      <c r="B1560" s="15">
        <v>9708796</v>
      </c>
      <c r="C1560" s="15">
        <v>153148</v>
      </c>
      <c r="D1560" s="15">
        <v>150000</v>
      </c>
      <c r="E1560" s="15">
        <v>14993</v>
      </c>
      <c r="F1560" s="15">
        <v>368.52</v>
      </c>
      <c r="G1560" s="15">
        <v>15.5</v>
      </c>
      <c r="H1560" s="165" t="s">
        <v>63</v>
      </c>
    </row>
    <row r="1561" spans="1:8">
      <c r="A1561" s="449" t="s">
        <v>1563</v>
      </c>
      <c r="B1561" s="15">
        <v>9732333</v>
      </c>
      <c r="C1561" s="15">
        <v>153148</v>
      </c>
      <c r="D1561" s="15">
        <v>149360</v>
      </c>
      <c r="E1561" s="15">
        <v>14993</v>
      </c>
      <c r="F1561" s="15">
        <v>368</v>
      </c>
      <c r="G1561" s="15">
        <v>15.5</v>
      </c>
      <c r="H1561" s="165" t="s">
        <v>63</v>
      </c>
    </row>
    <row r="1562" spans="1:8">
      <c r="A1562" s="449" t="s">
        <v>81</v>
      </c>
      <c r="B1562" s="15">
        <v>9732321</v>
      </c>
      <c r="C1562" s="15">
        <v>153148</v>
      </c>
      <c r="D1562" s="15">
        <v>149360</v>
      </c>
      <c r="E1562" s="15">
        <v>15000</v>
      </c>
      <c r="F1562" s="15">
        <v>368</v>
      </c>
      <c r="G1562" s="15">
        <v>15.5</v>
      </c>
      <c r="H1562" s="165" t="s">
        <v>63</v>
      </c>
    </row>
    <row r="1563" spans="1:8">
      <c r="A1563" s="449" t="s">
        <v>327</v>
      </c>
      <c r="B1563" s="15">
        <v>9839923</v>
      </c>
      <c r="C1563" s="15">
        <v>145000</v>
      </c>
      <c r="D1563" s="15">
        <v>157076</v>
      </c>
      <c r="E1563" s="15">
        <v>15052</v>
      </c>
      <c r="F1563" s="15">
        <v>366</v>
      </c>
      <c r="G1563" s="15">
        <v>16</v>
      </c>
      <c r="H1563" s="165" t="s">
        <v>63</v>
      </c>
    </row>
    <row r="1564" spans="1:8">
      <c r="A1564" s="449" t="s">
        <v>263</v>
      </c>
      <c r="B1564" s="15">
        <v>9839909</v>
      </c>
      <c r="C1564" s="15">
        <v>145000</v>
      </c>
      <c r="D1564" s="15">
        <v>156983</v>
      </c>
      <c r="E1564" s="15">
        <v>15128</v>
      </c>
      <c r="F1564" s="15">
        <v>366</v>
      </c>
      <c r="G1564" s="15">
        <v>16</v>
      </c>
      <c r="H1564" s="165" t="s">
        <v>63</v>
      </c>
    </row>
    <row r="1565" spans="1:8">
      <c r="A1565" s="449" t="s">
        <v>273</v>
      </c>
      <c r="B1565" s="15">
        <v>9839935</v>
      </c>
      <c r="C1565" s="15">
        <v>145000</v>
      </c>
      <c r="D1565" s="15">
        <v>147966</v>
      </c>
      <c r="E1565" s="15">
        <v>15128</v>
      </c>
      <c r="F1565" s="15">
        <v>365.98</v>
      </c>
      <c r="G1565" s="15">
        <v>16</v>
      </c>
      <c r="H1565" s="165" t="s">
        <v>63</v>
      </c>
    </row>
    <row r="1566" spans="1:8">
      <c r="A1566" s="449" t="s">
        <v>311</v>
      </c>
      <c r="B1566" s="15">
        <v>9839911</v>
      </c>
      <c r="C1566" s="15">
        <v>145000</v>
      </c>
      <c r="D1566" s="15">
        <v>147966</v>
      </c>
      <c r="E1566" s="15">
        <v>15128</v>
      </c>
      <c r="F1566" s="15">
        <v>365</v>
      </c>
      <c r="G1566" s="15">
        <v>16</v>
      </c>
      <c r="H1566" s="165" t="s">
        <v>63</v>
      </c>
    </row>
    <row r="1567" spans="1:8">
      <c r="A1567" s="449" t="s">
        <v>806</v>
      </c>
      <c r="B1567" s="15">
        <v>9784269</v>
      </c>
      <c r="C1567" s="15">
        <v>153744</v>
      </c>
      <c r="D1567" s="15">
        <v>162051</v>
      </c>
      <c r="E1567" s="15">
        <v>15282</v>
      </c>
      <c r="F1567" s="15">
        <v>353.02</v>
      </c>
      <c r="G1567" s="15">
        <v>16</v>
      </c>
      <c r="H1567" s="165" t="s">
        <v>63</v>
      </c>
    </row>
    <row r="1568" spans="1:8">
      <c r="A1568" s="449" t="s">
        <v>488</v>
      </c>
      <c r="B1568" s="15">
        <v>9321524</v>
      </c>
      <c r="C1568" s="15">
        <v>170794</v>
      </c>
      <c r="D1568" s="15">
        <v>158200</v>
      </c>
      <c r="E1568" s="15">
        <v>15500</v>
      </c>
      <c r="F1568" s="15">
        <v>397</v>
      </c>
      <c r="G1568" s="15">
        <v>16</v>
      </c>
      <c r="H1568" s="165" t="s">
        <v>63</v>
      </c>
    </row>
    <row r="1569" spans="1:8">
      <c r="A1569" s="449" t="s">
        <v>490</v>
      </c>
      <c r="B1569" s="15">
        <v>9321548</v>
      </c>
      <c r="C1569" s="15">
        <v>170794</v>
      </c>
      <c r="D1569" s="15">
        <v>158200</v>
      </c>
      <c r="E1569" s="15">
        <v>15500</v>
      </c>
      <c r="F1569" s="15">
        <v>397</v>
      </c>
      <c r="G1569" s="15">
        <v>16</v>
      </c>
      <c r="H1569" s="165" t="s">
        <v>63</v>
      </c>
    </row>
    <row r="1570" spans="1:8">
      <c r="A1570" s="449" t="s">
        <v>494</v>
      </c>
      <c r="B1570" s="15">
        <v>9321536</v>
      </c>
      <c r="C1570" s="15">
        <v>170794</v>
      </c>
      <c r="D1570" s="15">
        <v>158200</v>
      </c>
      <c r="E1570" s="15">
        <v>15500</v>
      </c>
      <c r="F1570" s="15">
        <v>398</v>
      </c>
      <c r="G1570" s="15">
        <v>16</v>
      </c>
      <c r="H1570" s="165" t="s">
        <v>63</v>
      </c>
    </row>
    <row r="1571" spans="1:8">
      <c r="A1571" s="449" t="s">
        <v>498</v>
      </c>
      <c r="B1571" s="15">
        <v>9321483</v>
      </c>
      <c r="C1571" s="15">
        <v>170794</v>
      </c>
      <c r="D1571" s="15">
        <v>168100</v>
      </c>
      <c r="E1571" s="15">
        <v>15500</v>
      </c>
      <c r="F1571" s="15">
        <v>397.71</v>
      </c>
      <c r="G1571" s="15">
        <v>16</v>
      </c>
      <c r="H1571" s="165" t="s">
        <v>63</v>
      </c>
    </row>
    <row r="1572" spans="1:8">
      <c r="A1572" s="449" t="s">
        <v>507</v>
      </c>
      <c r="B1572" s="15">
        <v>9321512</v>
      </c>
      <c r="C1572" s="15">
        <v>170794</v>
      </c>
      <c r="D1572" s="15">
        <v>174000</v>
      </c>
      <c r="E1572" s="15">
        <v>15500</v>
      </c>
      <c r="F1572" s="15">
        <v>397.71</v>
      </c>
      <c r="G1572" s="15">
        <v>16</v>
      </c>
      <c r="H1572" s="165" t="s">
        <v>63</v>
      </c>
    </row>
    <row r="1573" spans="1:8">
      <c r="A1573" s="449" t="s">
        <v>492</v>
      </c>
      <c r="B1573" s="15">
        <v>9321500</v>
      </c>
      <c r="C1573" s="15">
        <v>170794</v>
      </c>
      <c r="D1573" s="15">
        <v>158200</v>
      </c>
      <c r="E1573" s="15">
        <v>15550</v>
      </c>
      <c r="F1573" s="15">
        <v>397.71</v>
      </c>
      <c r="G1573" s="15">
        <v>16</v>
      </c>
      <c r="H1573" s="165" t="s">
        <v>63</v>
      </c>
    </row>
    <row r="1574" spans="1:8">
      <c r="A1574" s="449" t="s">
        <v>503</v>
      </c>
      <c r="B1574" s="15">
        <v>9321495</v>
      </c>
      <c r="C1574" s="15">
        <v>170794</v>
      </c>
      <c r="D1574" s="15">
        <v>158200</v>
      </c>
      <c r="E1574" s="15">
        <v>15550</v>
      </c>
      <c r="F1574" s="15">
        <v>397.71</v>
      </c>
      <c r="G1574" s="15">
        <v>16.5</v>
      </c>
      <c r="H1574" s="165" t="s">
        <v>63</v>
      </c>
    </row>
    <row r="1575" spans="1:8">
      <c r="A1575" s="449" t="s">
        <v>504</v>
      </c>
      <c r="B1575" s="15">
        <v>9321550</v>
      </c>
      <c r="C1575" s="15">
        <v>170794</v>
      </c>
      <c r="D1575" s="15">
        <v>158200</v>
      </c>
      <c r="E1575" s="15">
        <v>15550</v>
      </c>
      <c r="F1575" s="15">
        <v>397</v>
      </c>
      <c r="G1575" s="15">
        <v>16</v>
      </c>
      <c r="H1575" s="165" t="s">
        <v>63</v>
      </c>
    </row>
    <row r="1576" spans="1:8">
      <c r="A1576" s="449" t="s">
        <v>1108</v>
      </c>
      <c r="B1576" s="15">
        <v>9606302</v>
      </c>
      <c r="C1576" s="15">
        <v>176490</v>
      </c>
      <c r="D1576" s="15">
        <v>136800</v>
      </c>
      <c r="E1576" s="15">
        <v>15908</v>
      </c>
      <c r="F1576" s="15">
        <v>399</v>
      </c>
      <c r="G1576" s="15">
        <v>15.5</v>
      </c>
      <c r="H1576" s="165" t="s">
        <v>63</v>
      </c>
    </row>
    <row r="1577" spans="1:8">
      <c r="A1577" s="449" t="s">
        <v>1149</v>
      </c>
      <c r="B1577" s="15">
        <v>9606314</v>
      </c>
      <c r="C1577" s="15">
        <v>176490</v>
      </c>
      <c r="D1577" s="15">
        <v>186765</v>
      </c>
      <c r="E1577" s="15">
        <v>15908</v>
      </c>
      <c r="F1577" s="15">
        <v>399</v>
      </c>
      <c r="G1577" s="15">
        <v>16</v>
      </c>
      <c r="H1577" s="165" t="s">
        <v>63</v>
      </c>
    </row>
    <row r="1578" spans="1:8">
      <c r="A1578" s="449" t="s">
        <v>1232</v>
      </c>
      <c r="B1578" s="15">
        <v>9647473</v>
      </c>
      <c r="C1578" s="15">
        <v>176490</v>
      </c>
      <c r="D1578" s="15">
        <v>186650</v>
      </c>
      <c r="E1578" s="15">
        <v>15908</v>
      </c>
      <c r="F1578" s="15">
        <v>399</v>
      </c>
      <c r="G1578" s="15">
        <v>15.5</v>
      </c>
      <c r="H1578" s="165" t="s">
        <v>63</v>
      </c>
    </row>
    <row r="1579" spans="1:8">
      <c r="A1579" s="449" t="s">
        <v>1143</v>
      </c>
      <c r="B1579" s="15">
        <v>9762338</v>
      </c>
      <c r="C1579" s="15">
        <v>194308</v>
      </c>
      <c r="D1579" s="15">
        <v>200148</v>
      </c>
      <c r="E1579" s="15">
        <v>15909</v>
      </c>
      <c r="F1579" s="15">
        <v>398.49</v>
      </c>
      <c r="G1579" s="15">
        <v>16</v>
      </c>
      <c r="H1579" s="165" t="s">
        <v>63</v>
      </c>
    </row>
    <row r="1580" spans="1:8">
      <c r="A1580" s="449" t="s">
        <v>255</v>
      </c>
      <c r="B1580" s="15">
        <v>9454448</v>
      </c>
      <c r="C1580" s="15">
        <v>175343</v>
      </c>
      <c r="D1580" s="15">
        <v>186470</v>
      </c>
      <c r="E1580" s="15">
        <v>16000</v>
      </c>
      <c r="F1580" s="15">
        <v>396</v>
      </c>
      <c r="G1580" s="15">
        <v>16</v>
      </c>
      <c r="H1580" s="165" t="s">
        <v>63</v>
      </c>
    </row>
    <row r="1581" spans="1:8">
      <c r="A1581" s="449" t="s">
        <v>268</v>
      </c>
      <c r="B1581" s="15">
        <v>9702156</v>
      </c>
      <c r="C1581" s="15">
        <v>175688</v>
      </c>
      <c r="D1581" s="15">
        <v>186529</v>
      </c>
      <c r="E1581" s="15">
        <v>16000</v>
      </c>
      <c r="F1581" s="15">
        <v>398</v>
      </c>
      <c r="G1581" s="15">
        <v>16</v>
      </c>
      <c r="H1581" s="165" t="s">
        <v>63</v>
      </c>
    </row>
    <row r="1582" spans="1:8">
      <c r="A1582" s="449" t="s">
        <v>295</v>
      </c>
      <c r="B1582" s="15">
        <v>9454450</v>
      </c>
      <c r="C1582" s="15">
        <v>183000</v>
      </c>
      <c r="D1582" s="15">
        <v>186500</v>
      </c>
      <c r="E1582" s="15">
        <v>16020</v>
      </c>
      <c r="F1582" s="15">
        <v>394.4</v>
      </c>
      <c r="G1582" s="15">
        <v>16</v>
      </c>
      <c r="H1582" s="165" t="s">
        <v>63</v>
      </c>
    </row>
    <row r="1583" spans="1:8">
      <c r="A1583" s="449" t="s">
        <v>308</v>
      </c>
      <c r="B1583" s="15">
        <v>9454436</v>
      </c>
      <c r="C1583" s="15">
        <v>175343</v>
      </c>
      <c r="D1583" s="15">
        <v>187626</v>
      </c>
      <c r="E1583" s="15">
        <v>16020</v>
      </c>
      <c r="F1583" s="15">
        <v>396</v>
      </c>
      <c r="G1583" s="15">
        <v>16</v>
      </c>
      <c r="H1583" s="165" t="s">
        <v>63</v>
      </c>
    </row>
    <row r="1584" spans="1:8">
      <c r="A1584" s="449" t="s">
        <v>974</v>
      </c>
      <c r="B1584" s="15">
        <v>9606338</v>
      </c>
      <c r="C1584" s="15">
        <v>176490</v>
      </c>
      <c r="D1584" s="15">
        <v>186541</v>
      </c>
      <c r="E1584" s="15">
        <v>16652</v>
      </c>
      <c r="F1584" s="15">
        <v>399</v>
      </c>
      <c r="G1584" s="15">
        <v>16</v>
      </c>
      <c r="H1584" s="165" t="s">
        <v>63</v>
      </c>
    </row>
    <row r="1585" spans="1:8">
      <c r="A1585" s="449" t="s">
        <v>1071</v>
      </c>
      <c r="B1585" s="15">
        <v>9647461</v>
      </c>
      <c r="C1585" s="15">
        <v>176490</v>
      </c>
      <c r="D1585" s="15">
        <v>186650</v>
      </c>
      <c r="E1585" s="15">
        <v>16652</v>
      </c>
      <c r="F1585" s="15">
        <v>399</v>
      </c>
      <c r="G1585" s="15">
        <v>16</v>
      </c>
      <c r="H1585" s="165" t="s">
        <v>63</v>
      </c>
    </row>
    <row r="1586" spans="1:8">
      <c r="A1586" s="449" t="s">
        <v>1077</v>
      </c>
      <c r="B1586" s="15">
        <v>9606326</v>
      </c>
      <c r="C1586" s="15">
        <v>176490</v>
      </c>
      <c r="D1586" s="15">
        <v>186700</v>
      </c>
      <c r="E1586" s="15">
        <v>16652</v>
      </c>
      <c r="F1586" s="15">
        <v>399</v>
      </c>
      <c r="G1586" s="15">
        <v>16</v>
      </c>
      <c r="H1586" s="165" t="s">
        <v>63</v>
      </c>
    </row>
    <row r="1587" spans="1:8">
      <c r="A1587" s="449" t="s">
        <v>355</v>
      </c>
      <c r="B1587" s="15">
        <v>9706889</v>
      </c>
      <c r="C1587" s="15">
        <v>178228</v>
      </c>
      <c r="D1587" s="15">
        <v>184700</v>
      </c>
      <c r="E1587" s="15">
        <v>16872</v>
      </c>
      <c r="F1587" s="15">
        <v>399.2</v>
      </c>
      <c r="G1587" s="15">
        <v>16</v>
      </c>
      <c r="H1587" s="165" t="s">
        <v>63</v>
      </c>
    </row>
    <row r="1588" spans="1:8">
      <c r="A1588" s="449" t="s">
        <v>1102</v>
      </c>
      <c r="B1588" s="15">
        <v>9767390</v>
      </c>
      <c r="C1588" s="15">
        <v>193489</v>
      </c>
      <c r="D1588" s="15">
        <v>197708</v>
      </c>
      <c r="E1588" s="15">
        <v>16909</v>
      </c>
      <c r="F1588" s="15">
        <v>399.97</v>
      </c>
      <c r="G1588" s="15">
        <v>16</v>
      </c>
      <c r="H1588" s="165" t="s">
        <v>63</v>
      </c>
    </row>
    <row r="1589" spans="1:8">
      <c r="A1589" s="449" t="s">
        <v>417</v>
      </c>
      <c r="B1589" s="15">
        <v>9783538</v>
      </c>
      <c r="C1589" s="15">
        <v>194864</v>
      </c>
      <c r="D1589" s="15">
        <v>195000</v>
      </c>
      <c r="E1589" s="15">
        <v>17273</v>
      </c>
      <c r="F1589" s="15">
        <v>399.72</v>
      </c>
      <c r="G1589" s="15">
        <v>16</v>
      </c>
      <c r="H1589" s="165" t="s">
        <v>63</v>
      </c>
    </row>
    <row r="1590" spans="1:8">
      <c r="A1590" s="449" t="s">
        <v>979</v>
      </c>
      <c r="B1590" s="15">
        <v>9777204</v>
      </c>
      <c r="C1590" s="15">
        <v>174500</v>
      </c>
      <c r="D1590" s="15">
        <v>183680</v>
      </c>
      <c r="E1590" s="15">
        <v>17273</v>
      </c>
      <c r="F1590" s="15">
        <v>400</v>
      </c>
      <c r="G1590" s="15">
        <v>16</v>
      </c>
      <c r="H1590" s="165" t="s">
        <v>63</v>
      </c>
    </row>
    <row r="1591" spans="1:8">
      <c r="A1591" s="449" t="s">
        <v>1238</v>
      </c>
      <c r="B1591" s="15">
        <v>9777216</v>
      </c>
      <c r="C1591" s="15">
        <v>187587</v>
      </c>
      <c r="D1591" s="15">
        <v>190000</v>
      </c>
      <c r="E1591" s="15">
        <v>17273</v>
      </c>
      <c r="F1591" s="15">
        <v>399.98</v>
      </c>
      <c r="G1591" s="15">
        <v>16</v>
      </c>
      <c r="H1591" s="165" t="s">
        <v>63</v>
      </c>
    </row>
    <row r="1592" spans="1:8">
      <c r="A1592" s="449" t="s">
        <v>114</v>
      </c>
      <c r="B1592" s="15">
        <v>9631981</v>
      </c>
      <c r="C1592" s="15">
        <v>150100</v>
      </c>
      <c r="D1592" s="15">
        <v>150166</v>
      </c>
      <c r="E1592" s="15">
        <v>17292</v>
      </c>
      <c r="F1592" s="15">
        <v>397.56</v>
      </c>
      <c r="G1592" s="15">
        <v>16</v>
      </c>
      <c r="H1592" s="165" t="s">
        <v>63</v>
      </c>
    </row>
    <row r="1593" spans="1:8">
      <c r="A1593" s="449" t="s">
        <v>125</v>
      </c>
      <c r="B1593" s="15">
        <v>9631967</v>
      </c>
      <c r="C1593" s="15">
        <v>166253</v>
      </c>
      <c r="D1593" s="15">
        <v>177380</v>
      </c>
      <c r="E1593" s="15">
        <v>17292</v>
      </c>
      <c r="F1593" s="15">
        <v>398</v>
      </c>
      <c r="G1593" s="15">
        <v>16</v>
      </c>
      <c r="H1593" s="165" t="s">
        <v>63</v>
      </c>
    </row>
    <row r="1594" spans="1:8">
      <c r="A1594" s="449" t="s">
        <v>145</v>
      </c>
      <c r="B1594" s="15">
        <v>9631955</v>
      </c>
      <c r="C1594" s="15">
        <v>166253</v>
      </c>
      <c r="D1594" s="15">
        <v>177380</v>
      </c>
      <c r="E1594" s="15">
        <v>17292</v>
      </c>
      <c r="F1594" s="15">
        <v>398</v>
      </c>
      <c r="G1594" s="15">
        <v>16</v>
      </c>
      <c r="H1594" s="165" t="s">
        <v>63</v>
      </c>
    </row>
    <row r="1595" spans="1:8">
      <c r="A1595" s="449" t="s">
        <v>423</v>
      </c>
      <c r="B1595" s="15">
        <v>9783459</v>
      </c>
      <c r="C1595" s="15">
        <v>194864</v>
      </c>
      <c r="D1595" s="15">
        <v>198000</v>
      </c>
      <c r="E1595" s="15">
        <v>17327</v>
      </c>
      <c r="F1595" s="15">
        <v>399.82</v>
      </c>
      <c r="G1595" s="15">
        <v>16</v>
      </c>
      <c r="H1595" s="165" t="s">
        <v>63</v>
      </c>
    </row>
    <row r="1596" spans="1:8">
      <c r="A1596" s="449" t="s">
        <v>1039</v>
      </c>
      <c r="B1596" s="15">
        <v>9755933</v>
      </c>
      <c r="C1596" s="15">
        <v>193489</v>
      </c>
      <c r="D1596" s="15">
        <v>202036</v>
      </c>
      <c r="E1596" s="15">
        <v>17590</v>
      </c>
      <c r="F1596" s="15">
        <v>399.99</v>
      </c>
      <c r="G1596" s="15">
        <v>16</v>
      </c>
      <c r="H1596" s="165" t="s">
        <v>63</v>
      </c>
    </row>
    <row r="1597" spans="1:8">
      <c r="A1597" s="449" t="s">
        <v>1075</v>
      </c>
      <c r="B1597" s="15">
        <v>9755945</v>
      </c>
      <c r="C1597" s="15">
        <v>193489</v>
      </c>
      <c r="D1597" s="15">
        <v>196000</v>
      </c>
      <c r="E1597" s="15">
        <v>17590</v>
      </c>
      <c r="F1597" s="15">
        <v>399.97</v>
      </c>
      <c r="G1597" s="15">
        <v>16</v>
      </c>
      <c r="H1597" s="165" t="s">
        <v>63</v>
      </c>
    </row>
    <row r="1598" spans="1:8">
      <c r="A1598" s="449" t="s">
        <v>1079</v>
      </c>
      <c r="B1598" s="15">
        <v>9762326</v>
      </c>
      <c r="C1598" s="15">
        <v>194308</v>
      </c>
      <c r="D1598" s="15">
        <v>200148</v>
      </c>
      <c r="E1598" s="15">
        <v>17664</v>
      </c>
      <c r="F1598" s="15">
        <v>399</v>
      </c>
      <c r="G1598" s="15">
        <v>16</v>
      </c>
      <c r="H1598" s="165" t="s">
        <v>63</v>
      </c>
    </row>
    <row r="1599" spans="1:8">
      <c r="A1599" s="449" t="s">
        <v>287</v>
      </c>
      <c r="B1599" s="15">
        <v>9702144</v>
      </c>
      <c r="C1599" s="15">
        <v>175688</v>
      </c>
      <c r="D1599" s="15">
        <v>186000</v>
      </c>
      <c r="E1599" s="15">
        <v>17700</v>
      </c>
      <c r="F1599" s="15">
        <v>398</v>
      </c>
      <c r="G1599" s="15">
        <v>16</v>
      </c>
      <c r="H1599" s="165" t="s">
        <v>63</v>
      </c>
    </row>
    <row r="1600" spans="1:8">
      <c r="A1600" s="449" t="s">
        <v>296</v>
      </c>
      <c r="B1600" s="15">
        <v>9702132</v>
      </c>
      <c r="C1600" s="15">
        <v>175000</v>
      </c>
      <c r="D1600" s="15">
        <v>185000</v>
      </c>
      <c r="E1600" s="15">
        <v>17722</v>
      </c>
      <c r="F1600" s="15">
        <v>398</v>
      </c>
      <c r="G1600" s="15">
        <v>16</v>
      </c>
      <c r="H1600" s="165" t="s">
        <v>63</v>
      </c>
    </row>
    <row r="1601" spans="1:8">
      <c r="A1601" s="449" t="s">
        <v>266</v>
      </c>
      <c r="B1601" s="15">
        <v>9706891</v>
      </c>
      <c r="C1601" s="15">
        <v>178228</v>
      </c>
      <c r="D1601" s="15">
        <v>185000</v>
      </c>
      <c r="E1601" s="15">
        <v>17859</v>
      </c>
      <c r="F1601" s="15">
        <v>399.2</v>
      </c>
      <c r="G1601" s="15">
        <v>16</v>
      </c>
      <c r="H1601" s="165" t="s">
        <v>63</v>
      </c>
    </row>
    <row r="1602" spans="1:8">
      <c r="A1602" s="449" t="s">
        <v>354</v>
      </c>
      <c r="B1602" s="15">
        <v>9706906</v>
      </c>
      <c r="C1602" s="15">
        <v>178228</v>
      </c>
      <c r="D1602" s="15">
        <v>185000</v>
      </c>
      <c r="E1602" s="15">
        <v>17859</v>
      </c>
      <c r="F1602" s="15">
        <v>399.2</v>
      </c>
      <c r="G1602" s="15">
        <v>16</v>
      </c>
      <c r="H1602" s="165" t="s">
        <v>63</v>
      </c>
    </row>
    <row r="1603" spans="1:8">
      <c r="A1603" s="449" t="s">
        <v>772</v>
      </c>
      <c r="B1603" s="15">
        <v>9619945</v>
      </c>
      <c r="C1603" s="15">
        <v>35835</v>
      </c>
      <c r="D1603" s="15">
        <v>194394</v>
      </c>
      <c r="E1603" s="15">
        <v>18270</v>
      </c>
      <c r="F1603" s="15">
        <v>399.2</v>
      </c>
      <c r="G1603" s="15">
        <v>16</v>
      </c>
      <c r="H1603" s="165" t="s">
        <v>63</v>
      </c>
    </row>
    <row r="1604" spans="1:8">
      <c r="A1604" s="449" t="s">
        <v>817</v>
      </c>
      <c r="B1604" s="15">
        <v>9619907</v>
      </c>
      <c r="C1604" s="15">
        <v>35835</v>
      </c>
      <c r="D1604" s="15">
        <v>194153</v>
      </c>
      <c r="E1604" s="15">
        <v>18270</v>
      </c>
      <c r="F1604" s="15">
        <v>399</v>
      </c>
      <c r="G1604" s="15">
        <v>16</v>
      </c>
      <c r="H1604" s="165" t="s">
        <v>63</v>
      </c>
    </row>
    <row r="1605" spans="1:8">
      <c r="A1605" s="449" t="s">
        <v>864</v>
      </c>
      <c r="B1605" s="15">
        <v>9632143</v>
      </c>
      <c r="C1605" s="15">
        <v>182000</v>
      </c>
      <c r="D1605" s="15">
        <v>194897</v>
      </c>
      <c r="E1605" s="15">
        <v>18270</v>
      </c>
      <c r="F1605" s="15">
        <v>399.2</v>
      </c>
      <c r="G1605" s="15">
        <v>16</v>
      </c>
      <c r="H1605" s="165" t="s">
        <v>63</v>
      </c>
    </row>
    <row r="1606" spans="1:8">
      <c r="A1606" s="449" t="s">
        <v>869</v>
      </c>
      <c r="B1606" s="15">
        <v>9619969</v>
      </c>
      <c r="C1606" s="15">
        <v>194849</v>
      </c>
      <c r="D1606" s="15">
        <v>194433</v>
      </c>
      <c r="E1606" s="15">
        <v>18270</v>
      </c>
      <c r="F1606" s="15">
        <v>399.2</v>
      </c>
      <c r="G1606" s="15">
        <v>14.5</v>
      </c>
      <c r="H1606" s="165" t="s">
        <v>63</v>
      </c>
    </row>
    <row r="1607" spans="1:8">
      <c r="A1607" s="449" t="s">
        <v>870</v>
      </c>
      <c r="B1607" s="15">
        <v>9619933</v>
      </c>
      <c r="C1607" s="15">
        <v>35835</v>
      </c>
      <c r="D1607" s="15">
        <v>194327</v>
      </c>
      <c r="E1607" s="15">
        <v>18270</v>
      </c>
      <c r="F1607" s="15">
        <v>399</v>
      </c>
      <c r="G1607" s="15">
        <v>14.5</v>
      </c>
      <c r="H1607" s="165" t="s">
        <v>63</v>
      </c>
    </row>
    <row r="1608" spans="1:8">
      <c r="A1608" s="449" t="s">
        <v>871</v>
      </c>
      <c r="B1608" s="15">
        <v>9632167</v>
      </c>
      <c r="C1608" s="15">
        <v>182000</v>
      </c>
      <c r="D1608" s="15">
        <v>195059</v>
      </c>
      <c r="E1608" s="15">
        <v>18270</v>
      </c>
      <c r="F1608" s="15">
        <v>399.2</v>
      </c>
      <c r="G1608" s="15">
        <v>16</v>
      </c>
      <c r="H1608" s="165" t="s">
        <v>63</v>
      </c>
    </row>
    <row r="1609" spans="1:8">
      <c r="A1609" s="449" t="s">
        <v>877</v>
      </c>
      <c r="B1609" s="15">
        <v>9619921</v>
      </c>
      <c r="C1609" s="15">
        <v>183500</v>
      </c>
      <c r="D1609" s="15">
        <v>194252</v>
      </c>
      <c r="E1609" s="15">
        <v>18270</v>
      </c>
      <c r="F1609" s="15">
        <v>399</v>
      </c>
      <c r="G1609" s="15">
        <v>15.5</v>
      </c>
      <c r="H1609" s="165" t="s">
        <v>63</v>
      </c>
    </row>
    <row r="1610" spans="1:8">
      <c r="A1610" s="449" t="s">
        <v>880</v>
      </c>
      <c r="B1610" s="15">
        <v>9619983</v>
      </c>
      <c r="C1610" s="15">
        <v>194849</v>
      </c>
      <c r="D1610" s="15">
        <v>194284</v>
      </c>
      <c r="E1610" s="15">
        <v>18270</v>
      </c>
      <c r="F1610" s="15">
        <v>399.2</v>
      </c>
      <c r="G1610" s="15">
        <v>14.5</v>
      </c>
      <c r="H1610" s="165" t="s">
        <v>63</v>
      </c>
    </row>
    <row r="1611" spans="1:8">
      <c r="A1611" s="449" t="s">
        <v>887</v>
      </c>
      <c r="B1611" s="15">
        <v>9632155</v>
      </c>
      <c r="C1611" s="15">
        <v>183400</v>
      </c>
      <c r="D1611" s="15">
        <v>194829</v>
      </c>
      <c r="E1611" s="15">
        <v>18270</v>
      </c>
      <c r="F1611" s="15">
        <v>399.2</v>
      </c>
      <c r="G1611" s="15">
        <v>16</v>
      </c>
      <c r="H1611" s="165" t="s">
        <v>63</v>
      </c>
    </row>
    <row r="1612" spans="1:8">
      <c r="A1612" s="449" t="s">
        <v>896</v>
      </c>
      <c r="B1612" s="15">
        <v>9632090</v>
      </c>
      <c r="C1612" s="15">
        <v>183500</v>
      </c>
      <c r="D1612" s="15">
        <v>194679</v>
      </c>
      <c r="E1612" s="15">
        <v>18270</v>
      </c>
      <c r="F1612" s="15">
        <v>399</v>
      </c>
      <c r="G1612" s="15">
        <v>16</v>
      </c>
      <c r="H1612" s="165" t="s">
        <v>63</v>
      </c>
    </row>
    <row r="1613" spans="1:8">
      <c r="A1613" s="449" t="s">
        <v>953</v>
      </c>
      <c r="B1613" s="15">
        <v>9632105</v>
      </c>
      <c r="C1613" s="15">
        <v>79120</v>
      </c>
      <c r="D1613" s="15">
        <v>194790</v>
      </c>
      <c r="E1613" s="15">
        <v>18270</v>
      </c>
      <c r="F1613" s="15">
        <v>399.2</v>
      </c>
      <c r="G1613" s="15">
        <v>14.5</v>
      </c>
      <c r="H1613" s="165" t="s">
        <v>63</v>
      </c>
    </row>
    <row r="1614" spans="1:8">
      <c r="A1614" s="449" t="s">
        <v>866</v>
      </c>
      <c r="B1614" s="15">
        <v>9632129</v>
      </c>
      <c r="C1614" s="15">
        <v>182000</v>
      </c>
      <c r="D1614" s="15">
        <v>195118</v>
      </c>
      <c r="E1614" s="15">
        <v>18340</v>
      </c>
      <c r="F1614" s="15">
        <v>399</v>
      </c>
      <c r="G1614" s="15">
        <v>16</v>
      </c>
      <c r="H1614" s="165" t="s">
        <v>63</v>
      </c>
    </row>
    <row r="1615" spans="1:8">
      <c r="A1615" s="449" t="s">
        <v>868</v>
      </c>
      <c r="B1615" s="15">
        <v>9632131</v>
      </c>
      <c r="C1615" s="15">
        <v>182000</v>
      </c>
      <c r="D1615" s="15">
        <v>195071</v>
      </c>
      <c r="E1615" s="15">
        <v>18340</v>
      </c>
      <c r="F1615" s="15">
        <v>399</v>
      </c>
      <c r="G1615" s="15">
        <v>16</v>
      </c>
      <c r="H1615" s="165" t="s">
        <v>63</v>
      </c>
    </row>
    <row r="1616" spans="1:8">
      <c r="A1616" s="449" t="s">
        <v>879</v>
      </c>
      <c r="B1616" s="15">
        <v>9632179</v>
      </c>
      <c r="C1616" s="15">
        <v>182000</v>
      </c>
      <c r="D1616" s="15">
        <v>196000</v>
      </c>
      <c r="E1616" s="15">
        <v>18340</v>
      </c>
      <c r="F1616" s="15">
        <v>399</v>
      </c>
      <c r="G1616" s="15">
        <v>16</v>
      </c>
      <c r="H1616" s="165" t="s">
        <v>63</v>
      </c>
    </row>
    <row r="1617" spans="1:8">
      <c r="A1617" s="449" t="s">
        <v>882</v>
      </c>
      <c r="B1617" s="15">
        <v>9619995</v>
      </c>
      <c r="C1617" s="15">
        <v>194849</v>
      </c>
      <c r="D1617" s="15">
        <v>194532</v>
      </c>
      <c r="E1617" s="15">
        <v>18340</v>
      </c>
      <c r="F1617" s="15">
        <v>399.9</v>
      </c>
      <c r="G1617" s="15">
        <v>16</v>
      </c>
      <c r="H1617" s="165" t="s">
        <v>63</v>
      </c>
    </row>
    <row r="1618" spans="1:8">
      <c r="A1618" s="449" t="s">
        <v>884</v>
      </c>
      <c r="B1618" s="15">
        <v>9632064</v>
      </c>
      <c r="C1618" s="15">
        <v>183500</v>
      </c>
      <c r="D1618" s="15">
        <v>194915</v>
      </c>
      <c r="E1618" s="15">
        <v>18340</v>
      </c>
      <c r="F1618" s="15">
        <v>399.9</v>
      </c>
      <c r="G1618" s="15">
        <v>14.5</v>
      </c>
      <c r="H1618" s="165" t="s">
        <v>63</v>
      </c>
    </row>
    <row r="1619" spans="1:8">
      <c r="A1619" s="449" t="s">
        <v>77</v>
      </c>
      <c r="B1619" s="15">
        <v>9708825</v>
      </c>
      <c r="C1619" s="15">
        <v>193300</v>
      </c>
      <c r="D1619" s="15">
        <v>194000</v>
      </c>
      <c r="E1619" s="15">
        <v>18800</v>
      </c>
      <c r="F1619" s="15">
        <v>400</v>
      </c>
      <c r="G1619" s="15">
        <v>16</v>
      </c>
      <c r="H1619" s="165" t="s">
        <v>63</v>
      </c>
    </row>
    <row r="1620" spans="1:8">
      <c r="A1620" s="449" t="s">
        <v>87</v>
      </c>
      <c r="B1620" s="15">
        <v>9708863</v>
      </c>
      <c r="C1620" s="15">
        <v>195636</v>
      </c>
      <c r="D1620" s="15">
        <v>199744</v>
      </c>
      <c r="E1620" s="15">
        <v>18800</v>
      </c>
      <c r="F1620" s="15">
        <v>400</v>
      </c>
      <c r="G1620" s="15">
        <v>16</v>
      </c>
      <c r="H1620" s="165" t="s">
        <v>63</v>
      </c>
    </row>
    <row r="1621" spans="1:8">
      <c r="A1621" s="449" t="s">
        <v>89</v>
      </c>
      <c r="B1621" s="15">
        <v>9708813</v>
      </c>
      <c r="C1621" s="15">
        <v>193000</v>
      </c>
      <c r="D1621" s="15">
        <v>194000</v>
      </c>
      <c r="E1621" s="15">
        <v>18800</v>
      </c>
      <c r="F1621" s="15">
        <v>400</v>
      </c>
      <c r="G1621" s="15">
        <v>16</v>
      </c>
      <c r="H1621" s="165" t="s">
        <v>63</v>
      </c>
    </row>
    <row r="1622" spans="1:8">
      <c r="A1622" s="449" t="s">
        <v>440</v>
      </c>
      <c r="B1622" s="15">
        <v>9695157</v>
      </c>
      <c r="C1622" s="15">
        <v>187541</v>
      </c>
      <c r="D1622" s="15">
        <v>184000</v>
      </c>
      <c r="E1622" s="15">
        <v>18980</v>
      </c>
      <c r="F1622" s="15">
        <v>399.67</v>
      </c>
      <c r="G1622" s="15">
        <v>16</v>
      </c>
      <c r="H1622" s="165" t="s">
        <v>63</v>
      </c>
    </row>
    <row r="1623" spans="1:8">
      <c r="A1623" s="449" t="s">
        <v>446</v>
      </c>
      <c r="B1623" s="15">
        <v>9695133</v>
      </c>
      <c r="C1623" s="15">
        <v>187541</v>
      </c>
      <c r="D1623" s="15">
        <v>184000</v>
      </c>
      <c r="E1623" s="15">
        <v>18980</v>
      </c>
      <c r="F1623" s="15">
        <v>399.67</v>
      </c>
      <c r="G1623" s="15">
        <v>16</v>
      </c>
      <c r="H1623" s="165" t="s">
        <v>63</v>
      </c>
    </row>
    <row r="1624" spans="1:8">
      <c r="A1624" s="449" t="s">
        <v>435</v>
      </c>
      <c r="B1624" s="15">
        <v>9695169</v>
      </c>
      <c r="C1624" s="15">
        <v>187541</v>
      </c>
      <c r="D1624" s="15">
        <v>184320</v>
      </c>
      <c r="E1624" s="15">
        <v>19000</v>
      </c>
      <c r="F1624" s="15">
        <v>399.64</v>
      </c>
      <c r="G1624" s="15">
        <v>16</v>
      </c>
      <c r="H1624" s="165" t="s">
        <v>63</v>
      </c>
    </row>
    <row r="1625" spans="1:8">
      <c r="A1625" s="449" t="s">
        <v>1153</v>
      </c>
      <c r="B1625" s="15">
        <v>9703306</v>
      </c>
      <c r="C1625" s="15">
        <v>192237</v>
      </c>
      <c r="D1625" s="15">
        <v>199273</v>
      </c>
      <c r="E1625" s="15">
        <v>19000</v>
      </c>
      <c r="F1625" s="15">
        <v>395.47</v>
      </c>
      <c r="G1625" s="15">
        <v>16</v>
      </c>
      <c r="H1625" s="165" t="s">
        <v>63</v>
      </c>
    </row>
    <row r="1626" spans="1:8">
      <c r="A1626" s="449" t="s">
        <v>437</v>
      </c>
      <c r="B1626" s="15">
        <v>9695145</v>
      </c>
      <c r="C1626" s="15">
        <v>187541</v>
      </c>
      <c r="D1626" s="15">
        <v>184000</v>
      </c>
      <c r="E1626" s="15">
        <v>19100</v>
      </c>
      <c r="F1626" s="15">
        <v>400</v>
      </c>
      <c r="G1626" s="15">
        <v>16</v>
      </c>
      <c r="H1626" s="165" t="s">
        <v>63</v>
      </c>
    </row>
    <row r="1627" spans="1:8">
      <c r="A1627" s="449" t="s">
        <v>439</v>
      </c>
      <c r="B1627" s="15">
        <v>9695121</v>
      </c>
      <c r="C1627" s="15">
        <v>187541</v>
      </c>
      <c r="D1627" s="15">
        <v>184320</v>
      </c>
      <c r="E1627" s="15">
        <v>19100</v>
      </c>
      <c r="F1627" s="15">
        <v>399.67</v>
      </c>
      <c r="G1627" s="15">
        <v>16</v>
      </c>
      <c r="H1627" s="165" t="s">
        <v>63</v>
      </c>
    </row>
    <row r="1628" spans="1:8">
      <c r="A1628" s="449" t="s">
        <v>1144</v>
      </c>
      <c r="B1628" s="15">
        <v>9767376</v>
      </c>
      <c r="C1628" s="15">
        <v>193000</v>
      </c>
      <c r="D1628" s="15">
        <v>196000</v>
      </c>
      <c r="E1628" s="15">
        <v>19200</v>
      </c>
      <c r="F1628" s="15">
        <v>400</v>
      </c>
      <c r="G1628" s="15">
        <v>16</v>
      </c>
      <c r="H1628" s="165" t="s">
        <v>63</v>
      </c>
    </row>
    <row r="1629" spans="1:8">
      <c r="A1629" s="449" t="s">
        <v>1029</v>
      </c>
      <c r="B1629" s="15">
        <v>9708693</v>
      </c>
      <c r="C1629" s="15">
        <v>192237</v>
      </c>
      <c r="D1629" s="15">
        <v>199000</v>
      </c>
      <c r="E1629" s="15">
        <v>19224</v>
      </c>
      <c r="F1629" s="15">
        <v>395.4</v>
      </c>
      <c r="G1629" s="15">
        <v>16</v>
      </c>
      <c r="H1629" s="165" t="s">
        <v>63</v>
      </c>
    </row>
    <row r="1630" spans="1:8">
      <c r="A1630" s="449" t="s">
        <v>1041</v>
      </c>
      <c r="B1630" s="15">
        <v>9754953</v>
      </c>
      <c r="C1630" s="15">
        <v>112221</v>
      </c>
      <c r="D1630" s="15">
        <v>200148</v>
      </c>
      <c r="E1630" s="15">
        <v>19224</v>
      </c>
      <c r="F1630" s="15">
        <v>398.45</v>
      </c>
      <c r="G1630" s="15">
        <v>16</v>
      </c>
      <c r="H1630" s="165" t="s">
        <v>63</v>
      </c>
    </row>
    <row r="1631" spans="1:8">
      <c r="A1631" s="449" t="s">
        <v>1135</v>
      </c>
      <c r="B1631" s="15">
        <v>9708679</v>
      </c>
      <c r="C1631" s="15">
        <v>192237</v>
      </c>
      <c r="D1631" s="15">
        <v>199272</v>
      </c>
      <c r="E1631" s="15">
        <v>19224</v>
      </c>
      <c r="F1631" s="15">
        <v>395.49</v>
      </c>
      <c r="G1631" s="15">
        <v>16</v>
      </c>
      <c r="H1631" s="165" t="s">
        <v>63</v>
      </c>
    </row>
    <row r="1632" spans="1:8">
      <c r="A1632" s="449" t="s">
        <v>1156</v>
      </c>
      <c r="B1632" s="15">
        <v>9703291</v>
      </c>
      <c r="C1632" s="15">
        <v>192237</v>
      </c>
      <c r="D1632" s="15">
        <v>199273</v>
      </c>
      <c r="E1632" s="15">
        <v>19224</v>
      </c>
      <c r="F1632" s="15">
        <v>395.47</v>
      </c>
      <c r="G1632" s="15">
        <v>16</v>
      </c>
      <c r="H1632" s="165" t="s">
        <v>63</v>
      </c>
    </row>
    <row r="1633" spans="1:8">
      <c r="A1633" s="449" t="s">
        <v>1215</v>
      </c>
      <c r="B1633" s="15">
        <v>9708681</v>
      </c>
      <c r="C1633" s="15">
        <v>192237</v>
      </c>
      <c r="D1633" s="15">
        <v>199272</v>
      </c>
      <c r="E1633" s="15">
        <v>19224</v>
      </c>
      <c r="F1633" s="15">
        <v>395.45</v>
      </c>
      <c r="G1633" s="15">
        <v>16</v>
      </c>
      <c r="H1633" s="165" t="s">
        <v>63</v>
      </c>
    </row>
    <row r="1634" spans="1:8">
      <c r="A1634" s="449" t="s">
        <v>1240</v>
      </c>
      <c r="B1634" s="15">
        <v>9703318</v>
      </c>
      <c r="C1634" s="15">
        <v>193000</v>
      </c>
      <c r="D1634" s="15">
        <v>197362</v>
      </c>
      <c r="E1634" s="15">
        <v>19224</v>
      </c>
      <c r="F1634" s="15">
        <v>394.4</v>
      </c>
      <c r="G1634" s="15">
        <v>16</v>
      </c>
      <c r="H1634" s="165" t="s">
        <v>63</v>
      </c>
    </row>
    <row r="1635" spans="1:8">
      <c r="A1635" s="449" t="s">
        <v>411</v>
      </c>
      <c r="B1635" s="15">
        <v>9783497</v>
      </c>
      <c r="C1635" s="15">
        <v>250000</v>
      </c>
      <c r="D1635" s="15">
        <v>192000</v>
      </c>
      <c r="E1635" s="15">
        <v>19273</v>
      </c>
      <c r="F1635" s="15">
        <v>400</v>
      </c>
      <c r="G1635" s="15">
        <v>16</v>
      </c>
      <c r="H1635" s="165" t="s">
        <v>63</v>
      </c>
    </row>
    <row r="1636" spans="1:8">
      <c r="A1636" s="449" t="s">
        <v>413</v>
      </c>
      <c r="B1636" s="15">
        <v>9783514</v>
      </c>
      <c r="C1636" s="15">
        <v>199000</v>
      </c>
      <c r="D1636" s="15">
        <v>197500</v>
      </c>
      <c r="E1636" s="15">
        <v>19273</v>
      </c>
      <c r="F1636" s="15">
        <v>400</v>
      </c>
      <c r="G1636" s="15">
        <v>17</v>
      </c>
      <c r="H1636" s="165" t="s">
        <v>63</v>
      </c>
    </row>
    <row r="1637" spans="1:8">
      <c r="A1637" s="449" t="s">
        <v>416</v>
      </c>
      <c r="B1637" s="15">
        <v>9783502</v>
      </c>
      <c r="C1637" s="15">
        <v>199000</v>
      </c>
      <c r="D1637" s="15">
        <v>197500</v>
      </c>
      <c r="E1637" s="15">
        <v>19273</v>
      </c>
      <c r="F1637" s="15">
        <v>400</v>
      </c>
      <c r="G1637" s="15">
        <v>17</v>
      </c>
      <c r="H1637" s="165" t="s">
        <v>63</v>
      </c>
    </row>
    <row r="1638" spans="1:8">
      <c r="A1638" s="449" t="s">
        <v>419</v>
      </c>
      <c r="B1638" s="15">
        <v>9789647</v>
      </c>
      <c r="C1638" s="15">
        <v>196670</v>
      </c>
      <c r="D1638" s="15">
        <v>18400</v>
      </c>
      <c r="E1638" s="15">
        <v>19273</v>
      </c>
      <c r="F1638" s="15">
        <v>400</v>
      </c>
      <c r="G1638" s="15">
        <v>16</v>
      </c>
      <c r="H1638" s="165" t="s">
        <v>63</v>
      </c>
    </row>
    <row r="1639" spans="1:8">
      <c r="A1639" s="449" t="s">
        <v>422</v>
      </c>
      <c r="B1639" s="15">
        <v>9789635</v>
      </c>
      <c r="C1639" s="15">
        <v>198500</v>
      </c>
      <c r="D1639" s="15">
        <v>197500</v>
      </c>
      <c r="E1639" s="15">
        <v>19273</v>
      </c>
      <c r="F1639" s="15">
        <v>395</v>
      </c>
      <c r="G1639" s="15">
        <v>16</v>
      </c>
      <c r="H1639" s="165" t="s">
        <v>63</v>
      </c>
    </row>
    <row r="1640" spans="1:8">
      <c r="A1640" s="449" t="s">
        <v>1053</v>
      </c>
      <c r="B1640" s="15">
        <v>9755191</v>
      </c>
      <c r="C1640" s="15">
        <v>194308</v>
      </c>
      <c r="D1640" s="15">
        <v>200100</v>
      </c>
      <c r="E1640" s="15">
        <v>19437</v>
      </c>
      <c r="F1640" s="15">
        <v>398.4</v>
      </c>
      <c r="G1640" s="15">
        <v>16.02</v>
      </c>
      <c r="H1640" s="165" t="s">
        <v>63</v>
      </c>
    </row>
    <row r="1641" spans="1:8">
      <c r="A1641" s="449" t="s">
        <v>1219</v>
      </c>
      <c r="B1641" s="15">
        <v>9762340</v>
      </c>
      <c r="C1641" s="15">
        <v>194308</v>
      </c>
      <c r="D1641" s="15">
        <v>198700</v>
      </c>
      <c r="E1641" s="15">
        <v>19437</v>
      </c>
      <c r="F1641" s="15">
        <v>398</v>
      </c>
      <c r="G1641" s="15">
        <v>16</v>
      </c>
      <c r="H1641" s="165" t="s">
        <v>63</v>
      </c>
    </row>
    <row r="1642" spans="1:8">
      <c r="A1642" s="449" t="s">
        <v>1048</v>
      </c>
      <c r="B1642" s="15">
        <v>9755957</v>
      </c>
      <c r="C1642" s="15">
        <v>193489</v>
      </c>
      <c r="D1642" s="15">
        <v>201792</v>
      </c>
      <c r="E1642" s="15">
        <v>19462</v>
      </c>
      <c r="F1642" s="15">
        <v>400</v>
      </c>
      <c r="G1642" s="15">
        <v>16</v>
      </c>
      <c r="H1642" s="165" t="s">
        <v>63</v>
      </c>
    </row>
    <row r="1643" spans="1:8">
      <c r="A1643" s="449" t="s">
        <v>1175</v>
      </c>
      <c r="B1643" s="15">
        <v>9767388</v>
      </c>
      <c r="C1643" s="15">
        <v>202338</v>
      </c>
      <c r="D1643" s="15">
        <v>193489</v>
      </c>
      <c r="E1643" s="15">
        <v>19472</v>
      </c>
      <c r="F1643" s="15">
        <v>399.9</v>
      </c>
      <c r="G1643" s="15">
        <v>16</v>
      </c>
      <c r="H1643" s="165" t="s">
        <v>63</v>
      </c>
    </row>
    <row r="1644" spans="1:8">
      <c r="A1644" s="449" t="s">
        <v>775</v>
      </c>
      <c r="B1644" s="15">
        <v>9778791</v>
      </c>
      <c r="C1644" s="15">
        <v>214286</v>
      </c>
      <c r="D1644" s="15">
        <v>190326</v>
      </c>
      <c r="E1644" s="15">
        <v>19630</v>
      </c>
      <c r="F1644" s="15">
        <v>399</v>
      </c>
      <c r="G1644" s="15">
        <v>16.5</v>
      </c>
      <c r="H1644" s="165" t="s">
        <v>63</v>
      </c>
    </row>
    <row r="1645" spans="1:8">
      <c r="A1645" s="449" t="s">
        <v>94</v>
      </c>
      <c r="B1645" s="15">
        <v>9708875</v>
      </c>
      <c r="C1645" s="15">
        <v>195636</v>
      </c>
      <c r="D1645" s="15">
        <v>199744</v>
      </c>
      <c r="E1645" s="15">
        <v>19870</v>
      </c>
      <c r="F1645" s="15">
        <v>400</v>
      </c>
      <c r="G1645" s="15">
        <v>16</v>
      </c>
      <c r="H1645" s="165" t="s">
        <v>63</v>
      </c>
    </row>
    <row r="1646" spans="1:8">
      <c r="A1646" s="449" t="s">
        <v>175</v>
      </c>
      <c r="B1646" s="15">
        <v>9708851</v>
      </c>
      <c r="C1646" s="15">
        <v>195636</v>
      </c>
      <c r="D1646" s="15">
        <v>199744</v>
      </c>
      <c r="E1646" s="15">
        <v>19870</v>
      </c>
      <c r="F1646" s="15">
        <v>400</v>
      </c>
      <c r="G1646" s="15">
        <v>16</v>
      </c>
      <c r="H1646" s="165" t="s">
        <v>63</v>
      </c>
    </row>
    <row r="1647" spans="1:8">
      <c r="A1647" s="449" t="s">
        <v>1545</v>
      </c>
      <c r="B1647" s="15">
        <v>9736107</v>
      </c>
      <c r="C1647" s="15">
        <v>195636</v>
      </c>
      <c r="D1647" s="15">
        <v>199744</v>
      </c>
      <c r="E1647" s="15">
        <v>19870</v>
      </c>
      <c r="F1647" s="15">
        <v>400</v>
      </c>
      <c r="G1647" s="15">
        <v>16.02</v>
      </c>
      <c r="H1647" s="165" t="s">
        <v>63</v>
      </c>
    </row>
    <row r="1648" spans="1:8">
      <c r="A1648" s="449" t="s">
        <v>425</v>
      </c>
      <c r="B1648" s="15">
        <v>9783461</v>
      </c>
      <c r="C1648" s="15">
        <v>194864</v>
      </c>
      <c r="D1648" s="15">
        <v>201827</v>
      </c>
      <c r="E1648" s="15">
        <v>20000</v>
      </c>
      <c r="F1648" s="15">
        <v>399.82</v>
      </c>
      <c r="G1648" s="15">
        <v>16</v>
      </c>
      <c r="H1648" s="165" t="s">
        <v>63</v>
      </c>
    </row>
    <row r="1649" spans="1:8">
      <c r="A1649" s="449" t="s">
        <v>408</v>
      </c>
      <c r="B1649" s="15">
        <v>9783473</v>
      </c>
      <c r="C1649" s="15">
        <v>194864</v>
      </c>
      <c r="D1649" s="15">
        <v>198000</v>
      </c>
      <c r="E1649" s="15">
        <v>20119</v>
      </c>
      <c r="F1649" s="15">
        <v>399.8</v>
      </c>
      <c r="G1649" s="15">
        <v>16</v>
      </c>
      <c r="H1649" s="165" t="s">
        <v>63</v>
      </c>
    </row>
    <row r="1650" spans="1:8">
      <c r="A1650" s="449" t="s">
        <v>375</v>
      </c>
      <c r="B1650" s="15">
        <v>9783526</v>
      </c>
      <c r="C1650" s="15">
        <v>194852</v>
      </c>
      <c r="D1650" s="15">
        <v>201800</v>
      </c>
      <c r="E1650" s="15">
        <v>20119</v>
      </c>
      <c r="F1650" s="15">
        <v>399.82</v>
      </c>
      <c r="G1650" s="15">
        <v>16</v>
      </c>
      <c r="H1650" s="165" t="s">
        <v>63</v>
      </c>
    </row>
    <row r="1651" spans="1:8">
      <c r="A1651" s="449" t="s">
        <v>524</v>
      </c>
      <c r="B1651" s="15">
        <v>9832729</v>
      </c>
      <c r="C1651" s="15">
        <v>199000</v>
      </c>
      <c r="D1651" s="15">
        <v>218000</v>
      </c>
      <c r="E1651" s="15">
        <v>20150</v>
      </c>
      <c r="F1651" s="15">
        <v>399</v>
      </c>
      <c r="G1651" s="15">
        <v>18</v>
      </c>
      <c r="H1651" s="165" t="s">
        <v>63</v>
      </c>
    </row>
    <row r="1652" spans="1:8">
      <c r="A1652" s="449" t="s">
        <v>936</v>
      </c>
      <c r="B1652" s="15">
        <v>9773222</v>
      </c>
      <c r="C1652" s="15">
        <v>210691</v>
      </c>
      <c r="D1652" s="15">
        <v>189766</v>
      </c>
      <c r="E1652" s="15">
        <v>20150</v>
      </c>
      <c r="F1652" s="15">
        <v>400</v>
      </c>
      <c r="G1652" s="15">
        <v>16</v>
      </c>
      <c r="H1652" s="165" t="s">
        <v>63</v>
      </c>
    </row>
    <row r="1653" spans="1:8">
      <c r="A1653" s="449" t="s">
        <v>940</v>
      </c>
      <c r="B1653" s="15">
        <v>9773210</v>
      </c>
      <c r="C1653" s="15">
        <v>199000</v>
      </c>
      <c r="D1653" s="15">
        <v>197500</v>
      </c>
      <c r="E1653" s="15">
        <v>20150</v>
      </c>
      <c r="F1653" s="15">
        <v>400</v>
      </c>
      <c r="G1653" s="15">
        <v>16</v>
      </c>
      <c r="H1653" s="165" t="s">
        <v>63</v>
      </c>
    </row>
    <row r="1654" spans="1:8">
      <c r="A1654" s="449" t="s">
        <v>935</v>
      </c>
      <c r="B1654" s="15">
        <v>9769300</v>
      </c>
      <c r="C1654" s="15">
        <v>210678</v>
      </c>
      <c r="D1654" s="15">
        <v>197500</v>
      </c>
      <c r="E1654" s="15">
        <v>20170</v>
      </c>
      <c r="F1654" s="15">
        <v>400</v>
      </c>
      <c r="G1654" s="15">
        <v>16</v>
      </c>
      <c r="H1654" s="165" t="s">
        <v>63</v>
      </c>
    </row>
    <row r="1655" spans="1:8">
      <c r="A1655" s="449" t="s">
        <v>937</v>
      </c>
      <c r="B1655" s="15">
        <v>9769295</v>
      </c>
      <c r="C1655" s="15">
        <v>210678</v>
      </c>
      <c r="D1655" s="15">
        <v>197106</v>
      </c>
      <c r="E1655" s="15">
        <v>20170</v>
      </c>
      <c r="F1655" s="15">
        <v>400</v>
      </c>
      <c r="G1655" s="15">
        <v>16</v>
      </c>
      <c r="H1655" s="165" t="s">
        <v>63</v>
      </c>
    </row>
    <row r="1656" spans="1:8">
      <c r="A1656" s="449" t="s">
        <v>938</v>
      </c>
      <c r="B1656" s="15">
        <v>9769271</v>
      </c>
      <c r="C1656" s="15">
        <v>199000</v>
      </c>
      <c r="D1656" s="15">
        <v>192672</v>
      </c>
      <c r="E1656" s="15">
        <v>20170</v>
      </c>
      <c r="F1656" s="15">
        <v>400</v>
      </c>
      <c r="G1656" s="15">
        <v>16</v>
      </c>
      <c r="H1656" s="165" t="s">
        <v>63</v>
      </c>
    </row>
    <row r="1657" spans="1:8">
      <c r="A1657" s="449" t="s">
        <v>939</v>
      </c>
      <c r="B1657" s="15">
        <v>9769283</v>
      </c>
      <c r="C1657" s="15">
        <v>210678</v>
      </c>
      <c r="D1657" s="15">
        <v>193200</v>
      </c>
      <c r="E1657" s="15">
        <v>20170</v>
      </c>
      <c r="F1657" s="15">
        <v>400</v>
      </c>
      <c r="G1657" s="15">
        <v>16</v>
      </c>
      <c r="H1657" s="165" t="s">
        <v>63</v>
      </c>
    </row>
    <row r="1658" spans="1:8">
      <c r="A1658" s="449" t="s">
        <v>518</v>
      </c>
      <c r="B1658" s="15">
        <v>9786841</v>
      </c>
      <c r="C1658" s="15">
        <v>217600</v>
      </c>
      <c r="D1658" s="15">
        <v>218000</v>
      </c>
      <c r="E1658" s="15">
        <v>20244</v>
      </c>
      <c r="F1658" s="15">
        <v>400</v>
      </c>
      <c r="G1658" s="15">
        <v>16</v>
      </c>
      <c r="H1658" s="165" t="s">
        <v>63</v>
      </c>
    </row>
    <row r="1659" spans="1:8">
      <c r="A1659" s="449" t="s">
        <v>519</v>
      </c>
      <c r="B1659" s="15">
        <v>9786839</v>
      </c>
      <c r="C1659" s="15">
        <v>217600</v>
      </c>
      <c r="D1659" s="15">
        <v>218000</v>
      </c>
      <c r="E1659" s="15">
        <v>20244</v>
      </c>
      <c r="F1659" s="15">
        <v>400</v>
      </c>
      <c r="G1659" s="15">
        <v>18</v>
      </c>
      <c r="H1659" s="165" t="s">
        <v>63</v>
      </c>
    </row>
    <row r="1660" spans="1:8">
      <c r="A1660" s="449" t="s">
        <v>522</v>
      </c>
      <c r="B1660" s="15">
        <v>9832717</v>
      </c>
      <c r="C1660" s="15">
        <v>199000</v>
      </c>
      <c r="D1660" s="15">
        <v>218000</v>
      </c>
      <c r="E1660" s="15">
        <v>20244</v>
      </c>
      <c r="F1660" s="15">
        <v>400</v>
      </c>
      <c r="G1660" s="15">
        <v>16</v>
      </c>
      <c r="H1660" s="165" t="s">
        <v>63</v>
      </c>
    </row>
    <row r="1661" spans="1:8">
      <c r="A1661" s="449" t="s">
        <v>514</v>
      </c>
      <c r="B1661" s="15">
        <v>9786815</v>
      </c>
      <c r="C1661" s="15">
        <v>217600</v>
      </c>
      <c r="D1661" s="15">
        <v>199700</v>
      </c>
      <c r="E1661" s="15">
        <v>20388</v>
      </c>
      <c r="F1661" s="15">
        <v>400</v>
      </c>
      <c r="G1661" s="15">
        <v>18</v>
      </c>
      <c r="H1661" s="165" t="s">
        <v>63</v>
      </c>
    </row>
    <row r="1662" spans="1:8">
      <c r="A1662" s="449" t="s">
        <v>515</v>
      </c>
      <c r="B1662" s="15">
        <v>9820922</v>
      </c>
      <c r="C1662" s="15">
        <v>217600</v>
      </c>
      <c r="D1662" s="15">
        <v>218000</v>
      </c>
      <c r="E1662" s="15">
        <v>20388</v>
      </c>
      <c r="F1662" s="15">
        <v>400</v>
      </c>
      <c r="G1662" s="15">
        <v>16</v>
      </c>
      <c r="H1662" s="165" t="s">
        <v>63</v>
      </c>
    </row>
    <row r="1663" spans="1:8">
      <c r="A1663" s="449" t="s">
        <v>516</v>
      </c>
      <c r="B1663" s="15">
        <v>9786827</v>
      </c>
      <c r="C1663" s="15">
        <v>217600</v>
      </c>
      <c r="D1663" s="15">
        <v>218000</v>
      </c>
      <c r="E1663" s="15">
        <v>20388</v>
      </c>
      <c r="F1663" s="15">
        <v>400</v>
      </c>
      <c r="G1663" s="15">
        <v>18</v>
      </c>
      <c r="H1663" s="165" t="s">
        <v>63</v>
      </c>
    </row>
    <row r="1664" spans="1:8">
      <c r="A1664" s="449" t="s">
        <v>517</v>
      </c>
      <c r="B1664" s="15">
        <v>9811000</v>
      </c>
      <c r="C1664" s="15">
        <v>217612</v>
      </c>
      <c r="D1664" s="15">
        <v>200000</v>
      </c>
      <c r="E1664" s="15">
        <v>20388</v>
      </c>
      <c r="F1664" s="15">
        <v>400</v>
      </c>
      <c r="G1664" s="15">
        <v>16</v>
      </c>
      <c r="H1664" s="165" t="s">
        <v>63</v>
      </c>
    </row>
    <row r="1665" spans="1:8">
      <c r="A1665" s="449" t="s">
        <v>520</v>
      </c>
      <c r="B1665" s="15">
        <v>9811012</v>
      </c>
      <c r="C1665" s="15">
        <v>217617</v>
      </c>
      <c r="D1665" s="15">
        <v>218000</v>
      </c>
      <c r="E1665" s="15">
        <v>20388</v>
      </c>
      <c r="F1665" s="15">
        <v>400</v>
      </c>
      <c r="G1665" s="15">
        <v>18</v>
      </c>
      <c r="H1665" s="165" t="s">
        <v>63</v>
      </c>
    </row>
    <row r="1666" spans="1:8">
      <c r="A1666" s="449" t="s">
        <v>521</v>
      </c>
      <c r="B1666" s="15">
        <v>9810991</v>
      </c>
      <c r="C1666" s="15">
        <v>217600</v>
      </c>
      <c r="D1666" s="15">
        <v>218000</v>
      </c>
      <c r="E1666" s="15">
        <v>20388</v>
      </c>
      <c r="F1666" s="15">
        <v>400</v>
      </c>
      <c r="G1666" s="15">
        <v>18</v>
      </c>
      <c r="H1666" s="165" t="s">
        <v>63</v>
      </c>
    </row>
    <row r="1667" spans="1:8">
      <c r="A1667" s="449" t="s">
        <v>523</v>
      </c>
      <c r="B1667" s="15">
        <v>9820855</v>
      </c>
      <c r="C1667" s="15">
        <v>217600</v>
      </c>
      <c r="D1667" s="15">
        <v>218000</v>
      </c>
      <c r="E1667" s="15">
        <v>20388</v>
      </c>
      <c r="F1667" s="15">
        <v>400</v>
      </c>
      <c r="G1667" s="15">
        <v>13.7</v>
      </c>
      <c r="H1667" s="165" t="s">
        <v>63</v>
      </c>
    </row>
    <row r="1668" spans="1:8">
      <c r="A1668" s="449" t="s">
        <v>860</v>
      </c>
      <c r="B1668" s="15">
        <v>9780445</v>
      </c>
      <c r="C1668" s="15">
        <v>196000</v>
      </c>
      <c r="D1668" s="15">
        <v>190300</v>
      </c>
      <c r="E1668" s="15">
        <v>20568</v>
      </c>
      <c r="F1668" s="15">
        <v>399</v>
      </c>
      <c r="G1668" s="15">
        <v>16.5</v>
      </c>
      <c r="H1668" s="165" t="s">
        <v>63</v>
      </c>
    </row>
    <row r="1669" spans="1:8">
      <c r="A1669" s="449" t="s">
        <v>863</v>
      </c>
      <c r="B1669" s="15">
        <v>9780469</v>
      </c>
      <c r="C1669" s="15">
        <v>212400</v>
      </c>
      <c r="D1669" s="15">
        <v>190000</v>
      </c>
      <c r="E1669" s="15">
        <v>20568</v>
      </c>
      <c r="F1669" s="15">
        <v>399</v>
      </c>
      <c r="G1669" s="15">
        <v>16.5</v>
      </c>
      <c r="H1669" s="165" t="s">
        <v>63</v>
      </c>
    </row>
    <row r="1670" spans="1:8">
      <c r="A1670" s="449" t="s">
        <v>873</v>
      </c>
      <c r="B1670" s="15">
        <v>9778844</v>
      </c>
      <c r="C1670" s="15">
        <v>196000</v>
      </c>
      <c r="D1670" s="15">
        <v>190300</v>
      </c>
      <c r="E1670" s="15">
        <v>20568</v>
      </c>
      <c r="F1670" s="15">
        <v>399</v>
      </c>
      <c r="G1670" s="15">
        <v>16.5</v>
      </c>
      <c r="H1670" s="165" t="s">
        <v>63</v>
      </c>
    </row>
    <row r="1671" spans="1:8">
      <c r="A1671" s="449" t="s">
        <v>890</v>
      </c>
      <c r="B1671" s="15">
        <v>9778820</v>
      </c>
      <c r="C1671" s="15">
        <v>214286</v>
      </c>
      <c r="D1671" s="15">
        <v>190300</v>
      </c>
      <c r="E1671" s="15">
        <v>20568</v>
      </c>
      <c r="F1671" s="15">
        <v>399</v>
      </c>
      <c r="G1671" s="15">
        <v>16.5</v>
      </c>
      <c r="H1671" s="165" t="s">
        <v>63</v>
      </c>
    </row>
    <row r="1672" spans="1:8">
      <c r="A1672" s="449" t="s">
        <v>944</v>
      </c>
      <c r="B1672" s="15">
        <v>9778832</v>
      </c>
      <c r="C1672" s="15">
        <v>214286</v>
      </c>
      <c r="D1672" s="15">
        <v>190300</v>
      </c>
      <c r="E1672" s="15">
        <v>20568</v>
      </c>
      <c r="F1672" s="15">
        <v>399</v>
      </c>
      <c r="G1672" s="15">
        <v>16.5</v>
      </c>
      <c r="H1672" s="165" t="s">
        <v>63</v>
      </c>
    </row>
    <row r="1673" spans="1:8">
      <c r="A1673" s="449" t="s">
        <v>1241</v>
      </c>
      <c r="B1673" s="15">
        <v>9780471</v>
      </c>
      <c r="C1673" s="15">
        <v>212400</v>
      </c>
      <c r="D1673" s="15">
        <v>210019</v>
      </c>
      <c r="E1673" s="15">
        <v>20568</v>
      </c>
      <c r="F1673" s="15">
        <v>399</v>
      </c>
      <c r="G1673" s="15">
        <v>16.5</v>
      </c>
      <c r="H1673" s="165" t="s">
        <v>63</v>
      </c>
    </row>
    <row r="1674" spans="1:8">
      <c r="A1674" s="449" t="s">
        <v>1243</v>
      </c>
      <c r="B1674" s="15">
        <v>9778806</v>
      </c>
      <c r="C1674" s="15">
        <v>196000</v>
      </c>
      <c r="D1674" s="15">
        <v>190300</v>
      </c>
      <c r="E1674" s="15">
        <v>20568</v>
      </c>
      <c r="F1674" s="15">
        <v>399</v>
      </c>
      <c r="G1674" s="15">
        <v>16.5</v>
      </c>
      <c r="H1674" s="165" t="s">
        <v>63</v>
      </c>
    </row>
    <row r="1675" spans="1:8">
      <c r="A1675" s="449" t="s">
        <v>1244</v>
      </c>
      <c r="B1675" s="15">
        <v>9780457</v>
      </c>
      <c r="C1675" s="15">
        <v>212400</v>
      </c>
      <c r="D1675" s="15">
        <v>190000</v>
      </c>
      <c r="E1675" s="15">
        <v>20568</v>
      </c>
      <c r="F1675" s="15">
        <v>399</v>
      </c>
      <c r="G1675" s="15">
        <v>16.5</v>
      </c>
      <c r="H1675" s="165" t="s">
        <v>63</v>
      </c>
    </row>
    <row r="1676" spans="1:8">
      <c r="A1676" s="449" t="s">
        <v>261</v>
      </c>
      <c r="B1676" s="15">
        <v>9776418</v>
      </c>
      <c r="C1676" s="15">
        <v>207673</v>
      </c>
      <c r="D1676" s="15">
        <v>202684</v>
      </c>
      <c r="E1676" s="15">
        <v>20776</v>
      </c>
      <c r="F1676" s="15">
        <v>400</v>
      </c>
      <c r="G1676" s="15">
        <v>16</v>
      </c>
      <c r="H1676" s="165" t="s">
        <v>63</v>
      </c>
    </row>
    <row r="1677" spans="1:8">
      <c r="A1677" s="449" t="s">
        <v>294</v>
      </c>
      <c r="B1677" s="15">
        <v>9776420</v>
      </c>
      <c r="C1677" s="15">
        <v>199000</v>
      </c>
      <c r="D1677" s="15">
        <v>199855</v>
      </c>
      <c r="E1677" s="15">
        <v>20954</v>
      </c>
      <c r="F1677" s="15">
        <v>400</v>
      </c>
      <c r="G1677" s="15">
        <v>17</v>
      </c>
      <c r="H1677" s="165" t="s">
        <v>63</v>
      </c>
    </row>
    <row r="1678" spans="1:8">
      <c r="A1678" s="449" t="s">
        <v>304</v>
      </c>
      <c r="B1678" s="15">
        <v>9776432</v>
      </c>
      <c r="C1678" s="15">
        <v>217673</v>
      </c>
      <c r="D1678" s="15">
        <v>202684</v>
      </c>
      <c r="E1678" s="15">
        <v>20954</v>
      </c>
      <c r="F1678" s="15">
        <v>399</v>
      </c>
      <c r="G1678" s="15">
        <v>17</v>
      </c>
      <c r="H1678" s="165" t="s">
        <v>63</v>
      </c>
    </row>
    <row r="1679" spans="1:8">
      <c r="A1679" s="449" t="s">
        <v>418</v>
      </c>
      <c r="B1679" s="15">
        <v>9795622</v>
      </c>
      <c r="C1679" s="15">
        <v>215553</v>
      </c>
      <c r="D1679" s="15">
        <v>198000</v>
      </c>
      <c r="E1679" s="15">
        <v>21237</v>
      </c>
      <c r="F1679" s="15">
        <v>399.8</v>
      </c>
      <c r="G1679" s="15">
        <v>16</v>
      </c>
      <c r="H1679" s="165" t="s">
        <v>63</v>
      </c>
    </row>
    <row r="1680" spans="1:8">
      <c r="A1680" s="449" t="s">
        <v>424</v>
      </c>
      <c r="B1680" s="15">
        <v>9795610</v>
      </c>
      <c r="C1680" s="15">
        <v>215553</v>
      </c>
      <c r="D1680" s="15">
        <v>19800</v>
      </c>
      <c r="E1680" s="15">
        <v>21237</v>
      </c>
      <c r="F1680" s="15">
        <v>399.8</v>
      </c>
      <c r="G1680" s="15">
        <v>18</v>
      </c>
      <c r="H1680" s="165" t="s">
        <v>63</v>
      </c>
    </row>
    <row r="1681" spans="1:8">
      <c r="A1681" s="449" t="s">
        <v>326</v>
      </c>
      <c r="B1681" s="15">
        <v>9839181</v>
      </c>
      <c r="C1681" s="15">
        <v>236583</v>
      </c>
      <c r="D1681" s="15">
        <v>216900</v>
      </c>
      <c r="E1681" s="15">
        <v>22448</v>
      </c>
      <c r="F1681" s="15">
        <v>400</v>
      </c>
      <c r="G1681" s="15">
        <v>16</v>
      </c>
      <c r="H1681" s="165" t="s">
        <v>63</v>
      </c>
    </row>
    <row r="1682" spans="1:8">
      <c r="A1682" s="449" t="s">
        <v>290</v>
      </c>
      <c r="B1682" s="15">
        <v>9839179</v>
      </c>
      <c r="C1682" s="15">
        <v>236583</v>
      </c>
      <c r="D1682" s="15">
        <v>216000</v>
      </c>
      <c r="E1682" s="15">
        <v>23112</v>
      </c>
      <c r="F1682" s="15">
        <v>399.9</v>
      </c>
      <c r="G1682" s="15">
        <v>16</v>
      </c>
      <c r="H1682" s="165" t="s">
        <v>63</v>
      </c>
    </row>
    <row r="1683" spans="1:8">
      <c r="A1683" s="449" t="s">
        <v>305</v>
      </c>
      <c r="B1683" s="15">
        <v>9839143</v>
      </c>
      <c r="C1683" s="15">
        <v>236583</v>
      </c>
      <c r="D1683" s="15">
        <v>216900</v>
      </c>
      <c r="E1683" s="15">
        <v>23112</v>
      </c>
      <c r="F1683" s="15">
        <v>399.9</v>
      </c>
      <c r="G1683" s="15">
        <v>16</v>
      </c>
      <c r="H1683" s="165" t="s">
        <v>63</v>
      </c>
    </row>
    <row r="1684" spans="1:8">
      <c r="A1684" s="449" t="s">
        <v>336</v>
      </c>
      <c r="B1684" s="15">
        <v>9839193</v>
      </c>
      <c r="C1684" s="15">
        <v>236583</v>
      </c>
      <c r="D1684" s="15">
        <v>216900</v>
      </c>
      <c r="E1684" s="15">
        <v>23112</v>
      </c>
      <c r="F1684" s="15">
        <v>399.9</v>
      </c>
      <c r="G1684" s="15">
        <v>16</v>
      </c>
      <c r="H1684" s="165" t="s">
        <v>63</v>
      </c>
    </row>
    <row r="1685" spans="1:8">
      <c r="A1685" s="449" t="s">
        <v>272</v>
      </c>
      <c r="B1685" s="15">
        <v>9839131</v>
      </c>
      <c r="C1685" s="15">
        <v>210000</v>
      </c>
      <c r="D1685" s="15">
        <v>216900</v>
      </c>
      <c r="E1685" s="15">
        <v>23500</v>
      </c>
      <c r="F1685" s="15">
        <v>399.9</v>
      </c>
      <c r="G1685" s="15">
        <v>16</v>
      </c>
      <c r="H1685" s="165" t="s">
        <v>63</v>
      </c>
    </row>
    <row r="1686" spans="1:8">
      <c r="A1686" s="449" t="s">
        <v>648</v>
      </c>
      <c r="B1686" s="15">
        <v>9868326</v>
      </c>
      <c r="C1686" s="15">
        <v>232311</v>
      </c>
      <c r="D1686" s="15">
        <v>236000</v>
      </c>
      <c r="E1686" s="15">
        <v>23792</v>
      </c>
      <c r="F1686" s="15">
        <v>400</v>
      </c>
      <c r="G1686" s="15">
        <v>16.52</v>
      </c>
      <c r="H1686" s="165" t="s">
        <v>63</v>
      </c>
    </row>
    <row r="1687" spans="1:8">
      <c r="A1687" s="449" t="s">
        <v>649</v>
      </c>
      <c r="B1687" s="15">
        <v>9868338</v>
      </c>
      <c r="C1687" s="15">
        <v>232311</v>
      </c>
      <c r="D1687" s="15">
        <v>229093</v>
      </c>
      <c r="E1687" s="15">
        <v>23792</v>
      </c>
      <c r="F1687" s="15">
        <v>399.9</v>
      </c>
      <c r="G1687" s="15">
        <v>16.52</v>
      </c>
      <c r="H1687" s="165" t="s">
        <v>63</v>
      </c>
    </row>
    <row r="1688" spans="1:8">
      <c r="A1688" s="449" t="s">
        <v>650</v>
      </c>
      <c r="B1688" s="15">
        <v>9868340</v>
      </c>
      <c r="C1688" s="15">
        <v>232311</v>
      </c>
      <c r="D1688" s="15">
        <v>229039</v>
      </c>
      <c r="E1688" s="15">
        <v>23792</v>
      </c>
      <c r="F1688" s="15">
        <v>399.9</v>
      </c>
      <c r="G1688" s="15">
        <v>16.52</v>
      </c>
      <c r="H1688" s="165" t="s">
        <v>63</v>
      </c>
    </row>
    <row r="1689" spans="1:8">
      <c r="A1689" s="449" t="s">
        <v>651</v>
      </c>
      <c r="B1689" s="15">
        <v>9868364</v>
      </c>
      <c r="C1689" s="15">
        <v>232311</v>
      </c>
      <c r="D1689" s="15">
        <v>229039</v>
      </c>
      <c r="E1689" s="15">
        <v>23792</v>
      </c>
      <c r="F1689" s="15">
        <v>399.9</v>
      </c>
      <c r="G1689" s="15">
        <v>16.52</v>
      </c>
      <c r="H1689" s="165" t="s">
        <v>63</v>
      </c>
    </row>
    <row r="1690" spans="1:8">
      <c r="A1690" s="449" t="s">
        <v>652</v>
      </c>
      <c r="B1690" s="15">
        <v>9868352</v>
      </c>
      <c r="C1690" s="15">
        <v>232311</v>
      </c>
      <c r="D1690" s="15">
        <v>236792</v>
      </c>
      <c r="E1690" s="15">
        <v>23792</v>
      </c>
      <c r="F1690" s="15">
        <v>399.9</v>
      </c>
      <c r="G1690" s="15">
        <v>16.52</v>
      </c>
      <c r="H1690" s="165" t="s">
        <v>63</v>
      </c>
    </row>
    <row r="1691" spans="1:8">
      <c r="A1691" s="449" t="s">
        <v>641</v>
      </c>
      <c r="B1691" s="15">
        <v>9863297</v>
      </c>
      <c r="C1691" s="15">
        <v>228283</v>
      </c>
      <c r="D1691" s="15">
        <v>232606</v>
      </c>
      <c r="E1691" s="15">
        <v>23964</v>
      </c>
      <c r="F1691" s="15">
        <v>399.9</v>
      </c>
      <c r="G1691" s="15">
        <v>16.52</v>
      </c>
      <c r="H1691" s="165" t="s">
        <v>63</v>
      </c>
    </row>
    <row r="1692" spans="1:8">
      <c r="A1692" s="449" t="s">
        <v>642</v>
      </c>
      <c r="B1692" s="15">
        <v>9863302</v>
      </c>
      <c r="C1692" s="15">
        <v>228263</v>
      </c>
      <c r="D1692" s="15">
        <v>232606</v>
      </c>
      <c r="E1692" s="15">
        <v>23964</v>
      </c>
      <c r="F1692" s="15">
        <v>400</v>
      </c>
      <c r="G1692" s="15">
        <v>16.52</v>
      </c>
      <c r="H1692" s="165" t="s">
        <v>63</v>
      </c>
    </row>
    <row r="1693" spans="1:8">
      <c r="A1693" s="449" t="s">
        <v>643</v>
      </c>
      <c r="B1693" s="15">
        <v>9863314</v>
      </c>
      <c r="C1693" s="15">
        <v>228283</v>
      </c>
      <c r="D1693" s="15">
        <v>232000</v>
      </c>
      <c r="E1693" s="15">
        <v>23964</v>
      </c>
      <c r="F1693" s="15">
        <v>399.9</v>
      </c>
      <c r="G1693" s="15">
        <v>16.52</v>
      </c>
      <c r="H1693" s="165" t="s">
        <v>63</v>
      </c>
    </row>
    <row r="1694" spans="1:8">
      <c r="A1694" s="449" t="s">
        <v>644</v>
      </c>
      <c r="B1694" s="15">
        <v>9863326</v>
      </c>
      <c r="C1694" s="15">
        <v>228283</v>
      </c>
      <c r="D1694" s="15">
        <v>232606</v>
      </c>
      <c r="E1694" s="15">
        <v>23964</v>
      </c>
      <c r="F1694" s="15">
        <v>399.9</v>
      </c>
      <c r="G1694" s="15">
        <v>16.52</v>
      </c>
      <c r="H1694" s="165" t="s">
        <v>63</v>
      </c>
    </row>
    <row r="1695" spans="1:8">
      <c r="A1695" s="449" t="s">
        <v>645</v>
      </c>
      <c r="B1695" s="15">
        <v>9863338</v>
      </c>
      <c r="C1695" s="15">
        <v>228283</v>
      </c>
      <c r="D1695" s="15">
        <v>232000</v>
      </c>
      <c r="E1695" s="15">
        <v>23964</v>
      </c>
      <c r="F1695" s="15">
        <v>399.9</v>
      </c>
      <c r="G1695" s="15">
        <v>16.52</v>
      </c>
      <c r="H1695" s="165" t="s">
        <v>63</v>
      </c>
    </row>
    <row r="1696" spans="1:8">
      <c r="A1696" s="449" t="s">
        <v>646</v>
      </c>
      <c r="B1696" s="15">
        <v>9863340</v>
      </c>
      <c r="C1696" s="15">
        <v>228283</v>
      </c>
      <c r="D1696" s="15">
        <v>232606</v>
      </c>
      <c r="E1696" s="15">
        <v>23964</v>
      </c>
      <c r="F1696" s="15">
        <v>399.9</v>
      </c>
      <c r="G1696" s="15">
        <v>16.52</v>
      </c>
      <c r="H1696" s="165" t="s">
        <v>63</v>
      </c>
    </row>
    <row r="1697" spans="1:8">
      <c r="A1697" s="450" t="s">
        <v>647</v>
      </c>
      <c r="B1697" s="60">
        <v>9868314</v>
      </c>
      <c r="C1697" s="60">
        <v>228283</v>
      </c>
      <c r="D1697" s="60">
        <v>232000</v>
      </c>
      <c r="E1697" s="60">
        <v>23964</v>
      </c>
      <c r="F1697" s="60">
        <v>399.9</v>
      </c>
      <c r="G1697" s="60">
        <v>16.52</v>
      </c>
      <c r="H1697" s="61" t="s">
        <v>63</v>
      </c>
    </row>
  </sheetData>
  <sortState xmlns:xlrd2="http://schemas.microsoft.com/office/spreadsheetml/2017/richdata2" ref="A30:H1696">
    <sortCondition ref="E30:E1696"/>
  </sortState>
  <mergeCells count="9">
    <mergeCell ref="A29:D29"/>
    <mergeCell ref="K83:L83"/>
    <mergeCell ref="K82:P82"/>
    <mergeCell ref="N83:P83"/>
    <mergeCell ref="R1:W1"/>
    <mergeCell ref="A3:H3"/>
    <mergeCell ref="A1:E1"/>
    <mergeCell ref="A2:L2"/>
    <mergeCell ref="B28:G28"/>
  </mergeCells>
  <conditionalFormatting sqref="S19:AA26">
    <cfRule type="colorScale" priority="7">
      <colorScale>
        <cfvo type="min"/>
        <cfvo type="percentile" val="50"/>
        <cfvo type="max"/>
        <color rgb="FFF8696B"/>
        <color rgb="FFFFEB84"/>
        <color rgb="FF63BE7B"/>
      </colorScale>
    </cfRule>
  </conditionalFormatting>
  <conditionalFormatting sqref="B31:H1697">
    <cfRule type="expression" dxfId="29" priority="5">
      <formula>MOD(ROW(),2)=0</formula>
    </cfRule>
  </conditionalFormatting>
  <conditionalFormatting sqref="B4:J26">
    <cfRule type="expression" dxfId="28" priority="4">
      <formula>MOD(ROW(),2)=0</formula>
    </cfRule>
  </conditionalFormatting>
  <conditionalFormatting sqref="S5:AA17">
    <cfRule type="expression" dxfId="27" priority="3">
      <formula>MOD(ROW(),2)=0</formula>
    </cfRule>
  </conditionalFormatting>
  <conditionalFormatting sqref="K86:P92">
    <cfRule type="expression" dxfId="26" priority="2">
      <formula>MOD(ROW(),2)=0</formula>
    </cfRule>
  </conditionalFormatting>
  <conditionalFormatting sqref="K94:P100">
    <cfRule type="expression" dxfId="25" priority="1">
      <formula>MOD(ROW(),2)=0</formula>
    </cfRule>
  </conditionalFormatting>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1"/>
  <dimension ref="A1:AB87"/>
  <sheetViews>
    <sheetView zoomScale="70" zoomScaleNormal="70" workbookViewId="0">
      <selection activeCell="H1" sqref="H1"/>
    </sheetView>
  </sheetViews>
  <sheetFormatPr baseColWidth="10" defaultRowHeight="14.5"/>
  <cols>
    <col min="1" max="1" width="30.1796875" customWidth="1"/>
    <col min="2" max="2" width="14.7265625" customWidth="1"/>
    <col min="3" max="3" width="16.1796875" customWidth="1"/>
    <col min="4" max="4" width="12.1796875" customWidth="1"/>
    <col min="5" max="5" width="18.26953125" customWidth="1"/>
    <col min="6" max="6" width="11.54296875" customWidth="1"/>
    <col min="7" max="7" width="19.81640625" customWidth="1"/>
    <col min="8" max="8" width="11.54296875" customWidth="1"/>
    <col min="9" max="9" width="22.81640625" customWidth="1"/>
    <col min="11" max="11" width="19.81640625" customWidth="1"/>
    <col min="13" max="13" width="23.1796875" customWidth="1"/>
    <col min="17" max="17" width="23.7265625" customWidth="1"/>
    <col min="21" max="21" width="18.54296875" customWidth="1"/>
    <col min="25" max="25" width="39.54296875" customWidth="1"/>
  </cols>
  <sheetData>
    <row r="1" spans="1:12" ht="15.5">
      <c r="A1" s="509" t="s">
        <v>1755</v>
      </c>
      <c r="B1" s="671" t="s">
        <v>2349</v>
      </c>
      <c r="C1" s="824" t="s">
        <v>1763</v>
      </c>
      <c r="D1" s="824"/>
      <c r="E1" s="824"/>
      <c r="F1" s="824"/>
      <c r="G1" s="825"/>
      <c r="H1" s="27"/>
      <c r="I1" s="27"/>
      <c r="K1" s="25"/>
    </row>
    <row r="2" spans="1:12">
      <c r="A2" s="835" t="s">
        <v>2351</v>
      </c>
      <c r="B2" s="836"/>
      <c r="C2" s="836"/>
      <c r="D2" s="836"/>
      <c r="E2" s="836"/>
      <c r="F2" s="837"/>
      <c r="G2" s="27"/>
      <c r="H2" s="27"/>
      <c r="I2" s="27"/>
      <c r="J2" s="27"/>
      <c r="K2" s="27"/>
      <c r="L2" s="27"/>
    </row>
    <row r="3" spans="1:12">
      <c r="A3" s="831" t="s">
        <v>2355</v>
      </c>
      <c r="B3" s="832"/>
      <c r="C3" s="833"/>
    </row>
    <row r="4" spans="1:12" ht="58.5" thickBot="1">
      <c r="A4" s="510" t="s">
        <v>2350</v>
      </c>
      <c r="B4" s="515" t="s">
        <v>2353</v>
      </c>
      <c r="C4" s="515" t="s">
        <v>2354</v>
      </c>
    </row>
    <row r="5" spans="1:12" ht="15" thickTop="1">
      <c r="A5" s="512">
        <v>100</v>
      </c>
      <c r="B5" s="451">
        <v>237</v>
      </c>
      <c r="C5" s="453">
        <f t="shared" ref="C5:C10" si="0">B5*1.25</f>
        <v>296.25</v>
      </c>
    </row>
    <row r="6" spans="1:12">
      <c r="A6" s="513">
        <v>200</v>
      </c>
      <c r="B6" s="15">
        <v>308</v>
      </c>
      <c r="C6" s="165">
        <f t="shared" si="0"/>
        <v>385</v>
      </c>
    </row>
    <row r="7" spans="1:12">
      <c r="A7" s="513">
        <v>300</v>
      </c>
      <c r="B7" s="15">
        <v>406</v>
      </c>
      <c r="C7" s="165">
        <f t="shared" si="0"/>
        <v>507.5</v>
      </c>
    </row>
    <row r="8" spans="1:12">
      <c r="A8" s="513">
        <v>400</v>
      </c>
      <c r="B8" s="15">
        <v>504</v>
      </c>
      <c r="C8" s="165">
        <f t="shared" si="0"/>
        <v>630</v>
      </c>
    </row>
    <row r="9" spans="1:12">
      <c r="A9" s="513">
        <v>500</v>
      </c>
      <c r="B9" s="15">
        <v>618</v>
      </c>
      <c r="C9" s="165">
        <f t="shared" si="0"/>
        <v>772.5</v>
      </c>
    </row>
    <row r="10" spans="1:12">
      <c r="A10" s="514">
        <v>600</v>
      </c>
      <c r="B10" s="60">
        <v>748</v>
      </c>
      <c r="C10" s="61">
        <f t="shared" si="0"/>
        <v>935</v>
      </c>
    </row>
    <row r="13" spans="1:12">
      <c r="A13" s="831" t="s">
        <v>2352</v>
      </c>
      <c r="B13" s="832"/>
      <c r="C13" s="833"/>
    </row>
    <row r="14" spans="1:12" ht="15" thickBot="1">
      <c r="A14" s="510" t="s">
        <v>1939</v>
      </c>
      <c r="B14" s="519" t="s">
        <v>1878</v>
      </c>
      <c r="C14" s="519" t="s">
        <v>1879</v>
      </c>
    </row>
    <row r="15" spans="1:12" ht="15" thickTop="1">
      <c r="A15" s="516">
        <v>0</v>
      </c>
      <c r="B15" s="15">
        <f>(0.000085675*(A15+1)/0.001)/0.085624</f>
        <v>1.0005956273941883</v>
      </c>
      <c r="C15" s="165">
        <f>(0.0006818*(A15+1)/0.001)/0.68322</f>
        <v>0.99792160651034789</v>
      </c>
    </row>
    <row r="16" spans="1:12">
      <c r="A16" s="517">
        <v>25</v>
      </c>
      <c r="B16" s="15">
        <f>(0.000085675*(A16+1)/0.001)/2.1929</f>
        <v>1.0158009941173789</v>
      </c>
      <c r="C16" s="165">
        <f>(0.0006818*(A16+1)/0.001)/18.733</f>
        <v>0.94628730048577381</v>
      </c>
    </row>
    <row r="17" spans="1:15">
      <c r="A17" s="517">
        <v>50</v>
      </c>
      <c r="B17" s="15">
        <f>(0.000085675*(A17+1)/0.001)/4.237</f>
        <v>1.0312544253009204</v>
      </c>
      <c r="C17" s="165">
        <f>(0.0006818*(A17+1)/0.001)/38.782</f>
        <v>0.89659635913568159</v>
      </c>
      <c r="D17" s="18"/>
    </row>
    <row r="18" spans="1:15">
      <c r="A18" s="517">
        <v>75</v>
      </c>
      <c r="B18" s="15">
        <f>(0.000085675*(A18+1)/0.001)/6.2192</f>
        <v>1.0469674556213018</v>
      </c>
      <c r="C18" s="165">
        <f>(0.0006818*(A18+1)/0.001)/60.883</f>
        <v>0.85108815268629978</v>
      </c>
      <c r="D18" s="18"/>
    </row>
    <row r="19" spans="1:15">
      <c r="A19" s="517">
        <v>100</v>
      </c>
      <c r="B19" s="15">
        <f>(0.000085675*(A19+1)/0.001)/8.141</f>
        <v>1.0629130327969536</v>
      </c>
      <c r="C19" s="165">
        <f>(0.0006818*(A19+1)/0.001)/84.686</f>
        <v>0.81314266820962133</v>
      </c>
      <c r="D19" s="18"/>
    </row>
    <row r="20" spans="1:15">
      <c r="A20" s="517">
        <v>125</v>
      </c>
      <c r="B20" s="15">
        <f>(0.000085675*(A20+1)/0.001)/10.004</f>
        <v>1.0790733706517392</v>
      </c>
      <c r="C20" s="165">
        <f>(0.0006818*(A20+1)/0.001)/109.24</f>
        <v>0.78640424752837779</v>
      </c>
      <c r="D20" s="18"/>
    </row>
    <row r="21" spans="1:15">
      <c r="A21" s="517">
        <v>150</v>
      </c>
      <c r="B21" s="15">
        <f>(0.000085675*(A21+1)/0.001)/11.809</f>
        <v>1.0955140147345246</v>
      </c>
      <c r="C21" s="165">
        <f>(0.0006818*(A21+1)/0.001)/133.15</f>
        <v>0.77320165227187376</v>
      </c>
      <c r="D21" s="18"/>
    </row>
    <row r="22" spans="1:15">
      <c r="A22" s="517">
        <v>175</v>
      </c>
      <c r="B22" s="15">
        <f>(0.000085675*(A22+1)/0.001)/13.559</f>
        <v>1.1120879120879121</v>
      </c>
      <c r="C22" s="165">
        <f>(0.0006818*(A22+1)/0.001)/155.14</f>
        <v>0.77347428129431484</v>
      </c>
      <c r="D22" s="18"/>
    </row>
    <row r="23" spans="1:15">
      <c r="A23" s="517">
        <v>200</v>
      </c>
      <c r="B23" s="15">
        <f>(0.000085675*(A23+1)/0.001)/15.255</f>
        <v>1.1288544739429691</v>
      </c>
      <c r="C23" s="165">
        <f>(0.0006818*(A23+1)/0.001)/174.56</f>
        <v>0.78506989000916583</v>
      </c>
      <c r="D23" s="18"/>
    </row>
    <row r="24" spans="1:15">
      <c r="A24" s="517">
        <v>225</v>
      </c>
      <c r="B24" s="15">
        <f>(0.000085675*(A24+1)/0.001)/16.9</f>
        <v>1.1457130177514794</v>
      </c>
      <c r="C24" s="165">
        <f>(0.0006818*(A24+1)/0.001)/191.38</f>
        <v>0.80513533284564731</v>
      </c>
      <c r="D24" s="18"/>
    </row>
    <row r="25" spans="1:15">
      <c r="A25" s="517">
        <v>250</v>
      </c>
      <c r="B25" s="15">
        <f>(0.000085675*(A25+1)/0.001)/18.495</f>
        <v>1.1627155988104891</v>
      </c>
      <c r="C25" s="165">
        <f>(0.0006818*(A25+1)/0.001)/205.9</f>
        <v>0.83114035939776587</v>
      </c>
      <c r="D25" s="18"/>
    </row>
    <row r="26" spans="1:15">
      <c r="A26" s="517">
        <v>275</v>
      </c>
      <c r="B26" s="15">
        <f>(0.000085675*(A26+1)/0.001)/20.042</f>
        <v>1.1798373415826762</v>
      </c>
      <c r="C26" s="165">
        <f>(0.0006818*(A26+1)/0.001)/218.51</f>
        <v>0.86118163928424341</v>
      </c>
      <c r="D26" s="62"/>
    </row>
    <row r="27" spans="1:15">
      <c r="A27" s="517">
        <v>300</v>
      </c>
      <c r="B27" s="15">
        <f>(0.000085675*(A27+1)/0.001)/21.544</f>
        <v>1.19700032491645</v>
      </c>
      <c r="C27" s="15"/>
      <c r="D27" s="706">
        <f>(0.0006818*(A27+1)/0.001)/229.55</f>
        <v>0.89401786103245462</v>
      </c>
    </row>
    <row r="28" spans="1:15">
      <c r="A28" s="517">
        <v>325</v>
      </c>
      <c r="B28" s="15">
        <f>(0.000085675*(A28+1)/0.001)/23.002</f>
        <v>1.2142444135292583</v>
      </c>
      <c r="C28" s="15"/>
      <c r="D28" s="707">
        <f>(0.0006818*(A28+1)/0.001)/239.33</f>
        <v>0.92870429950277855</v>
      </c>
    </row>
    <row r="29" spans="1:15">
      <c r="A29" s="517">
        <v>350</v>
      </c>
      <c r="B29" s="15">
        <f>(0.000085675*(A29+1)/0.001)/24.418</f>
        <v>1.2315474240314523</v>
      </c>
      <c r="C29" s="15"/>
      <c r="D29" s="707">
        <f>(0.0006818*(A29+1)/0.001)/248.07</f>
        <v>0.96469464264118987</v>
      </c>
    </row>
    <row r="30" spans="1:15">
      <c r="A30" s="517">
        <v>375</v>
      </c>
      <c r="B30" s="15">
        <f>(0.000085675*(A30+1)/0.001)/25.793</f>
        <v>1.2489357577637343</v>
      </c>
      <c r="C30" s="15"/>
      <c r="D30" s="707">
        <f>(0.0006818*(A30+1)/0.001)/255.95</f>
        <v>1.0015893729243992</v>
      </c>
    </row>
    <row r="31" spans="1:15">
      <c r="A31" s="518">
        <v>800</v>
      </c>
      <c r="B31" s="60">
        <f>(0.000085675*(A31+1)/0.001)/44.452</f>
        <v>1.5438152389093855</v>
      </c>
      <c r="C31" s="60"/>
      <c r="D31" s="708">
        <f>(0.0006818*(A31+1)/0.001)/331.68</f>
        <v>1.6465321997105644</v>
      </c>
    </row>
    <row r="32" spans="1:15" s="18" customFormat="1" ht="15.5">
      <c r="L32" s="19"/>
      <c r="M32" s="19"/>
      <c r="N32" s="19"/>
      <c r="O32" s="19"/>
    </row>
    <row r="33" spans="1:28" s="19" customFormat="1" ht="15.5">
      <c r="A33" s="22"/>
      <c r="C33" s="18"/>
    </row>
    <row r="34" spans="1:28" s="19" customFormat="1" ht="15.5">
      <c r="A34" s="834" t="s">
        <v>2356</v>
      </c>
      <c r="B34" s="832"/>
      <c r="C34" s="833"/>
      <c r="D34" s="672" t="s">
        <v>2357</v>
      </c>
      <c r="E34" s="673"/>
      <c r="F34" s="826" t="s">
        <v>2358</v>
      </c>
      <c r="G34" s="827"/>
      <c r="H34" s="827"/>
      <c r="I34" s="827"/>
      <c r="J34" s="828"/>
    </row>
    <row r="35" spans="1:28" s="19" customFormat="1" ht="16" thickBot="1">
      <c r="A35" s="522"/>
      <c r="B35" s="523" t="s">
        <v>2090</v>
      </c>
      <c r="C35" s="523" t="s">
        <v>2091</v>
      </c>
    </row>
    <row r="36" spans="1:28" ht="15" thickTop="1">
      <c r="A36" s="520" t="s">
        <v>1835</v>
      </c>
      <c r="B36" s="451">
        <v>63</v>
      </c>
      <c r="C36" s="453">
        <v>94</v>
      </c>
    </row>
    <row r="37" spans="1:28" s="18" customFormat="1">
      <c r="A37" s="521" t="s">
        <v>2089</v>
      </c>
      <c r="B37" s="15">
        <v>128</v>
      </c>
      <c r="C37" s="165">
        <v>220</v>
      </c>
    </row>
    <row r="38" spans="1:28" s="18" customFormat="1">
      <c r="A38" s="521" t="s">
        <v>2387</v>
      </c>
      <c r="B38" s="15">
        <f>B37/B36</f>
        <v>2.0317460317460316</v>
      </c>
      <c r="C38" s="165">
        <f>C37/C36</f>
        <v>2.3404255319148937</v>
      </c>
      <c r="D38"/>
    </row>
    <row r="39" spans="1:28">
      <c r="A39" s="521" t="s">
        <v>1836</v>
      </c>
      <c r="B39" s="15">
        <v>389</v>
      </c>
      <c r="C39" s="165">
        <v>1142</v>
      </c>
      <c r="F39" s="245"/>
    </row>
    <row r="40" spans="1:28">
      <c r="A40" s="521" t="s">
        <v>2088</v>
      </c>
      <c r="B40" s="15">
        <v>82</v>
      </c>
      <c r="C40" s="165">
        <v>310</v>
      </c>
    </row>
    <row r="41" spans="1:28" s="18" customFormat="1">
      <c r="A41" s="521" t="s">
        <v>2387</v>
      </c>
      <c r="B41" s="15">
        <f>B40/B39</f>
        <v>0.21079691516709512</v>
      </c>
      <c r="C41" s="165">
        <f>C40/C39</f>
        <v>0.27145359019264448</v>
      </c>
      <c r="D41"/>
    </row>
    <row r="42" spans="1:28" s="18" customFormat="1">
      <c r="A42" s="524" t="s">
        <v>2094</v>
      </c>
      <c r="B42" s="262">
        <f>B41/B38</f>
        <v>0.10375160668380463</v>
      </c>
      <c r="C42" s="429">
        <f>C41/C38</f>
        <v>0.11598471580958446</v>
      </c>
    </row>
    <row r="44" spans="1:28">
      <c r="A44" s="838" t="s">
        <v>2359</v>
      </c>
      <c r="B44" s="839"/>
      <c r="C44" s="840"/>
      <c r="D44" s="672" t="s">
        <v>2357</v>
      </c>
      <c r="E44" s="671"/>
      <c r="F44" s="824" t="s">
        <v>2358</v>
      </c>
      <c r="G44" s="824"/>
      <c r="H44" s="824"/>
      <c r="I44" s="824"/>
      <c r="J44" s="825"/>
      <c r="K44" s="27"/>
      <c r="L44" s="27"/>
    </row>
    <row r="45" spans="1:28" ht="15.5">
      <c r="A45" s="526"/>
      <c r="B45" s="527"/>
      <c r="C45" s="525"/>
    </row>
    <row r="46" spans="1:28" ht="15" thickBot="1">
      <c r="A46" s="510" t="s">
        <v>1837</v>
      </c>
      <c r="B46" s="515" t="s">
        <v>1839</v>
      </c>
      <c r="C46" s="515" t="s">
        <v>1840</v>
      </c>
      <c r="D46" s="515" t="s">
        <v>1838</v>
      </c>
      <c r="E46" s="511" t="s">
        <v>2362</v>
      </c>
      <c r="F46" s="519">
        <v>70</v>
      </c>
      <c r="G46" s="519">
        <v>80</v>
      </c>
      <c r="H46" s="519">
        <v>100</v>
      </c>
      <c r="I46" s="511" t="s">
        <v>2361</v>
      </c>
      <c r="J46" s="519">
        <v>70</v>
      </c>
      <c r="K46" s="519">
        <v>80</v>
      </c>
      <c r="L46" s="519">
        <v>100</v>
      </c>
      <c r="M46" s="511" t="s">
        <v>2363</v>
      </c>
      <c r="N46" s="519">
        <v>70</v>
      </c>
      <c r="O46" s="519">
        <v>80</v>
      </c>
      <c r="P46" s="519">
        <v>100</v>
      </c>
      <c r="Q46" s="511" t="s">
        <v>2364</v>
      </c>
      <c r="R46" s="519">
        <v>70</v>
      </c>
      <c r="S46" s="519">
        <v>80</v>
      </c>
      <c r="T46" s="519">
        <v>100</v>
      </c>
      <c r="U46" s="511" t="s">
        <v>2365</v>
      </c>
      <c r="V46" s="519">
        <v>70</v>
      </c>
      <c r="W46" s="519">
        <v>80</v>
      </c>
      <c r="X46" s="519">
        <v>100</v>
      </c>
      <c r="Y46" s="511" t="s">
        <v>2366</v>
      </c>
      <c r="Z46" s="519" t="s">
        <v>1839</v>
      </c>
      <c r="AA46" s="519" t="s">
        <v>1840</v>
      </c>
      <c r="AB46" s="519" t="s">
        <v>1838</v>
      </c>
    </row>
    <row r="47" spans="1:28" ht="15" thickTop="1">
      <c r="A47" s="516">
        <v>400</v>
      </c>
      <c r="B47" s="532">
        <v>1350</v>
      </c>
      <c r="C47" s="452">
        <v>1360</v>
      </c>
      <c r="D47" s="453">
        <v>1370</v>
      </c>
      <c r="F47" s="228">
        <f t="shared" ref="F47:H56" si="1">F$46/10*$A47*1.6/(2*$G$57)</f>
        <v>5.6</v>
      </c>
      <c r="G47" s="15">
        <f t="shared" si="1"/>
        <v>6.4</v>
      </c>
      <c r="H47" s="165">
        <f t="shared" si="1"/>
        <v>8</v>
      </c>
      <c r="J47" s="228">
        <f>3.14*F47/1000*(F47+$A47)/1000*7.85*1000</f>
        <v>55.986752639999999</v>
      </c>
      <c r="K47" s="15">
        <f>3.14*G47/1000*(G47+$A47)/1000*7.85*1000</f>
        <v>64.111063040000005</v>
      </c>
      <c r="L47" s="165">
        <f>3.14*H47/1000*(H47+$A47)/1000*7.85*1000</f>
        <v>80.454335999999984</v>
      </c>
      <c r="N47" s="228">
        <f>J47*850</f>
        <v>47588.739743999999</v>
      </c>
      <c r="O47" s="15">
        <f>K47*850</f>
        <v>54494.403584000007</v>
      </c>
      <c r="P47" s="165">
        <f>L47*850</f>
        <v>68386.185599999983</v>
      </c>
      <c r="R47" s="533">
        <f>1000*B47-N47</f>
        <v>1302411.2602560001</v>
      </c>
      <c r="S47" s="452">
        <f>1000*C47-O47</f>
        <v>1305505.596416</v>
      </c>
      <c r="T47" s="453">
        <f>1000*D47-P47</f>
        <v>1301613.8144</v>
      </c>
      <c r="V47" s="533">
        <f>(0.00080134*$A47^2+0.7187*$A47+214.63)*1000/1.25*0.9</f>
        <v>453833.56800000003</v>
      </c>
      <c r="W47" s="452">
        <f>(0.00080134*$A47^2+0.7187*$A47+214.63)*1000/1.25*0.9</f>
        <v>453833.56800000003</v>
      </c>
      <c r="X47" s="453">
        <f>(0.00080134*$A47^2+0.7187*$A47+214.63)*1000/1.25*0.9</f>
        <v>453833.56800000003</v>
      </c>
      <c r="Z47" s="533">
        <f>R47-V47</f>
        <v>848577.69225600013</v>
      </c>
      <c r="AA47" s="452">
        <f>S47-W47</f>
        <v>851672.02841600007</v>
      </c>
      <c r="AB47" s="453">
        <f>T47-X47</f>
        <v>847780.24640000006</v>
      </c>
    </row>
    <row r="48" spans="1:28">
      <c r="A48" s="517">
        <v>500</v>
      </c>
      <c r="B48" s="15">
        <v>1500</v>
      </c>
      <c r="C48" s="15">
        <v>1510</v>
      </c>
      <c r="D48" s="165">
        <v>1530</v>
      </c>
      <c r="F48" s="228">
        <f t="shared" si="1"/>
        <v>7</v>
      </c>
      <c r="G48" s="15">
        <f t="shared" si="1"/>
        <v>8</v>
      </c>
      <c r="H48" s="165">
        <f t="shared" si="1"/>
        <v>10</v>
      </c>
      <c r="J48" s="228">
        <f t="shared" ref="J48:J56" si="2">3.14*F48/1000*(F48+$A48)/1000*7.85*1000</f>
        <v>87.479300999999992</v>
      </c>
      <c r="K48" s="15">
        <f t="shared" ref="K48:K56" si="3">3.14*G48/1000*(G48+$A48)/1000*7.85*1000</f>
        <v>100.173536</v>
      </c>
      <c r="L48" s="165">
        <f t="shared" ref="L48:L56" si="4">3.14*H48/1000*(H48+$A48)/1000*7.85*1000</f>
        <v>125.70990000000002</v>
      </c>
      <c r="N48" s="228">
        <f t="shared" ref="N48:N56" si="5">J48*850</f>
        <v>74357.405849999996</v>
      </c>
      <c r="O48" s="15">
        <f t="shared" ref="O48:O56" si="6">K48*850</f>
        <v>85147.505600000004</v>
      </c>
      <c r="P48" s="165">
        <f t="shared" ref="P48:P56" si="7">L48*850</f>
        <v>106853.41500000002</v>
      </c>
      <c r="R48" s="228">
        <f t="shared" ref="R48:R56" si="8">1000*B48-N48</f>
        <v>1425642.59415</v>
      </c>
      <c r="S48" s="15">
        <f t="shared" ref="S48:S56" si="9">1000*C48-O48</f>
        <v>1424852.4944</v>
      </c>
      <c r="T48" s="165">
        <f t="shared" ref="T48:T56" si="10">1000*D48-P48</f>
        <v>1423146.585</v>
      </c>
      <c r="V48" s="228">
        <f t="shared" ref="V48:X56" si="11">(0.00080134*$A48^2+0.7187*$A48+214.63)*1000/1.25*0.9</f>
        <v>557506.80000000005</v>
      </c>
      <c r="W48" s="15">
        <f t="shared" si="11"/>
        <v>557506.80000000005</v>
      </c>
      <c r="X48" s="165">
        <f t="shared" si="11"/>
        <v>557506.80000000005</v>
      </c>
      <c r="Z48" s="228">
        <f t="shared" ref="Z48:Z56" si="12">R48-V48</f>
        <v>868135.79414999997</v>
      </c>
      <c r="AA48" s="15">
        <f t="shared" ref="AA48:AA56" si="13">S48-W48</f>
        <v>867345.69439999992</v>
      </c>
      <c r="AB48" s="165">
        <f t="shared" ref="AB48:AB56" si="14">T48-X48</f>
        <v>865639.78499999992</v>
      </c>
    </row>
    <row r="49" spans="1:28">
      <c r="A49" s="517">
        <v>600</v>
      </c>
      <c r="B49" s="15">
        <v>1640</v>
      </c>
      <c r="C49" s="15">
        <v>1650</v>
      </c>
      <c r="D49" s="165">
        <v>1720</v>
      </c>
      <c r="F49" s="228">
        <f t="shared" si="1"/>
        <v>8.4</v>
      </c>
      <c r="G49" s="15">
        <f t="shared" si="1"/>
        <v>9.6</v>
      </c>
      <c r="H49" s="165">
        <f t="shared" si="1"/>
        <v>12</v>
      </c>
      <c r="J49" s="228">
        <f t="shared" si="2"/>
        <v>125.97019343999999</v>
      </c>
      <c r="K49" s="15">
        <f t="shared" si="3"/>
        <v>144.24989183999998</v>
      </c>
      <c r="L49" s="165">
        <f t="shared" si="4"/>
        <v>181.022256</v>
      </c>
      <c r="N49" s="228">
        <f t="shared" si="5"/>
        <v>107074.66442399999</v>
      </c>
      <c r="O49" s="15">
        <f t="shared" si="6"/>
        <v>122612.40806399997</v>
      </c>
      <c r="P49" s="165">
        <f t="shared" si="7"/>
        <v>153868.91759999999</v>
      </c>
      <c r="R49" s="228">
        <f t="shared" si="8"/>
        <v>1532925.3355759999</v>
      </c>
      <c r="S49" s="15">
        <f t="shared" si="9"/>
        <v>1527387.5919359999</v>
      </c>
      <c r="T49" s="165">
        <f t="shared" si="10"/>
        <v>1566131.0824</v>
      </c>
      <c r="V49" s="228">
        <f t="shared" si="11"/>
        <v>672719.3280000001</v>
      </c>
      <c r="W49" s="15">
        <f t="shared" si="11"/>
        <v>672719.3280000001</v>
      </c>
      <c r="X49" s="165">
        <f t="shared" si="11"/>
        <v>672719.3280000001</v>
      </c>
      <c r="Z49" s="228">
        <f t="shared" si="12"/>
        <v>860206.00757599983</v>
      </c>
      <c r="AA49" s="15">
        <f t="shared" si="13"/>
        <v>854668.26393599983</v>
      </c>
      <c r="AB49" s="165">
        <f t="shared" si="14"/>
        <v>893411.75439999986</v>
      </c>
    </row>
    <row r="50" spans="1:28">
      <c r="A50" s="517">
        <v>700</v>
      </c>
      <c r="B50" s="15">
        <v>1800</v>
      </c>
      <c r="C50" s="15">
        <v>1830</v>
      </c>
      <c r="D50" s="165">
        <v>1920</v>
      </c>
      <c r="F50" s="228">
        <f t="shared" si="1"/>
        <v>9.8000000000000007</v>
      </c>
      <c r="G50" s="15">
        <f t="shared" si="1"/>
        <v>11.2</v>
      </c>
      <c r="H50" s="165">
        <f t="shared" si="1"/>
        <v>14</v>
      </c>
      <c r="J50" s="228">
        <f t="shared" si="2"/>
        <v>171.45942995999999</v>
      </c>
      <c r="K50" s="15">
        <f t="shared" si="3"/>
        <v>196.34013056000001</v>
      </c>
      <c r="L50" s="165">
        <f t="shared" si="4"/>
        <v>246.39140399999997</v>
      </c>
      <c r="N50" s="228">
        <f t="shared" si="5"/>
        <v>145740.51546599998</v>
      </c>
      <c r="O50" s="15">
        <f t="shared" si="6"/>
        <v>166889.110976</v>
      </c>
      <c r="P50" s="165">
        <f t="shared" si="7"/>
        <v>209432.69339999996</v>
      </c>
      <c r="R50" s="228">
        <f t="shared" si="8"/>
        <v>1654259.484534</v>
      </c>
      <c r="S50" s="15">
        <f t="shared" si="9"/>
        <v>1663110.8890239999</v>
      </c>
      <c r="T50" s="165">
        <f t="shared" si="10"/>
        <v>1710567.3066</v>
      </c>
      <c r="V50" s="228">
        <f t="shared" si="11"/>
        <v>799471.152</v>
      </c>
      <c r="W50" s="15">
        <f t="shared" si="11"/>
        <v>799471.152</v>
      </c>
      <c r="X50" s="165">
        <f t="shared" si="11"/>
        <v>799471.152</v>
      </c>
      <c r="Z50" s="228">
        <f t="shared" si="12"/>
        <v>854788.33253400004</v>
      </c>
      <c r="AA50" s="15">
        <f t="shared" si="13"/>
        <v>863639.73702399991</v>
      </c>
      <c r="AB50" s="165">
        <f t="shared" si="14"/>
        <v>911096.15460000001</v>
      </c>
    </row>
    <row r="51" spans="1:28">
      <c r="A51" s="517">
        <v>800</v>
      </c>
      <c r="B51" s="15">
        <v>1970</v>
      </c>
      <c r="C51" s="15">
        <v>2020</v>
      </c>
      <c r="D51" s="165">
        <v>2120</v>
      </c>
      <c r="F51" s="228">
        <f t="shared" si="1"/>
        <v>11.2</v>
      </c>
      <c r="G51" s="15">
        <f t="shared" si="1"/>
        <v>12.8</v>
      </c>
      <c r="H51" s="165">
        <f t="shared" si="1"/>
        <v>16</v>
      </c>
      <c r="J51" s="228">
        <f t="shared" si="2"/>
        <v>223.94701056</v>
      </c>
      <c r="K51" s="15">
        <f t="shared" si="3"/>
        <v>256.44425216000002</v>
      </c>
      <c r="L51" s="165">
        <f t="shared" si="4"/>
        <v>321.81734399999993</v>
      </c>
      <c r="N51" s="228">
        <f t="shared" si="5"/>
        <v>190354.95897599999</v>
      </c>
      <c r="O51" s="15">
        <f t="shared" si="6"/>
        <v>217977.61433600003</v>
      </c>
      <c r="P51" s="165">
        <f t="shared" si="7"/>
        <v>273544.74239999993</v>
      </c>
      <c r="R51" s="228">
        <f t="shared" si="8"/>
        <v>1779645.0410239999</v>
      </c>
      <c r="S51" s="15">
        <f t="shared" si="9"/>
        <v>1802022.3856639999</v>
      </c>
      <c r="T51" s="165">
        <f t="shared" si="10"/>
        <v>1846455.2576000001</v>
      </c>
      <c r="V51" s="228">
        <f t="shared" si="11"/>
        <v>937762.27199999988</v>
      </c>
      <c r="W51" s="15">
        <f t="shared" si="11"/>
        <v>937762.27199999988</v>
      </c>
      <c r="X51" s="165">
        <f t="shared" si="11"/>
        <v>937762.27199999988</v>
      </c>
      <c r="Z51" s="228">
        <f t="shared" si="12"/>
        <v>841882.76902400004</v>
      </c>
      <c r="AA51" s="15">
        <f t="shared" si="13"/>
        <v>864260.11366400006</v>
      </c>
      <c r="AB51" s="165">
        <f t="shared" si="14"/>
        <v>908692.98560000025</v>
      </c>
    </row>
    <row r="52" spans="1:28">
      <c r="A52" s="517">
        <v>900</v>
      </c>
      <c r="B52" s="15">
        <v>2150</v>
      </c>
      <c r="C52" s="15">
        <v>2200</v>
      </c>
      <c r="D52" s="165">
        <v>2340</v>
      </c>
      <c r="F52" s="228">
        <f t="shared" si="1"/>
        <v>12.6</v>
      </c>
      <c r="G52" s="15">
        <f t="shared" si="1"/>
        <v>14.4</v>
      </c>
      <c r="H52" s="165">
        <f t="shared" si="1"/>
        <v>18</v>
      </c>
      <c r="J52" s="228">
        <f t="shared" si="2"/>
        <v>283.43293524000001</v>
      </c>
      <c r="K52" s="15">
        <f t="shared" si="3"/>
        <v>324.56225663999993</v>
      </c>
      <c r="L52" s="165">
        <f t="shared" si="4"/>
        <v>407.30007599999993</v>
      </c>
      <c r="N52" s="228">
        <f t="shared" si="5"/>
        <v>240917.99495399999</v>
      </c>
      <c r="O52" s="15">
        <f t="shared" si="6"/>
        <v>275877.91814399994</v>
      </c>
      <c r="P52" s="165">
        <f t="shared" si="7"/>
        <v>346205.06459999993</v>
      </c>
      <c r="R52" s="228">
        <f t="shared" si="8"/>
        <v>1909082.005046</v>
      </c>
      <c r="S52" s="15">
        <f t="shared" si="9"/>
        <v>1924122.081856</v>
      </c>
      <c r="T52" s="165">
        <f t="shared" si="10"/>
        <v>1993794.9354000001</v>
      </c>
      <c r="V52" s="228">
        <f t="shared" si="11"/>
        <v>1087592.6879999998</v>
      </c>
      <c r="W52" s="15">
        <f t="shared" si="11"/>
        <v>1087592.6879999998</v>
      </c>
      <c r="X52" s="165">
        <f t="shared" si="11"/>
        <v>1087592.6879999998</v>
      </c>
      <c r="Z52" s="228">
        <f t="shared" si="12"/>
        <v>821489.31704600016</v>
      </c>
      <c r="AA52" s="15">
        <f t="shared" si="13"/>
        <v>836529.39385600016</v>
      </c>
      <c r="AB52" s="165">
        <f t="shared" si="14"/>
        <v>906202.24740000023</v>
      </c>
    </row>
    <row r="53" spans="1:28">
      <c r="A53" s="517">
        <v>1000</v>
      </c>
      <c r="B53" s="15">
        <v>2390</v>
      </c>
      <c r="C53" s="15">
        <v>2450</v>
      </c>
      <c r="D53" s="165">
        <v>2620</v>
      </c>
      <c r="F53" s="228">
        <f t="shared" si="1"/>
        <v>14</v>
      </c>
      <c r="G53" s="15">
        <f t="shared" si="1"/>
        <v>16</v>
      </c>
      <c r="H53" s="165">
        <f t="shared" si="1"/>
        <v>20</v>
      </c>
      <c r="J53" s="228">
        <f t="shared" si="2"/>
        <v>349.91720399999997</v>
      </c>
      <c r="K53" s="15">
        <f t="shared" si="3"/>
        <v>400.69414399999999</v>
      </c>
      <c r="L53" s="165">
        <f t="shared" si="4"/>
        <v>502.83960000000008</v>
      </c>
      <c r="N53" s="228">
        <f t="shared" si="5"/>
        <v>297429.62339999998</v>
      </c>
      <c r="O53" s="15">
        <f t="shared" si="6"/>
        <v>340590.02240000002</v>
      </c>
      <c r="P53" s="165">
        <f t="shared" si="7"/>
        <v>427413.66000000009</v>
      </c>
      <c r="R53" s="228">
        <f t="shared" si="8"/>
        <v>2092570.3766000001</v>
      </c>
      <c r="S53" s="15">
        <f t="shared" si="9"/>
        <v>2109409.9775999999</v>
      </c>
      <c r="T53" s="165">
        <f t="shared" si="10"/>
        <v>2192586.34</v>
      </c>
      <c r="V53" s="228">
        <f t="shared" si="11"/>
        <v>1248962.4000000001</v>
      </c>
      <c r="W53" s="15">
        <f t="shared" si="11"/>
        <v>1248962.4000000001</v>
      </c>
      <c r="X53" s="165">
        <f t="shared" si="11"/>
        <v>1248962.4000000001</v>
      </c>
      <c r="Z53" s="228">
        <f t="shared" si="12"/>
        <v>843607.97659999994</v>
      </c>
      <c r="AA53" s="15">
        <f t="shared" si="13"/>
        <v>860447.57759999973</v>
      </c>
      <c r="AB53" s="165">
        <f t="shared" si="14"/>
        <v>943623.93999999971</v>
      </c>
    </row>
    <row r="54" spans="1:28">
      <c r="A54" s="517">
        <v>1100</v>
      </c>
      <c r="B54" s="15">
        <v>2490</v>
      </c>
      <c r="C54" s="15">
        <v>2630</v>
      </c>
      <c r="D54" s="165">
        <v>2840</v>
      </c>
      <c r="F54" s="228">
        <f t="shared" si="1"/>
        <v>15.4</v>
      </c>
      <c r="G54" s="15">
        <f t="shared" si="1"/>
        <v>17.600000000000001</v>
      </c>
      <c r="H54" s="165">
        <f t="shared" si="1"/>
        <v>22</v>
      </c>
      <c r="J54" s="228">
        <f t="shared" si="2"/>
        <v>423.39981684000003</v>
      </c>
      <c r="K54" s="15">
        <f t="shared" si="3"/>
        <v>484.83991423999998</v>
      </c>
      <c r="L54" s="165">
        <f t="shared" si="4"/>
        <v>608.43591600000002</v>
      </c>
      <c r="N54" s="228">
        <f t="shared" si="5"/>
        <v>359889.84431400005</v>
      </c>
      <c r="O54" s="15">
        <f t="shared" si="6"/>
        <v>412113.927104</v>
      </c>
      <c r="P54" s="165">
        <f t="shared" si="7"/>
        <v>517170.52860000002</v>
      </c>
      <c r="R54" s="228">
        <f t="shared" si="8"/>
        <v>2130110.1556859999</v>
      </c>
      <c r="S54" s="15">
        <f t="shared" si="9"/>
        <v>2217886.072896</v>
      </c>
      <c r="T54" s="165">
        <f t="shared" si="10"/>
        <v>2322829.4714000002</v>
      </c>
      <c r="V54" s="228">
        <f t="shared" si="11"/>
        <v>1421871.4080000003</v>
      </c>
      <c r="W54" s="15">
        <f t="shared" si="11"/>
        <v>1421871.4080000003</v>
      </c>
      <c r="X54" s="165">
        <f t="shared" si="11"/>
        <v>1421871.4080000003</v>
      </c>
      <c r="Z54" s="228">
        <f t="shared" si="12"/>
        <v>708238.74768599961</v>
      </c>
      <c r="AA54" s="15">
        <f t="shared" si="13"/>
        <v>796014.66489599971</v>
      </c>
      <c r="AB54" s="165">
        <f t="shared" si="14"/>
        <v>900958.06339999987</v>
      </c>
    </row>
    <row r="55" spans="1:28">
      <c r="A55" s="517">
        <v>1200</v>
      </c>
      <c r="B55" s="15">
        <v>2770</v>
      </c>
      <c r="C55" s="15">
        <v>2860</v>
      </c>
      <c r="D55" s="165">
        <v>3100</v>
      </c>
      <c r="F55" s="228">
        <f t="shared" si="1"/>
        <v>16.8</v>
      </c>
      <c r="G55" s="15">
        <f t="shared" si="1"/>
        <v>19.2</v>
      </c>
      <c r="H55" s="165">
        <f t="shared" si="1"/>
        <v>24</v>
      </c>
      <c r="J55" s="228">
        <f t="shared" si="2"/>
        <v>503.88077375999995</v>
      </c>
      <c r="K55" s="15">
        <f t="shared" si="3"/>
        <v>576.9995673599999</v>
      </c>
      <c r="L55" s="165">
        <f t="shared" si="4"/>
        <v>724.08902399999999</v>
      </c>
      <c r="N55" s="228">
        <f t="shared" si="5"/>
        <v>428298.65769599995</v>
      </c>
      <c r="O55" s="15">
        <f t="shared" si="6"/>
        <v>490449.6322559999</v>
      </c>
      <c r="P55" s="165">
        <f t="shared" si="7"/>
        <v>615475.67039999994</v>
      </c>
      <c r="R55" s="228">
        <f t="shared" si="8"/>
        <v>2341701.3423040002</v>
      </c>
      <c r="S55" s="15">
        <f t="shared" si="9"/>
        <v>2369550.3677440002</v>
      </c>
      <c r="T55" s="165">
        <f t="shared" si="10"/>
        <v>2484524.3295999998</v>
      </c>
      <c r="V55" s="228">
        <f t="shared" si="11"/>
        <v>1606319.7120000003</v>
      </c>
      <c r="W55" s="15">
        <f t="shared" si="11"/>
        <v>1606319.7120000003</v>
      </c>
      <c r="X55" s="165">
        <f t="shared" si="11"/>
        <v>1606319.7120000003</v>
      </c>
      <c r="Z55" s="228">
        <f t="shared" si="12"/>
        <v>735381.63030399987</v>
      </c>
      <c r="AA55" s="15">
        <f t="shared" si="13"/>
        <v>763230.65574399987</v>
      </c>
      <c r="AB55" s="165">
        <f t="shared" si="14"/>
        <v>878204.61759999953</v>
      </c>
    </row>
    <row r="56" spans="1:28">
      <c r="A56" s="518">
        <v>1400</v>
      </c>
      <c r="B56" s="60">
        <v>3470</v>
      </c>
      <c r="C56" s="60">
        <v>3620</v>
      </c>
      <c r="D56" s="61">
        <v>3950</v>
      </c>
      <c r="F56" s="229">
        <f t="shared" si="1"/>
        <v>19.600000000000001</v>
      </c>
      <c r="G56" s="60">
        <f t="shared" si="1"/>
        <v>22.4</v>
      </c>
      <c r="H56" s="61">
        <f t="shared" si="1"/>
        <v>28</v>
      </c>
      <c r="J56" s="229">
        <f t="shared" si="2"/>
        <v>685.83771983999998</v>
      </c>
      <c r="K56" s="60">
        <f t="shared" si="3"/>
        <v>785.36052224000002</v>
      </c>
      <c r="L56" s="61">
        <f t="shared" si="4"/>
        <v>985.56561599999986</v>
      </c>
      <c r="N56" s="229">
        <f t="shared" si="5"/>
        <v>582962.06186399993</v>
      </c>
      <c r="O56" s="60">
        <f t="shared" si="6"/>
        <v>667556.44390399999</v>
      </c>
      <c r="P56" s="61">
        <f t="shared" si="7"/>
        <v>837730.77359999984</v>
      </c>
      <c r="R56" s="229">
        <f t="shared" si="8"/>
        <v>2887037.9381360002</v>
      </c>
      <c r="S56" s="60">
        <f t="shared" si="9"/>
        <v>2952443.5560960001</v>
      </c>
      <c r="T56" s="61">
        <f t="shared" si="10"/>
        <v>3112269.2264</v>
      </c>
      <c r="V56" s="229">
        <f t="shared" si="11"/>
        <v>2009834.2080000001</v>
      </c>
      <c r="W56" s="60">
        <f t="shared" si="11"/>
        <v>2009834.2080000001</v>
      </c>
      <c r="X56" s="61">
        <f t="shared" si="11"/>
        <v>2009834.2080000001</v>
      </c>
      <c r="Z56" s="229">
        <f t="shared" si="12"/>
        <v>877203.73013600009</v>
      </c>
      <c r="AA56" s="60">
        <f t="shared" si="13"/>
        <v>942609.34809600003</v>
      </c>
      <c r="AB56" s="61">
        <f t="shared" si="14"/>
        <v>1102435.0183999999</v>
      </c>
    </row>
    <row r="57" spans="1:28">
      <c r="A57" s="528" t="s">
        <v>1741</v>
      </c>
      <c r="B57" s="529" t="s">
        <v>1841</v>
      </c>
      <c r="C57" s="531" t="s">
        <v>1841</v>
      </c>
      <c r="D57" s="530" t="s">
        <v>1841</v>
      </c>
      <c r="F57" s="622" t="s">
        <v>2360</v>
      </c>
      <c r="G57" s="674">
        <v>400</v>
      </c>
      <c r="H57" s="675" t="s">
        <v>2086</v>
      </c>
    </row>
    <row r="73" spans="1:12">
      <c r="A73" s="838" t="s">
        <v>1856</v>
      </c>
      <c r="B73" s="840"/>
      <c r="C73" s="676" t="s">
        <v>2349</v>
      </c>
      <c r="D73" s="824" t="s">
        <v>1854</v>
      </c>
      <c r="E73" s="824"/>
      <c r="F73" s="824"/>
      <c r="G73" s="824"/>
      <c r="H73" s="825"/>
    </row>
    <row r="74" spans="1:12">
      <c r="A74" s="534" t="s">
        <v>1846</v>
      </c>
      <c r="B74" s="535">
        <v>216</v>
      </c>
      <c r="C74" s="534" t="s">
        <v>1764</v>
      </c>
      <c r="D74" s="535">
        <v>1016</v>
      </c>
      <c r="E74" s="534" t="s">
        <v>1855</v>
      </c>
      <c r="F74" s="535">
        <v>100</v>
      </c>
      <c r="G74" s="534" t="s">
        <v>1857</v>
      </c>
      <c r="H74" s="535">
        <v>16.8</v>
      </c>
      <c r="I74" s="520" t="s">
        <v>1858</v>
      </c>
      <c r="J74" s="536">
        <v>660</v>
      </c>
      <c r="K74" s="520" t="s">
        <v>1859</v>
      </c>
      <c r="L74" s="537">
        <v>2021</v>
      </c>
    </row>
    <row r="75" spans="1:12">
      <c r="I75" s="440" t="s">
        <v>1860</v>
      </c>
      <c r="J75" s="441"/>
      <c r="K75" s="441"/>
      <c r="L75" s="442"/>
    </row>
    <row r="76" spans="1:12">
      <c r="A76" s="539" t="s">
        <v>1842</v>
      </c>
      <c r="B76" s="27"/>
    </row>
    <row r="77" spans="1:12" ht="29.5" thickBot="1">
      <c r="A77" s="510" t="s">
        <v>1843</v>
      </c>
      <c r="B77" s="538" t="s">
        <v>2367</v>
      </c>
      <c r="C77" s="538" t="s">
        <v>2350</v>
      </c>
      <c r="D77" s="538" t="s">
        <v>2368</v>
      </c>
      <c r="E77" s="538" t="s">
        <v>1845</v>
      </c>
      <c r="F77" s="841" t="s">
        <v>2370</v>
      </c>
      <c r="G77" s="842"/>
    </row>
    <row r="78" spans="1:12" ht="15" thickTop="1">
      <c r="A78" s="521" t="s">
        <v>1844</v>
      </c>
      <c r="B78" s="15">
        <v>370</v>
      </c>
      <c r="C78" s="15">
        <v>250</v>
      </c>
      <c r="D78" s="15">
        <v>200</v>
      </c>
      <c r="E78" s="452">
        <v>2012</v>
      </c>
      <c r="F78" s="15"/>
      <c r="G78" s="165"/>
    </row>
    <row r="79" spans="1:12">
      <c r="A79" s="521" t="s">
        <v>1847</v>
      </c>
      <c r="B79" s="15"/>
      <c r="C79" s="15">
        <v>550</v>
      </c>
      <c r="D79" s="15"/>
      <c r="E79" s="15">
        <v>1966</v>
      </c>
      <c r="F79" s="15"/>
      <c r="G79" s="165"/>
    </row>
    <row r="80" spans="1:12">
      <c r="A80" s="521" t="s">
        <v>1848</v>
      </c>
      <c r="B80" s="15">
        <v>465</v>
      </c>
      <c r="C80" s="15">
        <v>1000</v>
      </c>
      <c r="D80" s="829">
        <f>1480/1.2</f>
        <v>1233.3333333333335</v>
      </c>
      <c r="E80" s="829">
        <v>1967</v>
      </c>
      <c r="F80" s="830" t="s">
        <v>2369</v>
      </c>
      <c r="G80" s="823" t="s">
        <v>1861</v>
      </c>
      <c r="H80" s="62"/>
    </row>
    <row r="81" spans="1:7">
      <c r="A81" s="521" t="s">
        <v>1849</v>
      </c>
      <c r="B81" s="15">
        <f>266+21</f>
        <v>287</v>
      </c>
      <c r="C81" s="15">
        <v>660</v>
      </c>
      <c r="D81" s="829"/>
      <c r="E81" s="829"/>
      <c r="F81" s="830"/>
      <c r="G81" s="823"/>
    </row>
    <row r="82" spans="1:7">
      <c r="A82" s="521" t="s">
        <v>1850</v>
      </c>
      <c r="B82" s="15">
        <v>769</v>
      </c>
      <c r="C82" s="15">
        <v>1000</v>
      </c>
      <c r="D82" s="15"/>
      <c r="E82" s="15"/>
      <c r="F82" s="15"/>
      <c r="G82" s="165"/>
    </row>
    <row r="83" spans="1:7">
      <c r="A83" s="521" t="s">
        <v>1851</v>
      </c>
      <c r="B83" s="15">
        <v>525</v>
      </c>
      <c r="C83" s="15"/>
      <c r="D83" s="15"/>
      <c r="E83" s="15">
        <v>1965</v>
      </c>
      <c r="F83" s="15"/>
      <c r="G83" s="165"/>
    </row>
    <row r="84" spans="1:7">
      <c r="A84" s="521" t="s">
        <v>1852</v>
      </c>
      <c r="B84" s="15">
        <v>391</v>
      </c>
      <c r="C84" s="15">
        <v>710</v>
      </c>
      <c r="D84" s="15"/>
      <c r="E84" s="15">
        <v>1958</v>
      </c>
      <c r="F84" s="15"/>
      <c r="G84" s="165"/>
    </row>
    <row r="85" spans="1:7">
      <c r="A85" s="524" t="s">
        <v>1853</v>
      </c>
      <c r="B85" s="60">
        <v>147</v>
      </c>
      <c r="C85" s="60">
        <v>550</v>
      </c>
      <c r="D85" s="60"/>
      <c r="E85" s="60"/>
      <c r="F85" s="60"/>
      <c r="G85" s="61"/>
    </row>
    <row r="87" spans="1:7">
      <c r="A87" s="27"/>
      <c r="B87" s="27"/>
      <c r="C87" s="27"/>
    </row>
  </sheetData>
  <mergeCells count="15">
    <mergeCell ref="G80:G81"/>
    <mergeCell ref="C1:G1"/>
    <mergeCell ref="F34:J34"/>
    <mergeCell ref="F44:J44"/>
    <mergeCell ref="D80:D81"/>
    <mergeCell ref="F80:F81"/>
    <mergeCell ref="A3:C3"/>
    <mergeCell ref="A13:C13"/>
    <mergeCell ref="A34:C34"/>
    <mergeCell ref="A2:F2"/>
    <mergeCell ref="A44:C44"/>
    <mergeCell ref="A73:B73"/>
    <mergeCell ref="D73:H73"/>
    <mergeCell ref="F77:G77"/>
    <mergeCell ref="E80:E81"/>
  </mergeCells>
  <conditionalFormatting sqref="A5:C10">
    <cfRule type="expression" dxfId="24" priority="21">
      <formula>MOD(ROW(),2)=0</formula>
    </cfRule>
  </conditionalFormatting>
  <conditionalFormatting sqref="A15:C31">
    <cfRule type="expression" dxfId="23" priority="20">
      <formula>MOD(ROW(),2)=0</formula>
    </cfRule>
  </conditionalFormatting>
  <conditionalFormatting sqref="B36:C42">
    <cfRule type="expression" dxfId="22" priority="19">
      <formula>MOD(ROW(),2)=0</formula>
    </cfRule>
  </conditionalFormatting>
  <conditionalFormatting sqref="A47:A56">
    <cfRule type="expression" dxfId="21" priority="18">
      <formula>MOD(ROW(),2)=0</formula>
    </cfRule>
  </conditionalFormatting>
  <conditionalFormatting sqref="B47:D56">
    <cfRule type="expression" dxfId="20" priority="17">
      <formula>MOD(ROW(),2)=0</formula>
    </cfRule>
  </conditionalFormatting>
  <conditionalFormatting sqref="F47:H56">
    <cfRule type="expression" dxfId="19" priority="16">
      <formula>MOD(ROW(),2)=0</formula>
    </cfRule>
  </conditionalFormatting>
  <conditionalFormatting sqref="J47:L56">
    <cfRule type="expression" dxfId="18" priority="15">
      <formula>MOD(ROW(),2)=0</formula>
    </cfRule>
  </conditionalFormatting>
  <conditionalFormatting sqref="N47:P56">
    <cfRule type="expression" dxfId="17" priority="14">
      <formula>MOD(ROW(),2)=0</formula>
    </cfRule>
  </conditionalFormatting>
  <conditionalFormatting sqref="R47:T56">
    <cfRule type="expression" dxfId="16" priority="13">
      <formula>MOD(ROW(),2)=0</formula>
    </cfRule>
  </conditionalFormatting>
  <conditionalFormatting sqref="V47:X56">
    <cfRule type="expression" dxfId="15" priority="12">
      <formula>MOD(ROW(),2)=0</formula>
    </cfRule>
  </conditionalFormatting>
  <conditionalFormatting sqref="Z47:AB56">
    <cfRule type="expression" dxfId="14" priority="11">
      <formula>MOD(ROW(),2)=0</formula>
    </cfRule>
  </conditionalFormatting>
  <conditionalFormatting sqref="B78:E80 B82:E85 B81:D81">
    <cfRule type="expression" dxfId="13" priority="4">
      <formula>MOD(ROW(),2)=0</formula>
    </cfRule>
  </conditionalFormatting>
  <conditionalFormatting sqref="F78:G79">
    <cfRule type="expression" dxfId="12" priority="3">
      <formula>MOD(ROW(),2)=0</formula>
    </cfRule>
  </conditionalFormatting>
  <conditionalFormatting sqref="F82:G85">
    <cfRule type="expression" dxfId="11" priority="2">
      <formula>MOD(ROW(),2)=0</formula>
    </cfRule>
  </conditionalFormatting>
  <conditionalFormatting sqref="D27:D31">
    <cfRule type="expression" dxfId="10" priority="1">
      <formula>MOD(ROW(),2)=0</formula>
    </cfRule>
  </conditionalFormatting>
  <pageMargins left="0.7" right="0.7" top="0.78740157499999996" bottom="0.78740157499999996" header="0.3" footer="0.3"/>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C559E5F25A237C41BAE925437DF8C600" ma:contentTypeVersion="17" ma:contentTypeDescription="Ein neues Dokument erstellen." ma:contentTypeScope="" ma:versionID="b92f3adb2bc538bc293833d97d0f5118">
  <xsd:schema xmlns:xsd="http://www.w3.org/2001/XMLSchema" xmlns:xs="http://www.w3.org/2001/XMLSchema" xmlns:p="http://schemas.microsoft.com/office/2006/metadata/properties" xmlns:ns2="ce868b13-74c6-4bb7-bc1c-06984f61d3b8" xmlns:ns3="377e6385-f342-4cd8-8458-96183fc40ef9" targetNamespace="http://schemas.microsoft.com/office/2006/metadata/properties" ma:root="true" ma:fieldsID="4d52095d0e7fa9e56eea0b020127550b" ns2:_="" ns3:_="">
    <xsd:import namespace="ce868b13-74c6-4bb7-bc1c-06984f61d3b8"/>
    <xsd:import namespace="377e6385-f342-4cd8-8458-96183fc40ef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MediaServiceAutoKeyPoints" minOccurs="0"/>
                <xsd:element ref="ns2:MediaServiceKeyPoints" minOccurs="0"/>
                <xsd:element ref="ns2:lcf76f155ced4ddcb4097134ff3c332f" minOccurs="0"/>
                <xsd:element ref="ns3:TaxCatchAll" minOccurs="0"/>
                <xsd:element ref="ns2:b"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868b13-74c6-4bb7-bc1c-06984f61d3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4fc58ff6-2a3f-40a3-8d32-e116a35ec156" ma:termSetId="09814cd3-568e-fe90-9814-8d621ff8fb84" ma:anchorId="fba54fb3-c3e1-fe81-a776-ca4b69148c4d" ma:open="true" ma:isKeyword="false">
      <xsd:complexType>
        <xsd:sequence>
          <xsd:element ref="pc:Terms" minOccurs="0" maxOccurs="1"/>
        </xsd:sequence>
      </xsd:complexType>
    </xsd:element>
    <xsd:element name="b" ma:index="24" nillable="true" ma:displayName="b" ma:format="DateOnly" ma:internalName="b">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377e6385-f342-4cd8-8458-96183fc40ef9" elementFormDefault="qualified">
    <xsd:import namespace="http://schemas.microsoft.com/office/2006/documentManagement/types"/>
    <xsd:import namespace="http://schemas.microsoft.com/office/infopath/2007/PartnerControls"/>
    <xsd:element name="SharedWithUsers" ma:index="16"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435b5f42-4f14-4865-97cb-e460e25f79f7}" ma:internalName="TaxCatchAll" ma:showField="CatchAllData" ma:web="377e6385-f342-4cd8-8458-96183fc40e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14AF0AB-5AAD-4F7E-8946-AF8C74B257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868b13-74c6-4bb7-bc1c-06984f61d3b8"/>
    <ds:schemaRef ds:uri="377e6385-f342-4cd8-8458-96183fc40e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A84541-ACB7-4D25-983D-0DDDD96C7F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Arbeitsblätter</vt:lpstr>
      </vt:variant>
      <vt:variant>
        <vt:i4>11</vt:i4>
      </vt:variant>
      <vt:variant>
        <vt:lpstr>Diagramme</vt:lpstr>
      </vt:variant>
      <vt:variant>
        <vt:i4>4</vt:i4>
      </vt:variant>
      <vt:variant>
        <vt:lpstr>Benannte Bereiche</vt:lpstr>
      </vt:variant>
      <vt:variant>
        <vt:i4>2</vt:i4>
      </vt:variant>
    </vt:vector>
  </HeadingPairs>
  <TitlesOfParts>
    <vt:vector size="17" baseType="lpstr">
      <vt:lpstr>Inhalt</vt:lpstr>
      <vt:lpstr>Eingabe Transportmittel</vt:lpstr>
      <vt:lpstr>Eingabe Umwandlung</vt:lpstr>
      <vt:lpstr>Eingabe Stoffparameter</vt:lpstr>
      <vt:lpstr>Transportmittel</vt:lpstr>
      <vt:lpstr>Transportoptionen</vt:lpstr>
      <vt:lpstr>Beispielketten</vt:lpstr>
      <vt:lpstr>Schätzung Schiff</vt:lpstr>
      <vt:lpstr>Schätzung Pipeline</vt:lpstr>
      <vt:lpstr>Schätzung EE-Strom &amp; Hilfsstoff</vt:lpstr>
      <vt:lpstr>Schätzung VLS vs. Stromkosten</vt:lpstr>
      <vt:lpstr>Umwandlungskosten</vt:lpstr>
      <vt:lpstr>Umwandlung &amp; Transport Säulen</vt:lpstr>
      <vt:lpstr>Umwandlungs- &amp; Transportkosten</vt:lpstr>
      <vt:lpstr>energetische Effizienz</vt:lpstr>
      <vt:lpstr>'Schätzung Schiff'!Fuel_Consumption_Ship</vt:lpstr>
      <vt:lpstr>'Schätzung Schiff'!hafen_hamburg_Containerschiffe_processed</vt:lpstr>
    </vt:vector>
  </TitlesOfParts>
  <Company>RWTH Aachen, ISEA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Stoecker, Philipp</dc:creator>
  <cp:lastModifiedBy>Wurbs, Sven</cp:lastModifiedBy>
  <dcterms:created xsi:type="dcterms:W3CDTF">2021-03-04T08:09:30Z</dcterms:created>
  <dcterms:modified xsi:type="dcterms:W3CDTF">2022-11-04T09:09:18Z</dcterms:modified>
</cp:coreProperties>
</file>